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geligozum\Downloads\"/>
    </mc:Choice>
  </mc:AlternateContent>
  <bookViews>
    <workbookView xWindow="0" yWindow="0" windowWidth="20490" windowHeight="7650" activeTab="4"/>
  </bookViews>
  <sheets>
    <sheet name="TAKE OFF" sheetId="3" r:id="rId1"/>
    <sheet name="BOM" sheetId="4" r:id="rId2"/>
    <sheet name="SUMMARY" sheetId="6" r:id="rId3"/>
    <sheet name="QUOTATION" sheetId="1" r:id="rId4"/>
    <sheet name="CCTV" sheetId="7" r:id="rId5"/>
  </sheets>
  <definedNames>
    <definedName name="_xlnm.Print_Area" localSheetId="3">QUOTATION!$A$1:$G$141</definedName>
  </definedNames>
  <calcPr calcId="162913"/>
</workbook>
</file>

<file path=xl/calcChain.xml><?xml version="1.0" encoding="utf-8"?>
<calcChain xmlns="http://schemas.openxmlformats.org/spreadsheetml/2006/main">
  <c r="AL16" i="3" l="1"/>
  <c r="AM16" i="3"/>
  <c r="AN16" i="3"/>
  <c r="AO16" i="3"/>
  <c r="AE16" i="3"/>
  <c r="AG16" i="3"/>
  <c r="AD16" i="3"/>
  <c r="AZ13" i="3"/>
  <c r="BA13" i="3"/>
  <c r="BB13" i="3"/>
  <c r="BC13" i="3"/>
  <c r="AS13" i="3"/>
  <c r="AT13" i="3"/>
  <c r="AR13" i="3"/>
  <c r="AU13" i="3"/>
  <c r="AF16" i="3"/>
  <c r="B11" i="1"/>
  <c r="B9" i="1"/>
  <c r="B19" i="7"/>
  <c r="E31" i="1"/>
  <c r="C31" i="1"/>
  <c r="B31" i="1"/>
  <c r="E29" i="1"/>
  <c r="C29" i="1"/>
  <c r="B29" i="1"/>
  <c r="C28" i="1"/>
  <c r="B28" i="1"/>
  <c r="E28" i="1"/>
  <c r="L88" i="4"/>
  <c r="L40" i="4"/>
  <c r="K40" i="4"/>
  <c r="I40" i="4"/>
  <c r="M40" i="4"/>
  <c r="F31" i="1"/>
  <c r="D24" i="7"/>
  <c r="E24" i="7"/>
  <c r="L147" i="4"/>
  <c r="M147" i="4"/>
  <c r="K147" i="4"/>
  <c r="I147" i="4"/>
  <c r="L146" i="4"/>
  <c r="M146" i="4"/>
  <c r="K146" i="4"/>
  <c r="I146" i="4"/>
  <c r="L145" i="4"/>
  <c r="M145" i="4"/>
  <c r="K145" i="4"/>
  <c r="I145" i="4"/>
  <c r="A145" i="4"/>
  <c r="A146" i="4"/>
  <c r="A147" i="4"/>
  <c r="J144" i="4"/>
  <c r="K144" i="4"/>
  <c r="I144" i="4"/>
  <c r="K148" i="4"/>
  <c r="L144" i="4"/>
  <c r="A32" i="4"/>
  <c r="A33" i="4"/>
  <c r="A34" i="4"/>
  <c r="A35" i="4"/>
  <c r="A36" i="4"/>
  <c r="L34" i="4"/>
  <c r="K34" i="4"/>
  <c r="I34" i="4"/>
  <c r="BE14" i="3"/>
  <c r="BF14" i="3"/>
  <c r="BG14" i="3"/>
  <c r="BE15" i="3"/>
  <c r="BF15" i="3"/>
  <c r="BG15" i="3"/>
  <c r="BE16" i="3"/>
  <c r="BF16" i="3"/>
  <c r="BG16" i="3"/>
  <c r="AL12" i="3"/>
  <c r="AM12" i="3"/>
  <c r="AN12" i="3"/>
  <c r="AO12" i="3"/>
  <c r="AE12" i="3"/>
  <c r="AG12" i="3"/>
  <c r="AD12" i="3"/>
  <c r="M34" i="4"/>
  <c r="M144" i="4"/>
  <c r="M148" i="4"/>
  <c r="AF12" i="3"/>
  <c r="L113" i="4"/>
  <c r="L112" i="4"/>
  <c r="L111" i="4"/>
  <c r="L110" i="4"/>
  <c r="L109" i="4"/>
  <c r="L108" i="4"/>
  <c r="L107" i="4"/>
  <c r="L106" i="4"/>
  <c r="L105" i="4"/>
  <c r="L104" i="4"/>
  <c r="L103" i="4"/>
  <c r="L102" i="4"/>
  <c r="L101" i="4"/>
  <c r="L100" i="4"/>
  <c r="L99" i="4"/>
  <c r="L98" i="4"/>
  <c r="L97" i="4"/>
  <c r="L96" i="4"/>
  <c r="L95" i="4"/>
  <c r="L87" i="4"/>
  <c r="L86" i="4"/>
  <c r="D25" i="7"/>
  <c r="L83" i="4"/>
  <c r="L82" i="4"/>
  <c r="L81" i="4"/>
  <c r="L80" i="4"/>
  <c r="L79" i="4"/>
  <c r="L78" i="4"/>
  <c r="L77" i="4"/>
  <c r="L76" i="4"/>
  <c r="L75" i="4"/>
  <c r="L73" i="4"/>
  <c r="L72" i="4"/>
  <c r="L70" i="4"/>
  <c r="L69" i="4"/>
  <c r="L68" i="4"/>
  <c r="L67" i="4"/>
  <c r="L66" i="4"/>
  <c r="L65" i="4"/>
  <c r="L64" i="4"/>
  <c r="L63" i="4"/>
  <c r="L62" i="4"/>
  <c r="L61" i="4"/>
  <c r="L60" i="4"/>
  <c r="L59" i="4"/>
  <c r="L58" i="4"/>
  <c r="L57" i="4"/>
  <c r="L56" i="4"/>
  <c r="L55" i="4"/>
  <c r="L54" i="4"/>
  <c r="L53" i="4"/>
  <c r="L125" i="4"/>
  <c r="D8" i="7"/>
  <c r="E8" i="7"/>
  <c r="L117" i="4"/>
  <c r="L45" i="4"/>
  <c r="L44" i="4"/>
  <c r="L43" i="4"/>
  <c r="L39" i="4"/>
  <c r="D23" i="7"/>
  <c r="E23" i="7"/>
  <c r="L36" i="4"/>
  <c r="L35" i="4"/>
  <c r="D22" i="7"/>
  <c r="E22" i="7"/>
  <c r="L33" i="4"/>
  <c r="L31" i="4"/>
  <c r="L28" i="4"/>
  <c r="D20" i="7"/>
  <c r="F28" i="1"/>
  <c r="D19" i="7"/>
  <c r="E19" i="7"/>
  <c r="F29" i="1"/>
  <c r="D21" i="7"/>
  <c r="E21" i="7"/>
  <c r="A44" i="4"/>
  <c r="A45" i="4"/>
  <c r="M44" i="4"/>
  <c r="K44" i="4"/>
  <c r="I44" i="4"/>
  <c r="H14" i="3"/>
  <c r="H15" i="3"/>
  <c r="H16" i="3"/>
  <c r="X13" i="3"/>
  <c r="Y13" i="3"/>
  <c r="Z13" i="3"/>
  <c r="AA13" i="3"/>
  <c r="Q13" i="3"/>
  <c r="S13" i="3"/>
  <c r="P13" i="3"/>
  <c r="R13" i="3"/>
  <c r="M112" i="4"/>
  <c r="M111" i="4"/>
  <c r="M110" i="4"/>
  <c r="M109" i="4"/>
  <c r="M108" i="4"/>
  <c r="M107" i="4"/>
  <c r="M106" i="4"/>
  <c r="M105" i="4"/>
  <c r="M104" i="4"/>
  <c r="M103" i="4"/>
  <c r="M102" i="4"/>
  <c r="M100" i="4"/>
  <c r="M99" i="4"/>
  <c r="M98" i="4"/>
  <c r="M96" i="4"/>
  <c r="M95" i="4"/>
  <c r="E35" i="1"/>
  <c r="C35" i="1"/>
  <c r="B35" i="1"/>
  <c r="E34" i="1"/>
  <c r="C34" i="1"/>
  <c r="C33" i="1"/>
  <c r="B33" i="1"/>
  <c r="M45" i="4"/>
  <c r="M43" i="4"/>
  <c r="M39" i="4"/>
  <c r="M41" i="4"/>
  <c r="F34" i="1"/>
  <c r="F33" i="1"/>
  <c r="M33" i="4"/>
  <c r="M32" i="4"/>
  <c r="F26" i="1"/>
  <c r="C26" i="1"/>
  <c r="B26" i="1"/>
  <c r="J127" i="4"/>
  <c r="L127" i="4"/>
  <c r="D9" i="7"/>
  <c r="E9" i="7"/>
  <c r="M50" i="4"/>
  <c r="M93" i="4"/>
  <c r="K106" i="4"/>
  <c r="M113" i="4"/>
  <c r="M101" i="4"/>
  <c r="M97" i="4"/>
  <c r="M81" i="4"/>
  <c r="M36" i="4"/>
  <c r="M31" i="4"/>
  <c r="N123" i="4"/>
  <c r="F35" i="1"/>
  <c r="M114" i="4"/>
  <c r="M46" i="4"/>
  <c r="F141" i="4"/>
  <c r="I122" i="4"/>
  <c r="I121" i="4"/>
  <c r="I81" i="4"/>
  <c r="I45" i="4"/>
  <c r="I43" i="4"/>
  <c r="I39" i="4"/>
  <c r="I36" i="4"/>
  <c r="I33" i="4"/>
  <c r="I32" i="4"/>
  <c r="I31" i="4"/>
  <c r="A118" i="4"/>
  <c r="A126" i="4"/>
  <c r="C3" i="6"/>
  <c r="C2" i="6"/>
  <c r="M127" i="4"/>
  <c r="M125" i="4"/>
  <c r="K125" i="4"/>
  <c r="A119" i="4"/>
  <c r="A120" i="4"/>
  <c r="A121" i="4"/>
  <c r="A122" i="4"/>
  <c r="K112" i="4"/>
  <c r="K96" i="4"/>
  <c r="K97" i="4"/>
  <c r="K98" i="4"/>
  <c r="K99" i="4"/>
  <c r="K100" i="4"/>
  <c r="K101" i="4"/>
  <c r="K102" i="4"/>
  <c r="K103" i="4"/>
  <c r="K104" i="4"/>
  <c r="K105" i="4"/>
  <c r="K107" i="4"/>
  <c r="K108" i="4"/>
  <c r="K109" i="4"/>
  <c r="K110" i="4"/>
  <c r="K111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K36" i="4"/>
  <c r="K32" i="4"/>
  <c r="AD10" i="3"/>
  <c r="AE10" i="3"/>
  <c r="AF10" i="3"/>
  <c r="AL10" i="3"/>
  <c r="AM10" i="3"/>
  <c r="AN10" i="3"/>
  <c r="AO10" i="3"/>
  <c r="AG10" i="3"/>
  <c r="K127" i="4"/>
  <c r="K113" i="4"/>
  <c r="K95" i="4"/>
  <c r="K92" i="4"/>
  <c r="K91" i="4"/>
  <c r="K49" i="4"/>
  <c r="K48" i="4"/>
  <c r="K45" i="4"/>
  <c r="K43" i="4"/>
  <c r="K39" i="4"/>
  <c r="K41" i="4"/>
  <c r="K93" i="4"/>
  <c r="K46" i="4"/>
  <c r="K50" i="4"/>
  <c r="K114" i="4"/>
  <c r="E33" i="1"/>
  <c r="K33" i="4"/>
  <c r="K31" i="4"/>
  <c r="M35" i="4"/>
  <c r="M37" i="4"/>
  <c r="I35" i="4"/>
  <c r="K35" i="4"/>
  <c r="K37" i="4"/>
  <c r="K81" i="4"/>
  <c r="AK18" i="3"/>
  <c r="AJ18" i="3"/>
  <c r="AI18" i="3"/>
  <c r="AH18" i="3"/>
  <c r="AC18" i="3"/>
  <c r="F58" i="4"/>
  <c r="M58" i="4"/>
  <c r="I58" i="4"/>
  <c r="K58" i="4"/>
  <c r="AP10" i="3"/>
  <c r="AP18" i="3"/>
  <c r="AF18" i="3"/>
  <c r="F61" i="4"/>
  <c r="AG18" i="3"/>
  <c r="F62" i="4"/>
  <c r="AL18" i="3"/>
  <c r="F76" i="4"/>
  <c r="AD18" i="3"/>
  <c r="F59" i="4"/>
  <c r="AN18" i="3"/>
  <c r="AO18" i="3"/>
  <c r="AE18" i="3"/>
  <c r="F60" i="4"/>
  <c r="AM18" i="3"/>
  <c r="K59" i="4"/>
  <c r="M59" i="4"/>
  <c r="I59" i="4"/>
  <c r="K60" i="4"/>
  <c r="M60" i="4"/>
  <c r="I60" i="4"/>
  <c r="K76" i="4"/>
  <c r="M76" i="4"/>
  <c r="I76" i="4"/>
  <c r="K62" i="4"/>
  <c r="M62" i="4"/>
  <c r="I62" i="4"/>
  <c r="I61" i="4"/>
  <c r="K61" i="4"/>
  <c r="M61" i="4"/>
  <c r="P12" i="3"/>
  <c r="Q12" i="3"/>
  <c r="R12" i="3"/>
  <c r="X12" i="3"/>
  <c r="Y12" i="3"/>
  <c r="Z12" i="3"/>
  <c r="AA12" i="3"/>
  <c r="S12" i="3"/>
  <c r="X10" i="3"/>
  <c r="Y10" i="3"/>
  <c r="Z10" i="3"/>
  <c r="AA10" i="3"/>
  <c r="Q10" i="3"/>
  <c r="S10" i="3"/>
  <c r="P10" i="3"/>
  <c r="R10" i="3"/>
  <c r="W18" i="3"/>
  <c r="V18" i="3"/>
  <c r="U18" i="3"/>
  <c r="T18" i="3"/>
  <c r="O18" i="3"/>
  <c r="P18" i="3"/>
  <c r="F54" i="4"/>
  <c r="M54" i="4"/>
  <c r="I54" i="4"/>
  <c r="K54" i="4"/>
  <c r="AB10" i="3"/>
  <c r="AB18" i="3"/>
  <c r="F53" i="4"/>
  <c r="Z18" i="3"/>
  <c r="R18" i="3"/>
  <c r="F56" i="4"/>
  <c r="X18" i="3"/>
  <c r="F75" i="4"/>
  <c r="S18" i="3"/>
  <c r="F57" i="4"/>
  <c r="Q18" i="3"/>
  <c r="F55" i="4"/>
  <c r="Y18" i="3"/>
  <c r="M56" i="4"/>
  <c r="I56" i="4"/>
  <c r="K56" i="4"/>
  <c r="M75" i="4"/>
  <c r="I75" i="4"/>
  <c r="K75" i="4"/>
  <c r="M55" i="4"/>
  <c r="I55" i="4"/>
  <c r="K55" i="4"/>
  <c r="I57" i="4"/>
  <c r="M57" i="4"/>
  <c r="K57" i="4"/>
  <c r="M53" i="4"/>
  <c r="I53" i="4"/>
  <c r="K53" i="4"/>
  <c r="AA18" i="3"/>
  <c r="A28" i="1"/>
  <c r="G35" i="1"/>
  <c r="BE13" i="3"/>
  <c r="AZ10" i="3"/>
  <c r="BA10" i="3"/>
  <c r="BB10" i="3"/>
  <c r="AS10" i="3"/>
  <c r="AT10" i="3"/>
  <c r="AR10" i="3"/>
  <c r="D18" i="3"/>
  <c r="F28" i="4"/>
  <c r="A11" i="3"/>
  <c r="A12" i="3"/>
  <c r="A13" i="3"/>
  <c r="A14" i="3"/>
  <c r="A15" i="3"/>
  <c r="A16" i="3"/>
  <c r="F73" i="4"/>
  <c r="B20" i="7"/>
  <c r="E20" i="7"/>
  <c r="E26" i="1"/>
  <c r="M28" i="4"/>
  <c r="M29" i="4"/>
  <c r="D7" i="6"/>
  <c r="I28" i="4"/>
  <c r="H118" i="4"/>
  <c r="F82" i="4"/>
  <c r="K28" i="4"/>
  <c r="K29" i="4"/>
  <c r="C7" i="6"/>
  <c r="AU10" i="3"/>
  <c r="K82" i="4"/>
  <c r="M82" i="4"/>
  <c r="I82" i="4"/>
  <c r="I73" i="4"/>
  <c r="M73" i="4"/>
  <c r="K73" i="4"/>
  <c r="BC10" i="3"/>
  <c r="BH18" i="3"/>
  <c r="F70" i="4"/>
  <c r="K70" i="4"/>
  <c r="M70" i="4"/>
  <c r="I70" i="4"/>
  <c r="BG11" i="3"/>
  <c r="BG12" i="3"/>
  <c r="BG13" i="3"/>
  <c r="BG10" i="3"/>
  <c r="A29" i="1"/>
  <c r="A31" i="1"/>
  <c r="A33" i="1"/>
  <c r="A34" i="1"/>
  <c r="G34" i="1"/>
  <c r="A35" i="1"/>
  <c r="G33" i="1"/>
  <c r="A37" i="1"/>
  <c r="A38" i="1"/>
  <c r="AW18" i="3"/>
  <c r="AX18" i="3"/>
  <c r="AY18" i="3"/>
  <c r="M18" i="3"/>
  <c r="N18" i="3"/>
  <c r="B72" i="1"/>
  <c r="D69" i="1"/>
  <c r="B68" i="1"/>
  <c r="BG18" i="3"/>
  <c r="F87" i="4"/>
  <c r="F88" i="4"/>
  <c r="AV18" i="3"/>
  <c r="F72" i="4"/>
  <c r="C18" i="3"/>
  <c r="BF13" i="3"/>
  <c r="H13" i="3"/>
  <c r="BE12" i="3"/>
  <c r="BF12" i="3"/>
  <c r="H12" i="3"/>
  <c r="BE11" i="3"/>
  <c r="BF11" i="3"/>
  <c r="H11" i="3"/>
  <c r="BE10" i="3"/>
  <c r="BF10" i="3"/>
  <c r="H10" i="3"/>
  <c r="K88" i="4"/>
  <c r="M88" i="4"/>
  <c r="M87" i="4"/>
  <c r="K87" i="4"/>
  <c r="M72" i="4"/>
  <c r="I72" i="4"/>
  <c r="K72" i="4"/>
  <c r="G31" i="1"/>
  <c r="AS18" i="3"/>
  <c r="F65" i="4"/>
  <c r="BE18" i="3"/>
  <c r="F68" i="4"/>
  <c r="H18" i="3"/>
  <c r="E25" i="7"/>
  <c r="BF18" i="3"/>
  <c r="F69" i="4"/>
  <c r="G29" i="1"/>
  <c r="G26" i="1"/>
  <c r="G28" i="1"/>
  <c r="I68" i="4"/>
  <c r="M68" i="4"/>
  <c r="K68" i="4"/>
  <c r="M65" i="4"/>
  <c r="I65" i="4"/>
  <c r="K65" i="4"/>
  <c r="I69" i="4"/>
  <c r="M69" i="4"/>
  <c r="K69" i="4"/>
  <c r="I10" i="3"/>
  <c r="I18" i="3"/>
  <c r="AT18" i="3"/>
  <c r="AU18" i="3"/>
  <c r="AQ18" i="3"/>
  <c r="F63" i="4"/>
  <c r="F67" i="4"/>
  <c r="F66" i="4"/>
  <c r="M86" i="4"/>
  <c r="M89" i="4"/>
  <c r="I86" i="4"/>
  <c r="H120" i="4"/>
  <c r="I120" i="4"/>
  <c r="K86" i="4"/>
  <c r="K89" i="4"/>
  <c r="I63" i="4"/>
  <c r="K63" i="4"/>
  <c r="M63" i="4"/>
  <c r="AR18" i="3"/>
  <c r="F64" i="4"/>
  <c r="BD10" i="3"/>
  <c r="BD18" i="3"/>
  <c r="F83" i="4"/>
  <c r="AZ18" i="3"/>
  <c r="F77" i="4"/>
  <c r="M83" i="4"/>
  <c r="I83" i="4"/>
  <c r="K83" i="4"/>
  <c r="I66" i="4"/>
  <c r="K66" i="4"/>
  <c r="M66" i="4"/>
  <c r="M77" i="4"/>
  <c r="I77" i="4"/>
  <c r="K77" i="4"/>
  <c r="I64" i="4"/>
  <c r="K64" i="4"/>
  <c r="M64" i="4"/>
  <c r="M67" i="4"/>
  <c r="I67" i="4"/>
  <c r="K67" i="4"/>
  <c r="BA18" i="3"/>
  <c r="F78" i="4"/>
  <c r="BB18" i="3"/>
  <c r="F79" i="4"/>
  <c r="M78" i="4"/>
  <c r="I78" i="4"/>
  <c r="K78" i="4"/>
  <c r="I79" i="4"/>
  <c r="M79" i="4"/>
  <c r="K79" i="4"/>
  <c r="BC18" i="3"/>
  <c r="F80" i="4"/>
  <c r="M80" i="4"/>
  <c r="M84" i="4"/>
  <c r="D27" i="7"/>
  <c r="E27" i="7"/>
  <c r="I80" i="4"/>
  <c r="H119" i="4"/>
  <c r="K80" i="4"/>
  <c r="K84" i="4"/>
  <c r="I119" i="4"/>
  <c r="I118" i="4"/>
  <c r="I136" i="4"/>
  <c r="I137" i="4"/>
  <c r="I139" i="4"/>
  <c r="J129" i="4"/>
  <c r="K117" i="4"/>
  <c r="K141" i="4"/>
  <c r="J119" i="4"/>
  <c r="J128" i="4"/>
  <c r="K128" i="4"/>
  <c r="M117" i="4"/>
  <c r="K129" i="4"/>
  <c r="L129" i="4"/>
  <c r="M129" i="4"/>
  <c r="D10" i="7"/>
  <c r="E10" i="7"/>
  <c r="J118" i="4"/>
  <c r="L118" i="4"/>
  <c r="M118" i="4"/>
  <c r="J120" i="4"/>
  <c r="L120" i="4"/>
  <c r="M120" i="4"/>
  <c r="K142" i="4"/>
  <c r="L128" i="4"/>
  <c r="J122" i="4"/>
  <c r="K122" i="4"/>
  <c r="J121" i="4"/>
  <c r="K121" i="4"/>
  <c r="K130" i="4"/>
  <c r="C9" i="6"/>
  <c r="K119" i="4"/>
  <c r="L119" i="4"/>
  <c r="M119" i="4"/>
  <c r="M128" i="4"/>
  <c r="M130" i="4"/>
  <c r="D9" i="6"/>
  <c r="F37" i="1"/>
  <c r="G37" i="1"/>
  <c r="D11" i="7"/>
  <c r="E11" i="7"/>
  <c r="E16" i="7"/>
  <c r="K120" i="4"/>
  <c r="K118" i="4"/>
  <c r="L122" i="4"/>
  <c r="M122" i="4"/>
  <c r="L121" i="4"/>
  <c r="M121" i="4"/>
  <c r="M123" i="4"/>
  <c r="K123" i="4"/>
  <c r="K132" i="4"/>
  <c r="K134" i="4"/>
  <c r="M132" i="4"/>
  <c r="M134" i="4"/>
  <c r="D26" i="7"/>
  <c r="E26" i="7"/>
  <c r="E28" i="7"/>
  <c r="E30" i="7"/>
  <c r="E34" i="7"/>
  <c r="C8" i="6"/>
  <c r="C10" i="6"/>
  <c r="C17" i="6"/>
  <c r="D8" i="6"/>
  <c r="D10" i="6"/>
  <c r="D17" i="6"/>
  <c r="C11" i="6"/>
  <c r="D11" i="6"/>
  <c r="F38" i="1"/>
  <c r="G38" i="1"/>
  <c r="G46" i="1"/>
  <c r="D15" i="6"/>
  <c r="D13" i="6"/>
  <c r="D14" i="6"/>
</calcChain>
</file>

<file path=xl/sharedStrings.xml><?xml version="1.0" encoding="utf-8"?>
<sst xmlns="http://schemas.openxmlformats.org/spreadsheetml/2006/main" count="547" uniqueCount="376">
  <si>
    <t>PRODUCT QUOTATION</t>
  </si>
  <si>
    <t xml:space="preserve">Quoted To: </t>
  </si>
  <si>
    <t>Date Quoted:</t>
  </si>
  <si>
    <t>Customer Reference Number</t>
  </si>
  <si>
    <t>Address:</t>
  </si>
  <si>
    <t>Our Quotation Reference Number</t>
  </si>
  <si>
    <t>Attention:</t>
  </si>
  <si>
    <t xml:space="preserve">ITEM </t>
  </si>
  <si>
    <t>MODEL NO.</t>
  </si>
  <si>
    <t>QTY.</t>
  </si>
  <si>
    <t>UNIT PRICE</t>
  </si>
  <si>
    <t>TOTAL PRICE</t>
  </si>
  <si>
    <t>NO.</t>
  </si>
  <si>
    <t>DESCRIPTION</t>
  </si>
  <si>
    <t>PhP</t>
  </si>
  <si>
    <t>PHIL. PESO (PhP)</t>
  </si>
  <si>
    <t>TOTAL COST(VAT INC)</t>
  </si>
  <si>
    <t>#16 A Catanduanes Street Brgy Paltok, Quezon City, Philippines</t>
  </si>
  <si>
    <t>Tel. No. 352.6110/355.4663/64 Fax No. 352.0377</t>
  </si>
  <si>
    <t>www.intellismartinc.com</t>
  </si>
  <si>
    <t>TERMS &amp; CONDITION OF SALES:</t>
  </si>
  <si>
    <t>PRICE:</t>
  </si>
  <si>
    <t xml:space="preserve">- Fifteen (15) days price validity upon submission of this proposal. </t>
  </si>
  <si>
    <t>- Price quoted is Inclusive of Twelve Percent (12%) Vat</t>
  </si>
  <si>
    <t>PAYMENT TERMS:</t>
  </si>
  <si>
    <t>50% Down Payment Upon PO</t>
  </si>
  <si>
    <t>(For Hardware)</t>
  </si>
  <si>
    <t>50% Upon Delivery</t>
  </si>
  <si>
    <t>CANCELLATION CHARGES:</t>
  </si>
  <si>
    <t>- Cancelled purchase order is subject for 30% charge.</t>
  </si>
  <si>
    <t xml:space="preserve">   If delivery will be cancelled at the time of delivery, 100% of the total package will be charged accordingly.</t>
  </si>
  <si>
    <t>WARRANTY:</t>
  </si>
  <si>
    <t>- One Year Warranty on Parts, Cabling and Labor</t>
  </si>
  <si>
    <t>- Three Months on Peripherals and Accessories</t>
  </si>
  <si>
    <t>- Warranty Starts from Delivery Date</t>
  </si>
  <si>
    <t>CUSTOMER SERVICE</t>
  </si>
  <si>
    <t>- INTELLISTMART TECHNOLOGY INC. support within Metro Manila provides on-site or remote access assistance.</t>
  </si>
  <si>
    <t>SUPPORT:</t>
  </si>
  <si>
    <t>- Service calls are from 8:00 am to 7:00 pm Mondays thru Fridays.</t>
  </si>
  <si>
    <t xml:space="preserve">- Service calls after 6:00 pm maybe attended on the same day subject to the availability of our technical support;  </t>
  </si>
  <si>
    <t xml:space="preserve">   Otherwise, it  will be attended on the next business day.</t>
  </si>
  <si>
    <t>- Weekend servicing will depend on the availability of the technical support</t>
  </si>
  <si>
    <t xml:space="preserve">- Our average service response time is 3 hours (within Metro Manila) </t>
  </si>
  <si>
    <t>Prepared &amp; Submitted by:</t>
  </si>
  <si>
    <t>Noted by:</t>
  </si>
  <si>
    <t>Conforme:</t>
  </si>
  <si>
    <t xml:space="preserve">Date: </t>
  </si>
  <si>
    <t>Page     1 of 2</t>
  </si>
  <si>
    <t>Page     2 of 2</t>
  </si>
  <si>
    <t>Notes:</t>
  </si>
  <si>
    <t xml:space="preserve">Nearest 220VAC shall be provided by the client. </t>
  </si>
  <si>
    <t>LEAD TIME:</t>
  </si>
  <si>
    <t xml:space="preserve">                                     AUTHORIZED SIGNATORY</t>
  </si>
  <si>
    <t>NO</t>
  </si>
  <si>
    <t>DETAILS</t>
  </si>
  <si>
    <t>CCTV</t>
  </si>
  <si>
    <t>JUNC.</t>
  </si>
  <si>
    <t>C.H.</t>
  </si>
  <si>
    <t>NUT &amp;</t>
  </si>
  <si>
    <t>G.I.</t>
  </si>
  <si>
    <t>FLEX.</t>
  </si>
  <si>
    <t>PVC</t>
  </si>
  <si>
    <t>BULLET</t>
  </si>
  <si>
    <t>DOME</t>
  </si>
  <si>
    <t>HOR</t>
  </si>
  <si>
    <t>VER</t>
  </si>
  <si>
    <t>RIS</t>
  </si>
  <si>
    <t>TOTAL</t>
  </si>
  <si>
    <t>ROLL/S</t>
  </si>
  <si>
    <t>PIPE</t>
  </si>
  <si>
    <t>COUP.</t>
  </si>
  <si>
    <t>ADAPT.</t>
  </si>
  <si>
    <t>LNUT.</t>
  </si>
  <si>
    <t>BUSH.</t>
  </si>
  <si>
    <t>BOX</t>
  </si>
  <si>
    <t>CLAMP</t>
  </si>
  <si>
    <t>WASHER</t>
  </si>
  <si>
    <t>WIRE</t>
  </si>
  <si>
    <t>PVC HOSE</t>
  </si>
  <si>
    <t>CONN.</t>
  </si>
  <si>
    <t>CCTV#1</t>
  </si>
  <si>
    <t>CCTV#2</t>
  </si>
  <si>
    <t>System:</t>
  </si>
  <si>
    <t>TMHR</t>
  </si>
  <si>
    <t>set/s</t>
  </si>
  <si>
    <t>length/s</t>
  </si>
  <si>
    <t>piece/s</t>
  </si>
  <si>
    <t>Black Screw Pointed</t>
  </si>
  <si>
    <t>box/s</t>
  </si>
  <si>
    <t>Masking Tape</t>
  </si>
  <si>
    <t>Electrical Tape</t>
  </si>
  <si>
    <t>Screw Driver</t>
  </si>
  <si>
    <t>Pliers</t>
  </si>
  <si>
    <t>Wire Cutter</t>
  </si>
  <si>
    <t>Hammer</t>
  </si>
  <si>
    <t>lot</t>
  </si>
  <si>
    <t>TMAN-DAYS</t>
  </si>
  <si>
    <t>WORKERS</t>
  </si>
  <si>
    <t>CLOSED CIRCUIT TELEVISION SYSTEM</t>
  </si>
  <si>
    <t>PROJECT INSTALLATION</t>
  </si>
  <si>
    <t>1 lot</t>
  </si>
  <si>
    <t>CCTV#3</t>
  </si>
  <si>
    <t>CCTV#4</t>
  </si>
  <si>
    <t>ST4000VX007</t>
  </si>
  <si>
    <t>Seagate 4000GB (4TB) Skyhawk 5900RPM 64MB</t>
  </si>
  <si>
    <t>meter/s</t>
  </si>
  <si>
    <t>VIDEO SURVEILLANCE</t>
  </si>
  <si>
    <t xml:space="preserve">                                      Our Quotation Reference Number</t>
  </si>
  <si>
    <t>Business Development Manager</t>
  </si>
  <si>
    <t>Drill Bit 3/8</t>
  </si>
  <si>
    <t>CONN</t>
  </si>
  <si>
    <t>PULL BOX</t>
  </si>
  <si>
    <t>12"X12"X8"</t>
  </si>
  <si>
    <t>STRUT</t>
  </si>
  <si>
    <t>CH.</t>
  </si>
  <si>
    <t>4-CORE FIBER OPTIC  Cable</t>
  </si>
  <si>
    <t>Crimper</t>
  </si>
  <si>
    <t>MOLDING</t>
  </si>
  <si>
    <t>Grinder</t>
  </si>
  <si>
    <t>Concrete Drill Bit 3/8, SDS</t>
  </si>
  <si>
    <t>Concrete Grinding Disk 4"</t>
  </si>
  <si>
    <t>Hacksaw Blade</t>
  </si>
  <si>
    <t>3-6 weeks upon PO</t>
  </si>
  <si>
    <t>F.T</t>
  </si>
  <si>
    <t>ROD</t>
  </si>
  <si>
    <t>ANCHOR</t>
  </si>
  <si>
    <t>GRIP</t>
  </si>
  <si>
    <t>manpower</t>
  </si>
  <si>
    <t>1" DIA. EMT PIPE AND FITTINGS</t>
  </si>
  <si>
    <t>1" PLASTIC</t>
  </si>
  <si>
    <t>TL-SL2428P</t>
  </si>
  <si>
    <t>MONITOR &amp; UNINTERRUPTABLE POWER SUPPLY</t>
  </si>
  <si>
    <t>MIKE CANCIO</t>
  </si>
  <si>
    <t>Head, Security and Network Solution</t>
  </si>
  <si>
    <t>Above quote is based on floor plan, Any revisions needed after actual site inspections shall be quoted seperately..</t>
  </si>
  <si>
    <t>Category 5e, 8 wire universal module. (IO for patch panels)</t>
  </si>
  <si>
    <t>Miscellaneous, cables and conduits, fittings, hangers, boxes &amp; etc.</t>
  </si>
  <si>
    <t>Supply and installation of devices, cables and conduits, Supervision, Installation, Termination, Testing and Commissioning</t>
  </si>
  <si>
    <t>RE</t>
  </si>
  <si>
    <t>TP LINK 24-Port 10/100Mbps PoE+ 4-Port Gigabit Smart Switch; Supports 24 802.3at/af-compliant PoE+ ports with a total power supply of 180W</t>
  </si>
  <si>
    <t>RJ45</t>
  </si>
  <si>
    <t>TL-SG2210P</t>
  </si>
  <si>
    <t>HDMI Cable (3m)</t>
  </si>
  <si>
    <t>1/2" DIA. EMT PIPE AND FITTINGS</t>
  </si>
  <si>
    <t>TP LINK 8-Port Gigabit Smart PoE Switch with 2 SFP Slots; Features 8 PoE ports, with total PoE power budget of 53W</t>
  </si>
  <si>
    <t>3/4" DIA. EMT PIPE AND FITTINGS</t>
  </si>
  <si>
    <t>BOQ FORMAT</t>
  </si>
  <si>
    <t>Project Name:</t>
  </si>
  <si>
    <t>Location:</t>
  </si>
  <si>
    <t>Client Name:</t>
  </si>
  <si>
    <t>Pre-sales Engineer:</t>
  </si>
  <si>
    <t>Revision Date:</t>
  </si>
  <si>
    <t>GIVEN/SCOPE OF WORKS:</t>
  </si>
  <si>
    <t>1. Supply, Delivery , Roughing-in, Wiring, Installation, Programming, Testing, and Commissioning of IP Closed Circuit Television System.</t>
  </si>
  <si>
    <t>ASSUMPTIONS/NOTATION:</t>
  </si>
  <si>
    <t>No</t>
  </si>
  <si>
    <t>Description</t>
  </si>
  <si>
    <t>Brand</t>
  </si>
  <si>
    <t>Model Code</t>
  </si>
  <si>
    <t>Qty</t>
  </si>
  <si>
    <t>UOM</t>
  </si>
  <si>
    <t>Unit Price</t>
  </si>
  <si>
    <t>SubTotal</t>
  </si>
  <si>
    <t>A</t>
  </si>
  <si>
    <t>Camera and Options</t>
  </si>
  <si>
    <t>unit/s</t>
  </si>
  <si>
    <t>Generic</t>
  </si>
  <si>
    <t>TOTAL A</t>
  </si>
  <si>
    <t>B</t>
  </si>
  <si>
    <t>CCTV Main Equipment</t>
  </si>
  <si>
    <t>Seagate</t>
  </si>
  <si>
    <t>TOTAL B</t>
  </si>
  <si>
    <t>C</t>
  </si>
  <si>
    <t>Accessories</t>
  </si>
  <si>
    <t>TOTAL C</t>
  </si>
  <si>
    <t>D</t>
  </si>
  <si>
    <t>PC / Server and Network Device Components</t>
  </si>
  <si>
    <t>Dell</t>
  </si>
  <si>
    <t>TOTAL D</t>
  </si>
  <si>
    <t>E</t>
  </si>
  <si>
    <t>Software and Licenses</t>
  </si>
  <si>
    <t>Windows OS (Latest Version) bundled with PC Workstation</t>
  </si>
  <si>
    <t>Microsoft</t>
  </si>
  <si>
    <t>Third Party Software for Analytics such as 
(License Plate Recognition and People Counting)</t>
  </si>
  <si>
    <t>AgentVI</t>
  </si>
  <si>
    <t>TOTAL E</t>
  </si>
  <si>
    <t>F</t>
  </si>
  <si>
    <t>Roughing-in</t>
  </si>
  <si>
    <t>Pipes and Fittings (Metal):</t>
  </si>
  <si>
    <t>Boxes and Cabinets:</t>
  </si>
  <si>
    <t>Junction Box with Cover (for Corners, Connections and Device)</t>
  </si>
  <si>
    <t>Square Box with Cover (for Cameras)</t>
  </si>
  <si>
    <t>Hangers and Supports:</t>
  </si>
  <si>
    <t>3/8" Full Threaded Rod</t>
  </si>
  <si>
    <t>3/8" Grip Anchor</t>
  </si>
  <si>
    <t>3/8" Nuts and 3/8" Washers</t>
  </si>
  <si>
    <t>3/8" Tox and Screw</t>
  </si>
  <si>
    <t>#14 AWG G.I. Wire (50meters/kg)</t>
  </si>
  <si>
    <t>kg/s</t>
  </si>
  <si>
    <t>TOTAL F</t>
  </si>
  <si>
    <t>G</t>
  </si>
  <si>
    <t>Wiring and Connector Components</t>
  </si>
  <si>
    <t>TOTAL G</t>
  </si>
  <si>
    <t>H</t>
  </si>
  <si>
    <t>Power Cabling</t>
  </si>
  <si>
    <t>#12 AWG THHN, Red</t>
  </si>
  <si>
    <t>#12 AWG THHN, Black</t>
  </si>
  <si>
    <t>TOTAL H</t>
  </si>
  <si>
    <t>I</t>
  </si>
  <si>
    <t>Exclusive Tools &amp; Equipment (needed if tools and needed quantities are not available in ITI warehouse)</t>
  </si>
  <si>
    <t>Electronic Labeler</t>
  </si>
  <si>
    <t>Lan Tester</t>
  </si>
  <si>
    <t>Electric Hand Drill</t>
  </si>
  <si>
    <t>Ladder, 6ft.</t>
  </si>
  <si>
    <t>TOTAL I</t>
  </si>
  <si>
    <t>J</t>
  </si>
  <si>
    <t xml:space="preserve">Technical Services </t>
  </si>
  <si>
    <t>Installation</t>
  </si>
  <si>
    <t>Roughing-In Works</t>
  </si>
  <si>
    <t>Wiring Works</t>
  </si>
  <si>
    <t>Programming</t>
  </si>
  <si>
    <t>Testing &amp; Commissioning</t>
  </si>
  <si>
    <t>TOTAL J</t>
  </si>
  <si>
    <t>K</t>
  </si>
  <si>
    <t>General Services</t>
  </si>
  <si>
    <t>Mobilization / De-mobilization</t>
  </si>
  <si>
    <t>Project Management</t>
  </si>
  <si>
    <t>Out Of Town Expenses</t>
  </si>
  <si>
    <t>a. Transportation</t>
  </si>
  <si>
    <t>b. Per Diem / Food Allowance</t>
  </si>
  <si>
    <t>c. Accommodation / Lodging</t>
  </si>
  <si>
    <t>TOTAL K</t>
  </si>
  <si>
    <t>GRAND  TOTAL</t>
  </si>
  <si>
    <t>SM GROUP</t>
  </si>
  <si>
    <t>Mark Joseph Esguerra</t>
  </si>
  <si>
    <t>2. Provided Floor Plan Layout from the client.</t>
  </si>
  <si>
    <t>3. Home run located at Back Officce.</t>
  </si>
  <si>
    <t>4. Use EMT Pipes and Fittings.</t>
  </si>
  <si>
    <t>COST</t>
  </si>
  <si>
    <t>SELLING</t>
  </si>
  <si>
    <t>TP LINK</t>
  </si>
  <si>
    <t>Panduit</t>
  </si>
  <si>
    <t>12 port patch panel Cat 5e</t>
  </si>
  <si>
    <t>2 mtr. Patch cord Cat 5e</t>
  </si>
  <si>
    <t>1/2" diameter (ø) EMT</t>
  </si>
  <si>
    <t>1/2" ø EMT Coupling</t>
  </si>
  <si>
    <t>1/2" ø EMT Connector, Set-Screw Type</t>
  </si>
  <si>
    <t>1/2" ø Lock</t>
  </si>
  <si>
    <t>1/2" ø Bushing</t>
  </si>
  <si>
    <t>3/4" diameter (ø) EMT</t>
  </si>
  <si>
    <t>3/4" ø EMT Coupling</t>
  </si>
  <si>
    <t>3/4" ø EMT Connector, Set-Screw Type</t>
  </si>
  <si>
    <t>3/4" ø Lock</t>
  </si>
  <si>
    <t>3/4" ø Bushing</t>
  </si>
  <si>
    <t>1" diameter (ø) EMT</t>
  </si>
  <si>
    <t>1" ø EMT Coupling</t>
  </si>
  <si>
    <t>1" ø EMT Connector, Set-Screw Type</t>
  </si>
  <si>
    <t>1" ø Lock</t>
  </si>
  <si>
    <t>1" ø Bushing</t>
  </si>
  <si>
    <t>Conduit Hanger Clamp, 1/2"</t>
  </si>
  <si>
    <t>Conduit Hanger Clamp, 3/4"</t>
  </si>
  <si>
    <t>Conduit Hanger Clamp, 1"</t>
  </si>
  <si>
    <t>Cable Tie 8"</t>
  </si>
  <si>
    <t>Extension Outlet 6 Gang, 10m</t>
  </si>
  <si>
    <t>Sticker for Electronic Labeler</t>
  </si>
  <si>
    <t>a. Technical Engineer</t>
  </si>
  <si>
    <t>TOTAL PRICE (VAT INC)</t>
  </si>
  <si>
    <t>Acquisition Cost</t>
  </si>
  <si>
    <t>Selling Price</t>
  </si>
  <si>
    <t>TOTAL LABOR COST</t>
  </si>
  <si>
    <t>GRAND TOTAL</t>
  </si>
  <si>
    <t>SELLING PRICE W/ VAT</t>
  </si>
  <si>
    <t>Gross Profit</t>
  </si>
  <si>
    <t>Gross Margin</t>
  </si>
  <si>
    <t>TOTAL EQUIPMENT COST (A-E)</t>
  </si>
  <si>
    <t>Manpower (J)</t>
  </si>
  <si>
    <t>MAN</t>
  </si>
  <si>
    <t>HOUR</t>
  </si>
  <si>
    <t>MH</t>
  </si>
  <si>
    <t>SCHEDULE</t>
  </si>
  <si>
    <t>DAYS</t>
  </si>
  <si>
    <t>INSTALLER</t>
  </si>
  <si>
    <t>Local Materials (F-I,K)</t>
  </si>
  <si>
    <t>VAT 12%</t>
  </si>
  <si>
    <t>MARGIN (MAIN EQUIPMENTS)</t>
  </si>
  <si>
    <t>MARGIN (LOCAL MATERIALS)</t>
  </si>
  <si>
    <t>1" Plastic Molding</t>
  </si>
  <si>
    <t>1/2" ø Flexible Metal Conduit</t>
  </si>
  <si>
    <t>1/2" ø Metal Connector</t>
  </si>
  <si>
    <t>CCTV#5</t>
  </si>
  <si>
    <t>CCTV#6</t>
  </si>
  <si>
    <t>CCTV#7</t>
  </si>
  <si>
    <t xml:space="preserve">DS-3E0318P-E </t>
  </si>
  <si>
    <t>Hikvision 16 x 10/100Mbps Auto-MDIX PoE ports, 2 gigabit uplink port, IEEE  802.3af/at Power over Ethernet (PoE) compliant, Provides up to 30 watts per PoE port,  Extend mode up to 250meters for all PoE port , PoE power budget 230W,  Unmanaged Switch</t>
  </si>
  <si>
    <t>ST6000VX0023</t>
  </si>
  <si>
    <t>SEAGATE 6000GB (6TB) SKYHAWK 7200RPM 256MB</t>
  </si>
  <si>
    <t>L</t>
  </si>
  <si>
    <t>OPTIONAL ITEMS</t>
  </si>
  <si>
    <t>Closed Type Rack 2ft x 555mm x 600mm Wallmounted</t>
  </si>
  <si>
    <t>Fabricated</t>
  </si>
  <si>
    <t>TOTAL L</t>
  </si>
  <si>
    <t>Project : Watsons Drug and Beauty</t>
  </si>
  <si>
    <t>Subject : CCTV Works</t>
  </si>
  <si>
    <t>Item</t>
  </si>
  <si>
    <t>Qty.</t>
  </si>
  <si>
    <t>Unit</t>
  </si>
  <si>
    <t xml:space="preserve">U. Cost </t>
  </si>
  <si>
    <t>Amount</t>
  </si>
  <si>
    <t>DIV. 1.0 GENERAL REQUIREMENTS</t>
  </si>
  <si>
    <t>1. Mobilization/Demobilization</t>
  </si>
  <si>
    <t>b. Workers Barracks/Accommodation</t>
  </si>
  <si>
    <t>c. Trucking/Delivery of Materials including hauling out and disposal of debris</t>
  </si>
  <si>
    <t>2. Submittals / Design and As-Built Plans (Signed and Sealed by PECE)</t>
  </si>
  <si>
    <t>INCLUDED</t>
  </si>
  <si>
    <t>3. Engineering and Technical Supervision</t>
  </si>
  <si>
    <t>Sub-Total</t>
  </si>
  <si>
    <t>DIV. 2.0 CCTV Equipements and Siamese Cable wiring</t>
  </si>
  <si>
    <t>1. Supply and installation of the following CCTV equipments</t>
  </si>
  <si>
    <t>a. Digital Video Recorder - Tribid 1080P</t>
  </si>
  <si>
    <t>unit</t>
  </si>
  <si>
    <t>b. CCTV Camera - 1080P, 2MP Dome HDVCI Camera</t>
  </si>
  <si>
    <t>units</t>
  </si>
  <si>
    <t>c. Storage - 4TB Hard Disk Drive</t>
  </si>
  <si>
    <t>e. Uninterruptable power supply - 650 VA UPS</t>
  </si>
  <si>
    <t>f.  Centralized Power Supply 8 ports</t>
  </si>
  <si>
    <t>lm</t>
  </si>
  <si>
    <t>TOTAL PROJECT COST</t>
  </si>
  <si>
    <t xml:space="preserve">AREA    </t>
  </si>
  <si>
    <t xml:space="preserve">COST PER SQUARE METER   </t>
  </si>
  <si>
    <t>“Other works not stipulated herein or indicated on plans but is deemed necessary for the completion of the project shall be done by the contractor”</t>
  </si>
  <si>
    <t>“Any pay item with no indicated quantity and/or cost shall still be included in the scope of work of the contractor ”</t>
  </si>
  <si>
    <t>Warranty of one year for the implemented works, meaning the contractor</t>
  </si>
  <si>
    <t xml:space="preserve">will rectify all defective works found and free of charge, within one(1) year starting </t>
  </si>
  <si>
    <t>from the date of completion of store or opening date, whichever comes first.</t>
  </si>
  <si>
    <t>CONTRACTOR</t>
  </si>
  <si>
    <t>RG-59 SIAMESE CABLE</t>
  </si>
  <si>
    <t>DS-2CE56D0T-IRF(3.6)</t>
  </si>
  <si>
    <t>HIKVISION</t>
  </si>
  <si>
    <t>HIKVISION 1080P 2MP FF3.6mm IR20m IP66 Dome 4in1 Camera [12VDC]</t>
  </si>
  <si>
    <t>DS-7316HQHI-K4</t>
  </si>
  <si>
    <t>HIKVISION H.265+ 1080P/3MP 16CH 4SATA 1U DVR [Audio I/O=4/1, 1000M x 1, HDMI x 1, 4K]</t>
  </si>
  <si>
    <t>DS-7208HQHI-K2</t>
  </si>
  <si>
    <t>HIKVISION H.265+ 1080P/3MP 8CH 2SATA 1U DVR [Audio I/O=1/1, 100M x 1, HDMI x 1]</t>
  </si>
  <si>
    <t>E1916HV</t>
  </si>
  <si>
    <t>Dell E Series E1912H 18.5" Monitor with LED</t>
  </si>
  <si>
    <t>AID650</t>
  </si>
  <si>
    <t>AIDE Seires Line Interactive 650VA UPS</t>
  </si>
  <si>
    <t>AWP</t>
  </si>
  <si>
    <t>HY-PSU1216-09C</t>
  </si>
  <si>
    <t>Centralized Power Supply 220 VAC input, 12VDC 16A 9CH</t>
  </si>
  <si>
    <t>Belden</t>
  </si>
  <si>
    <t>BNC Connector</t>
  </si>
  <si>
    <t>DC Plug Connector</t>
  </si>
  <si>
    <t>RG-6 Siamese Cable</t>
  </si>
  <si>
    <r>
      <t xml:space="preserve"> *Please see details lbelow of our proposal for your </t>
    </r>
    <r>
      <rPr>
        <b/>
        <i/>
        <sz val="12"/>
        <rFont val="Times New Roman"/>
        <family val="1"/>
      </rPr>
      <t>Analog-Based CCTV System</t>
    </r>
    <r>
      <rPr>
        <i/>
        <sz val="12"/>
        <rFont val="Times New Roman"/>
        <family val="1"/>
      </rPr>
      <t xml:space="preserve"> requirement.</t>
    </r>
  </si>
  <si>
    <t>DIGITAL VIDEO RECORDER</t>
  </si>
  <si>
    <t>POWER SUPPLY</t>
  </si>
  <si>
    <t>ANALOG Closed Circuit Television System</t>
  </si>
  <si>
    <t>220Vac tapping for the power supply of the equipment and devices shall be provided by Electrical Contractor.</t>
  </si>
  <si>
    <t>This ANALOG CCTV System is capable of 30 days recording at 2MP resolution, 15 frame per second.</t>
  </si>
  <si>
    <t>CCTV Main Equipment is located at Back Office</t>
  </si>
  <si>
    <t>Uninterruptible Power Supply can only support 3mins back-up time.</t>
  </si>
  <si>
    <t>Due to site condition, we propose a conduit hanger clamp for conduit support.</t>
  </si>
  <si>
    <t>Chipping and Restoration not included.</t>
  </si>
  <si>
    <t>Digital Video Recorders (DVR) are configured with the following Recording Parameter: 12FPS at 2MP, H.264format, for 30 calendar days.</t>
  </si>
  <si>
    <t>BILL VALIENTE</t>
  </si>
  <si>
    <t>3. Miscellaneous</t>
  </si>
  <si>
    <t xml:space="preserve">    d. Monitor - 18.5" LED Monitor</t>
  </si>
  <si>
    <t>1. Roughing-ins provided by Gen-con</t>
  </si>
  <si>
    <t>4. Configuration, Testing and Commissioning</t>
  </si>
  <si>
    <t>3. Installation of RG-6 siamese cable</t>
  </si>
  <si>
    <t>2. Supply of RG-6 siamese cable for wiring</t>
  </si>
  <si>
    <t>DAVAO</t>
  </si>
  <si>
    <t>WATSONS - SM LANANG</t>
  </si>
  <si>
    <t>Location : SM LANANG, DAVAO</t>
  </si>
  <si>
    <t>BILL VALIENTE / INTELLISMART TECH. INC.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</si>
</sst>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3" formatCode="_(* #,##0.00_);_(* \(#,##0.00\);_(* &quot;-&quot;??_);_(@_)"/>
    <numFmt numFmtId="164" formatCode="_(* #,##0_);_(* \(#,##0\);_(* &quot;-&quot;??_);_(@_)"/>
    <numFmt numFmtId="165" formatCode="#,##0.00&quot; &quot;;&quot; (&quot;#,##0.00&quot;)&quot;;&quot; -&quot;#&quot; &quot;;@&quot; &quot;"/>
    <numFmt numFmtId="166" formatCode="[$-409]d\-mmm\-yy;@"/>
    <numFmt numFmtId="167" formatCode="_([$PHP]\ * #,##0.00_);_([$PHP]\ * \(#,##0.00\);_([$PHP]\ * &quot;-&quot;??_);_(@_)"/>
    <numFmt numFmtId="168" formatCode="_-[$₱-464]* #,##0.00_-;\-[$₱-464]* #,##0.00_-;_-[$₱-464]* &quot;-&quot;??_-;_-@_-"/>
    <numFmt numFmtId="169" formatCode="_([$₱-464]* #,##0.00_);_([$₱-464]* \(#,##0.00\);_([$₱-464]* &quot;-&quot;??_);_(@_)"/>
  </numFmts>
  <fonts count="3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theme="1"/>
      <name val="Wingdings"/>
      <charset val="2"/>
    </font>
    <font>
      <sz val="12"/>
      <name val="宋体"/>
      <charset val="134"/>
    </font>
    <font>
      <b/>
      <i/>
      <sz val="12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sz val="11"/>
      <name val="Times New Roman"/>
      <family val="1"/>
    </font>
    <font>
      <b/>
      <sz val="12"/>
      <color theme="1"/>
      <name val="Times New Roman"/>
      <family val="1"/>
    </font>
    <font>
      <sz val="10"/>
      <color theme="1"/>
      <name val="Arial"/>
      <family val="2"/>
    </font>
    <font>
      <sz val="12"/>
      <color theme="1"/>
      <name val="Times New Roman"/>
      <family val="1"/>
    </font>
    <font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00000"/>
      <name val="Calibri"/>
      <family val="2"/>
    </font>
    <font>
      <i/>
      <sz val="12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56"/>
      <name val="Arial"/>
      <family val="2"/>
    </font>
    <font>
      <b/>
      <sz val="12"/>
      <color theme="1"/>
      <name val="Calibri"/>
      <family val="2"/>
      <scheme val="minor"/>
    </font>
    <font>
      <b/>
      <sz val="10"/>
      <name val="Arial Narrow"/>
      <family val="2"/>
    </font>
    <font>
      <sz val="10"/>
      <name val="Arial Narrow"/>
      <family val="2"/>
    </font>
    <font>
      <b/>
      <sz val="11"/>
      <name val="Arial Narrow"/>
      <family val="2"/>
    </font>
    <font>
      <sz val="11"/>
      <name val="Arial Narrow"/>
      <family val="2"/>
    </font>
    <font>
      <b/>
      <i/>
      <sz val="10"/>
      <name val="Arial Narrow"/>
      <family val="2"/>
    </font>
  </fonts>
  <fills count="9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44"/>
        <bgColor indexed="31"/>
      </patternFill>
    </fill>
  </fills>
  <borders count="30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8" fillId="0" borderId="0">
      <alignment vertical="center"/>
    </xf>
    <xf numFmtId="0" fontId="16" fillId="0" borderId="0"/>
    <xf numFmtId="165" fontId="23" fillId="0" borderId="0"/>
    <xf numFmtId="9" fontId="1" fillId="0" borderId="0" applyFont="0" applyFill="0" applyBorder="0" applyAlignment="0" applyProtection="0"/>
    <xf numFmtId="0" fontId="29" fillId="0" borderId="0"/>
  </cellStyleXfs>
  <cellXfs count="326">
    <xf numFmtId="0" fontId="0" fillId="0" borderId="0" xfId="0"/>
    <xf numFmtId="0" fontId="2" fillId="0" borderId="0" xfId="0" applyFont="1"/>
    <xf numFmtId="0" fontId="2" fillId="0" borderId="0" xfId="0" applyFont="1" applyAlignment="1">
      <alignment wrapText="1"/>
    </xf>
    <xf numFmtId="0" fontId="2" fillId="0" borderId="1" xfId="0" applyFont="1" applyBorder="1"/>
    <xf numFmtId="0" fontId="3" fillId="0" borderId="0" xfId="0" applyFont="1"/>
    <xf numFmtId="0" fontId="2" fillId="0" borderId="0" xfId="0" applyFont="1" applyBorder="1"/>
    <xf numFmtId="0" fontId="3" fillId="0" borderId="0" xfId="0" applyFont="1" applyBorder="1"/>
    <xf numFmtId="15" fontId="2" fillId="0" borderId="0" xfId="0" quotePrefix="1" applyNumberFormat="1" applyFont="1" applyBorder="1" applyAlignment="1">
      <alignment horizontal="left"/>
    </xf>
    <xf numFmtId="0" fontId="2" fillId="0" borderId="0" xfId="0" applyFont="1" applyBorder="1" applyAlignment="1">
      <alignment horizontal="left" vertical="top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/>
    <xf numFmtId="0" fontId="2" fillId="0" borderId="0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3" fillId="0" borderId="1" xfId="0" applyFont="1" applyBorder="1"/>
    <xf numFmtId="0" fontId="3" fillId="0" borderId="0" xfId="0" applyFont="1" applyBorder="1" applyAlignment="1">
      <alignment horizontal="center"/>
    </xf>
    <xf numFmtId="43" fontId="3" fillId="0" borderId="0" xfId="1" applyFont="1" applyBorder="1" applyAlignment="1">
      <alignment horizontal="center"/>
    </xf>
    <xf numFmtId="9" fontId="3" fillId="0" borderId="0" xfId="1" applyNumberFormat="1" applyFont="1" applyBorder="1"/>
    <xf numFmtId="43" fontId="3" fillId="0" borderId="0" xfId="1" applyFont="1" applyBorder="1" applyAlignment="1"/>
    <xf numFmtId="0" fontId="2" fillId="0" borderId="0" xfId="0" applyFont="1" applyAlignment="1">
      <alignment horizontal="right" wrapText="1"/>
    </xf>
    <xf numFmtId="0" fontId="2" fillId="0" borderId="8" xfId="0" applyFont="1" applyBorder="1"/>
    <xf numFmtId="0" fontId="2" fillId="0" borderId="8" xfId="0" applyFont="1" applyBorder="1" applyAlignment="1">
      <alignment horizontal="center"/>
    </xf>
    <xf numFmtId="0" fontId="3" fillId="0" borderId="8" xfId="0" applyFont="1" applyBorder="1"/>
    <xf numFmtId="0" fontId="3" fillId="0" borderId="0" xfId="0" quotePrefix="1" applyFont="1" applyBorder="1"/>
    <xf numFmtId="43" fontId="2" fillId="0" borderId="0" xfId="1" applyFont="1" applyBorder="1" applyAlignment="1">
      <alignment horizontal="center"/>
    </xf>
    <xf numFmtId="0" fontId="3" fillId="0" borderId="0" xfId="0" applyFont="1" applyBorder="1" applyAlignment="1">
      <alignment horizontal="left"/>
    </xf>
    <xf numFmtId="0" fontId="3" fillId="0" borderId="0" xfId="0" quotePrefix="1" applyFont="1" applyBorder="1" applyAlignment="1">
      <alignment horizontal="left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4" fillId="0" borderId="0" xfId="0" quotePrefix="1" applyFont="1" applyAlignment="1">
      <alignment horizontal="left" vertical="center"/>
    </xf>
    <xf numFmtId="0" fontId="4" fillId="0" borderId="0" xfId="0" quotePrefix="1" applyFont="1" applyAlignment="1">
      <alignment vertical="center"/>
    </xf>
    <xf numFmtId="0" fontId="3" fillId="0" borderId="0" xfId="0" quotePrefix="1" applyFont="1" applyBorder="1" applyAlignment="1">
      <alignment horizontal="left" wrapText="1"/>
    </xf>
    <xf numFmtId="0" fontId="7" fillId="0" borderId="0" xfId="0" applyFont="1" applyAlignment="1">
      <alignment horizontal="justify" vertical="center"/>
    </xf>
    <xf numFmtId="0" fontId="3" fillId="0" borderId="8" xfId="0" applyFont="1" applyBorder="1" applyAlignment="1">
      <alignment horizontal="center"/>
    </xf>
    <xf numFmtId="43" fontId="3" fillId="0" borderId="8" xfId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43" fontId="3" fillId="0" borderId="1" xfId="1" applyFont="1" applyBorder="1" applyAlignment="1">
      <alignment horizontal="center"/>
    </xf>
    <xf numFmtId="9" fontId="3" fillId="0" borderId="1" xfId="1" applyNumberFormat="1" applyFont="1" applyBorder="1"/>
    <xf numFmtId="0" fontId="2" fillId="0" borderId="0" xfId="0" applyFont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10" fillId="0" borderId="0" xfId="0" applyFont="1"/>
    <xf numFmtId="0" fontId="11" fillId="0" borderId="1" xfId="0" applyFont="1" applyBorder="1"/>
    <xf numFmtId="0" fontId="12" fillId="0" borderId="0" xfId="0" applyFont="1"/>
    <xf numFmtId="0" fontId="13" fillId="0" borderId="0" xfId="0" applyFont="1" applyBorder="1"/>
    <xf numFmtId="0" fontId="12" fillId="0" borderId="0" xfId="0" applyFont="1" applyBorder="1"/>
    <xf numFmtId="0" fontId="13" fillId="0" borderId="0" xfId="0" applyFont="1"/>
    <xf numFmtId="15" fontId="13" fillId="0" borderId="0" xfId="0" quotePrefix="1" applyNumberFormat="1" applyFont="1" applyBorder="1" applyAlignment="1">
      <alignment horizontal="left"/>
    </xf>
    <xf numFmtId="0" fontId="13" fillId="0" borderId="0" xfId="0" applyFont="1" applyBorder="1" applyAlignment="1">
      <alignment horizontal="left" vertical="top"/>
    </xf>
    <xf numFmtId="0" fontId="13" fillId="0" borderId="0" xfId="0" applyFont="1" applyBorder="1" applyAlignment="1">
      <alignment horizontal="left"/>
    </xf>
    <xf numFmtId="0" fontId="13" fillId="0" borderId="0" xfId="0" applyFont="1" applyBorder="1" applyAlignment="1"/>
    <xf numFmtId="0" fontId="13" fillId="0" borderId="0" xfId="0" applyFont="1" applyBorder="1" applyAlignment="1">
      <alignment horizontal="center"/>
    </xf>
    <xf numFmtId="0" fontId="13" fillId="0" borderId="0" xfId="0" applyFont="1" applyAlignment="1">
      <alignment horizontal="left"/>
    </xf>
    <xf numFmtId="0" fontId="13" fillId="0" borderId="3" xfId="0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13" fillId="0" borderId="6" xfId="0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12" fillId="0" borderId="11" xfId="0" applyFont="1" applyBorder="1" applyAlignment="1">
      <alignment horizontal="center"/>
    </xf>
    <xf numFmtId="43" fontId="12" fillId="0" borderId="11" xfId="1" applyFont="1" applyBorder="1" applyAlignment="1">
      <alignment horizontal="center"/>
    </xf>
    <xf numFmtId="43" fontId="12" fillId="0" borderId="9" xfId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3" fillId="0" borderId="0" xfId="0" applyFont="1" applyBorder="1" applyAlignment="1">
      <alignment horizontal="center" vertical="top"/>
    </xf>
    <xf numFmtId="0" fontId="2" fillId="0" borderId="0" xfId="0" applyFont="1" applyAlignment="1">
      <alignment horizontal="center" wrapText="1"/>
    </xf>
    <xf numFmtId="0" fontId="2" fillId="0" borderId="0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 vertical="center"/>
    </xf>
    <xf numFmtId="0" fontId="3" fillId="0" borderId="0" xfId="0" quotePrefix="1" applyFont="1" applyBorder="1" applyAlignment="1">
      <alignment horizontal="center" wrapText="1"/>
    </xf>
    <xf numFmtId="0" fontId="15" fillId="0" borderId="0" xfId="4" applyFont="1" applyBorder="1" applyAlignment="1">
      <alignment vertical="center" wrapText="1"/>
    </xf>
    <xf numFmtId="0" fontId="17" fillId="0" borderId="0" xfId="4" applyFont="1" applyAlignment="1">
      <alignment horizontal="right" vertical="center" wrapText="1"/>
    </xf>
    <xf numFmtId="0" fontId="17" fillId="0" borderId="0" xfId="4" applyFont="1" applyFill="1" applyBorder="1" applyAlignment="1">
      <alignment vertical="center" wrapText="1"/>
    </xf>
    <xf numFmtId="0" fontId="2" fillId="2" borderId="0" xfId="0" applyFont="1" applyFill="1"/>
    <xf numFmtId="0" fontId="12" fillId="0" borderId="9" xfId="0" applyFont="1" applyBorder="1" applyAlignment="1">
      <alignment horizontal="center"/>
    </xf>
    <xf numFmtId="0" fontId="12" fillId="0" borderId="9" xfId="0" applyFont="1" applyBorder="1"/>
    <xf numFmtId="0" fontId="12" fillId="0" borderId="10" xfId="0" applyFont="1" applyBorder="1"/>
    <xf numFmtId="0" fontId="13" fillId="0" borderId="0" xfId="0" applyFont="1" applyBorder="1" applyAlignment="1">
      <alignment horizontal="right"/>
    </xf>
    <xf numFmtId="43" fontId="13" fillId="0" borderId="9" xfId="1" applyFont="1" applyBorder="1" applyAlignment="1">
      <alignment horizontal="right"/>
    </xf>
    <xf numFmtId="43" fontId="13" fillId="0" borderId="11" xfId="1" applyFont="1" applyBorder="1" applyAlignment="1">
      <alignment horizontal="center"/>
    </xf>
    <xf numFmtId="43" fontId="13" fillId="0" borderId="9" xfId="1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12" fillId="0" borderId="13" xfId="0" applyFont="1" applyBorder="1"/>
    <xf numFmtId="0" fontId="12" fillId="0" borderId="1" xfId="0" applyFont="1" applyBorder="1"/>
    <xf numFmtId="43" fontId="12" fillId="0" borderId="12" xfId="1" applyFont="1" applyBorder="1" applyAlignment="1">
      <alignment horizontal="center"/>
    </xf>
    <xf numFmtId="9" fontId="12" fillId="0" borderId="12" xfId="1" applyNumberFormat="1" applyFont="1" applyBorder="1"/>
    <xf numFmtId="4" fontId="18" fillId="0" borderId="14" xfId="0" applyNumberFormat="1" applyFont="1" applyBorder="1" applyAlignment="1">
      <alignment horizontal="center" vertical="center"/>
    </xf>
    <xf numFmtId="4" fontId="18" fillId="0" borderId="14" xfId="0" applyNumberFormat="1" applyFont="1" applyFill="1" applyBorder="1" applyAlignment="1">
      <alignment horizontal="center" vertical="center"/>
    </xf>
    <xf numFmtId="0" fontId="17" fillId="0" borderId="0" xfId="4" applyFont="1" applyAlignment="1">
      <alignment horizontal="center" vertical="center" wrapText="1"/>
    </xf>
    <xf numFmtId="0" fontId="15" fillId="0" borderId="0" xfId="0" applyFont="1"/>
    <xf numFmtId="0" fontId="17" fillId="0" borderId="0" xfId="0" applyFont="1" applyBorder="1"/>
    <xf numFmtId="0" fontId="12" fillId="0" borderId="14" xfId="0" applyFont="1" applyBorder="1" applyAlignment="1">
      <alignment horizontal="center" vertical="center"/>
    </xf>
    <xf numFmtId="164" fontId="12" fillId="0" borderId="14" xfId="1" applyNumberFormat="1" applyFont="1" applyBorder="1" applyAlignment="1">
      <alignment horizontal="center" vertical="center"/>
    </xf>
    <xf numFmtId="43" fontId="12" fillId="0" borderId="14" xfId="1" applyFont="1" applyBorder="1" applyAlignment="1">
      <alignment horizontal="center" vertical="center"/>
    </xf>
    <xf numFmtId="0" fontId="17" fillId="0" borderId="0" xfId="4" applyFont="1" applyFill="1" applyBorder="1" applyAlignment="1">
      <alignment vertical="center" wrapText="1"/>
    </xf>
    <xf numFmtId="0" fontId="20" fillId="0" borderId="14" xfId="0" applyFont="1" applyBorder="1" applyAlignment="1">
      <alignment horizontal="center" vertical="center"/>
    </xf>
    <xf numFmtId="0" fontId="20" fillId="0" borderId="14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20" fillId="0" borderId="14" xfId="0" applyFont="1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3" xfId="0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0" fillId="0" borderId="14" xfId="0" applyFont="1" applyBorder="1" applyAlignment="1">
      <alignment horizontal="left" vertical="center"/>
    </xf>
    <xf numFmtId="0" fontId="0" fillId="0" borderId="6" xfId="0" applyFont="1" applyBorder="1" applyAlignment="1">
      <alignment horizontal="center" vertical="center"/>
    </xf>
    <xf numFmtId="0" fontId="0" fillId="0" borderId="14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0" xfId="0" applyAlignment="1">
      <alignment horizontal="center" vertical="center"/>
    </xf>
    <xf numFmtId="0" fontId="12" fillId="0" borderId="14" xfId="0" applyFont="1" applyFill="1" applyBorder="1" applyAlignment="1">
      <alignment horizontal="center" vertical="center"/>
    </xf>
    <xf numFmtId="0" fontId="17" fillId="0" borderId="14" xfId="0" applyFont="1" applyFill="1" applyBorder="1" applyAlignment="1">
      <alignment horizontal="center" vertical="center"/>
    </xf>
    <xf numFmtId="43" fontId="12" fillId="0" borderId="14" xfId="1" applyFont="1" applyFill="1" applyBorder="1" applyAlignment="1">
      <alignment horizontal="center" vertical="center"/>
    </xf>
    <xf numFmtId="0" fontId="2" fillId="2" borderId="0" xfId="0" applyFont="1" applyFill="1" applyAlignment="1">
      <alignment vertical="center"/>
    </xf>
    <xf numFmtId="0" fontId="20" fillId="0" borderId="14" xfId="0" applyFont="1" applyBorder="1" applyAlignment="1">
      <alignment horizontal="center" vertical="center"/>
    </xf>
    <xf numFmtId="164" fontId="12" fillId="0" borderId="14" xfId="1" applyNumberFormat="1" applyFont="1" applyFill="1" applyBorder="1" applyAlignment="1">
      <alignment horizontal="center" vertical="center"/>
    </xf>
    <xf numFmtId="0" fontId="12" fillId="0" borderId="14" xfId="0" applyFont="1" applyBorder="1" applyAlignment="1">
      <alignment horizontal="left" vertical="center"/>
    </xf>
    <xf numFmtId="164" fontId="12" fillId="0" borderId="14" xfId="1" applyNumberFormat="1" applyFont="1" applyBorder="1" applyAlignment="1">
      <alignment horizontal="left" vertical="center"/>
    </xf>
    <xf numFmtId="43" fontId="12" fillId="0" borderId="14" xfId="1" applyFont="1" applyBorder="1" applyAlignment="1">
      <alignment horizontal="left" vertical="center"/>
    </xf>
    <xf numFmtId="0" fontId="14" fillId="0" borderId="14" xfId="0" applyFont="1" applyBorder="1" applyAlignment="1"/>
    <xf numFmtId="43" fontId="12" fillId="0" borderId="14" xfId="1" applyFont="1" applyBorder="1" applyAlignment="1">
      <alignment horizontal="center"/>
    </xf>
    <xf numFmtId="0" fontId="17" fillId="0" borderId="0" xfId="4" applyFont="1" applyFill="1" applyBorder="1" applyAlignment="1">
      <alignment vertical="center" wrapText="1"/>
    </xf>
    <xf numFmtId="0" fontId="0" fillId="0" borderId="14" xfId="0" applyBorder="1" applyAlignment="1">
      <alignment horizontal="center" vertical="center"/>
    </xf>
    <xf numFmtId="2" fontId="12" fillId="0" borderId="14" xfId="1" applyNumberFormat="1" applyFont="1" applyBorder="1" applyAlignment="1">
      <alignment horizontal="center"/>
    </xf>
    <xf numFmtId="0" fontId="0" fillId="0" borderId="14" xfId="0" applyBorder="1" applyAlignment="1">
      <alignment horizontal="center" vertical="center"/>
    </xf>
    <xf numFmtId="0" fontId="20" fillId="0" borderId="14" xfId="0" applyFont="1" applyBorder="1" applyAlignment="1">
      <alignment horizontal="center" vertical="center"/>
    </xf>
    <xf numFmtId="0" fontId="20" fillId="0" borderId="6" xfId="0" applyFont="1" applyBorder="1" applyAlignment="1">
      <alignment horizontal="center" vertical="center"/>
    </xf>
    <xf numFmtId="0" fontId="17" fillId="0" borderId="0" xfId="4" applyFont="1" applyFill="1" applyBorder="1" applyAlignment="1">
      <alignment horizontal="left" vertical="center" wrapText="1"/>
    </xf>
    <xf numFmtId="0" fontId="17" fillId="0" borderId="0" xfId="4" applyFont="1" applyFill="1" applyBorder="1" applyAlignment="1">
      <alignment horizontal="left" vertical="center"/>
    </xf>
    <xf numFmtId="0" fontId="24" fillId="0" borderId="0" xfId="0" applyFont="1"/>
    <xf numFmtId="0" fontId="24" fillId="0" borderId="0" xfId="0" applyFont="1" applyBorder="1" applyAlignment="1">
      <alignment horizontal="left"/>
    </xf>
    <xf numFmtId="0" fontId="22" fillId="0" borderId="14" xfId="0" applyFont="1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20" fillId="0" borderId="14" xfId="0" applyFont="1" applyBorder="1" applyAlignment="1">
      <alignment horizontal="center" vertical="center"/>
    </xf>
    <xf numFmtId="0" fontId="20" fillId="0" borderId="14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20" fillId="0" borderId="14" xfId="0" applyFont="1" applyBorder="1" applyAlignment="1">
      <alignment horizontal="center" vertical="center"/>
    </xf>
    <xf numFmtId="0" fontId="12" fillId="0" borderId="0" xfId="0" applyFont="1" applyAlignment="1">
      <alignment vertical="top"/>
    </xf>
    <xf numFmtId="0" fontId="12" fillId="0" borderId="0" xfId="0" applyFont="1" applyAlignment="1">
      <alignment vertical="center"/>
    </xf>
    <xf numFmtId="0" fontId="20" fillId="0" borderId="14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20" fillId="0" borderId="14" xfId="0" applyFont="1" applyBorder="1" applyAlignment="1">
      <alignment horizontal="center" vertical="center"/>
    </xf>
    <xf numFmtId="0" fontId="22" fillId="0" borderId="14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0" xfId="0" applyAlignment="1">
      <alignment vertical="center"/>
    </xf>
    <xf numFmtId="166" fontId="26" fillId="0" borderId="0" xfId="0" applyNumberFormat="1" applyFont="1" applyAlignment="1">
      <alignment vertical="center"/>
    </xf>
    <xf numFmtId="0" fontId="20" fillId="0" borderId="14" xfId="0" applyFont="1" applyBorder="1" applyAlignment="1">
      <alignment horizontal="right" vertical="center"/>
    </xf>
    <xf numFmtId="0" fontId="20" fillId="0" borderId="15" xfId="0" applyFont="1" applyBorder="1" applyAlignment="1">
      <alignment vertical="center"/>
    </xf>
    <xf numFmtId="0" fontId="0" fillId="0" borderId="16" xfId="0" applyBorder="1" applyAlignment="1">
      <alignment vertical="center"/>
    </xf>
    <xf numFmtId="2" fontId="0" fillId="0" borderId="14" xfId="0" applyNumberFormat="1" applyBorder="1" applyAlignment="1">
      <alignment vertical="center"/>
    </xf>
    <xf numFmtId="0" fontId="20" fillId="0" borderId="14" xfId="0" applyFont="1" applyBorder="1" applyAlignment="1">
      <alignment horizontal="right" vertical="center"/>
    </xf>
    <xf numFmtId="0" fontId="0" fillId="0" borderId="15" xfId="0" applyBorder="1" applyAlignment="1">
      <alignment vertical="center"/>
    </xf>
    <xf numFmtId="0" fontId="0" fillId="0" borderId="14" xfId="0" applyBorder="1" applyAlignment="1">
      <alignment horizontal="right" vertical="center"/>
    </xf>
    <xf numFmtId="0" fontId="20" fillId="0" borderId="14" xfId="0" applyFont="1" applyBorder="1" applyAlignment="1">
      <alignment vertical="center"/>
    </xf>
    <xf numFmtId="0" fontId="0" fillId="0" borderId="14" xfId="0" applyFont="1" applyBorder="1" applyAlignment="1">
      <alignment horizontal="right" vertical="center"/>
    </xf>
    <xf numFmtId="0" fontId="0" fillId="0" borderId="15" xfId="0" applyFont="1" applyBorder="1" applyAlignment="1">
      <alignment vertical="center"/>
    </xf>
    <xf numFmtId="0" fontId="0" fillId="0" borderId="14" xfId="0" applyBorder="1" applyAlignment="1">
      <alignment horizontal="center" vertical="center"/>
    </xf>
    <xf numFmtId="0" fontId="20" fillId="0" borderId="14" xfId="0" applyFont="1" applyBorder="1" applyAlignment="1">
      <alignment horizontal="center" vertical="center"/>
    </xf>
    <xf numFmtId="0" fontId="25" fillId="6" borderId="3" xfId="0" applyFont="1" applyFill="1" applyBorder="1" applyAlignment="1">
      <alignment horizontal="center" vertical="center"/>
    </xf>
    <xf numFmtId="0" fontId="25" fillId="6" borderId="6" xfId="0" applyFont="1" applyFill="1" applyBorder="1" applyAlignment="1">
      <alignment horizontal="center" vertical="center"/>
    </xf>
    <xf numFmtId="0" fontId="26" fillId="0" borderId="0" xfId="0" applyFont="1" applyAlignment="1">
      <alignment vertical="center"/>
    </xf>
    <xf numFmtId="0" fontId="28" fillId="0" borderId="0" xfId="0" applyFont="1" applyAlignment="1">
      <alignment horizontal="center"/>
    </xf>
    <xf numFmtId="0" fontId="29" fillId="0" borderId="0" xfId="0" applyFont="1"/>
    <xf numFmtId="0" fontId="30" fillId="0" borderId="0" xfId="0" applyFont="1"/>
    <xf numFmtId="0" fontId="28" fillId="0" borderId="20" xfId="0" applyFont="1" applyBorder="1" applyAlignment="1">
      <alignment horizontal="center" wrapText="1"/>
    </xf>
    <xf numFmtId="0" fontId="28" fillId="3" borderId="21" xfId="0" applyFont="1" applyFill="1" applyBorder="1" applyAlignment="1">
      <alignment horizontal="center" wrapText="1"/>
    </xf>
    <xf numFmtId="0" fontId="28" fillId="3" borderId="29" xfId="0" applyFont="1" applyFill="1" applyBorder="1" applyAlignment="1">
      <alignment horizontal="center" wrapText="1"/>
    </xf>
    <xf numFmtId="0" fontId="28" fillId="0" borderId="24" xfId="0" applyFont="1" applyBorder="1" applyAlignment="1">
      <alignment horizontal="center" wrapText="1"/>
    </xf>
    <xf numFmtId="0" fontId="28" fillId="3" borderId="14" xfId="0" applyFont="1" applyFill="1" applyBorder="1" applyAlignment="1">
      <alignment horizontal="center" wrapText="1"/>
    </xf>
    <xf numFmtId="167" fontId="28" fillId="3" borderId="14" xfId="0" applyNumberFormat="1" applyFont="1" applyFill="1" applyBorder="1" applyAlignment="1">
      <alignment horizontal="right" wrapText="1"/>
    </xf>
    <xf numFmtId="167" fontId="28" fillId="3" borderId="25" xfId="0" applyNumberFormat="1" applyFont="1" applyFill="1" applyBorder="1" applyAlignment="1">
      <alignment horizontal="right" wrapText="1"/>
    </xf>
    <xf numFmtId="0" fontId="29" fillId="0" borderId="14" xfId="0" applyFont="1" applyBorder="1" applyAlignment="1">
      <alignment horizontal="center" wrapText="1"/>
    </xf>
    <xf numFmtId="167" fontId="29" fillId="0" borderId="14" xfId="0" applyNumberFormat="1" applyFont="1" applyBorder="1" applyAlignment="1">
      <alignment horizontal="right" wrapText="1"/>
    </xf>
    <xf numFmtId="167" fontId="29" fillId="0" borderId="25" xfId="0" applyNumberFormat="1" applyFont="1" applyBorder="1" applyAlignment="1">
      <alignment horizontal="right" wrapText="1"/>
    </xf>
    <xf numFmtId="0" fontId="29" fillId="3" borderId="14" xfId="0" applyFont="1" applyFill="1" applyBorder="1"/>
    <xf numFmtId="0" fontId="28" fillId="0" borderId="26" xfId="0" applyFont="1" applyBorder="1" applyAlignment="1">
      <alignment horizontal="center" wrapText="1"/>
    </xf>
    <xf numFmtId="0" fontId="28" fillId="3" borderId="27" xfId="0" applyFont="1" applyFill="1" applyBorder="1" applyAlignment="1">
      <alignment horizontal="center" wrapText="1"/>
    </xf>
    <xf numFmtId="0" fontId="29" fillId="3" borderId="27" xfId="0" applyFont="1" applyFill="1" applyBorder="1"/>
    <xf numFmtId="9" fontId="28" fillId="3" borderId="28" xfId="6" applyNumberFormat="1" applyFont="1" applyFill="1" applyBorder="1" applyAlignment="1">
      <alignment horizontal="right" wrapText="1"/>
    </xf>
    <xf numFmtId="167" fontId="0" fillId="0" borderId="0" xfId="0" applyNumberFormat="1"/>
    <xf numFmtId="2" fontId="0" fillId="0" borderId="0" xfId="0" applyNumberFormat="1" applyAlignment="1">
      <alignment horizontal="left" indent="2"/>
    </xf>
    <xf numFmtId="0" fontId="27" fillId="0" borderId="14" xfId="0" applyFont="1" applyBorder="1" applyAlignment="1">
      <alignment horizontal="right" vertical="center"/>
    </xf>
    <xf numFmtId="1" fontId="20" fillId="0" borderId="14" xfId="0" applyNumberFormat="1" applyFont="1" applyBorder="1" applyAlignment="1">
      <alignment horizontal="center" vertical="center"/>
    </xf>
    <xf numFmtId="0" fontId="20" fillId="0" borderId="0" xfId="0" applyFont="1" applyAlignment="1">
      <alignment vertical="center"/>
    </xf>
    <xf numFmtId="0" fontId="20" fillId="0" borderId="0" xfId="0" applyFont="1" applyAlignment="1">
      <alignment horizontal="center" vertical="center"/>
    </xf>
    <xf numFmtId="0" fontId="20" fillId="0" borderId="0" xfId="0" applyFont="1" applyBorder="1" applyAlignment="1">
      <alignment vertical="center"/>
    </xf>
    <xf numFmtId="0" fontId="20" fillId="0" borderId="19" xfId="0" applyFont="1" applyBorder="1" applyAlignment="1">
      <alignment vertical="center"/>
    </xf>
    <xf numFmtId="2" fontId="20" fillId="0" borderId="0" xfId="0" applyNumberFormat="1" applyFont="1" applyBorder="1" applyAlignment="1">
      <alignment vertical="center"/>
    </xf>
    <xf numFmtId="168" fontId="0" fillId="0" borderId="0" xfId="0" applyNumberFormat="1" applyAlignment="1">
      <alignment vertical="center"/>
    </xf>
    <xf numFmtId="168" fontId="25" fillId="6" borderId="14" xfId="0" applyNumberFormat="1" applyFont="1" applyFill="1" applyBorder="1" applyAlignment="1">
      <alignment horizontal="center" vertical="center"/>
    </xf>
    <xf numFmtId="168" fontId="0" fillId="0" borderId="14" xfId="0" applyNumberFormat="1" applyBorder="1" applyAlignment="1">
      <alignment vertical="center"/>
    </xf>
    <xf numFmtId="168" fontId="0" fillId="5" borderId="14" xfId="0" applyNumberFormat="1" applyFill="1" applyBorder="1" applyAlignment="1">
      <alignment vertical="center"/>
    </xf>
    <xf numFmtId="168" fontId="27" fillId="0" borderId="14" xfId="0" applyNumberFormat="1" applyFont="1" applyBorder="1" applyAlignment="1">
      <alignment vertical="center"/>
    </xf>
    <xf numFmtId="168" fontId="26" fillId="5" borderId="14" xfId="0" applyNumberFormat="1" applyFont="1" applyFill="1" applyBorder="1" applyAlignment="1">
      <alignment vertical="center"/>
    </xf>
    <xf numFmtId="168" fontId="27" fillId="0" borderId="14" xfId="0" applyNumberFormat="1" applyFont="1" applyBorder="1" applyAlignment="1">
      <alignment horizontal="right" vertical="center"/>
    </xf>
    <xf numFmtId="168" fontId="20" fillId="0" borderId="14" xfId="0" applyNumberFormat="1" applyFont="1" applyBorder="1" applyAlignment="1">
      <alignment vertical="center"/>
    </xf>
    <xf numFmtId="168" fontId="20" fillId="5" borderId="14" xfId="0" applyNumberFormat="1" applyFont="1" applyFill="1" applyBorder="1" applyAlignment="1">
      <alignment vertical="center"/>
    </xf>
    <xf numFmtId="168" fontId="20" fillId="0" borderId="6" xfId="0" applyNumberFormat="1" applyFont="1" applyBorder="1" applyAlignment="1">
      <alignment vertical="center"/>
    </xf>
    <xf numFmtId="168" fontId="31" fillId="4" borderId="14" xfId="0" applyNumberFormat="1" applyFont="1" applyFill="1" applyBorder="1" applyAlignment="1">
      <alignment vertical="center"/>
    </xf>
    <xf numFmtId="168" fontId="27" fillId="5" borderId="14" xfId="0" applyNumberFormat="1" applyFont="1" applyFill="1" applyBorder="1" applyAlignment="1">
      <alignment vertical="center"/>
    </xf>
    <xf numFmtId="10" fontId="26" fillId="0" borderId="14" xfId="6" applyNumberFormat="1" applyFont="1" applyBorder="1" applyAlignment="1">
      <alignment vertical="center"/>
    </xf>
    <xf numFmtId="10" fontId="0" fillId="7" borderId="14" xfId="6" applyNumberFormat="1" applyFont="1" applyFill="1" applyBorder="1" applyAlignment="1">
      <alignment vertical="center"/>
    </xf>
    <xf numFmtId="168" fontId="0" fillId="4" borderId="6" xfId="0" applyNumberFormat="1" applyFill="1" applyBorder="1" applyAlignment="1">
      <alignment vertical="center"/>
    </xf>
    <xf numFmtId="0" fontId="0" fillId="0" borderId="1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9" fontId="0" fillId="4" borderId="14" xfId="6" applyFont="1" applyFill="1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20" fillId="0" borderId="14" xfId="0" applyFont="1" applyBorder="1" applyAlignment="1">
      <alignment horizontal="right" vertical="center"/>
    </xf>
    <xf numFmtId="0" fontId="0" fillId="0" borderId="14" xfId="0" applyBorder="1" applyAlignment="1">
      <alignment horizontal="center" vertical="center"/>
    </xf>
    <xf numFmtId="43" fontId="12" fillId="0" borderId="0" xfId="0" applyNumberFormat="1" applyFont="1"/>
    <xf numFmtId="39" fontId="13" fillId="0" borderId="11" xfId="1" applyNumberFormat="1" applyFont="1" applyFill="1" applyBorder="1" applyAlignment="1">
      <alignment horizontal="center"/>
    </xf>
    <xf numFmtId="0" fontId="32" fillId="0" borderId="0" xfId="7" applyFont="1" applyProtection="1"/>
    <xf numFmtId="0" fontId="33" fillId="0" borderId="0" xfId="7" applyFont="1" applyAlignment="1" applyProtection="1">
      <alignment horizontal="center"/>
      <protection locked="0"/>
    </xf>
    <xf numFmtId="0" fontId="33" fillId="0" borderId="0" xfId="7" applyFont="1" applyProtection="1">
      <protection locked="0"/>
    </xf>
    <xf numFmtId="0" fontId="33" fillId="0" borderId="0" xfId="7" applyFont="1" applyProtection="1"/>
    <xf numFmtId="4" fontId="32" fillId="0" borderId="14" xfId="7" applyNumberFormat="1" applyFont="1" applyBorder="1" applyAlignment="1" applyProtection="1">
      <alignment horizontal="center" vertical="center"/>
      <protection locked="0"/>
    </xf>
    <xf numFmtId="4" fontId="32" fillId="0" borderId="14" xfId="7" applyNumberFormat="1" applyFont="1" applyBorder="1" applyAlignment="1" applyProtection="1">
      <alignment horizontal="center" vertical="center"/>
    </xf>
    <xf numFmtId="0" fontId="32" fillId="0" borderId="14" xfId="7" applyFont="1" applyBorder="1" applyProtection="1"/>
    <xf numFmtId="4" fontId="33" fillId="0" borderId="14" xfId="7" applyNumberFormat="1" applyFont="1" applyBorder="1" applyAlignment="1" applyProtection="1">
      <alignment horizontal="center" vertical="center"/>
      <protection locked="0"/>
    </xf>
    <xf numFmtId="4" fontId="33" fillId="0" borderId="14" xfId="7" applyNumberFormat="1" applyFont="1" applyBorder="1" applyAlignment="1" applyProtection="1">
      <alignment horizontal="center" vertical="center"/>
    </xf>
    <xf numFmtId="0" fontId="33" fillId="0" borderId="14" xfId="7" applyFont="1" applyBorder="1" applyAlignment="1" applyProtection="1">
      <alignment horizontal="left" wrapText="1" indent="1"/>
    </xf>
    <xf numFmtId="0" fontId="33" fillId="0" borderId="14" xfId="7" applyFont="1" applyBorder="1" applyAlignment="1" applyProtection="1">
      <alignment horizontal="left" indent="2"/>
    </xf>
    <xf numFmtId="0" fontId="33" fillId="0" borderId="14" xfId="7" applyFont="1" applyBorder="1" applyProtection="1"/>
    <xf numFmtId="0" fontId="32" fillId="8" borderId="14" xfId="7" applyFont="1" applyFill="1" applyBorder="1" applyAlignment="1" applyProtection="1">
      <alignment horizontal="right"/>
    </xf>
    <xf numFmtId="4" fontId="33" fillId="8" borderId="14" xfId="7" applyNumberFormat="1" applyFont="1" applyFill="1" applyBorder="1" applyAlignment="1" applyProtection="1">
      <alignment horizontal="center" vertical="center"/>
      <protection locked="0"/>
    </xf>
    <xf numFmtId="4" fontId="33" fillId="8" borderId="14" xfId="7" applyNumberFormat="1" applyFont="1" applyFill="1" applyBorder="1" applyAlignment="1" applyProtection="1">
      <alignment horizontal="center" vertical="center"/>
    </xf>
    <xf numFmtId="4" fontId="32" fillId="8" borderId="14" xfId="7" applyNumberFormat="1" applyFont="1" applyFill="1" applyBorder="1" applyAlignment="1" applyProtection="1">
      <alignment horizontal="center" vertical="center"/>
    </xf>
    <xf numFmtId="0" fontId="32" fillId="0" borderId="14" xfId="7" applyFont="1" applyBorder="1" applyAlignment="1" applyProtection="1">
      <alignment wrapText="1"/>
    </xf>
    <xf numFmtId="0" fontId="33" fillId="0" borderId="14" xfId="7" applyFont="1" applyBorder="1" applyAlignment="1" applyProtection="1">
      <alignment horizontal="left" indent="1"/>
    </xf>
    <xf numFmtId="0" fontId="33" fillId="0" borderId="14" xfId="7" applyFont="1" applyBorder="1" applyAlignment="1" applyProtection="1">
      <alignment horizontal="left" wrapText="1" indent="2"/>
    </xf>
    <xf numFmtId="0" fontId="33" fillId="0" borderId="0" xfId="7" applyFont="1" applyBorder="1" applyProtection="1"/>
    <xf numFmtId="4" fontId="33" fillId="0" borderId="0" xfId="7" applyNumberFormat="1" applyFont="1" applyBorder="1" applyAlignment="1" applyProtection="1">
      <alignment horizontal="center" vertical="center"/>
      <protection locked="0"/>
    </xf>
    <xf numFmtId="4" fontId="32" fillId="0" borderId="0" xfId="7" applyNumberFormat="1" applyFont="1" applyBorder="1" applyAlignment="1" applyProtection="1">
      <alignment horizontal="center" vertical="center"/>
    </xf>
    <xf numFmtId="0" fontId="32" fillId="8" borderId="0" xfId="7" applyFont="1" applyFill="1" applyBorder="1" applyAlignment="1" applyProtection="1">
      <alignment horizontal="right"/>
    </xf>
    <xf numFmtId="4" fontId="33" fillId="8" borderId="0" xfId="7" applyNumberFormat="1" applyFont="1" applyFill="1" applyBorder="1" applyAlignment="1" applyProtection="1">
      <alignment horizontal="center" vertical="center"/>
      <protection locked="0"/>
    </xf>
    <xf numFmtId="4" fontId="32" fillId="8" borderId="0" xfId="7" applyNumberFormat="1" applyFont="1" applyFill="1" applyBorder="1" applyAlignment="1" applyProtection="1">
      <alignment horizontal="center" vertical="center"/>
    </xf>
    <xf numFmtId="0" fontId="32" fillId="0" borderId="0" xfId="7" applyFont="1" applyFill="1" applyBorder="1" applyAlignment="1" applyProtection="1">
      <alignment horizontal="right"/>
    </xf>
    <xf numFmtId="4" fontId="33" fillId="0" borderId="0" xfId="7" applyNumberFormat="1" applyFont="1" applyFill="1" applyBorder="1" applyAlignment="1" applyProtection="1">
      <alignment horizontal="center" vertical="center"/>
      <protection locked="0"/>
    </xf>
    <xf numFmtId="4" fontId="32" fillId="0" borderId="0" xfId="7" applyNumberFormat="1" applyFont="1" applyFill="1" applyBorder="1" applyAlignment="1" applyProtection="1">
      <alignment horizontal="center" vertical="center"/>
    </xf>
    <xf numFmtId="0" fontId="33" fillId="0" borderId="0" xfId="7" applyFont="1" applyBorder="1" applyAlignment="1" applyProtection="1">
      <alignment horizontal="right"/>
    </xf>
    <xf numFmtId="4" fontId="34" fillId="0" borderId="0" xfId="7" applyNumberFormat="1" applyFont="1" applyBorder="1" applyAlignment="1" applyProtection="1">
      <alignment horizontal="left" vertical="center"/>
    </xf>
    <xf numFmtId="4" fontId="34" fillId="0" borderId="0" xfId="7" applyNumberFormat="1" applyFont="1" applyBorder="1" applyAlignment="1" applyProtection="1">
      <alignment horizontal="center" vertical="center"/>
      <protection locked="0"/>
    </xf>
    <xf numFmtId="4" fontId="33" fillId="0" borderId="0" xfId="7" applyNumberFormat="1" applyFont="1" applyAlignment="1" applyProtection="1">
      <alignment horizontal="center" vertical="center"/>
      <protection locked="0"/>
    </xf>
    <xf numFmtId="4" fontId="35" fillId="0" borderId="0" xfId="7" applyNumberFormat="1" applyFont="1" applyBorder="1" applyAlignment="1" applyProtection="1">
      <alignment horizontal="left" vertical="center"/>
    </xf>
    <xf numFmtId="4" fontId="33" fillId="0" borderId="0" xfId="7" applyNumberFormat="1" applyFont="1" applyBorder="1" applyAlignment="1" applyProtection="1">
      <alignment horizontal="left" vertical="center"/>
    </xf>
    <xf numFmtId="0" fontId="33" fillId="0" borderId="0" xfId="7" applyFont="1" applyAlignment="1" applyProtection="1">
      <alignment horizontal="left" vertical="center"/>
    </xf>
    <xf numFmtId="0" fontId="32" fillId="0" borderId="0" xfId="7" applyFont="1" applyProtection="1">
      <protection locked="0"/>
    </xf>
    <xf numFmtId="4" fontId="33" fillId="0" borderId="0" xfId="7" applyNumberFormat="1" applyFont="1" applyBorder="1" applyAlignment="1" applyProtection="1">
      <alignment horizontal="left" vertical="center"/>
      <protection locked="0"/>
    </xf>
    <xf numFmtId="0" fontId="22" fillId="0" borderId="6" xfId="0" applyFont="1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3" xfId="0" applyBorder="1" applyAlignment="1">
      <alignment horizontal="center" vertical="center"/>
    </xf>
    <xf numFmtId="169" fontId="0" fillId="0" borderId="0" xfId="0" applyNumberFormat="1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20" fillId="0" borderId="14" xfId="0" applyFont="1" applyBorder="1" applyAlignment="1">
      <alignment horizontal="center" vertical="center"/>
    </xf>
    <xf numFmtId="0" fontId="20" fillId="0" borderId="3" xfId="0" applyFont="1" applyBorder="1" applyAlignment="1">
      <alignment horizontal="center" vertical="center"/>
    </xf>
    <xf numFmtId="0" fontId="20" fillId="0" borderId="6" xfId="0" applyFont="1" applyBorder="1" applyAlignment="1">
      <alignment horizontal="center" vertical="center"/>
    </xf>
    <xf numFmtId="0" fontId="20" fillId="0" borderId="15" xfId="0" applyFont="1" applyBorder="1" applyAlignment="1">
      <alignment horizontal="center" vertical="center"/>
    </xf>
    <xf numFmtId="0" fontId="20" fillId="0" borderId="17" xfId="0" applyFont="1" applyBorder="1" applyAlignment="1">
      <alignment horizontal="center" vertical="center"/>
    </xf>
    <xf numFmtId="0" fontId="20" fillId="0" borderId="16" xfId="0" applyFont="1" applyBorder="1" applyAlignment="1">
      <alignment horizontal="center" vertical="center"/>
    </xf>
    <xf numFmtId="0" fontId="27" fillId="0" borderId="14" xfId="0" applyFont="1" applyBorder="1" applyAlignment="1">
      <alignment horizontal="right" vertical="center"/>
    </xf>
    <xf numFmtId="0" fontId="20" fillId="0" borderId="14" xfId="0" applyFont="1" applyBorder="1" applyAlignment="1">
      <alignment horizontal="right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21" fillId="0" borderId="0" xfId="0" applyFont="1" applyFill="1" applyAlignment="1">
      <alignment horizontal="center" vertical="center"/>
    </xf>
    <xf numFmtId="0" fontId="0" fillId="0" borderId="15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25" fillId="6" borderId="3" xfId="0" applyFont="1" applyFill="1" applyBorder="1" applyAlignment="1">
      <alignment horizontal="center" vertical="center"/>
    </xf>
    <xf numFmtId="0" fontId="25" fillId="6" borderId="6" xfId="0" applyFont="1" applyFill="1" applyBorder="1" applyAlignment="1">
      <alignment horizontal="center" vertical="center"/>
    </xf>
    <xf numFmtId="168" fontId="0" fillId="4" borderId="14" xfId="0" applyNumberFormat="1" applyFill="1" applyBorder="1" applyAlignment="1">
      <alignment horizontal="center" vertical="center"/>
    </xf>
    <xf numFmtId="0" fontId="25" fillId="6" borderId="4" xfId="0" applyFont="1" applyFill="1" applyBorder="1" applyAlignment="1">
      <alignment horizontal="center" vertical="center"/>
    </xf>
    <xf numFmtId="0" fontId="25" fillId="6" borderId="18" xfId="0" applyFont="1" applyFill="1" applyBorder="1" applyAlignment="1">
      <alignment horizontal="center" vertical="center"/>
    </xf>
    <xf numFmtId="0" fontId="25" fillId="6" borderId="7" xfId="0" applyFont="1" applyFill="1" applyBorder="1" applyAlignment="1">
      <alignment horizontal="center" vertical="center"/>
    </xf>
    <xf numFmtId="0" fontId="25" fillId="6" borderId="19" xfId="0" applyFont="1" applyFill="1" applyBorder="1" applyAlignment="1">
      <alignment horizontal="center" vertical="center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5" xfId="0" applyBorder="1" applyAlignment="1">
      <alignment horizontal="left" vertical="center" wrapText="1"/>
    </xf>
    <xf numFmtId="0" fontId="0" fillId="0" borderId="16" xfId="0" applyBorder="1" applyAlignment="1">
      <alignment horizontal="left" vertical="center" wrapText="1"/>
    </xf>
    <xf numFmtId="2" fontId="31" fillId="4" borderId="14" xfId="0" applyNumberFormat="1" applyFont="1" applyFill="1" applyBorder="1" applyAlignment="1">
      <alignment horizontal="center" vertical="center"/>
    </xf>
    <xf numFmtId="0" fontId="28" fillId="0" borderId="20" xfId="0" applyFont="1" applyBorder="1" applyAlignment="1">
      <alignment horizontal="right"/>
    </xf>
    <xf numFmtId="0" fontId="28" fillId="0" borderId="21" xfId="0" applyFont="1" applyBorder="1" applyAlignment="1">
      <alignment horizontal="right"/>
    </xf>
    <xf numFmtId="0" fontId="28" fillId="0" borderId="22" xfId="0" applyFont="1" applyBorder="1" applyAlignment="1">
      <alignment horizontal="left"/>
    </xf>
    <xf numFmtId="0" fontId="28" fillId="0" borderId="23" xfId="0" applyFont="1" applyBorder="1" applyAlignment="1">
      <alignment horizontal="left"/>
    </xf>
    <xf numFmtId="0" fontId="28" fillId="0" borderId="24" xfId="0" applyFont="1" applyBorder="1" applyAlignment="1">
      <alignment horizontal="right"/>
    </xf>
    <xf numFmtId="0" fontId="28" fillId="0" borderId="14" xfId="0" applyFont="1" applyBorder="1" applyAlignment="1">
      <alignment horizontal="right"/>
    </xf>
    <xf numFmtId="0" fontId="28" fillId="0" borderId="14" xfId="0" applyFont="1" applyBorder="1" applyAlignment="1">
      <alignment horizontal="left"/>
    </xf>
    <xf numFmtId="0" fontId="28" fillId="0" borderId="25" xfId="0" applyFont="1" applyBorder="1" applyAlignment="1">
      <alignment horizontal="left"/>
    </xf>
    <xf numFmtId="0" fontId="28" fillId="0" borderId="26" xfId="0" applyFont="1" applyBorder="1" applyAlignment="1">
      <alignment horizontal="right"/>
    </xf>
    <xf numFmtId="0" fontId="28" fillId="0" borderId="27" xfId="0" applyFont="1" applyBorder="1" applyAlignment="1">
      <alignment horizontal="right"/>
    </xf>
    <xf numFmtId="0" fontId="28" fillId="0" borderId="27" xfId="0" applyFont="1" applyBorder="1" applyAlignment="1">
      <alignment horizontal="left"/>
    </xf>
    <xf numFmtId="0" fontId="28" fillId="0" borderId="28" xfId="0" applyFont="1" applyBorder="1" applyAlignment="1">
      <alignment horizontal="left"/>
    </xf>
    <xf numFmtId="0" fontId="13" fillId="0" borderId="15" xfId="0" applyFont="1" applyBorder="1" applyAlignment="1">
      <alignment horizontal="left" vertical="center"/>
    </xf>
    <xf numFmtId="0" fontId="12" fillId="0" borderId="17" xfId="0" applyFont="1" applyBorder="1" applyAlignment="1">
      <alignment horizontal="left" vertical="center"/>
    </xf>
    <xf numFmtId="0" fontId="12" fillId="0" borderId="16" xfId="0" applyFont="1" applyBorder="1" applyAlignment="1">
      <alignment horizontal="left" vertical="center"/>
    </xf>
    <xf numFmtId="0" fontId="14" fillId="0" borderId="14" xfId="0" applyFont="1" applyFill="1" applyBorder="1" applyAlignment="1">
      <alignment horizontal="center" vertical="center" wrapText="1"/>
    </xf>
    <xf numFmtId="0" fontId="17" fillId="0" borderId="0" xfId="4" applyFont="1" applyFill="1" applyBorder="1" applyAlignment="1">
      <alignment vertical="center" wrapText="1"/>
    </xf>
    <xf numFmtId="43" fontId="17" fillId="0" borderId="0" xfId="4" applyNumberFormat="1" applyFont="1" applyFill="1" applyBorder="1" applyAlignment="1">
      <alignment vertical="center" wrapText="1"/>
    </xf>
    <xf numFmtId="0" fontId="17" fillId="0" borderId="0" xfId="4" applyFont="1" applyFill="1" applyBorder="1" applyAlignment="1">
      <alignment horizontal="left" vertical="center" wrapText="1"/>
    </xf>
    <xf numFmtId="0" fontId="15" fillId="3" borderId="14" xfId="0" applyFont="1" applyFill="1" applyBorder="1" applyAlignment="1">
      <alignment horizontal="left"/>
    </xf>
    <xf numFmtId="0" fontId="19" fillId="0" borderId="14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6" fillId="0" borderId="0" xfId="2" applyFont="1" applyBorder="1" applyAlignment="1">
      <alignment horizontal="center"/>
    </xf>
    <xf numFmtId="0" fontId="2" fillId="0" borderId="0" xfId="0" applyFont="1" applyBorder="1" applyAlignment="1">
      <alignment horizontal="center" vertical="top" wrapText="1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5" fillId="0" borderId="0" xfId="2" applyBorder="1" applyAlignment="1">
      <alignment horizontal="center"/>
    </xf>
    <xf numFmtId="0" fontId="2" fillId="0" borderId="0" xfId="0" applyFont="1" applyAlignment="1">
      <alignment horizontal="right" wrapText="1"/>
    </xf>
    <xf numFmtId="0" fontId="19" fillId="0" borderId="14" xfId="0" applyFont="1" applyBorder="1" applyAlignment="1">
      <alignment horizontal="center" vertical="center" wrapText="1"/>
    </xf>
    <xf numFmtId="0" fontId="14" fillId="0" borderId="14" xfId="0" applyFont="1" applyFill="1" applyBorder="1" applyAlignment="1">
      <alignment horizontal="left" vertical="center"/>
    </xf>
    <xf numFmtId="0" fontId="13" fillId="0" borderId="0" xfId="0" applyFont="1" applyAlignment="1">
      <alignment horizontal="left" vertical="top"/>
    </xf>
    <xf numFmtId="0" fontId="13" fillId="0" borderId="4" xfId="0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13" fillId="0" borderId="8" xfId="0" applyFont="1" applyBorder="1" applyAlignment="1">
      <alignment horizontal="center"/>
    </xf>
    <xf numFmtId="0" fontId="15" fillId="0" borderId="15" xfId="0" applyFont="1" applyFill="1" applyBorder="1" applyAlignment="1">
      <alignment horizontal="left"/>
    </xf>
    <xf numFmtId="0" fontId="15" fillId="0" borderId="17" xfId="0" applyFont="1" applyFill="1" applyBorder="1" applyAlignment="1">
      <alignment horizontal="left"/>
    </xf>
    <xf numFmtId="0" fontId="15" fillId="0" borderId="16" xfId="0" applyFont="1" applyFill="1" applyBorder="1" applyAlignment="1">
      <alignment horizontal="left"/>
    </xf>
    <xf numFmtId="0" fontId="36" fillId="0" borderId="0" xfId="7" applyFont="1" applyAlignment="1" applyProtection="1">
      <alignment horizontal="center" vertical="center" wrapText="1"/>
    </xf>
    <xf numFmtId="0" fontId="32" fillId="0" borderId="14" xfId="7" applyFont="1" applyBorder="1" applyAlignment="1" applyProtection="1">
      <alignment horizontal="center" vertical="center"/>
    </xf>
    <xf numFmtId="4" fontId="32" fillId="0" borderId="14" xfId="7" applyNumberFormat="1" applyFont="1" applyBorder="1" applyAlignment="1" applyProtection="1">
      <alignment horizontal="center" vertical="center"/>
      <protection locked="0"/>
    </xf>
    <xf numFmtId="4" fontId="33" fillId="0" borderId="15" xfId="7" applyNumberFormat="1" applyFont="1" applyBorder="1" applyAlignment="1" applyProtection="1">
      <alignment horizontal="center" vertical="center" wrapText="1"/>
      <protection locked="0"/>
    </xf>
    <xf numFmtId="4" fontId="33" fillId="0" borderId="17" xfId="7" applyNumberFormat="1" applyFont="1" applyBorder="1" applyAlignment="1" applyProtection="1">
      <alignment horizontal="center" vertical="center" wrapText="1"/>
      <protection locked="0"/>
    </xf>
    <xf numFmtId="4" fontId="33" fillId="0" borderId="16" xfId="7" applyNumberFormat="1" applyFont="1" applyBorder="1" applyAlignment="1" applyProtection="1">
      <alignment horizontal="center" vertical="center" wrapText="1"/>
      <protection locked="0"/>
    </xf>
  </cellXfs>
  <cellStyles count="8">
    <cellStyle name="Comma" xfId="1" builtinId="3"/>
    <cellStyle name="Excel Built-in Comma" xfId="5"/>
    <cellStyle name="Excel Built-in Normal" xfId="4"/>
    <cellStyle name="Hyperlink" xfId="2" builtinId="8"/>
    <cellStyle name="Normal" xfId="0" builtinId="0"/>
    <cellStyle name="Normal 2" xfId="7"/>
    <cellStyle name="Percent" xfId="6" builtinId="5"/>
    <cellStyle name="常规_H.264全实时系列" xfId="3"/>
  </cellStyles>
  <dxfs count="0"/>
  <tableStyles count="0" defaultTableStyle="TableStyleMedium2" defaultPivotStyle="PivotStyleLight16"/>
  <colors>
    <mruColors>
      <color rgb="FF0033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google.com.ph/imgres?imgurl=https://www.elitewholesalers.com.au/wp-content/uploads/2016/06/IR-Mini-dome2.png&amp;imgrefurl=https://www.elitewholesalers.com.au/product/ir-mini-dome/&amp;docid=XgdfZUJLB75FlM&amp;tbnid=LcDUYBuhT1CsUM:&amp;vet=1&amp;w=370&amp;h=293&amp;itg=1&amp;bih=868&amp;biw=1821&amp;ved=0ahUKEwicpq_-vYvQAhUIObwKHe7AA9QQMwgiKAswCw&amp;iact=mrc&amp;uact=" TargetMode="External"/><Relationship Id="rId3" Type="http://schemas.openxmlformats.org/officeDocument/2006/relationships/image" Target="../media/image5.png"/><Relationship Id="rId7" Type="http://schemas.openxmlformats.org/officeDocument/2006/relationships/image" Target="../media/image9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6" Type="http://schemas.openxmlformats.org/officeDocument/2006/relationships/image" Target="../media/image8.png"/><Relationship Id="rId5" Type="http://schemas.openxmlformats.org/officeDocument/2006/relationships/image" Target="../media/image7.png"/><Relationship Id="rId4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66676</xdr:colOff>
      <xdr:row>0</xdr:row>
      <xdr:rowOff>79992</xdr:rowOff>
    </xdr:from>
    <xdr:to>
      <xdr:col>10</xdr:col>
      <xdr:colOff>479069</xdr:colOff>
      <xdr:row>0</xdr:row>
      <xdr:rowOff>723900</xdr:rowOff>
    </xdr:to>
    <xdr:grpSp>
      <xdr:nvGrpSpPr>
        <xdr:cNvPr id="2" name="Group 1"/>
        <xdr:cNvGrpSpPr/>
      </xdr:nvGrpSpPr>
      <xdr:grpSpPr>
        <a:xfrm>
          <a:off x="8090088" y="79992"/>
          <a:ext cx="3606069" cy="643908"/>
          <a:chOff x="6092071" y="40821"/>
          <a:chExt cx="2336195" cy="927100"/>
        </a:xfrm>
      </xdr:grpSpPr>
      <xdr:pic>
        <xdr:nvPicPr>
          <xdr:cNvPr id="3" name="Picture 2" descr="dell updated e_signature"/>
          <xdr:cNvPicPr/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318552" y="40821"/>
            <a:ext cx="1881113" cy="686543"/>
          </a:xfrm>
          <a:prstGeom prst="rect">
            <a:avLst/>
          </a:prstGeom>
          <a:noFill/>
          <a:ln>
            <a:noFill/>
          </a:ln>
        </xdr:spPr>
      </xdr:pic>
      <xdr:pic>
        <xdr:nvPicPr>
          <xdr:cNvPr id="4" name="Picture 3" descr="email footer_2017"/>
          <xdr:cNvPicPr/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092071" y="742008"/>
            <a:ext cx="2336195" cy="225913"/>
          </a:xfrm>
          <a:prstGeom prst="rect">
            <a:avLst/>
          </a:prstGeom>
          <a:noFill/>
          <a:ln>
            <a:noFill/>
          </a:ln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60512</xdr:colOff>
      <xdr:row>0</xdr:row>
      <xdr:rowOff>58833</xdr:rowOff>
    </xdr:from>
    <xdr:to>
      <xdr:col>2</xdr:col>
      <xdr:colOff>680756</xdr:colOff>
      <xdr:row>3</xdr:row>
      <xdr:rowOff>182656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512" y="58833"/>
          <a:ext cx="3448049" cy="72389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194802</xdr:colOff>
      <xdr:row>3</xdr:row>
      <xdr:rowOff>143486</xdr:rowOff>
    </xdr:from>
    <xdr:to>
      <xdr:col>5</xdr:col>
      <xdr:colOff>1181100</xdr:colOff>
      <xdr:row>6</xdr:row>
      <xdr:rowOff>38100</xdr:rowOff>
    </xdr:to>
    <xdr:pic>
      <xdr:nvPicPr>
        <xdr:cNvPr id="3" name="Picture 2" descr="GIRAFFE LOGO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8552" y="743561"/>
          <a:ext cx="1453023" cy="4851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1379311</xdr:colOff>
      <xdr:row>4</xdr:row>
      <xdr:rowOff>28575</xdr:rowOff>
    </xdr:from>
    <xdr:to>
      <xdr:col>6</xdr:col>
      <xdr:colOff>889623</xdr:colOff>
      <xdr:row>6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89786" y="819150"/>
          <a:ext cx="891436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693682</xdr:colOff>
      <xdr:row>6</xdr:row>
      <xdr:rowOff>27038</xdr:rowOff>
    </xdr:from>
    <xdr:to>
      <xdr:col>6</xdr:col>
      <xdr:colOff>1343026</xdr:colOff>
      <xdr:row>7</xdr:row>
      <xdr:rowOff>180974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85282" y="1217663"/>
          <a:ext cx="649344" cy="3539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221312</xdr:colOff>
      <xdr:row>6</xdr:row>
      <xdr:rowOff>30176</xdr:rowOff>
    </xdr:from>
    <xdr:to>
      <xdr:col>5</xdr:col>
      <xdr:colOff>1257300</xdr:colOff>
      <xdr:row>7</xdr:row>
      <xdr:rowOff>180974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31787" y="1220801"/>
          <a:ext cx="1035988" cy="3508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1323975</xdr:colOff>
      <xdr:row>6</xdr:row>
      <xdr:rowOff>5345</xdr:rowOff>
    </xdr:from>
    <xdr:to>
      <xdr:col>6</xdr:col>
      <xdr:colOff>663075</xdr:colOff>
      <xdr:row>7</xdr:row>
      <xdr:rowOff>180976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34450" y="1195970"/>
          <a:ext cx="720224" cy="3756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2266951</xdr:colOff>
      <xdr:row>6</xdr:row>
      <xdr:rowOff>51493</xdr:rowOff>
    </xdr:from>
    <xdr:to>
      <xdr:col>5</xdr:col>
      <xdr:colOff>63361</xdr:colOff>
      <xdr:row>7</xdr:row>
      <xdr:rowOff>171449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72276" y="1242118"/>
          <a:ext cx="942974" cy="3199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38101</xdr:colOff>
      <xdr:row>59</xdr:row>
      <xdr:rowOff>47627</xdr:rowOff>
    </xdr:from>
    <xdr:to>
      <xdr:col>2</xdr:col>
      <xdr:colOff>658345</xdr:colOff>
      <xdr:row>62</xdr:row>
      <xdr:rowOff>171450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1" y="15135227"/>
          <a:ext cx="3448049" cy="72389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38101</xdr:colOff>
      <xdr:row>59</xdr:row>
      <xdr:rowOff>0</xdr:rowOff>
    </xdr:from>
    <xdr:to>
      <xdr:col>2</xdr:col>
      <xdr:colOff>658345</xdr:colOff>
      <xdr:row>62</xdr:row>
      <xdr:rowOff>123823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1" y="15087600"/>
          <a:ext cx="3448049" cy="72389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194802</xdr:colOff>
      <xdr:row>62</xdr:row>
      <xdr:rowOff>143486</xdr:rowOff>
    </xdr:from>
    <xdr:to>
      <xdr:col>5</xdr:col>
      <xdr:colOff>1181100</xdr:colOff>
      <xdr:row>65</xdr:row>
      <xdr:rowOff>38100</xdr:rowOff>
    </xdr:to>
    <xdr:pic>
      <xdr:nvPicPr>
        <xdr:cNvPr id="11" name="Picture 10" descr="GIRAFFE LOGO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8552" y="15831161"/>
          <a:ext cx="1453023" cy="4851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1379311</xdr:colOff>
      <xdr:row>63</xdr:row>
      <xdr:rowOff>28575</xdr:rowOff>
    </xdr:from>
    <xdr:to>
      <xdr:col>6</xdr:col>
      <xdr:colOff>889623</xdr:colOff>
      <xdr:row>65</xdr:row>
      <xdr:rowOff>1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89786" y="15906750"/>
          <a:ext cx="891436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693682</xdr:colOff>
      <xdr:row>65</xdr:row>
      <xdr:rowOff>27038</xdr:rowOff>
    </xdr:from>
    <xdr:to>
      <xdr:col>6</xdr:col>
      <xdr:colOff>1343026</xdr:colOff>
      <xdr:row>66</xdr:row>
      <xdr:rowOff>180972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80800" y="16712597"/>
          <a:ext cx="649344" cy="3556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221312</xdr:colOff>
      <xdr:row>65</xdr:row>
      <xdr:rowOff>30176</xdr:rowOff>
    </xdr:from>
    <xdr:to>
      <xdr:col>5</xdr:col>
      <xdr:colOff>1257300</xdr:colOff>
      <xdr:row>66</xdr:row>
      <xdr:rowOff>180972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31787" y="16308401"/>
          <a:ext cx="1035988" cy="35082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1323975</xdr:colOff>
      <xdr:row>65</xdr:row>
      <xdr:rowOff>5345</xdr:rowOff>
    </xdr:from>
    <xdr:to>
      <xdr:col>6</xdr:col>
      <xdr:colOff>663075</xdr:colOff>
      <xdr:row>66</xdr:row>
      <xdr:rowOff>180974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34450" y="16283570"/>
          <a:ext cx="720224" cy="3756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2266951</xdr:colOff>
      <xdr:row>65</xdr:row>
      <xdr:rowOff>51493</xdr:rowOff>
    </xdr:from>
    <xdr:to>
      <xdr:col>5</xdr:col>
      <xdr:colOff>63361</xdr:colOff>
      <xdr:row>66</xdr:row>
      <xdr:rowOff>171447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72276" y="16329718"/>
          <a:ext cx="942974" cy="3199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38101</xdr:colOff>
      <xdr:row>59</xdr:row>
      <xdr:rowOff>0</xdr:rowOff>
    </xdr:from>
    <xdr:to>
      <xdr:col>2</xdr:col>
      <xdr:colOff>658345</xdr:colOff>
      <xdr:row>62</xdr:row>
      <xdr:rowOff>123823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1" y="15087600"/>
          <a:ext cx="3448049" cy="72389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60512</xdr:colOff>
      <xdr:row>59</xdr:row>
      <xdr:rowOff>0</xdr:rowOff>
    </xdr:from>
    <xdr:to>
      <xdr:col>2</xdr:col>
      <xdr:colOff>680756</xdr:colOff>
      <xdr:row>62</xdr:row>
      <xdr:rowOff>123823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512" y="58833"/>
          <a:ext cx="3450290" cy="7289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</xdr:row>
      <xdr:rowOff>0</xdr:rowOff>
    </xdr:from>
    <xdr:to>
      <xdr:col>1</xdr:col>
      <xdr:colOff>304800</xdr:colOff>
      <xdr:row>36</xdr:row>
      <xdr:rowOff>96930</xdr:rowOff>
    </xdr:to>
    <xdr:sp macro="" textlink="">
      <xdr:nvSpPr>
        <xdr:cNvPr id="1025" name="AutoShape 1" descr="Resulta ng larawan para sa MS-C2982-PB 2.0MP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2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781050" y="3705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35</xdr:row>
      <xdr:rowOff>0</xdr:rowOff>
    </xdr:from>
    <xdr:to>
      <xdr:col>1</xdr:col>
      <xdr:colOff>304800</xdr:colOff>
      <xdr:row>36</xdr:row>
      <xdr:rowOff>96930</xdr:rowOff>
    </xdr:to>
    <xdr:sp macro="" textlink="">
      <xdr:nvSpPr>
        <xdr:cNvPr id="20" name="AutoShape 1" descr="Resulta ng larawan para sa MS-C2982-PB 2.0MP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SpPr>
          <a:spLocks noChangeAspect="1" noChangeArrowheads="1"/>
        </xdr:cNvSpPr>
      </xdr:nvSpPr>
      <xdr:spPr bwMode="auto">
        <a:xfrm>
          <a:off x="784412" y="5277971"/>
          <a:ext cx="304800" cy="2986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304800</xdr:colOff>
      <xdr:row>25</xdr:row>
      <xdr:rowOff>298636</xdr:rowOff>
    </xdr:to>
    <xdr:sp macro="" textlink="">
      <xdr:nvSpPr>
        <xdr:cNvPr id="21" name="AutoShape 1" descr="Resulta ng larawan para sa MS-C2982-PB 2.0MP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SpPr>
          <a:spLocks noChangeAspect="1" noChangeArrowheads="1"/>
        </xdr:cNvSpPr>
      </xdr:nvSpPr>
      <xdr:spPr bwMode="auto">
        <a:xfrm>
          <a:off x="784412" y="5076265"/>
          <a:ext cx="304800" cy="2986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304800</xdr:colOff>
      <xdr:row>37</xdr:row>
      <xdr:rowOff>96930</xdr:rowOff>
    </xdr:to>
    <xdr:sp macro="" textlink="">
      <xdr:nvSpPr>
        <xdr:cNvPr id="22" name="AutoShape 1" descr="Resulta ng larawan para sa MS-C2982-PB 2.0MP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SpPr>
          <a:spLocks noChangeAspect="1" noChangeArrowheads="1"/>
        </xdr:cNvSpPr>
      </xdr:nvSpPr>
      <xdr:spPr bwMode="auto">
        <a:xfrm>
          <a:off x="784412" y="7776882"/>
          <a:ext cx="304800" cy="2986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35</xdr:row>
      <xdr:rowOff>0</xdr:rowOff>
    </xdr:from>
    <xdr:to>
      <xdr:col>1</xdr:col>
      <xdr:colOff>304800</xdr:colOff>
      <xdr:row>36</xdr:row>
      <xdr:rowOff>96930</xdr:rowOff>
    </xdr:to>
    <xdr:sp macro="" textlink="">
      <xdr:nvSpPr>
        <xdr:cNvPr id="23" name="AutoShape 1" descr="Resulta ng larawan para sa MS-C2982-PB 2.0MP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SpPr>
          <a:spLocks noChangeAspect="1" noChangeArrowheads="1"/>
        </xdr:cNvSpPr>
      </xdr:nvSpPr>
      <xdr:spPr bwMode="auto">
        <a:xfrm>
          <a:off x="784412" y="7575176"/>
          <a:ext cx="304800" cy="2986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1</xdr:col>
      <xdr:colOff>0</xdr:colOff>
      <xdr:row>26</xdr:row>
      <xdr:rowOff>0</xdr:rowOff>
    </xdr:from>
    <xdr:ext cx="304800" cy="298636"/>
    <xdr:sp macro="" textlink="">
      <xdr:nvSpPr>
        <xdr:cNvPr id="24" name="AutoShape 1" descr="Resulta ng larawan para sa MS-C2982-PB 2.0MP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SpPr>
          <a:spLocks noChangeAspect="1" noChangeArrowheads="1"/>
        </xdr:cNvSpPr>
      </xdr:nvSpPr>
      <xdr:spPr bwMode="auto">
        <a:xfrm>
          <a:off x="781050" y="4248150"/>
          <a:ext cx="304800" cy="2986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28</xdr:row>
      <xdr:rowOff>0</xdr:rowOff>
    </xdr:from>
    <xdr:ext cx="304800" cy="298636"/>
    <xdr:sp macro="" textlink="">
      <xdr:nvSpPr>
        <xdr:cNvPr id="25" name="AutoShape 1" descr="Resulta ng larawan para sa MS-C2982-PB 2.0MP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SpPr>
          <a:spLocks noChangeAspect="1" noChangeArrowheads="1"/>
        </xdr:cNvSpPr>
      </xdr:nvSpPr>
      <xdr:spPr bwMode="auto">
        <a:xfrm>
          <a:off x="781050" y="4467225"/>
          <a:ext cx="304800" cy="2986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26</xdr:row>
      <xdr:rowOff>0</xdr:rowOff>
    </xdr:from>
    <xdr:ext cx="304800" cy="298636"/>
    <xdr:sp macro="" textlink="">
      <xdr:nvSpPr>
        <xdr:cNvPr id="26" name="AutoShape 1" descr="Resulta ng larawan para sa MS-C2982-PB 2.0MP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SpPr>
          <a:spLocks noChangeAspect="1" noChangeArrowheads="1"/>
        </xdr:cNvSpPr>
      </xdr:nvSpPr>
      <xdr:spPr bwMode="auto">
        <a:xfrm>
          <a:off x="781050" y="4248150"/>
          <a:ext cx="304800" cy="2986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26</xdr:row>
      <xdr:rowOff>0</xdr:rowOff>
    </xdr:from>
    <xdr:ext cx="304800" cy="298636"/>
    <xdr:sp macro="" textlink="">
      <xdr:nvSpPr>
        <xdr:cNvPr id="27" name="AutoShape 1" descr="Resulta ng larawan para sa MS-C2982-PB 2.0MP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SpPr>
          <a:spLocks noChangeAspect="1" noChangeArrowheads="1"/>
        </xdr:cNvSpPr>
      </xdr:nvSpPr>
      <xdr:spPr bwMode="auto">
        <a:xfrm>
          <a:off x="781050" y="4248150"/>
          <a:ext cx="304800" cy="2986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31</xdr:row>
      <xdr:rowOff>0</xdr:rowOff>
    </xdr:from>
    <xdr:ext cx="304800" cy="298636"/>
    <xdr:sp macro="" textlink="">
      <xdr:nvSpPr>
        <xdr:cNvPr id="28" name="AutoShape 1" descr="Resulta ng larawan para sa MS-C2982-PB 2.0MP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SpPr>
          <a:spLocks noChangeAspect="1" noChangeArrowheads="1"/>
        </xdr:cNvSpPr>
      </xdr:nvSpPr>
      <xdr:spPr bwMode="auto">
        <a:xfrm>
          <a:off x="781050" y="5600700"/>
          <a:ext cx="304800" cy="2986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32</xdr:row>
      <xdr:rowOff>0</xdr:rowOff>
    </xdr:from>
    <xdr:ext cx="304800" cy="298636"/>
    <xdr:sp macro="" textlink="">
      <xdr:nvSpPr>
        <xdr:cNvPr id="29" name="AutoShape 1" descr="Resulta ng larawan para sa MS-C2982-PB 2.0MP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SpPr>
          <a:spLocks noChangeAspect="1" noChangeArrowheads="1"/>
        </xdr:cNvSpPr>
      </xdr:nvSpPr>
      <xdr:spPr bwMode="auto">
        <a:xfrm>
          <a:off x="781050" y="6838950"/>
          <a:ext cx="304800" cy="2986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33</xdr:row>
      <xdr:rowOff>0</xdr:rowOff>
    </xdr:from>
    <xdr:ext cx="304800" cy="298636"/>
    <xdr:sp macro="" textlink="">
      <xdr:nvSpPr>
        <xdr:cNvPr id="30" name="AutoShape 1" descr="Resulta ng larawan para sa MS-C2982-PB 2.0MP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SpPr>
          <a:spLocks noChangeAspect="1" noChangeArrowheads="1"/>
        </xdr:cNvSpPr>
      </xdr:nvSpPr>
      <xdr:spPr bwMode="auto">
        <a:xfrm>
          <a:off x="781050" y="6838950"/>
          <a:ext cx="304800" cy="2986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34</xdr:row>
      <xdr:rowOff>0</xdr:rowOff>
    </xdr:from>
    <xdr:ext cx="304800" cy="298636"/>
    <xdr:sp macro="" textlink="">
      <xdr:nvSpPr>
        <xdr:cNvPr id="31" name="AutoShape 1" descr="Resulta ng larawan para sa MS-C2982-PB 2.0MP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SpPr>
          <a:spLocks noChangeAspect="1" noChangeArrowheads="1"/>
        </xdr:cNvSpPr>
      </xdr:nvSpPr>
      <xdr:spPr bwMode="auto">
        <a:xfrm>
          <a:off x="781050" y="7048500"/>
          <a:ext cx="304800" cy="2986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34</xdr:row>
      <xdr:rowOff>0</xdr:rowOff>
    </xdr:from>
    <xdr:ext cx="304800" cy="298636"/>
    <xdr:sp macro="" textlink="">
      <xdr:nvSpPr>
        <xdr:cNvPr id="32" name="AutoShape 1" descr="Resulta ng larawan para sa MS-C2982-PB 2.0MP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SpPr>
          <a:spLocks noChangeAspect="1" noChangeArrowheads="1"/>
        </xdr:cNvSpPr>
      </xdr:nvSpPr>
      <xdr:spPr bwMode="auto">
        <a:xfrm>
          <a:off x="781050" y="6838950"/>
          <a:ext cx="304800" cy="2986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35</xdr:row>
      <xdr:rowOff>0</xdr:rowOff>
    </xdr:from>
    <xdr:ext cx="304800" cy="298636"/>
    <xdr:sp macro="" textlink="">
      <xdr:nvSpPr>
        <xdr:cNvPr id="33" name="AutoShape 1" descr="Resulta ng larawan para sa MS-C2982-PB 2.0MP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SpPr>
          <a:spLocks noChangeAspect="1" noChangeArrowheads="1"/>
        </xdr:cNvSpPr>
      </xdr:nvSpPr>
      <xdr:spPr bwMode="auto">
        <a:xfrm>
          <a:off x="781050" y="7048500"/>
          <a:ext cx="304800" cy="2986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32</xdr:row>
      <xdr:rowOff>0</xdr:rowOff>
    </xdr:from>
    <xdr:ext cx="304800" cy="298636"/>
    <xdr:sp macro="" textlink="">
      <xdr:nvSpPr>
        <xdr:cNvPr id="34" name="AutoShape 1" descr="Resulta ng larawan para sa MS-C2982-PB 2.0MP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SpPr>
          <a:spLocks noChangeAspect="1" noChangeArrowheads="1"/>
        </xdr:cNvSpPr>
      </xdr:nvSpPr>
      <xdr:spPr bwMode="auto">
        <a:xfrm>
          <a:off x="781050" y="6838950"/>
          <a:ext cx="304800" cy="2986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33</xdr:row>
      <xdr:rowOff>0</xdr:rowOff>
    </xdr:from>
    <xdr:ext cx="304800" cy="298636"/>
    <xdr:sp macro="" textlink="">
      <xdr:nvSpPr>
        <xdr:cNvPr id="35" name="AutoShape 1" descr="Resulta ng larawan para sa MS-C2982-PB 2.0MP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SpPr>
          <a:spLocks noChangeAspect="1" noChangeArrowheads="1"/>
        </xdr:cNvSpPr>
      </xdr:nvSpPr>
      <xdr:spPr bwMode="auto">
        <a:xfrm>
          <a:off x="781050" y="7048500"/>
          <a:ext cx="304800" cy="2986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33</xdr:row>
      <xdr:rowOff>0</xdr:rowOff>
    </xdr:from>
    <xdr:ext cx="304800" cy="298636"/>
    <xdr:sp macro="" textlink="">
      <xdr:nvSpPr>
        <xdr:cNvPr id="36" name="AutoShape 1" descr="Resulta ng larawan para sa MS-C2982-PB 2.0MP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SpPr>
          <a:spLocks noChangeAspect="1" noChangeArrowheads="1"/>
        </xdr:cNvSpPr>
      </xdr:nvSpPr>
      <xdr:spPr bwMode="auto">
        <a:xfrm>
          <a:off x="781050" y="6838950"/>
          <a:ext cx="304800" cy="2986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34</xdr:row>
      <xdr:rowOff>0</xdr:rowOff>
    </xdr:from>
    <xdr:ext cx="304800" cy="298636"/>
    <xdr:sp macro="" textlink="">
      <xdr:nvSpPr>
        <xdr:cNvPr id="37" name="AutoShape 1" descr="Resulta ng larawan para sa MS-C2982-PB 2.0MP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SpPr>
          <a:spLocks noChangeAspect="1" noChangeArrowheads="1"/>
        </xdr:cNvSpPr>
      </xdr:nvSpPr>
      <xdr:spPr bwMode="auto">
        <a:xfrm>
          <a:off x="781050" y="7048500"/>
          <a:ext cx="304800" cy="2986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34</xdr:row>
      <xdr:rowOff>0</xdr:rowOff>
    </xdr:from>
    <xdr:ext cx="304800" cy="298636"/>
    <xdr:sp macro="" textlink="">
      <xdr:nvSpPr>
        <xdr:cNvPr id="38" name="AutoShape 1" descr="Resulta ng larawan para sa MS-C2982-PB 2.0MP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SpPr>
          <a:spLocks noChangeAspect="1" noChangeArrowheads="1"/>
        </xdr:cNvSpPr>
      </xdr:nvSpPr>
      <xdr:spPr bwMode="auto">
        <a:xfrm>
          <a:off x="781050" y="7048500"/>
          <a:ext cx="304800" cy="2986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34</xdr:row>
      <xdr:rowOff>0</xdr:rowOff>
    </xdr:from>
    <xdr:ext cx="304800" cy="298636"/>
    <xdr:sp macro="" textlink="">
      <xdr:nvSpPr>
        <xdr:cNvPr id="39" name="AutoShape 1" descr="Resulta ng larawan para sa MS-C2982-PB 2.0MP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SpPr>
          <a:spLocks noChangeAspect="1" noChangeArrowheads="1"/>
        </xdr:cNvSpPr>
      </xdr:nvSpPr>
      <xdr:spPr bwMode="auto">
        <a:xfrm>
          <a:off x="781050" y="6838950"/>
          <a:ext cx="304800" cy="2986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35</xdr:row>
      <xdr:rowOff>0</xdr:rowOff>
    </xdr:from>
    <xdr:ext cx="304800" cy="298636"/>
    <xdr:sp macro="" textlink="">
      <xdr:nvSpPr>
        <xdr:cNvPr id="40" name="AutoShape 1" descr="Resulta ng larawan para sa MS-C2982-PB 2.0MP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SpPr>
          <a:spLocks noChangeAspect="1" noChangeArrowheads="1"/>
        </xdr:cNvSpPr>
      </xdr:nvSpPr>
      <xdr:spPr bwMode="auto">
        <a:xfrm>
          <a:off x="781050" y="7048500"/>
          <a:ext cx="304800" cy="2986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35</xdr:row>
      <xdr:rowOff>0</xdr:rowOff>
    </xdr:from>
    <xdr:ext cx="304800" cy="298636"/>
    <xdr:sp macro="" textlink="">
      <xdr:nvSpPr>
        <xdr:cNvPr id="41" name="AutoShape 1" descr="Resulta ng larawan para sa MS-C2982-PB 2.0MP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SpPr>
          <a:spLocks noChangeAspect="1" noChangeArrowheads="1"/>
        </xdr:cNvSpPr>
      </xdr:nvSpPr>
      <xdr:spPr bwMode="auto">
        <a:xfrm>
          <a:off x="781050" y="7048500"/>
          <a:ext cx="304800" cy="2986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38</xdr:row>
      <xdr:rowOff>0</xdr:rowOff>
    </xdr:from>
    <xdr:ext cx="304800" cy="296955"/>
    <xdr:sp macro="" textlink="">
      <xdr:nvSpPr>
        <xdr:cNvPr id="42" name="AutoShape 1" descr="Resulta ng larawan para sa MS-C2982-PB 2.0MP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2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781050" y="7677150"/>
          <a:ext cx="304800" cy="2969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38</xdr:row>
      <xdr:rowOff>0</xdr:rowOff>
    </xdr:from>
    <xdr:ext cx="304800" cy="296955"/>
    <xdr:sp macro="" textlink="">
      <xdr:nvSpPr>
        <xdr:cNvPr id="43" name="AutoShape 1" descr="Resulta ng larawan para sa MS-C2982-PB 2.0MP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SpPr>
          <a:spLocks noChangeAspect="1" noChangeArrowheads="1"/>
        </xdr:cNvSpPr>
      </xdr:nvSpPr>
      <xdr:spPr bwMode="auto">
        <a:xfrm>
          <a:off x="781050" y="7677150"/>
          <a:ext cx="304800" cy="2969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38</xdr:row>
      <xdr:rowOff>0</xdr:rowOff>
    </xdr:from>
    <xdr:ext cx="304800" cy="296956"/>
    <xdr:sp macro="" textlink="">
      <xdr:nvSpPr>
        <xdr:cNvPr id="44" name="AutoShape 1" descr="Resulta ng larawan para sa MS-C2982-PB 2.0MP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SpPr>
          <a:spLocks noChangeAspect="1" noChangeArrowheads="1"/>
        </xdr:cNvSpPr>
      </xdr:nvSpPr>
      <xdr:spPr bwMode="auto">
        <a:xfrm>
          <a:off x="781050" y="7877175"/>
          <a:ext cx="304800" cy="2969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38</xdr:row>
      <xdr:rowOff>0</xdr:rowOff>
    </xdr:from>
    <xdr:ext cx="304800" cy="296955"/>
    <xdr:sp macro="" textlink="">
      <xdr:nvSpPr>
        <xdr:cNvPr id="45" name="AutoShape 1" descr="Resulta ng larawan para sa MS-C2982-PB 2.0MP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SpPr>
          <a:spLocks noChangeAspect="1" noChangeArrowheads="1"/>
        </xdr:cNvSpPr>
      </xdr:nvSpPr>
      <xdr:spPr bwMode="auto">
        <a:xfrm>
          <a:off x="781050" y="7677150"/>
          <a:ext cx="304800" cy="2969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37</xdr:row>
      <xdr:rowOff>0</xdr:rowOff>
    </xdr:from>
    <xdr:ext cx="304800" cy="298636"/>
    <xdr:sp macro="" textlink="">
      <xdr:nvSpPr>
        <xdr:cNvPr id="46" name="AutoShape 1" descr="Resulta ng larawan para sa MS-C2982-PB 2.0MP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SpPr>
          <a:spLocks noChangeAspect="1" noChangeArrowheads="1"/>
        </xdr:cNvSpPr>
      </xdr:nvSpPr>
      <xdr:spPr bwMode="auto">
        <a:xfrm>
          <a:off x="781050" y="7467600"/>
          <a:ext cx="304800" cy="2986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37</xdr:row>
      <xdr:rowOff>0</xdr:rowOff>
    </xdr:from>
    <xdr:ext cx="304800" cy="298636"/>
    <xdr:sp macro="" textlink="">
      <xdr:nvSpPr>
        <xdr:cNvPr id="47" name="AutoShape 1" descr="Resulta ng larawan para sa MS-C2982-PB 2.0MP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SpPr>
          <a:spLocks noChangeAspect="1" noChangeArrowheads="1"/>
        </xdr:cNvSpPr>
      </xdr:nvSpPr>
      <xdr:spPr bwMode="auto">
        <a:xfrm>
          <a:off x="781050" y="7467600"/>
          <a:ext cx="304800" cy="2986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38</xdr:row>
      <xdr:rowOff>0</xdr:rowOff>
    </xdr:from>
    <xdr:ext cx="304800" cy="298636"/>
    <xdr:sp macro="" textlink="">
      <xdr:nvSpPr>
        <xdr:cNvPr id="48" name="AutoShape 1" descr="Resulta ng larawan para sa MS-C2982-PB 2.0MP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SpPr>
          <a:spLocks noChangeAspect="1" noChangeArrowheads="1"/>
        </xdr:cNvSpPr>
      </xdr:nvSpPr>
      <xdr:spPr bwMode="auto">
        <a:xfrm>
          <a:off x="781050" y="7677150"/>
          <a:ext cx="304800" cy="2986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37</xdr:row>
      <xdr:rowOff>0</xdr:rowOff>
    </xdr:from>
    <xdr:ext cx="304800" cy="298636"/>
    <xdr:sp macro="" textlink="">
      <xdr:nvSpPr>
        <xdr:cNvPr id="49" name="AutoShape 1" descr="Resulta ng larawan para sa MS-C2982-PB 2.0MP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SpPr>
          <a:spLocks noChangeAspect="1" noChangeArrowheads="1"/>
        </xdr:cNvSpPr>
      </xdr:nvSpPr>
      <xdr:spPr bwMode="auto">
        <a:xfrm>
          <a:off x="781050" y="7467600"/>
          <a:ext cx="304800" cy="2986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37</xdr:row>
      <xdr:rowOff>0</xdr:rowOff>
    </xdr:from>
    <xdr:ext cx="304800" cy="298636"/>
    <xdr:sp macro="" textlink="">
      <xdr:nvSpPr>
        <xdr:cNvPr id="50" name="AutoShape 1" descr="Resulta ng larawan para sa MS-C2982-PB 2.0MP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SpPr>
          <a:spLocks noChangeAspect="1" noChangeArrowheads="1"/>
        </xdr:cNvSpPr>
      </xdr:nvSpPr>
      <xdr:spPr bwMode="auto">
        <a:xfrm>
          <a:off x="781050" y="7467600"/>
          <a:ext cx="304800" cy="2986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37</xdr:row>
      <xdr:rowOff>0</xdr:rowOff>
    </xdr:from>
    <xdr:ext cx="304800" cy="298636"/>
    <xdr:sp macro="" textlink="">
      <xdr:nvSpPr>
        <xdr:cNvPr id="51" name="AutoShape 1" descr="Resulta ng larawan para sa MS-C2982-PB 2.0MP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SpPr>
          <a:spLocks noChangeAspect="1" noChangeArrowheads="1"/>
        </xdr:cNvSpPr>
      </xdr:nvSpPr>
      <xdr:spPr bwMode="auto">
        <a:xfrm>
          <a:off x="781050" y="7467600"/>
          <a:ext cx="304800" cy="2986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38</xdr:row>
      <xdr:rowOff>0</xdr:rowOff>
    </xdr:from>
    <xdr:ext cx="304800" cy="298636"/>
    <xdr:sp macro="" textlink="">
      <xdr:nvSpPr>
        <xdr:cNvPr id="52" name="AutoShape 1" descr="Resulta ng larawan para sa MS-C2982-PB 2.0MP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SpPr>
          <a:spLocks noChangeAspect="1" noChangeArrowheads="1"/>
        </xdr:cNvSpPr>
      </xdr:nvSpPr>
      <xdr:spPr bwMode="auto">
        <a:xfrm>
          <a:off x="781050" y="7677150"/>
          <a:ext cx="304800" cy="2986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38</xdr:row>
      <xdr:rowOff>0</xdr:rowOff>
    </xdr:from>
    <xdr:ext cx="304800" cy="298636"/>
    <xdr:sp macro="" textlink="">
      <xdr:nvSpPr>
        <xdr:cNvPr id="53" name="AutoShape 1" descr="Resulta ng larawan para sa MS-C2982-PB 2.0MP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SpPr>
          <a:spLocks noChangeAspect="1" noChangeArrowheads="1"/>
        </xdr:cNvSpPr>
      </xdr:nvSpPr>
      <xdr:spPr bwMode="auto">
        <a:xfrm>
          <a:off x="781050" y="7677150"/>
          <a:ext cx="304800" cy="2986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38</xdr:row>
      <xdr:rowOff>0</xdr:rowOff>
    </xdr:from>
    <xdr:ext cx="304800" cy="296956"/>
    <xdr:sp macro="" textlink="">
      <xdr:nvSpPr>
        <xdr:cNvPr id="54" name="AutoShape 1" descr="Resulta ng larawan para sa MS-C2982-PB 2.0MP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SpPr>
          <a:spLocks noChangeAspect="1" noChangeArrowheads="1"/>
        </xdr:cNvSpPr>
      </xdr:nvSpPr>
      <xdr:spPr bwMode="auto">
        <a:xfrm>
          <a:off x="781050" y="8677275"/>
          <a:ext cx="304800" cy="2969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38</xdr:row>
      <xdr:rowOff>0</xdr:rowOff>
    </xdr:from>
    <xdr:ext cx="304800" cy="296956"/>
    <xdr:sp macro="" textlink="">
      <xdr:nvSpPr>
        <xdr:cNvPr id="55" name="AutoShape 1" descr="Resulta ng larawan para sa MS-C2982-PB 2.0MP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SpPr>
          <a:spLocks noChangeAspect="1" noChangeArrowheads="1"/>
        </xdr:cNvSpPr>
      </xdr:nvSpPr>
      <xdr:spPr bwMode="auto">
        <a:xfrm>
          <a:off x="781050" y="10153650"/>
          <a:ext cx="304800" cy="2969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www.intellismartinc.com/" TargetMode="External"/><Relationship Id="rId1" Type="http://schemas.openxmlformats.org/officeDocument/2006/relationships/hyperlink" Target="http://www.intellismartinc.com/" TargetMode="External"/><Relationship Id="rId4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BH18"/>
  <sheetViews>
    <sheetView workbookViewId="0">
      <pane xSplit="14" topLeftCell="O1" activePane="topRight" state="frozen"/>
      <selection pane="topRight" activeCell="O10" sqref="O10:O11"/>
    </sheetView>
  </sheetViews>
  <sheetFormatPr defaultRowHeight="15"/>
  <cols>
    <col min="2" max="2" width="14.7109375" customWidth="1"/>
    <col min="10" max="14" width="0" hidden="1" customWidth="1"/>
    <col min="21" max="23" width="0" hidden="1" customWidth="1"/>
    <col min="35" max="37" width="0" hidden="1" customWidth="1"/>
    <col min="49" max="49" width="12.85546875" hidden="1" customWidth="1"/>
    <col min="50" max="51" width="0" hidden="1" customWidth="1"/>
    <col min="60" max="60" width="12.5703125" customWidth="1"/>
  </cols>
  <sheetData>
    <row r="7" spans="1:60">
      <c r="A7" s="256" t="s">
        <v>53</v>
      </c>
      <c r="B7" s="257" t="s">
        <v>54</v>
      </c>
      <c r="C7" s="259" t="s">
        <v>55</v>
      </c>
      <c r="D7" s="260"/>
      <c r="E7" s="256" t="s">
        <v>335</v>
      </c>
      <c r="F7" s="256"/>
      <c r="G7" s="256"/>
      <c r="H7" s="256"/>
      <c r="I7" s="256"/>
      <c r="J7" s="259" t="s">
        <v>115</v>
      </c>
      <c r="K7" s="260"/>
      <c r="L7" s="260"/>
      <c r="M7" s="260"/>
      <c r="N7" s="261"/>
      <c r="O7" s="256" t="s">
        <v>143</v>
      </c>
      <c r="P7" s="256"/>
      <c r="Q7" s="256"/>
      <c r="R7" s="256"/>
      <c r="S7" s="256"/>
      <c r="T7" s="134" t="s">
        <v>56</v>
      </c>
      <c r="U7" s="134" t="s">
        <v>111</v>
      </c>
      <c r="V7" s="134" t="s">
        <v>113</v>
      </c>
      <c r="W7" s="134" t="s">
        <v>113</v>
      </c>
      <c r="X7" s="134" t="s">
        <v>57</v>
      </c>
      <c r="Y7" s="134" t="s">
        <v>123</v>
      </c>
      <c r="Z7" s="134" t="s">
        <v>125</v>
      </c>
      <c r="AA7" s="134" t="s">
        <v>58</v>
      </c>
      <c r="AB7" s="134" t="s">
        <v>59</v>
      </c>
      <c r="AC7" s="256" t="s">
        <v>145</v>
      </c>
      <c r="AD7" s="256"/>
      <c r="AE7" s="256"/>
      <c r="AF7" s="256"/>
      <c r="AG7" s="256"/>
      <c r="AH7" s="137" t="s">
        <v>56</v>
      </c>
      <c r="AI7" s="137" t="s">
        <v>111</v>
      </c>
      <c r="AJ7" s="137" t="s">
        <v>113</v>
      </c>
      <c r="AK7" s="137" t="s">
        <v>113</v>
      </c>
      <c r="AL7" s="137" t="s">
        <v>57</v>
      </c>
      <c r="AM7" s="137" t="s">
        <v>123</v>
      </c>
      <c r="AN7" s="137" t="s">
        <v>125</v>
      </c>
      <c r="AO7" s="137" t="s">
        <v>58</v>
      </c>
      <c r="AP7" s="137" t="s">
        <v>59</v>
      </c>
      <c r="AQ7" s="256" t="s">
        <v>128</v>
      </c>
      <c r="AR7" s="256"/>
      <c r="AS7" s="256"/>
      <c r="AT7" s="256"/>
      <c r="AU7" s="256"/>
      <c r="AV7" s="91" t="s">
        <v>56</v>
      </c>
      <c r="AW7" s="118" t="s">
        <v>111</v>
      </c>
      <c r="AX7" s="118" t="s">
        <v>113</v>
      </c>
      <c r="AY7" s="118" t="s">
        <v>113</v>
      </c>
      <c r="AZ7" s="91" t="s">
        <v>57</v>
      </c>
      <c r="BA7" s="126" t="s">
        <v>123</v>
      </c>
      <c r="BB7" s="126" t="s">
        <v>125</v>
      </c>
      <c r="BC7" s="91" t="s">
        <v>58</v>
      </c>
      <c r="BD7" s="91" t="s">
        <v>59</v>
      </c>
      <c r="BE7" s="91" t="s">
        <v>60</v>
      </c>
      <c r="BF7" s="91" t="s">
        <v>61</v>
      </c>
      <c r="BG7" s="91" t="s">
        <v>140</v>
      </c>
      <c r="BH7" s="131" t="s">
        <v>129</v>
      </c>
    </row>
    <row r="8" spans="1:60">
      <c r="A8" s="256"/>
      <c r="B8" s="258"/>
      <c r="C8" s="91" t="s">
        <v>62</v>
      </c>
      <c r="D8" s="91" t="s">
        <v>63</v>
      </c>
      <c r="E8" s="118" t="s">
        <v>64</v>
      </c>
      <c r="F8" s="118" t="s">
        <v>65</v>
      </c>
      <c r="G8" s="118" t="s">
        <v>66</v>
      </c>
      <c r="H8" s="118" t="s">
        <v>67</v>
      </c>
      <c r="I8" s="118" t="s">
        <v>68</v>
      </c>
      <c r="J8" s="107" t="s">
        <v>64</v>
      </c>
      <c r="K8" s="91" t="s">
        <v>65</v>
      </c>
      <c r="L8" s="91" t="s">
        <v>66</v>
      </c>
      <c r="M8" s="91" t="s">
        <v>67</v>
      </c>
      <c r="N8" s="91" t="s">
        <v>68</v>
      </c>
      <c r="O8" s="134" t="s">
        <v>69</v>
      </c>
      <c r="P8" s="134" t="s">
        <v>70</v>
      </c>
      <c r="Q8" s="134" t="s">
        <v>71</v>
      </c>
      <c r="R8" s="134" t="s">
        <v>72</v>
      </c>
      <c r="S8" s="92" t="s">
        <v>73</v>
      </c>
      <c r="T8" s="92" t="s">
        <v>74</v>
      </c>
      <c r="U8" s="92" t="s">
        <v>112</v>
      </c>
      <c r="V8" s="92" t="s">
        <v>114</v>
      </c>
      <c r="W8" s="92" t="s">
        <v>75</v>
      </c>
      <c r="X8" s="134" t="s">
        <v>75</v>
      </c>
      <c r="Y8" s="134" t="s">
        <v>124</v>
      </c>
      <c r="Z8" s="134" t="s">
        <v>126</v>
      </c>
      <c r="AA8" s="134" t="s">
        <v>76</v>
      </c>
      <c r="AB8" s="134" t="s">
        <v>77</v>
      </c>
      <c r="AC8" s="137" t="s">
        <v>69</v>
      </c>
      <c r="AD8" s="137" t="s">
        <v>70</v>
      </c>
      <c r="AE8" s="137" t="s">
        <v>71</v>
      </c>
      <c r="AF8" s="137" t="s">
        <v>72</v>
      </c>
      <c r="AG8" s="92" t="s">
        <v>73</v>
      </c>
      <c r="AH8" s="92" t="s">
        <v>74</v>
      </c>
      <c r="AI8" s="92" t="s">
        <v>112</v>
      </c>
      <c r="AJ8" s="92" t="s">
        <v>114</v>
      </c>
      <c r="AK8" s="92" t="s">
        <v>75</v>
      </c>
      <c r="AL8" s="137" t="s">
        <v>75</v>
      </c>
      <c r="AM8" s="137" t="s">
        <v>124</v>
      </c>
      <c r="AN8" s="137" t="s">
        <v>126</v>
      </c>
      <c r="AO8" s="137" t="s">
        <v>76</v>
      </c>
      <c r="AP8" s="137" t="s">
        <v>77</v>
      </c>
      <c r="AQ8" s="91" t="s">
        <v>69</v>
      </c>
      <c r="AR8" s="91" t="s">
        <v>70</v>
      </c>
      <c r="AS8" s="91" t="s">
        <v>71</v>
      </c>
      <c r="AT8" s="91" t="s">
        <v>72</v>
      </c>
      <c r="AU8" s="92" t="s">
        <v>73</v>
      </c>
      <c r="AV8" s="92" t="s">
        <v>74</v>
      </c>
      <c r="AW8" s="92" t="s">
        <v>112</v>
      </c>
      <c r="AX8" s="92" t="s">
        <v>114</v>
      </c>
      <c r="AY8" s="92" t="s">
        <v>75</v>
      </c>
      <c r="AZ8" s="91" t="s">
        <v>75</v>
      </c>
      <c r="BA8" s="126" t="s">
        <v>124</v>
      </c>
      <c r="BB8" s="126" t="s">
        <v>126</v>
      </c>
      <c r="BC8" s="91" t="s">
        <v>76</v>
      </c>
      <c r="BD8" s="91" t="s">
        <v>77</v>
      </c>
      <c r="BE8" s="91" t="s">
        <v>78</v>
      </c>
      <c r="BF8" s="91" t="s">
        <v>79</v>
      </c>
      <c r="BG8" s="91" t="s">
        <v>110</v>
      </c>
      <c r="BH8" s="127" t="s">
        <v>117</v>
      </c>
    </row>
    <row r="9" spans="1:60">
      <c r="A9" s="118"/>
      <c r="B9" s="119"/>
      <c r="C9" s="118"/>
      <c r="D9" s="118"/>
      <c r="E9" s="118"/>
      <c r="F9" s="118"/>
      <c r="G9" s="118"/>
      <c r="H9" s="118"/>
      <c r="I9" s="118"/>
      <c r="J9" s="118"/>
      <c r="K9" s="118"/>
      <c r="L9" s="118"/>
      <c r="M9" s="118"/>
      <c r="N9" s="118"/>
      <c r="O9" s="134"/>
      <c r="P9" s="134"/>
      <c r="Q9" s="134"/>
      <c r="R9" s="134"/>
      <c r="S9" s="92"/>
      <c r="T9" s="92"/>
      <c r="U9" s="92"/>
      <c r="V9" s="92"/>
      <c r="W9" s="92"/>
      <c r="X9" s="134"/>
      <c r="Y9" s="134"/>
      <c r="Z9" s="134"/>
      <c r="AA9" s="134"/>
      <c r="AB9" s="134"/>
      <c r="AC9" s="137"/>
      <c r="AD9" s="137"/>
      <c r="AE9" s="137"/>
      <c r="AF9" s="137"/>
      <c r="AG9" s="92"/>
      <c r="AH9" s="92"/>
      <c r="AI9" s="92"/>
      <c r="AJ9" s="92"/>
      <c r="AK9" s="92"/>
      <c r="AL9" s="137"/>
      <c r="AM9" s="137"/>
      <c r="AN9" s="137"/>
      <c r="AO9" s="137"/>
      <c r="AP9" s="137"/>
      <c r="AQ9" s="118"/>
      <c r="AR9" s="118"/>
      <c r="AS9" s="118"/>
      <c r="AT9" s="118"/>
      <c r="AU9" s="92"/>
      <c r="AV9" s="92"/>
      <c r="AW9" s="92"/>
      <c r="AX9" s="92"/>
      <c r="AY9" s="92"/>
      <c r="AZ9" s="118"/>
      <c r="BA9" s="126"/>
      <c r="BB9" s="126"/>
      <c r="BC9" s="118"/>
      <c r="BD9" s="118"/>
      <c r="BE9" s="118"/>
      <c r="BF9" s="118"/>
      <c r="BG9" s="118"/>
      <c r="BH9" s="127"/>
    </row>
    <row r="10" spans="1:60" ht="15" customHeight="1">
      <c r="A10" s="93">
        <v>1</v>
      </c>
      <c r="B10" s="95" t="s">
        <v>80</v>
      </c>
      <c r="C10" s="93"/>
      <c r="D10" s="93">
        <v>1</v>
      </c>
      <c r="E10" s="117">
        <v>60</v>
      </c>
      <c r="F10" s="117">
        <v>2</v>
      </c>
      <c r="G10" s="117">
        <v>4</v>
      </c>
      <c r="H10" s="117">
        <f>SUM(E10:G10)</f>
        <v>66</v>
      </c>
      <c r="I10" s="252">
        <f>ROUNDUP(H18/305,0)</f>
        <v>1</v>
      </c>
      <c r="J10" s="130"/>
      <c r="K10" s="130"/>
      <c r="L10" s="130"/>
      <c r="M10" s="130"/>
      <c r="N10" s="255"/>
      <c r="O10" s="252">
        <v>0</v>
      </c>
      <c r="P10" s="252">
        <f>O10</f>
        <v>0</v>
      </c>
      <c r="Q10" s="252">
        <f>T10*2</f>
        <v>0</v>
      </c>
      <c r="R10" s="252">
        <f>Q10</f>
        <v>0</v>
      </c>
      <c r="S10" s="252">
        <f>Q10</f>
        <v>0</v>
      </c>
      <c r="T10" s="252">
        <v>0</v>
      </c>
      <c r="U10" s="124"/>
      <c r="V10" s="124"/>
      <c r="W10" s="100">
        <v>0</v>
      </c>
      <c r="X10" s="252">
        <f>ROUNDUP((O10/3),0)*2</f>
        <v>0</v>
      </c>
      <c r="Y10" s="252">
        <f>ROUNDUP(X10/3,0)</f>
        <v>0</v>
      </c>
      <c r="Z10" s="252">
        <f>Y10*3</f>
        <v>0</v>
      </c>
      <c r="AA10" s="252">
        <f>(Z10)*2</f>
        <v>0</v>
      </c>
      <c r="AB10" s="255">
        <f>ROUNDUP(((SUM(O18*3)))/50,0)</f>
        <v>0</v>
      </c>
      <c r="AC10" s="205"/>
      <c r="AD10" s="205">
        <f>AC10</f>
        <v>0</v>
      </c>
      <c r="AE10" s="205">
        <f>AH10*2</f>
        <v>0</v>
      </c>
      <c r="AF10" s="205">
        <f>AE10</f>
        <v>0</v>
      </c>
      <c r="AG10" s="205">
        <f>AE10</f>
        <v>0</v>
      </c>
      <c r="AH10" s="205"/>
      <c r="AI10" s="138"/>
      <c r="AJ10" s="138"/>
      <c r="AK10" s="205">
        <v>0</v>
      </c>
      <c r="AL10" s="205">
        <f>ROUNDUP((AC10/3),0)*2</f>
        <v>0</v>
      </c>
      <c r="AM10" s="205">
        <f>ROUNDUP(AL10/3,0)</f>
        <v>0</v>
      </c>
      <c r="AN10" s="205">
        <f>AM10*3</f>
        <v>0</v>
      </c>
      <c r="AO10" s="205">
        <f>(AN10)*2</f>
        <v>0</v>
      </c>
      <c r="AP10" s="252">
        <f>ROUNDUP(((SUM(AC18*3)))/50,0)</f>
        <v>0</v>
      </c>
      <c r="AQ10" s="252">
        <v>0</v>
      </c>
      <c r="AR10" s="252">
        <f>AQ10</f>
        <v>0</v>
      </c>
      <c r="AS10" s="252">
        <f>AV10*2</f>
        <v>0</v>
      </c>
      <c r="AT10" s="252">
        <f>AS10</f>
        <v>0</v>
      </c>
      <c r="AU10" s="252">
        <f>AS10</f>
        <v>0</v>
      </c>
      <c r="AV10" s="252">
        <v>0</v>
      </c>
      <c r="AW10" s="124"/>
      <c r="AX10" s="124"/>
      <c r="AY10" s="100">
        <v>0</v>
      </c>
      <c r="AZ10" s="252">
        <f>ROUNDUP((AQ10/3),0)*2</f>
        <v>0</v>
      </c>
      <c r="BA10" s="252">
        <f>ROUNDUP(AZ10/3,0)</f>
        <v>0</v>
      </c>
      <c r="BB10" s="252">
        <f>BA10*3</f>
        <v>0</v>
      </c>
      <c r="BC10" s="252">
        <f>(BB10)*2</f>
        <v>0</v>
      </c>
      <c r="BD10" s="252">
        <f>ROUNDUP(((SUM(AQ18*3)))/50,0)</f>
        <v>0</v>
      </c>
      <c r="BE10" s="93">
        <f t="shared" ref="BE10:BE12" si="0">F10</f>
        <v>2</v>
      </c>
      <c r="BF10" s="93">
        <f>BE10</f>
        <v>2</v>
      </c>
      <c r="BG10" s="96">
        <f t="shared" ref="BG10:BG13" si="1">SUM(C10:D10)*2</f>
        <v>2</v>
      </c>
      <c r="BH10" s="252">
        <v>4</v>
      </c>
    </row>
    <row r="11" spans="1:60" ht="15" customHeight="1">
      <c r="A11" s="93">
        <f>A10+1</f>
        <v>2</v>
      </c>
      <c r="B11" s="95" t="s">
        <v>81</v>
      </c>
      <c r="C11" s="128"/>
      <c r="D11" s="129">
        <v>1</v>
      </c>
      <c r="E11" s="117">
        <v>47</v>
      </c>
      <c r="F11" s="117">
        <v>2</v>
      </c>
      <c r="G11" s="129">
        <v>4</v>
      </c>
      <c r="H11" s="117">
        <f t="shared" ref="H11:H13" si="2">SUM(E11:G11)</f>
        <v>53</v>
      </c>
      <c r="I11" s="253"/>
      <c r="J11" s="130"/>
      <c r="K11" s="130"/>
      <c r="L11" s="130"/>
      <c r="M11" s="130"/>
      <c r="N11" s="255"/>
      <c r="O11" s="254"/>
      <c r="P11" s="254"/>
      <c r="Q11" s="254"/>
      <c r="R11" s="254"/>
      <c r="S11" s="254"/>
      <c r="T11" s="254"/>
      <c r="U11" s="124"/>
      <c r="V11" s="124"/>
      <c r="W11" s="100"/>
      <c r="X11" s="254"/>
      <c r="Y11" s="254"/>
      <c r="Z11" s="254"/>
      <c r="AA11" s="254"/>
      <c r="AB11" s="255"/>
      <c r="AC11" s="205"/>
      <c r="AD11" s="205"/>
      <c r="AE11" s="205"/>
      <c r="AF11" s="205"/>
      <c r="AG11" s="205"/>
      <c r="AH11" s="205"/>
      <c r="AI11" s="138"/>
      <c r="AJ11" s="138"/>
      <c r="AK11" s="205"/>
      <c r="AL11" s="205"/>
      <c r="AM11" s="205"/>
      <c r="AN11" s="205"/>
      <c r="AO11" s="205"/>
      <c r="AP11" s="253"/>
      <c r="AQ11" s="253"/>
      <c r="AR11" s="253"/>
      <c r="AS11" s="253"/>
      <c r="AT11" s="253"/>
      <c r="AU11" s="253"/>
      <c r="AV11" s="253"/>
      <c r="AW11" s="124"/>
      <c r="AX11" s="124"/>
      <c r="AY11" s="100"/>
      <c r="AZ11" s="253"/>
      <c r="BA11" s="253"/>
      <c r="BB11" s="253"/>
      <c r="BC11" s="253"/>
      <c r="BD11" s="253"/>
      <c r="BE11" s="117">
        <f t="shared" si="0"/>
        <v>2</v>
      </c>
      <c r="BF11" s="115">
        <f t="shared" ref="BF11:BF13" si="3">BE11</f>
        <v>2</v>
      </c>
      <c r="BG11" s="125">
        <f t="shared" si="1"/>
        <v>2</v>
      </c>
      <c r="BH11" s="253"/>
    </row>
    <row r="12" spans="1:60" ht="15" customHeight="1">
      <c r="A12" s="115">
        <f t="shared" ref="A12:A16" si="4">A11+1</f>
        <v>3</v>
      </c>
      <c r="B12" s="95" t="s">
        <v>101</v>
      </c>
      <c r="C12" s="128"/>
      <c r="D12" s="129">
        <v>1</v>
      </c>
      <c r="E12" s="130">
        <v>38</v>
      </c>
      <c r="F12" s="117">
        <v>2</v>
      </c>
      <c r="G12" s="129">
        <v>4</v>
      </c>
      <c r="H12" s="117">
        <f t="shared" si="2"/>
        <v>44</v>
      </c>
      <c r="I12" s="253"/>
      <c r="J12" s="130"/>
      <c r="K12" s="130"/>
      <c r="L12" s="130"/>
      <c r="M12" s="130"/>
      <c r="N12" s="255"/>
      <c r="O12" s="140">
        <v>0</v>
      </c>
      <c r="P12" s="140">
        <f>O12</f>
        <v>0</v>
      </c>
      <c r="Q12" s="140">
        <f>T12*2</f>
        <v>0</v>
      </c>
      <c r="R12" s="140">
        <f>Q12</f>
        <v>0</v>
      </c>
      <c r="S12" s="140">
        <f>Q12</f>
        <v>0</v>
      </c>
      <c r="T12" s="140"/>
      <c r="U12" s="138"/>
      <c r="V12" s="138"/>
      <c r="W12" s="140">
        <v>0</v>
      </c>
      <c r="X12" s="140">
        <f>ROUNDUP((O12/3),0)*2</f>
        <v>0</v>
      </c>
      <c r="Y12" s="140">
        <f>ROUNDUP(X12/3,0)</f>
        <v>0</v>
      </c>
      <c r="Z12" s="140">
        <f>Y12*3</f>
        <v>0</v>
      </c>
      <c r="AA12" s="140">
        <f>(Z12)*2</f>
        <v>0</v>
      </c>
      <c r="AB12" s="255"/>
      <c r="AC12" s="252">
        <v>0</v>
      </c>
      <c r="AD12" s="252">
        <f>AC12</f>
        <v>0</v>
      </c>
      <c r="AE12" s="252">
        <f>AH12*2</f>
        <v>0</v>
      </c>
      <c r="AF12" s="252">
        <f>AE12</f>
        <v>0</v>
      </c>
      <c r="AG12" s="252">
        <f>AE12</f>
        <v>0</v>
      </c>
      <c r="AH12" s="252">
        <v>0</v>
      </c>
      <c r="AI12" s="124"/>
      <c r="AJ12" s="124"/>
      <c r="AK12" s="100">
        <v>0</v>
      </c>
      <c r="AL12" s="252">
        <f>ROUNDUP((AC12/3),0)*2</f>
        <v>0</v>
      </c>
      <c r="AM12" s="252">
        <f>ROUNDUP(AL12/3,0)</f>
        <v>0</v>
      </c>
      <c r="AN12" s="252">
        <f>AM12*3</f>
        <v>0</v>
      </c>
      <c r="AO12" s="252">
        <f>(AN12)*2</f>
        <v>0</v>
      </c>
      <c r="AP12" s="253"/>
      <c r="AQ12" s="253"/>
      <c r="AR12" s="253"/>
      <c r="AS12" s="253"/>
      <c r="AT12" s="253"/>
      <c r="AU12" s="253"/>
      <c r="AV12" s="253"/>
      <c r="AW12" s="124"/>
      <c r="AX12" s="124"/>
      <c r="AY12" s="100"/>
      <c r="AZ12" s="253"/>
      <c r="BA12" s="253"/>
      <c r="BB12" s="253"/>
      <c r="BC12" s="253"/>
      <c r="BD12" s="253"/>
      <c r="BE12" s="117">
        <f t="shared" si="0"/>
        <v>2</v>
      </c>
      <c r="BF12" s="115">
        <f t="shared" si="3"/>
        <v>2</v>
      </c>
      <c r="BG12" s="125">
        <f t="shared" si="1"/>
        <v>2</v>
      </c>
      <c r="BH12" s="253"/>
    </row>
    <row r="13" spans="1:60" ht="15" customHeight="1">
      <c r="A13" s="115">
        <f t="shared" si="4"/>
        <v>4</v>
      </c>
      <c r="B13" s="95" t="s">
        <v>102</v>
      </c>
      <c r="C13" s="128"/>
      <c r="D13" s="129">
        <v>1</v>
      </c>
      <c r="E13" s="130">
        <v>27</v>
      </c>
      <c r="F13" s="117">
        <v>2</v>
      </c>
      <c r="G13" s="129">
        <v>4</v>
      </c>
      <c r="H13" s="117">
        <f t="shared" si="2"/>
        <v>33</v>
      </c>
      <c r="I13" s="253"/>
      <c r="J13" s="130"/>
      <c r="K13" s="130"/>
      <c r="L13" s="130"/>
      <c r="M13" s="130"/>
      <c r="N13" s="255"/>
      <c r="O13" s="200">
        <v>0</v>
      </c>
      <c r="P13" s="200">
        <f>O13</f>
        <v>0</v>
      </c>
      <c r="Q13" s="200">
        <f>T13*2</f>
        <v>0</v>
      </c>
      <c r="R13" s="200">
        <f>Q13</f>
        <v>0</v>
      </c>
      <c r="S13" s="200">
        <f>Q13</f>
        <v>0</v>
      </c>
      <c r="T13" s="200"/>
      <c r="U13" s="138"/>
      <c r="V13" s="138"/>
      <c r="W13" s="200">
        <v>0</v>
      </c>
      <c r="X13" s="200">
        <f>ROUNDUP((O13/3),0)*2</f>
        <v>0</v>
      </c>
      <c r="Y13" s="200">
        <f>ROUNDUP(X13/3,0)</f>
        <v>0</v>
      </c>
      <c r="Z13" s="200">
        <f>Y13*3</f>
        <v>0</v>
      </c>
      <c r="AA13" s="200">
        <f>(Z13)*2</f>
        <v>0</v>
      </c>
      <c r="AB13" s="255"/>
      <c r="AC13" s="253"/>
      <c r="AD13" s="253"/>
      <c r="AE13" s="253"/>
      <c r="AF13" s="253"/>
      <c r="AG13" s="253"/>
      <c r="AH13" s="253"/>
      <c r="AI13" s="138"/>
      <c r="AJ13" s="138"/>
      <c r="AK13" s="205"/>
      <c r="AL13" s="253"/>
      <c r="AM13" s="253"/>
      <c r="AN13" s="253"/>
      <c r="AO13" s="253"/>
      <c r="AP13" s="253"/>
      <c r="AQ13" s="255">
        <v>0</v>
      </c>
      <c r="AR13" s="255">
        <f>AQ13</f>
        <v>0</v>
      </c>
      <c r="AS13" s="255">
        <f>AV13*2</f>
        <v>0</v>
      </c>
      <c r="AT13" s="255">
        <f>AS13</f>
        <v>0</v>
      </c>
      <c r="AU13" s="255">
        <f>AS13</f>
        <v>0</v>
      </c>
      <c r="AV13" s="255">
        <v>0</v>
      </c>
      <c r="AW13" s="124"/>
      <c r="AX13" s="124"/>
      <c r="AY13" s="100">
        <v>0</v>
      </c>
      <c r="AZ13" s="255">
        <f>ROUNDUP((AQ13/3),0)*2</f>
        <v>0</v>
      </c>
      <c r="BA13" s="255">
        <f>ROUNDUP(AZ13/3,0)</f>
        <v>0</v>
      </c>
      <c r="BB13" s="255">
        <f>BA13*3</f>
        <v>0</v>
      </c>
      <c r="BC13" s="255">
        <f>(BB13)*2</f>
        <v>0</v>
      </c>
      <c r="BD13" s="253"/>
      <c r="BE13" s="117">
        <f t="shared" ref="BE13" si="5">F13</f>
        <v>2</v>
      </c>
      <c r="BF13" s="115">
        <f t="shared" si="3"/>
        <v>2</v>
      </c>
      <c r="BG13" s="125">
        <f t="shared" si="1"/>
        <v>2</v>
      </c>
      <c r="BH13" s="253"/>
    </row>
    <row r="14" spans="1:60" ht="15" customHeight="1">
      <c r="A14" s="202">
        <f t="shared" si="4"/>
        <v>5</v>
      </c>
      <c r="B14" s="95" t="s">
        <v>289</v>
      </c>
      <c r="C14" s="202"/>
      <c r="D14" s="202">
        <v>1</v>
      </c>
      <c r="E14" s="202">
        <v>22</v>
      </c>
      <c r="F14" s="202">
        <v>2</v>
      </c>
      <c r="G14" s="202">
        <v>4</v>
      </c>
      <c r="H14" s="202">
        <f t="shared" ref="H14:H16" si="6">SUM(E14:G14)</f>
        <v>28</v>
      </c>
      <c r="I14" s="253"/>
      <c r="J14" s="201"/>
      <c r="K14" s="201"/>
      <c r="L14" s="201"/>
      <c r="M14" s="201"/>
      <c r="N14" s="201"/>
      <c r="O14" s="202"/>
      <c r="P14" s="202"/>
      <c r="Q14" s="202"/>
      <c r="R14" s="202"/>
      <c r="S14" s="202"/>
      <c r="T14" s="202"/>
      <c r="U14" s="138"/>
      <c r="V14" s="138"/>
      <c r="W14" s="202"/>
      <c r="X14" s="202"/>
      <c r="Y14" s="202"/>
      <c r="Z14" s="202"/>
      <c r="AA14" s="202"/>
      <c r="AB14" s="255"/>
      <c r="AC14" s="254"/>
      <c r="AD14" s="254"/>
      <c r="AE14" s="254"/>
      <c r="AF14" s="254"/>
      <c r="AG14" s="254"/>
      <c r="AH14" s="254"/>
      <c r="AI14" s="124"/>
      <c r="AJ14" s="124"/>
      <c r="AK14" s="100"/>
      <c r="AL14" s="254"/>
      <c r="AM14" s="254"/>
      <c r="AN14" s="254"/>
      <c r="AO14" s="254"/>
      <c r="AP14" s="253"/>
      <c r="AQ14" s="255"/>
      <c r="AR14" s="255"/>
      <c r="AS14" s="255"/>
      <c r="AT14" s="255"/>
      <c r="AU14" s="255"/>
      <c r="AV14" s="255"/>
      <c r="AW14" s="124"/>
      <c r="AX14" s="124"/>
      <c r="AY14" s="100"/>
      <c r="AZ14" s="255"/>
      <c r="BA14" s="255"/>
      <c r="BB14" s="255"/>
      <c r="BC14" s="255"/>
      <c r="BD14" s="253"/>
      <c r="BE14" s="205">
        <f t="shared" ref="BE14:BE16" si="7">F14</f>
        <v>2</v>
      </c>
      <c r="BF14" s="205">
        <f t="shared" ref="BF14:BF16" si="8">BE14</f>
        <v>2</v>
      </c>
      <c r="BG14" s="204">
        <f t="shared" ref="BG14:BG16" si="9">SUM(C14:D14)*2</f>
        <v>2</v>
      </c>
      <c r="BH14" s="253"/>
    </row>
    <row r="15" spans="1:60" ht="15" customHeight="1">
      <c r="A15" s="202">
        <f t="shared" si="4"/>
        <v>6</v>
      </c>
      <c r="B15" s="95" t="s">
        <v>290</v>
      </c>
      <c r="C15" s="202"/>
      <c r="D15" s="202">
        <v>1</v>
      </c>
      <c r="E15" s="202">
        <v>16</v>
      </c>
      <c r="F15" s="202">
        <v>2</v>
      </c>
      <c r="G15" s="202">
        <v>4</v>
      </c>
      <c r="H15" s="202">
        <f t="shared" si="6"/>
        <v>22</v>
      </c>
      <c r="I15" s="253"/>
      <c r="J15" s="201"/>
      <c r="K15" s="201"/>
      <c r="L15" s="201"/>
      <c r="M15" s="201"/>
      <c r="N15" s="201"/>
      <c r="O15" s="202"/>
      <c r="P15" s="202"/>
      <c r="Q15" s="202"/>
      <c r="R15" s="202"/>
      <c r="S15" s="202"/>
      <c r="T15" s="202"/>
      <c r="U15" s="138"/>
      <c r="V15" s="138"/>
      <c r="W15" s="202"/>
      <c r="X15" s="202"/>
      <c r="Y15" s="202"/>
      <c r="Z15" s="202"/>
      <c r="AA15" s="202"/>
      <c r="AB15" s="255"/>
      <c r="AC15" s="201"/>
      <c r="AD15" s="201"/>
      <c r="AE15" s="201"/>
      <c r="AF15" s="201"/>
      <c r="AG15" s="201"/>
      <c r="AH15" s="201"/>
      <c r="AI15" s="124"/>
      <c r="AJ15" s="124"/>
      <c r="AK15" s="100"/>
      <c r="AL15" s="201"/>
      <c r="AM15" s="201"/>
      <c r="AN15" s="201"/>
      <c r="AO15" s="201"/>
      <c r="AP15" s="253"/>
      <c r="AQ15" s="255"/>
      <c r="AR15" s="255"/>
      <c r="AS15" s="255"/>
      <c r="AT15" s="255"/>
      <c r="AU15" s="255"/>
      <c r="AV15" s="255"/>
      <c r="AW15" s="124"/>
      <c r="AX15" s="124"/>
      <c r="AY15" s="100"/>
      <c r="AZ15" s="255"/>
      <c r="BA15" s="255"/>
      <c r="BB15" s="255"/>
      <c r="BC15" s="255"/>
      <c r="BD15" s="253"/>
      <c r="BE15" s="205">
        <f t="shared" si="7"/>
        <v>2</v>
      </c>
      <c r="BF15" s="205">
        <f t="shared" si="8"/>
        <v>2</v>
      </c>
      <c r="BG15" s="204">
        <f t="shared" si="9"/>
        <v>2</v>
      </c>
      <c r="BH15" s="253"/>
    </row>
    <row r="16" spans="1:60" ht="15" customHeight="1">
      <c r="A16" s="202">
        <f t="shared" si="4"/>
        <v>7</v>
      </c>
      <c r="B16" s="95" t="s">
        <v>291</v>
      </c>
      <c r="C16" s="202"/>
      <c r="D16" s="202">
        <v>1</v>
      </c>
      <c r="E16" s="202">
        <v>9</v>
      </c>
      <c r="F16" s="202">
        <v>2</v>
      </c>
      <c r="G16" s="202">
        <v>4</v>
      </c>
      <c r="H16" s="202">
        <f t="shared" si="6"/>
        <v>15</v>
      </c>
      <c r="I16" s="253"/>
      <c r="J16" s="201"/>
      <c r="K16" s="201"/>
      <c r="L16" s="201"/>
      <c r="M16" s="201"/>
      <c r="N16" s="201"/>
      <c r="O16" s="202"/>
      <c r="P16" s="202"/>
      <c r="Q16" s="202"/>
      <c r="R16" s="202"/>
      <c r="S16" s="202"/>
      <c r="T16" s="202"/>
      <c r="U16" s="138"/>
      <c r="V16" s="138"/>
      <c r="W16" s="202"/>
      <c r="X16" s="202"/>
      <c r="Y16" s="202"/>
      <c r="Z16" s="202"/>
      <c r="AA16" s="202"/>
      <c r="AB16" s="255"/>
      <c r="AC16" s="250">
        <v>0</v>
      </c>
      <c r="AD16" s="250">
        <f>AC16</f>
        <v>0</v>
      </c>
      <c r="AE16" s="250">
        <f>AH16*2</f>
        <v>0</v>
      </c>
      <c r="AF16" s="250">
        <f>AE16</f>
        <v>0</v>
      </c>
      <c r="AG16" s="250">
        <f>AE16</f>
        <v>0</v>
      </c>
      <c r="AH16" s="250">
        <v>0</v>
      </c>
      <c r="AI16" s="124"/>
      <c r="AJ16" s="124"/>
      <c r="AK16" s="100">
        <v>0</v>
      </c>
      <c r="AL16" s="250">
        <f>ROUNDUP((AC16/3),0)*2</f>
        <v>0</v>
      </c>
      <c r="AM16" s="250">
        <f>ROUNDUP(AL16/3,0)</f>
        <v>0</v>
      </c>
      <c r="AN16" s="250">
        <f>AM16*3</f>
        <v>0</v>
      </c>
      <c r="AO16" s="250">
        <f>(AN16)*2</f>
        <v>0</v>
      </c>
      <c r="AP16" s="253"/>
      <c r="AQ16" s="101"/>
      <c r="AR16" s="101"/>
      <c r="AS16" s="101"/>
      <c r="AT16" s="101"/>
      <c r="AU16" s="101"/>
      <c r="AV16" s="101"/>
      <c r="AW16" s="248"/>
      <c r="AX16" s="248"/>
      <c r="AY16" s="249"/>
      <c r="AZ16" s="101"/>
      <c r="BA16" s="101"/>
      <c r="BB16" s="101"/>
      <c r="BC16" s="101"/>
      <c r="BD16" s="253"/>
      <c r="BE16" s="205">
        <f t="shared" si="7"/>
        <v>2</v>
      </c>
      <c r="BF16" s="205">
        <f t="shared" si="8"/>
        <v>2</v>
      </c>
      <c r="BG16" s="204">
        <f t="shared" si="9"/>
        <v>2</v>
      </c>
      <c r="BH16" s="253"/>
    </row>
    <row r="17" spans="1:60" ht="18.75">
      <c r="A17" s="97"/>
      <c r="B17" s="98"/>
      <c r="C17" s="97"/>
      <c r="D17" s="97"/>
      <c r="E17" s="97"/>
      <c r="F17" s="97"/>
      <c r="G17" s="97"/>
      <c r="H17" s="97"/>
      <c r="I17" s="97"/>
      <c r="J17" s="99"/>
      <c r="K17" s="99"/>
      <c r="L17" s="99"/>
      <c r="M17" s="99"/>
      <c r="N17" s="99"/>
      <c r="O17" s="135"/>
      <c r="P17" s="135"/>
      <c r="Q17" s="135"/>
      <c r="R17" s="135"/>
      <c r="S17" s="135"/>
      <c r="T17" s="135"/>
      <c r="U17" s="138"/>
      <c r="V17" s="138"/>
      <c r="W17" s="135"/>
      <c r="X17" s="135"/>
      <c r="Y17" s="135"/>
      <c r="Z17" s="135"/>
      <c r="AA17" s="135"/>
      <c r="AB17" s="255"/>
      <c r="AC17" s="136"/>
      <c r="AD17" s="136"/>
      <c r="AE17" s="136"/>
      <c r="AF17" s="136"/>
      <c r="AG17" s="136"/>
      <c r="AH17" s="136"/>
      <c r="AI17" s="138"/>
      <c r="AJ17" s="138"/>
      <c r="AK17" s="136"/>
      <c r="AL17" s="136"/>
      <c r="AM17" s="136"/>
      <c r="AN17" s="136"/>
      <c r="AO17" s="136"/>
      <c r="AP17" s="101"/>
      <c r="AQ17" s="100"/>
      <c r="AR17" s="100"/>
      <c r="AS17" s="100"/>
      <c r="AT17" s="100"/>
      <c r="AU17" s="100"/>
      <c r="AV17" s="100"/>
      <c r="AW17" s="100"/>
      <c r="AX17" s="100"/>
      <c r="AY17" s="100"/>
      <c r="AZ17" s="100"/>
      <c r="BA17" s="100"/>
      <c r="BB17" s="100"/>
      <c r="BC17" s="100"/>
      <c r="BD17" s="101"/>
      <c r="BE17" s="97"/>
      <c r="BF17" s="97"/>
      <c r="BG17" s="97"/>
      <c r="BH17" s="97"/>
    </row>
    <row r="18" spans="1:60">
      <c r="A18" s="91"/>
      <c r="B18" s="94"/>
      <c r="C18" s="91">
        <f>SUM(C10:C17)</f>
        <v>0</v>
      </c>
      <c r="D18" s="91">
        <f>SUM(D10:D17)</f>
        <v>7</v>
      </c>
      <c r="E18" s="118"/>
      <c r="F18" s="118"/>
      <c r="G18" s="118"/>
      <c r="H18" s="118">
        <f>SUM(H10:H17)</f>
        <v>261</v>
      </c>
      <c r="I18" s="118">
        <f>SUM(I10:I13)</f>
        <v>1</v>
      </c>
      <c r="J18" s="107"/>
      <c r="K18" s="91"/>
      <c r="L18" s="91"/>
      <c r="M18" s="91">
        <f>SUM(M10:M17)</f>
        <v>0</v>
      </c>
      <c r="N18" s="91">
        <f>SUM(N10:N13)</f>
        <v>0</v>
      </c>
      <c r="O18" s="134">
        <f>ROUNDUP((SUM(O10:O17)/3)/5,0)*5</f>
        <v>0</v>
      </c>
      <c r="P18" s="134">
        <f t="shared" ref="P18:Z18" si="10">ROUNDUP(SUM(P10:P17)/5,0)*5</f>
        <v>0</v>
      </c>
      <c r="Q18" s="134">
        <f t="shared" si="10"/>
        <v>0</v>
      </c>
      <c r="R18" s="134">
        <f t="shared" si="10"/>
        <v>0</v>
      </c>
      <c r="S18" s="134">
        <f t="shared" si="10"/>
        <v>0</v>
      </c>
      <c r="T18" s="134">
        <f t="shared" si="10"/>
        <v>0</v>
      </c>
      <c r="U18" s="134">
        <f t="shared" si="10"/>
        <v>0</v>
      </c>
      <c r="V18" s="134">
        <f t="shared" si="10"/>
        <v>0</v>
      </c>
      <c r="W18" s="134">
        <f t="shared" si="10"/>
        <v>0</v>
      </c>
      <c r="X18" s="134">
        <f t="shared" si="10"/>
        <v>0</v>
      </c>
      <c r="Y18" s="134">
        <f t="shared" si="10"/>
        <v>0</v>
      </c>
      <c r="Z18" s="134">
        <f t="shared" si="10"/>
        <v>0</v>
      </c>
      <c r="AA18" s="134">
        <f>(ROUNDUP((SUM(AA10:AA17))/5,0))*5</f>
        <v>0</v>
      </c>
      <c r="AB18" s="134">
        <f>SUM(AB10:AB17)</f>
        <v>0</v>
      </c>
      <c r="AC18" s="137">
        <f>ROUNDUP((SUM(AC10:AC17)/3)/5,0)*5</f>
        <v>0</v>
      </c>
      <c r="AD18" s="137">
        <f t="shared" ref="AD18:AN18" si="11">ROUNDUP(SUM(AD10:AD17)/5,0)*5</f>
        <v>0</v>
      </c>
      <c r="AE18" s="137">
        <f t="shared" si="11"/>
        <v>0</v>
      </c>
      <c r="AF18" s="137">
        <f t="shared" si="11"/>
        <v>0</v>
      </c>
      <c r="AG18" s="137">
        <f t="shared" si="11"/>
        <v>0</v>
      </c>
      <c r="AH18" s="137">
        <f t="shared" si="11"/>
        <v>0</v>
      </c>
      <c r="AI18" s="137">
        <f t="shared" si="11"/>
        <v>0</v>
      </c>
      <c r="AJ18" s="137">
        <f t="shared" si="11"/>
        <v>0</v>
      </c>
      <c r="AK18" s="137">
        <f t="shared" si="11"/>
        <v>0</v>
      </c>
      <c r="AL18" s="137">
        <f t="shared" si="11"/>
        <v>0</v>
      </c>
      <c r="AM18" s="137">
        <f t="shared" si="11"/>
        <v>0</v>
      </c>
      <c r="AN18" s="137">
        <f t="shared" si="11"/>
        <v>0</v>
      </c>
      <c r="AO18" s="137">
        <f>(ROUNDUP((SUM(AO10:AO17))/5,0))*5</f>
        <v>0</v>
      </c>
      <c r="AP18" s="137">
        <f>SUM(AP10:AP17)</f>
        <v>0</v>
      </c>
      <c r="AQ18" s="91">
        <f>ROUNDUP((SUM(AQ10:AQ17)/3)/5,0)*5</f>
        <v>0</v>
      </c>
      <c r="AR18" s="91">
        <f t="shared" ref="AR18:BB18" si="12">ROUNDUP(SUM(AR10:AR17)/5,0)*5</f>
        <v>0</v>
      </c>
      <c r="AS18" s="91">
        <f t="shared" si="12"/>
        <v>0</v>
      </c>
      <c r="AT18" s="91">
        <f t="shared" si="12"/>
        <v>0</v>
      </c>
      <c r="AU18" s="91">
        <f t="shared" si="12"/>
        <v>0</v>
      </c>
      <c r="AV18" s="91">
        <f t="shared" si="12"/>
        <v>0</v>
      </c>
      <c r="AW18" s="118">
        <f t="shared" si="12"/>
        <v>0</v>
      </c>
      <c r="AX18" s="118">
        <f t="shared" si="12"/>
        <v>0</v>
      </c>
      <c r="AY18" s="118">
        <f t="shared" si="12"/>
        <v>0</v>
      </c>
      <c r="AZ18" s="91">
        <f t="shared" si="12"/>
        <v>0</v>
      </c>
      <c r="BA18" s="126">
        <f t="shared" si="12"/>
        <v>0</v>
      </c>
      <c r="BB18" s="126">
        <f t="shared" si="12"/>
        <v>0</v>
      </c>
      <c r="BC18" s="91">
        <f>(ROUNDUP((SUM(BC10:BC17))/5,0))*5</f>
        <v>0</v>
      </c>
      <c r="BD18" s="91">
        <f>SUM(BD10:BD17)</f>
        <v>0</v>
      </c>
      <c r="BE18" s="91">
        <f>ROUNDUP(SUM(BE10:BE17)/5,0)*5</f>
        <v>15</v>
      </c>
      <c r="BF18" s="118">
        <f>ROUNDUP(SUM(BF10:BF17)/5,0)*5</f>
        <v>15</v>
      </c>
      <c r="BG18" s="118">
        <f>ROUNDUP(SUM(BG10:BG17)/5,0)*5</f>
        <v>15</v>
      </c>
      <c r="BH18" s="127">
        <f>ROUNDUP((SUM(BH10:BH17)/3),0)</f>
        <v>2</v>
      </c>
    </row>
  </sheetData>
  <mergeCells count="54">
    <mergeCell ref="BB10:BB12"/>
    <mergeCell ref="BC10:BC12"/>
    <mergeCell ref="AV13:AV15"/>
    <mergeCell ref="AZ13:AZ15"/>
    <mergeCell ref="BA13:BA15"/>
    <mergeCell ref="BB13:BB15"/>
    <mergeCell ref="BC13:BC15"/>
    <mergeCell ref="AH12:AH14"/>
    <mergeCell ref="AQ7:AU7"/>
    <mergeCell ref="AC7:AG7"/>
    <mergeCell ref="AR13:AR15"/>
    <mergeCell ref="AS13:AS15"/>
    <mergeCell ref="AT13:AT15"/>
    <mergeCell ref="AU13:AU15"/>
    <mergeCell ref="T10:T11"/>
    <mergeCell ref="AB10:AB17"/>
    <mergeCell ref="AE12:AE14"/>
    <mergeCell ref="AF12:AF14"/>
    <mergeCell ref="AG12:AG14"/>
    <mergeCell ref="AC12:AC14"/>
    <mergeCell ref="AD12:AD14"/>
    <mergeCell ref="X10:X11"/>
    <mergeCell ref="Y10:Y11"/>
    <mergeCell ref="Z10:Z11"/>
    <mergeCell ref="AA10:AA11"/>
    <mergeCell ref="A7:A8"/>
    <mergeCell ref="B7:B8"/>
    <mergeCell ref="C7:D7"/>
    <mergeCell ref="N10:N13"/>
    <mergeCell ref="O10:O11"/>
    <mergeCell ref="J7:N7"/>
    <mergeCell ref="E7:I7"/>
    <mergeCell ref="O7:S7"/>
    <mergeCell ref="I10:I16"/>
    <mergeCell ref="P10:P11"/>
    <mergeCell ref="Q10:Q11"/>
    <mergeCell ref="R10:R11"/>
    <mergeCell ref="S10:S11"/>
    <mergeCell ref="BH10:BH16"/>
    <mergeCell ref="AP10:AP16"/>
    <mergeCell ref="BD10:BD16"/>
    <mergeCell ref="AL12:AL14"/>
    <mergeCell ref="AM12:AM14"/>
    <mergeCell ref="AN12:AN14"/>
    <mergeCell ref="AQ10:AQ12"/>
    <mergeCell ref="AR10:AR12"/>
    <mergeCell ref="AS10:AS12"/>
    <mergeCell ref="AT10:AT12"/>
    <mergeCell ref="AU10:AU12"/>
    <mergeCell ref="AQ13:AQ15"/>
    <mergeCell ref="AO12:AO14"/>
    <mergeCell ref="AV10:AV12"/>
    <mergeCell ref="AZ10:AZ12"/>
    <mergeCell ref="BA10:BA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8"/>
  <sheetViews>
    <sheetView topLeftCell="B50" zoomScale="85" zoomScaleNormal="85" workbookViewId="0">
      <selection activeCell="B32" sqref="B32:C32"/>
    </sheetView>
  </sheetViews>
  <sheetFormatPr defaultRowHeight="15"/>
  <cols>
    <col min="1" max="1" width="17.28515625" style="141" customWidth="1"/>
    <col min="2" max="2" width="11" style="141" customWidth="1"/>
    <col min="3" max="3" width="50.7109375" style="141" customWidth="1"/>
    <col min="4" max="4" width="12.28515625" style="102" customWidth="1"/>
    <col min="5" max="5" width="20" style="141" bestFit="1" customWidth="1"/>
    <col min="6" max="7" width="9.140625" style="141"/>
    <col min="8" max="9" width="12" style="141" customWidth="1"/>
    <col min="10" max="13" width="15" style="185" customWidth="1"/>
    <col min="14" max="14" width="9.85546875" style="141" bestFit="1" customWidth="1"/>
    <col min="15" max="16384" width="9.140625" style="141"/>
  </cols>
  <sheetData>
    <row r="1" spans="1:11" ht="60" customHeight="1">
      <c r="A1" s="266" t="s">
        <v>146</v>
      </c>
      <c r="B1" s="266"/>
      <c r="C1" s="266"/>
      <c r="D1" s="266"/>
      <c r="E1" s="266"/>
      <c r="F1" s="266"/>
      <c r="G1" s="266"/>
      <c r="H1" s="266"/>
      <c r="I1" s="266"/>
      <c r="J1" s="266"/>
      <c r="K1" s="266"/>
    </row>
    <row r="2" spans="1:11">
      <c r="A2" s="141" t="s">
        <v>147</v>
      </c>
      <c r="B2" s="141" t="s">
        <v>373</v>
      </c>
    </row>
    <row r="3" spans="1:11">
      <c r="A3" s="141" t="s">
        <v>82</v>
      </c>
      <c r="B3" s="141" t="s">
        <v>357</v>
      </c>
    </row>
    <row r="4" spans="1:11">
      <c r="A4" s="141" t="s">
        <v>148</v>
      </c>
      <c r="B4" s="141" t="s">
        <v>372</v>
      </c>
    </row>
    <row r="5" spans="1:11">
      <c r="A5" s="141" t="s">
        <v>149</v>
      </c>
      <c r="B5" s="141" t="s">
        <v>233</v>
      </c>
    </row>
    <row r="6" spans="1:11">
      <c r="A6" s="141" t="s">
        <v>150</v>
      </c>
      <c r="B6" s="141" t="s">
        <v>234</v>
      </c>
    </row>
    <row r="7" spans="1:11">
      <c r="A7" s="141" t="s">
        <v>151</v>
      </c>
      <c r="B7" s="142"/>
    </row>
    <row r="9" spans="1:11">
      <c r="A9" s="141" t="s">
        <v>152</v>
      </c>
    </row>
    <row r="10" spans="1:11">
      <c r="B10" s="141" t="s">
        <v>153</v>
      </c>
    </row>
    <row r="11" spans="1:11">
      <c r="B11" s="141" t="s">
        <v>235</v>
      </c>
    </row>
    <row r="12" spans="1:11">
      <c r="B12" s="141" t="s">
        <v>236</v>
      </c>
    </row>
    <row r="13" spans="1:11">
      <c r="B13" s="141" t="s">
        <v>237</v>
      </c>
    </row>
    <row r="14" spans="1:11">
      <c r="A14" s="141" t="s">
        <v>154</v>
      </c>
    </row>
    <row r="15" spans="1:11">
      <c r="A15" s="141">
        <v>1</v>
      </c>
      <c r="B15" s="141" t="s">
        <v>358</v>
      </c>
    </row>
    <row r="16" spans="1:11">
      <c r="A16" s="141">
        <v>2</v>
      </c>
      <c r="B16" s="141" t="s">
        <v>359</v>
      </c>
    </row>
    <row r="17" spans="1:13">
      <c r="A17" s="141">
        <v>3</v>
      </c>
      <c r="B17" s="141" t="s">
        <v>360</v>
      </c>
    </row>
    <row r="18" spans="1:13">
      <c r="A18" s="141">
        <v>4</v>
      </c>
      <c r="B18" s="141" t="s">
        <v>361</v>
      </c>
    </row>
    <row r="19" spans="1:13">
      <c r="A19" s="141">
        <v>5</v>
      </c>
      <c r="B19" s="141" t="s">
        <v>362</v>
      </c>
    </row>
    <row r="20" spans="1:13">
      <c r="A20" s="141">
        <v>6</v>
      </c>
      <c r="B20" s="141" t="s">
        <v>363</v>
      </c>
    </row>
    <row r="21" spans="1:13">
      <c r="K21" s="271" t="s">
        <v>284</v>
      </c>
      <c r="L21" s="271"/>
      <c r="M21" s="203">
        <v>0.1</v>
      </c>
    </row>
    <row r="22" spans="1:13">
      <c r="K22" s="271" t="s">
        <v>285</v>
      </c>
      <c r="L22" s="271"/>
      <c r="M22" s="203">
        <v>0.1</v>
      </c>
    </row>
    <row r="23" spans="1:13">
      <c r="L23" s="199" t="s">
        <v>283</v>
      </c>
      <c r="M23" s="203">
        <v>0.12</v>
      </c>
    </row>
    <row r="25" spans="1:13" s="102" customFormat="1">
      <c r="A25" s="269" t="s">
        <v>155</v>
      </c>
      <c r="B25" s="272" t="s">
        <v>156</v>
      </c>
      <c r="C25" s="273"/>
      <c r="D25" s="269" t="s">
        <v>157</v>
      </c>
      <c r="E25" s="269" t="s">
        <v>158</v>
      </c>
      <c r="F25" s="269" t="s">
        <v>159</v>
      </c>
      <c r="G25" s="269" t="s">
        <v>160</v>
      </c>
      <c r="H25" s="155" t="s">
        <v>276</v>
      </c>
      <c r="I25" s="155" t="s">
        <v>67</v>
      </c>
      <c r="J25" s="186" t="s">
        <v>161</v>
      </c>
      <c r="K25" s="186" t="s">
        <v>162</v>
      </c>
      <c r="L25" s="186" t="s">
        <v>161</v>
      </c>
      <c r="M25" s="186" t="s">
        <v>162</v>
      </c>
    </row>
    <row r="26" spans="1:13" s="102" customFormat="1">
      <c r="A26" s="270"/>
      <c r="B26" s="274"/>
      <c r="C26" s="275"/>
      <c r="D26" s="270"/>
      <c r="E26" s="270"/>
      <c r="F26" s="270"/>
      <c r="G26" s="270"/>
      <c r="H26" s="156" t="s">
        <v>277</v>
      </c>
      <c r="I26" s="156" t="s">
        <v>278</v>
      </c>
      <c r="J26" s="186" t="s">
        <v>238</v>
      </c>
      <c r="K26" s="186" t="s">
        <v>238</v>
      </c>
      <c r="L26" s="186" t="s">
        <v>239</v>
      </c>
      <c r="M26" s="186" t="s">
        <v>239</v>
      </c>
    </row>
    <row r="27" spans="1:13">
      <c r="A27" s="143" t="s">
        <v>163</v>
      </c>
      <c r="B27" s="144" t="s">
        <v>164</v>
      </c>
      <c r="C27" s="145"/>
      <c r="D27" s="139"/>
      <c r="E27" s="100"/>
      <c r="F27" s="100"/>
      <c r="G27" s="100"/>
      <c r="H27" s="100"/>
      <c r="I27" s="100"/>
      <c r="J27" s="187"/>
      <c r="K27" s="187"/>
      <c r="L27" s="188"/>
      <c r="M27" s="188"/>
    </row>
    <row r="28" spans="1:13" ht="45" customHeight="1">
      <c r="A28" s="100">
        <v>1</v>
      </c>
      <c r="B28" s="267" t="s">
        <v>338</v>
      </c>
      <c r="C28" s="268"/>
      <c r="D28" s="139" t="s">
        <v>337</v>
      </c>
      <c r="E28" s="100" t="s">
        <v>336</v>
      </c>
      <c r="F28" s="100">
        <f>'TAKE OFF'!D18</f>
        <v>7</v>
      </c>
      <c r="G28" s="100" t="s">
        <v>165</v>
      </c>
      <c r="H28" s="146">
        <v>1</v>
      </c>
      <c r="I28" s="146">
        <f>H28*F28</f>
        <v>7</v>
      </c>
      <c r="J28" s="187">
        <v>920</v>
      </c>
      <c r="K28" s="187">
        <f>J28*F28</f>
        <v>6440</v>
      </c>
      <c r="L28" s="188">
        <f>J28*(1+$M$21)*(1+$M$23)</f>
        <v>1133.4400000000003</v>
      </c>
      <c r="M28" s="188">
        <f>L28*F28</f>
        <v>7934.0800000000017</v>
      </c>
    </row>
    <row r="29" spans="1:13" s="157" customFormat="1">
      <c r="A29" s="262" t="s">
        <v>167</v>
      </c>
      <c r="B29" s="262"/>
      <c r="C29" s="262"/>
      <c r="D29" s="262"/>
      <c r="E29" s="262"/>
      <c r="F29" s="262"/>
      <c r="G29" s="262"/>
      <c r="H29" s="262"/>
      <c r="I29" s="262"/>
      <c r="J29" s="262"/>
      <c r="K29" s="189">
        <f>SUM(K27:K28)</f>
        <v>6440</v>
      </c>
      <c r="L29" s="190"/>
      <c r="M29" s="196">
        <f>SUM(M27:M28)</f>
        <v>7934.0800000000017</v>
      </c>
    </row>
    <row r="30" spans="1:13">
      <c r="A30" s="143" t="s">
        <v>168</v>
      </c>
      <c r="B30" s="144" t="s">
        <v>169</v>
      </c>
      <c r="C30" s="145"/>
      <c r="D30" s="139"/>
      <c r="E30" s="100"/>
      <c r="F30" s="100"/>
      <c r="G30" s="100"/>
      <c r="H30" s="100"/>
      <c r="I30" s="100"/>
      <c r="J30" s="187"/>
      <c r="K30" s="187"/>
      <c r="L30" s="188"/>
      <c r="M30" s="188"/>
    </row>
    <row r="31" spans="1:13" ht="45.75" customHeight="1">
      <c r="A31" s="100">
        <v>1</v>
      </c>
      <c r="B31" s="267" t="s">
        <v>340</v>
      </c>
      <c r="C31" s="268"/>
      <c r="D31" s="139" t="s">
        <v>337</v>
      </c>
      <c r="E31" s="100" t="s">
        <v>339</v>
      </c>
      <c r="F31" s="100">
        <v>0</v>
      </c>
      <c r="G31" s="100" t="s">
        <v>165</v>
      </c>
      <c r="H31" s="146">
        <v>2</v>
      </c>
      <c r="I31" s="146">
        <f t="shared" ref="I31:I36" si="0">H31*F31</f>
        <v>0</v>
      </c>
      <c r="J31" s="187">
        <v>18550</v>
      </c>
      <c r="K31" s="187">
        <f t="shared" ref="K31:K36" si="1">J31*F31</f>
        <v>0</v>
      </c>
      <c r="L31" s="188">
        <f>J31*(1+$M$21)*(1+$M$23)</f>
        <v>22853.600000000002</v>
      </c>
      <c r="M31" s="188">
        <f t="shared" ref="M31:M36" si="2">L31*F31</f>
        <v>0</v>
      </c>
    </row>
    <row r="32" spans="1:13" ht="45" customHeight="1">
      <c r="A32" s="100">
        <f>A31+1</f>
        <v>2</v>
      </c>
      <c r="B32" s="267" t="s">
        <v>342</v>
      </c>
      <c r="C32" s="268"/>
      <c r="D32" s="140" t="s">
        <v>337</v>
      </c>
      <c r="E32" s="100" t="s">
        <v>341</v>
      </c>
      <c r="F32" s="100">
        <v>1</v>
      </c>
      <c r="G32" s="100" t="s">
        <v>165</v>
      </c>
      <c r="H32" s="146">
        <v>2</v>
      </c>
      <c r="I32" s="146">
        <f t="shared" si="0"/>
        <v>2</v>
      </c>
      <c r="J32" s="187">
        <v>4800</v>
      </c>
      <c r="K32" s="187">
        <f t="shared" ref="K32" si="3">J32*F32</f>
        <v>4800</v>
      </c>
      <c r="L32" s="188">
        <v>13000</v>
      </c>
      <c r="M32" s="188">
        <f t="shared" si="2"/>
        <v>13000</v>
      </c>
    </row>
    <row r="33" spans="1:13">
      <c r="A33" s="100">
        <f t="shared" ref="A33:A36" si="4">A32+1</f>
        <v>3</v>
      </c>
      <c r="B33" s="264" t="s">
        <v>104</v>
      </c>
      <c r="C33" s="265"/>
      <c r="D33" s="139" t="s">
        <v>170</v>
      </c>
      <c r="E33" s="100" t="s">
        <v>103</v>
      </c>
      <c r="F33" s="100">
        <v>1</v>
      </c>
      <c r="G33" s="100" t="s">
        <v>165</v>
      </c>
      <c r="H33" s="146">
        <v>0.1</v>
      </c>
      <c r="I33" s="146">
        <f t="shared" si="0"/>
        <v>0.1</v>
      </c>
      <c r="J33" s="187">
        <v>6800</v>
      </c>
      <c r="K33" s="187">
        <f t="shared" si="1"/>
        <v>6800</v>
      </c>
      <c r="L33" s="188">
        <f t="shared" ref="L33:L36" si="5">J33*(1+$M$21)*(1+$M$23)</f>
        <v>8377.6000000000022</v>
      </c>
      <c r="M33" s="188">
        <f t="shared" si="2"/>
        <v>8377.6000000000022</v>
      </c>
    </row>
    <row r="34" spans="1:13">
      <c r="A34" s="100">
        <f t="shared" si="4"/>
        <v>4</v>
      </c>
      <c r="B34" s="264" t="s">
        <v>295</v>
      </c>
      <c r="C34" s="265"/>
      <c r="D34" s="205" t="s">
        <v>170</v>
      </c>
      <c r="E34" s="100" t="s">
        <v>294</v>
      </c>
      <c r="F34" s="100">
        <v>0</v>
      </c>
      <c r="G34" s="100" t="s">
        <v>165</v>
      </c>
      <c r="H34" s="146">
        <v>0.1</v>
      </c>
      <c r="I34" s="146">
        <f t="shared" ref="I34" si="6">H34*F34</f>
        <v>0</v>
      </c>
      <c r="J34" s="187">
        <v>14010</v>
      </c>
      <c r="K34" s="187">
        <f t="shared" ref="K34" si="7">J34*F34</f>
        <v>0</v>
      </c>
      <c r="L34" s="188">
        <f t="shared" ref="L34" si="8">J34*(1+$M$21)*(1+$M$23)</f>
        <v>17260.320000000003</v>
      </c>
      <c r="M34" s="188">
        <f t="shared" ref="M34" si="9">L34*F34</f>
        <v>0</v>
      </c>
    </row>
    <row r="35" spans="1:13">
      <c r="A35" s="100">
        <f t="shared" si="4"/>
        <v>5</v>
      </c>
      <c r="B35" s="264" t="s">
        <v>344</v>
      </c>
      <c r="C35" s="265"/>
      <c r="D35" s="139" t="s">
        <v>177</v>
      </c>
      <c r="E35" s="100" t="s">
        <v>343</v>
      </c>
      <c r="F35" s="100"/>
      <c r="G35" s="100" t="s">
        <v>165</v>
      </c>
      <c r="H35" s="146">
        <v>1</v>
      </c>
      <c r="I35" s="146">
        <f t="shared" si="0"/>
        <v>0</v>
      </c>
      <c r="J35" s="187">
        <v>4100</v>
      </c>
      <c r="K35" s="187">
        <f t="shared" si="1"/>
        <v>0</v>
      </c>
      <c r="L35" s="188">
        <f t="shared" si="5"/>
        <v>5051.2000000000007</v>
      </c>
      <c r="M35" s="188">
        <f t="shared" si="2"/>
        <v>0</v>
      </c>
    </row>
    <row r="36" spans="1:13">
      <c r="A36" s="100">
        <f t="shared" si="4"/>
        <v>6</v>
      </c>
      <c r="B36" s="264" t="s">
        <v>142</v>
      </c>
      <c r="C36" s="265"/>
      <c r="D36" s="140"/>
      <c r="E36" s="100"/>
      <c r="F36" s="100"/>
      <c r="G36" s="100" t="s">
        <v>85</v>
      </c>
      <c r="H36" s="146">
        <v>0.21</v>
      </c>
      <c r="I36" s="146">
        <f t="shared" si="0"/>
        <v>0</v>
      </c>
      <c r="J36" s="187">
        <v>450</v>
      </c>
      <c r="K36" s="187">
        <f t="shared" si="1"/>
        <v>0</v>
      </c>
      <c r="L36" s="188">
        <f t="shared" si="5"/>
        <v>554.40000000000009</v>
      </c>
      <c r="M36" s="188">
        <f t="shared" si="2"/>
        <v>0</v>
      </c>
    </row>
    <row r="37" spans="1:13" s="157" customFormat="1">
      <c r="A37" s="262" t="s">
        <v>171</v>
      </c>
      <c r="B37" s="262"/>
      <c r="C37" s="262"/>
      <c r="D37" s="262"/>
      <c r="E37" s="262"/>
      <c r="F37" s="262"/>
      <c r="G37" s="262"/>
      <c r="H37" s="262"/>
      <c r="I37" s="262"/>
      <c r="J37" s="262"/>
      <c r="K37" s="189">
        <f>SUM(K30:K36)</f>
        <v>11600</v>
      </c>
      <c r="L37" s="190"/>
      <c r="M37" s="196">
        <f>SUM(M30:M36)</f>
        <v>21377.600000000002</v>
      </c>
    </row>
    <row r="38" spans="1:13">
      <c r="A38" s="143" t="s">
        <v>172</v>
      </c>
      <c r="B38" s="144" t="s">
        <v>173</v>
      </c>
      <c r="C38" s="145"/>
      <c r="D38" s="139"/>
      <c r="E38" s="100"/>
      <c r="F38" s="100"/>
      <c r="G38" s="100"/>
      <c r="H38" s="100"/>
      <c r="I38" s="100"/>
      <c r="J38" s="187"/>
      <c r="K38" s="187"/>
      <c r="L38" s="188"/>
      <c r="M38" s="188"/>
    </row>
    <row r="39" spans="1:13" ht="16.5" customHeight="1">
      <c r="A39" s="100">
        <v>1</v>
      </c>
      <c r="B39" s="267" t="s">
        <v>346</v>
      </c>
      <c r="C39" s="268"/>
      <c r="D39" s="139" t="s">
        <v>347</v>
      </c>
      <c r="E39" s="100" t="s">
        <v>345</v>
      </c>
      <c r="F39" s="100"/>
      <c r="G39" s="100" t="s">
        <v>165</v>
      </c>
      <c r="H39" s="146">
        <v>0.7</v>
      </c>
      <c r="I39" s="146">
        <f t="shared" ref="I39" si="10">H39*F39</f>
        <v>0</v>
      </c>
      <c r="J39" s="187">
        <v>1890</v>
      </c>
      <c r="K39" s="187">
        <f t="shared" ref="K39" si="11">J39*F39</f>
        <v>0</v>
      </c>
      <c r="L39" s="188">
        <f t="shared" ref="L39" si="12">J39*(1+$M$21)*(1+$M$23)</f>
        <v>2328.48</v>
      </c>
      <c r="M39" s="188">
        <f t="shared" ref="M39" si="13">L39*F39</f>
        <v>0</v>
      </c>
    </row>
    <row r="40" spans="1:13" ht="16.5" customHeight="1">
      <c r="A40" s="100">
        <v>2</v>
      </c>
      <c r="B40" s="267" t="s">
        <v>349</v>
      </c>
      <c r="C40" s="268"/>
      <c r="D40" s="208"/>
      <c r="E40" s="100" t="s">
        <v>348</v>
      </c>
      <c r="F40" s="100"/>
      <c r="G40" s="100" t="s">
        <v>165</v>
      </c>
      <c r="H40" s="146">
        <v>0.7</v>
      </c>
      <c r="I40" s="146">
        <f t="shared" ref="I40" si="14">H40*F40</f>
        <v>0</v>
      </c>
      <c r="J40" s="187">
        <v>4100</v>
      </c>
      <c r="K40" s="187">
        <f t="shared" ref="K40" si="15">J40*F40</f>
        <v>0</v>
      </c>
      <c r="L40" s="188">
        <f t="shared" ref="L40" si="16">J40*(1+$M$21)*(1+$M$23)</f>
        <v>5051.2000000000007</v>
      </c>
      <c r="M40" s="188">
        <f t="shared" ref="M40" si="17">L40*F40</f>
        <v>0</v>
      </c>
    </row>
    <row r="41" spans="1:13" s="157" customFormat="1">
      <c r="A41" s="262" t="s">
        <v>174</v>
      </c>
      <c r="B41" s="262"/>
      <c r="C41" s="262"/>
      <c r="D41" s="262"/>
      <c r="E41" s="262"/>
      <c r="F41" s="262"/>
      <c r="G41" s="262"/>
      <c r="H41" s="262"/>
      <c r="I41" s="262"/>
      <c r="J41" s="262"/>
      <c r="K41" s="189">
        <f>SUM(K39:K40)</f>
        <v>0</v>
      </c>
      <c r="L41" s="190"/>
      <c r="M41" s="196">
        <f>SUM(M39:M40)</f>
        <v>0</v>
      </c>
    </row>
    <row r="42" spans="1:13">
      <c r="A42" s="143" t="s">
        <v>175</v>
      </c>
      <c r="B42" s="144" t="s">
        <v>176</v>
      </c>
      <c r="C42" s="145"/>
      <c r="D42" s="139"/>
      <c r="E42" s="100"/>
      <c r="F42" s="100"/>
      <c r="G42" s="100"/>
      <c r="H42" s="100"/>
      <c r="I42" s="100"/>
      <c r="J42" s="187"/>
      <c r="K42" s="187"/>
      <c r="L42" s="188"/>
      <c r="M42" s="188"/>
    </row>
    <row r="43" spans="1:13" ht="44.25" hidden="1" customHeight="1">
      <c r="A43" s="100">
        <v>1</v>
      </c>
      <c r="B43" s="267" t="s">
        <v>139</v>
      </c>
      <c r="C43" s="268"/>
      <c r="D43" s="139" t="s">
        <v>240</v>
      </c>
      <c r="E43" s="100" t="s">
        <v>130</v>
      </c>
      <c r="F43" s="100">
        <v>0</v>
      </c>
      <c r="G43" s="100" t="s">
        <v>165</v>
      </c>
      <c r="H43" s="146">
        <v>1</v>
      </c>
      <c r="I43" s="146">
        <f t="shared" ref="I43:I45" si="18">H43*F43</f>
        <v>0</v>
      </c>
      <c r="J43" s="187">
        <v>16250</v>
      </c>
      <c r="K43" s="187">
        <f t="shared" ref="K43:K45" si="19">J43*F43</f>
        <v>0</v>
      </c>
      <c r="L43" s="188">
        <f t="shared" ref="L43:L45" si="20">J43*(1+$M$21)*(1+$M$23)</f>
        <v>20020.000000000004</v>
      </c>
      <c r="M43" s="188">
        <f t="shared" ref="M43:M45" si="21">L43*F43</f>
        <v>0</v>
      </c>
    </row>
    <row r="44" spans="1:13" ht="60.75" hidden="1" customHeight="1">
      <c r="A44" s="100">
        <f>A43+1</f>
        <v>2</v>
      </c>
      <c r="B44" s="267" t="s">
        <v>293</v>
      </c>
      <c r="C44" s="268"/>
      <c r="D44" s="202" t="s">
        <v>240</v>
      </c>
      <c r="E44" s="100" t="s">
        <v>292</v>
      </c>
      <c r="F44" s="100">
        <v>0</v>
      </c>
      <c r="G44" s="100" t="s">
        <v>84</v>
      </c>
      <c r="H44" s="146">
        <v>1</v>
      </c>
      <c r="I44" s="146">
        <f t="shared" ref="I44" si="22">H44*F44</f>
        <v>0</v>
      </c>
      <c r="J44" s="187">
        <v>13500</v>
      </c>
      <c r="K44" s="187">
        <f t="shared" ref="K44" si="23">J44*F44</f>
        <v>0</v>
      </c>
      <c r="L44" s="188">
        <f t="shared" si="20"/>
        <v>16632.000000000004</v>
      </c>
      <c r="M44" s="188">
        <f t="shared" ref="M44" si="24">L44*F44</f>
        <v>0</v>
      </c>
    </row>
    <row r="45" spans="1:13" ht="30.75" hidden="1" customHeight="1">
      <c r="A45" s="100">
        <f>A44+1</f>
        <v>3</v>
      </c>
      <c r="B45" s="267" t="s">
        <v>144</v>
      </c>
      <c r="C45" s="268"/>
      <c r="D45" s="139" t="s">
        <v>240</v>
      </c>
      <c r="E45" s="100" t="s">
        <v>141</v>
      </c>
      <c r="F45" s="100">
        <v>0</v>
      </c>
      <c r="G45" s="100" t="s">
        <v>165</v>
      </c>
      <c r="H45" s="146">
        <v>1</v>
      </c>
      <c r="I45" s="146">
        <f t="shared" si="18"/>
        <v>0</v>
      </c>
      <c r="J45" s="187">
        <v>9040</v>
      </c>
      <c r="K45" s="187">
        <f t="shared" si="19"/>
        <v>0</v>
      </c>
      <c r="L45" s="188">
        <f t="shared" si="20"/>
        <v>11137.28</v>
      </c>
      <c r="M45" s="188">
        <f t="shared" si="21"/>
        <v>0</v>
      </c>
    </row>
    <row r="46" spans="1:13" s="157" customFormat="1">
      <c r="A46" s="262" t="s">
        <v>178</v>
      </c>
      <c r="B46" s="262"/>
      <c r="C46" s="262"/>
      <c r="D46" s="262"/>
      <c r="E46" s="262"/>
      <c r="F46" s="262"/>
      <c r="G46" s="262"/>
      <c r="H46" s="262"/>
      <c r="I46" s="262"/>
      <c r="J46" s="262"/>
      <c r="K46" s="189">
        <f>SUM(K43:K45)</f>
        <v>0</v>
      </c>
      <c r="L46" s="190"/>
      <c r="M46" s="196">
        <f>SUM(M43:M45)</f>
        <v>0</v>
      </c>
    </row>
    <row r="47" spans="1:13">
      <c r="A47" s="143" t="s">
        <v>179</v>
      </c>
      <c r="B47" s="144" t="s">
        <v>180</v>
      </c>
      <c r="C47" s="100"/>
      <c r="D47" s="139"/>
      <c r="E47" s="100"/>
      <c r="F47" s="100"/>
      <c r="G47" s="100"/>
      <c r="H47" s="100"/>
      <c r="I47" s="100"/>
      <c r="J47" s="187"/>
      <c r="K47" s="187"/>
      <c r="L47" s="188"/>
      <c r="M47" s="188"/>
    </row>
    <row r="48" spans="1:13" hidden="1">
      <c r="A48" s="100">
        <v>1</v>
      </c>
      <c r="B48" s="148" t="s">
        <v>181</v>
      </c>
      <c r="C48" s="145"/>
      <c r="D48" s="139" t="s">
        <v>182</v>
      </c>
      <c r="E48" s="100"/>
      <c r="F48" s="100">
        <v>1</v>
      </c>
      <c r="G48" s="100" t="s">
        <v>165</v>
      </c>
      <c r="H48" s="100"/>
      <c r="I48" s="100"/>
      <c r="J48" s="187"/>
      <c r="K48" s="187">
        <f t="shared" ref="K48:K49" si="25">J48*F48</f>
        <v>0</v>
      </c>
      <c r="L48" s="188"/>
      <c r="M48" s="188"/>
    </row>
    <row r="49" spans="1:13" ht="31.5" hidden="1" customHeight="1">
      <c r="A49" s="100">
        <v>2</v>
      </c>
      <c r="B49" s="278" t="s">
        <v>183</v>
      </c>
      <c r="C49" s="279"/>
      <c r="D49" s="139" t="s">
        <v>184</v>
      </c>
      <c r="E49" s="100"/>
      <c r="F49" s="100">
        <v>1</v>
      </c>
      <c r="G49" s="100" t="s">
        <v>165</v>
      </c>
      <c r="H49" s="100"/>
      <c r="I49" s="100"/>
      <c r="J49" s="187"/>
      <c r="K49" s="187">
        <f t="shared" si="25"/>
        <v>0</v>
      </c>
      <c r="L49" s="188"/>
      <c r="M49" s="188"/>
    </row>
    <row r="50" spans="1:13" s="157" customFormat="1">
      <c r="A50" s="262" t="s">
        <v>185</v>
      </c>
      <c r="B50" s="262"/>
      <c r="C50" s="262"/>
      <c r="D50" s="262"/>
      <c r="E50" s="262"/>
      <c r="F50" s="262"/>
      <c r="G50" s="262"/>
      <c r="H50" s="262"/>
      <c r="I50" s="262"/>
      <c r="J50" s="262"/>
      <c r="K50" s="189">
        <f>SUM(K48:K49)</f>
        <v>0</v>
      </c>
      <c r="L50" s="190"/>
      <c r="M50" s="196">
        <f>SUM(M48:M49)</f>
        <v>0</v>
      </c>
    </row>
    <row r="51" spans="1:13">
      <c r="A51" s="143" t="s">
        <v>186</v>
      </c>
      <c r="B51" s="144" t="s">
        <v>187</v>
      </c>
      <c r="C51" s="145"/>
      <c r="D51" s="139"/>
      <c r="E51" s="100"/>
      <c r="F51" s="100"/>
      <c r="G51" s="100"/>
      <c r="H51" s="100"/>
      <c r="I51" s="100"/>
      <c r="J51" s="187"/>
      <c r="K51" s="187"/>
      <c r="L51" s="188"/>
      <c r="M51" s="188"/>
    </row>
    <row r="52" spans="1:13">
      <c r="A52" s="143"/>
      <c r="B52" s="144" t="s">
        <v>188</v>
      </c>
      <c r="C52" s="145"/>
      <c r="D52" s="139"/>
      <c r="E52" s="100"/>
      <c r="F52" s="100"/>
      <c r="G52" s="100"/>
      <c r="H52" s="100"/>
      <c r="I52" s="100"/>
      <c r="J52" s="187"/>
      <c r="K52" s="187"/>
      <c r="L52" s="188"/>
      <c r="M52" s="188"/>
    </row>
    <row r="53" spans="1:13" ht="15" customHeight="1">
      <c r="A53" s="100"/>
      <c r="B53" s="100" t="s">
        <v>244</v>
      </c>
      <c r="C53" s="100"/>
      <c r="D53" s="139"/>
      <c r="E53" s="100"/>
      <c r="F53" s="149">
        <f>'TAKE OFF'!O18</f>
        <v>0</v>
      </c>
      <c r="G53" s="100" t="s">
        <v>85</v>
      </c>
      <c r="H53" s="146">
        <v>1</v>
      </c>
      <c r="I53" s="146">
        <f t="shared" ref="I53:I69" si="26">H53*F53</f>
        <v>0</v>
      </c>
      <c r="J53" s="187">
        <v>120</v>
      </c>
      <c r="K53" s="187">
        <f t="shared" ref="K53:K69" si="27">J53*F53</f>
        <v>0</v>
      </c>
      <c r="L53" s="188">
        <f>J53*(1+$M$22)*(1+$M$23)</f>
        <v>147.84</v>
      </c>
      <c r="M53" s="188">
        <f t="shared" ref="M53:M69" si="28">L53*F53</f>
        <v>0</v>
      </c>
    </row>
    <row r="54" spans="1:13">
      <c r="A54" s="100"/>
      <c r="B54" s="100" t="s">
        <v>245</v>
      </c>
      <c r="C54" s="100"/>
      <c r="D54" s="139"/>
      <c r="E54" s="100"/>
      <c r="F54" s="149">
        <f>'TAKE OFF'!P18</f>
        <v>0</v>
      </c>
      <c r="G54" s="100" t="s">
        <v>86</v>
      </c>
      <c r="H54" s="146">
        <v>0.05</v>
      </c>
      <c r="I54" s="146">
        <f t="shared" si="26"/>
        <v>0</v>
      </c>
      <c r="J54" s="187">
        <v>25</v>
      </c>
      <c r="K54" s="187">
        <f t="shared" si="27"/>
        <v>0</v>
      </c>
      <c r="L54" s="188">
        <f t="shared" ref="L54:L83" si="29">J54*(1+$M$22)*(1+$M$23)</f>
        <v>30.800000000000008</v>
      </c>
      <c r="M54" s="188">
        <f t="shared" si="28"/>
        <v>0</v>
      </c>
    </row>
    <row r="55" spans="1:13">
      <c r="A55" s="100"/>
      <c r="B55" s="100" t="s">
        <v>246</v>
      </c>
      <c r="C55" s="100"/>
      <c r="D55" s="139"/>
      <c r="E55" s="100"/>
      <c r="F55" s="149">
        <f>'TAKE OFF'!Q18</f>
        <v>0</v>
      </c>
      <c r="G55" s="100" t="s">
        <v>86</v>
      </c>
      <c r="H55" s="146">
        <v>0.05</v>
      </c>
      <c r="I55" s="146">
        <f t="shared" si="26"/>
        <v>0</v>
      </c>
      <c r="J55" s="187">
        <v>25</v>
      </c>
      <c r="K55" s="187">
        <f t="shared" si="27"/>
        <v>0</v>
      </c>
      <c r="L55" s="188">
        <f t="shared" si="29"/>
        <v>30.800000000000008</v>
      </c>
      <c r="M55" s="188">
        <f t="shared" si="28"/>
        <v>0</v>
      </c>
    </row>
    <row r="56" spans="1:13">
      <c r="A56" s="100"/>
      <c r="B56" s="100" t="s">
        <v>247</v>
      </c>
      <c r="C56" s="100"/>
      <c r="D56" s="139"/>
      <c r="E56" s="100"/>
      <c r="F56" s="149">
        <f>'TAKE OFF'!R18</f>
        <v>0</v>
      </c>
      <c r="G56" s="100" t="s">
        <v>86</v>
      </c>
      <c r="H56" s="146">
        <v>0.05</v>
      </c>
      <c r="I56" s="146">
        <f t="shared" si="26"/>
        <v>0</v>
      </c>
      <c r="J56" s="187">
        <v>10</v>
      </c>
      <c r="K56" s="187">
        <f t="shared" si="27"/>
        <v>0</v>
      </c>
      <c r="L56" s="188">
        <f t="shared" si="29"/>
        <v>12.32</v>
      </c>
      <c r="M56" s="188">
        <f t="shared" si="28"/>
        <v>0</v>
      </c>
    </row>
    <row r="57" spans="1:13">
      <c r="A57" s="100"/>
      <c r="B57" s="100" t="s">
        <v>248</v>
      </c>
      <c r="C57" s="100"/>
      <c r="D57" s="139"/>
      <c r="E57" s="100"/>
      <c r="F57" s="149">
        <f>'TAKE OFF'!S18</f>
        <v>0</v>
      </c>
      <c r="G57" s="100" t="s">
        <v>86</v>
      </c>
      <c r="H57" s="146">
        <v>0.05</v>
      </c>
      <c r="I57" s="146">
        <f t="shared" si="26"/>
        <v>0</v>
      </c>
      <c r="J57" s="187">
        <v>10</v>
      </c>
      <c r="K57" s="187">
        <f t="shared" si="27"/>
        <v>0</v>
      </c>
      <c r="L57" s="188">
        <f t="shared" si="29"/>
        <v>12.32</v>
      </c>
      <c r="M57" s="188">
        <f t="shared" si="28"/>
        <v>0</v>
      </c>
    </row>
    <row r="58" spans="1:13">
      <c r="A58" s="100"/>
      <c r="B58" s="100" t="s">
        <v>249</v>
      </c>
      <c r="C58" s="145"/>
      <c r="D58" s="140"/>
      <c r="E58" s="100"/>
      <c r="F58" s="149">
        <f>'TAKE OFF'!AC18</f>
        <v>0</v>
      </c>
      <c r="G58" s="100" t="s">
        <v>85</v>
      </c>
      <c r="H58" s="146">
        <v>1.1000000000000001</v>
      </c>
      <c r="I58" s="146">
        <f t="shared" si="26"/>
        <v>0</v>
      </c>
      <c r="J58" s="187">
        <v>200</v>
      </c>
      <c r="K58" s="187">
        <f t="shared" si="27"/>
        <v>0</v>
      </c>
      <c r="L58" s="188">
        <f t="shared" si="29"/>
        <v>246.40000000000006</v>
      </c>
      <c r="M58" s="188">
        <f t="shared" si="28"/>
        <v>0</v>
      </c>
    </row>
    <row r="59" spans="1:13">
      <c r="A59" s="100"/>
      <c r="B59" s="100" t="s">
        <v>250</v>
      </c>
      <c r="C59" s="145"/>
      <c r="D59" s="140"/>
      <c r="E59" s="100"/>
      <c r="F59" s="149">
        <f>'TAKE OFF'!AD18</f>
        <v>0</v>
      </c>
      <c r="G59" s="100" t="s">
        <v>86</v>
      </c>
      <c r="H59" s="146">
        <v>0.05</v>
      </c>
      <c r="I59" s="146">
        <f t="shared" si="26"/>
        <v>0</v>
      </c>
      <c r="J59" s="187">
        <v>30</v>
      </c>
      <c r="K59" s="187">
        <f t="shared" si="27"/>
        <v>0</v>
      </c>
      <c r="L59" s="188">
        <f t="shared" si="29"/>
        <v>36.96</v>
      </c>
      <c r="M59" s="188">
        <f t="shared" si="28"/>
        <v>0</v>
      </c>
    </row>
    <row r="60" spans="1:13">
      <c r="A60" s="100"/>
      <c r="B60" s="100" t="s">
        <v>251</v>
      </c>
      <c r="C60" s="145"/>
      <c r="D60" s="140"/>
      <c r="E60" s="100"/>
      <c r="F60" s="149">
        <f>'TAKE OFF'!AE18</f>
        <v>0</v>
      </c>
      <c r="G60" s="100" t="s">
        <v>86</v>
      </c>
      <c r="H60" s="146">
        <v>0.05</v>
      </c>
      <c r="I60" s="146">
        <f t="shared" si="26"/>
        <v>0</v>
      </c>
      <c r="J60" s="187">
        <v>28</v>
      </c>
      <c r="K60" s="187">
        <f t="shared" si="27"/>
        <v>0</v>
      </c>
      <c r="L60" s="188">
        <f t="shared" si="29"/>
        <v>34.496000000000009</v>
      </c>
      <c r="M60" s="188">
        <f t="shared" si="28"/>
        <v>0</v>
      </c>
    </row>
    <row r="61" spans="1:13">
      <c r="A61" s="100"/>
      <c r="B61" s="100" t="s">
        <v>252</v>
      </c>
      <c r="C61" s="145"/>
      <c r="D61" s="140"/>
      <c r="E61" s="100"/>
      <c r="F61" s="149">
        <f>'TAKE OFF'!AF18</f>
        <v>0</v>
      </c>
      <c r="G61" s="100" t="s">
        <v>86</v>
      </c>
      <c r="H61" s="146">
        <v>0.05</v>
      </c>
      <c r="I61" s="146">
        <f t="shared" si="26"/>
        <v>0</v>
      </c>
      <c r="J61" s="187">
        <v>12</v>
      </c>
      <c r="K61" s="187">
        <f t="shared" si="27"/>
        <v>0</v>
      </c>
      <c r="L61" s="188">
        <f t="shared" si="29"/>
        <v>14.784000000000002</v>
      </c>
      <c r="M61" s="188">
        <f t="shared" si="28"/>
        <v>0</v>
      </c>
    </row>
    <row r="62" spans="1:13">
      <c r="A62" s="100"/>
      <c r="B62" s="100" t="s">
        <v>253</v>
      </c>
      <c r="C62" s="145"/>
      <c r="D62" s="140"/>
      <c r="E62" s="100"/>
      <c r="F62" s="149">
        <f>'TAKE OFF'!AG18</f>
        <v>0</v>
      </c>
      <c r="G62" s="100" t="s">
        <v>86</v>
      </c>
      <c r="H62" s="146">
        <v>0.05</v>
      </c>
      <c r="I62" s="146">
        <f t="shared" si="26"/>
        <v>0</v>
      </c>
      <c r="J62" s="187">
        <v>10</v>
      </c>
      <c r="K62" s="187">
        <f t="shared" si="27"/>
        <v>0</v>
      </c>
      <c r="L62" s="188">
        <f t="shared" si="29"/>
        <v>12.32</v>
      </c>
      <c r="M62" s="188">
        <f t="shared" si="28"/>
        <v>0</v>
      </c>
    </row>
    <row r="63" spans="1:13">
      <c r="A63" s="100"/>
      <c r="B63" s="100" t="s">
        <v>254</v>
      </c>
      <c r="C63" s="145"/>
      <c r="D63" s="140"/>
      <c r="E63" s="100"/>
      <c r="F63" s="149">
        <f>'TAKE OFF'!AQ18</f>
        <v>0</v>
      </c>
      <c r="G63" s="100" t="s">
        <v>85</v>
      </c>
      <c r="H63" s="146">
        <v>1.2</v>
      </c>
      <c r="I63" s="146">
        <f t="shared" si="26"/>
        <v>0</v>
      </c>
      <c r="J63" s="187">
        <v>250</v>
      </c>
      <c r="K63" s="187">
        <f t="shared" si="27"/>
        <v>0</v>
      </c>
      <c r="L63" s="188">
        <f t="shared" si="29"/>
        <v>308.00000000000006</v>
      </c>
      <c r="M63" s="188">
        <f t="shared" si="28"/>
        <v>0</v>
      </c>
    </row>
    <row r="64" spans="1:13">
      <c r="A64" s="100"/>
      <c r="B64" s="100" t="s">
        <v>255</v>
      </c>
      <c r="C64" s="145"/>
      <c r="D64" s="140"/>
      <c r="E64" s="100"/>
      <c r="F64" s="149">
        <f>'TAKE OFF'!AR18</f>
        <v>0</v>
      </c>
      <c r="G64" s="100" t="s">
        <v>86</v>
      </c>
      <c r="H64" s="146">
        <v>0.05</v>
      </c>
      <c r="I64" s="146">
        <f t="shared" si="26"/>
        <v>0</v>
      </c>
      <c r="J64" s="187">
        <v>25</v>
      </c>
      <c r="K64" s="187">
        <f t="shared" si="27"/>
        <v>0</v>
      </c>
      <c r="L64" s="188">
        <f t="shared" si="29"/>
        <v>30.800000000000008</v>
      </c>
      <c r="M64" s="188">
        <f t="shared" si="28"/>
        <v>0</v>
      </c>
    </row>
    <row r="65" spans="1:13">
      <c r="A65" s="100"/>
      <c r="B65" s="100" t="s">
        <v>256</v>
      </c>
      <c r="C65" s="145"/>
      <c r="D65" s="140"/>
      <c r="E65" s="100"/>
      <c r="F65" s="149">
        <f>'TAKE OFF'!AS18</f>
        <v>0</v>
      </c>
      <c r="G65" s="100" t="s">
        <v>86</v>
      </c>
      <c r="H65" s="146">
        <v>0.05</v>
      </c>
      <c r="I65" s="146">
        <f t="shared" si="26"/>
        <v>0</v>
      </c>
      <c r="J65" s="187">
        <v>30</v>
      </c>
      <c r="K65" s="187">
        <f t="shared" si="27"/>
        <v>0</v>
      </c>
      <c r="L65" s="188">
        <f t="shared" si="29"/>
        <v>36.96</v>
      </c>
      <c r="M65" s="188">
        <f t="shared" si="28"/>
        <v>0</v>
      </c>
    </row>
    <row r="66" spans="1:13">
      <c r="A66" s="100"/>
      <c r="B66" s="100" t="s">
        <v>257</v>
      </c>
      <c r="C66" s="145"/>
      <c r="D66" s="140"/>
      <c r="E66" s="100"/>
      <c r="F66" s="149">
        <f>'TAKE OFF'!AU18</f>
        <v>0</v>
      </c>
      <c r="G66" s="100" t="s">
        <v>86</v>
      </c>
      <c r="H66" s="146">
        <v>0.05</v>
      </c>
      <c r="I66" s="146">
        <f t="shared" si="26"/>
        <v>0</v>
      </c>
      <c r="J66" s="187">
        <v>20</v>
      </c>
      <c r="K66" s="187">
        <f t="shared" si="27"/>
        <v>0</v>
      </c>
      <c r="L66" s="188">
        <f t="shared" si="29"/>
        <v>24.64</v>
      </c>
      <c r="M66" s="188">
        <f t="shared" si="28"/>
        <v>0</v>
      </c>
    </row>
    <row r="67" spans="1:13">
      <c r="A67" s="100"/>
      <c r="B67" s="100" t="s">
        <v>258</v>
      </c>
      <c r="C67" s="145"/>
      <c r="D67" s="140"/>
      <c r="E67" s="100"/>
      <c r="F67" s="149">
        <f>'TAKE OFF'!AU18</f>
        <v>0</v>
      </c>
      <c r="G67" s="100" t="s">
        <v>86</v>
      </c>
      <c r="H67" s="146">
        <v>0.05</v>
      </c>
      <c r="I67" s="146">
        <f t="shared" si="26"/>
        <v>0</v>
      </c>
      <c r="J67" s="187">
        <v>10</v>
      </c>
      <c r="K67" s="187">
        <f t="shared" si="27"/>
        <v>0</v>
      </c>
      <c r="L67" s="188">
        <f t="shared" si="29"/>
        <v>12.32</v>
      </c>
      <c r="M67" s="188">
        <f t="shared" si="28"/>
        <v>0</v>
      </c>
    </row>
    <row r="68" spans="1:13">
      <c r="A68" s="100"/>
      <c r="B68" s="148" t="s">
        <v>287</v>
      </c>
      <c r="C68" s="145"/>
      <c r="D68" s="139"/>
      <c r="E68" s="100"/>
      <c r="F68" s="149">
        <f>'TAKE OFF'!BE18</f>
        <v>15</v>
      </c>
      <c r="G68" s="100" t="s">
        <v>105</v>
      </c>
      <c r="H68" s="146">
        <v>0.3</v>
      </c>
      <c r="I68" s="146">
        <f t="shared" si="26"/>
        <v>4.5</v>
      </c>
      <c r="J68" s="187">
        <v>45</v>
      </c>
      <c r="K68" s="187">
        <f t="shared" si="27"/>
        <v>675</v>
      </c>
      <c r="L68" s="188">
        <f t="shared" si="29"/>
        <v>55.440000000000012</v>
      </c>
      <c r="M68" s="188">
        <f t="shared" si="28"/>
        <v>831.60000000000014</v>
      </c>
    </row>
    <row r="69" spans="1:13">
      <c r="A69" s="100"/>
      <c r="B69" s="148" t="s">
        <v>288</v>
      </c>
      <c r="C69" s="145"/>
      <c r="D69" s="139"/>
      <c r="E69" s="100"/>
      <c r="F69" s="149">
        <f>'TAKE OFF'!BF18</f>
        <v>15</v>
      </c>
      <c r="G69" s="100" t="s">
        <v>86</v>
      </c>
      <c r="H69" s="146">
        <v>0.03</v>
      </c>
      <c r="I69" s="146">
        <f t="shared" si="26"/>
        <v>0.44999999999999996</v>
      </c>
      <c r="J69" s="187">
        <v>20</v>
      </c>
      <c r="K69" s="187">
        <f t="shared" si="27"/>
        <v>300</v>
      </c>
      <c r="L69" s="188">
        <f t="shared" si="29"/>
        <v>24.64</v>
      </c>
      <c r="M69" s="188">
        <f t="shared" si="28"/>
        <v>369.6</v>
      </c>
    </row>
    <row r="70" spans="1:13">
      <c r="A70" s="100"/>
      <c r="B70" s="148" t="s">
        <v>286</v>
      </c>
      <c r="C70" s="145"/>
      <c r="D70" s="200"/>
      <c r="E70" s="100"/>
      <c r="F70" s="149">
        <f>'TAKE OFF'!BH18</f>
        <v>2</v>
      </c>
      <c r="G70" s="100" t="s">
        <v>85</v>
      </c>
      <c r="H70" s="146">
        <v>0.9</v>
      </c>
      <c r="I70" s="146">
        <f t="shared" ref="I70" si="30">H70*F70</f>
        <v>1.8</v>
      </c>
      <c r="J70" s="187">
        <v>95</v>
      </c>
      <c r="K70" s="187">
        <f t="shared" ref="K70" si="31">J70*F70</f>
        <v>190</v>
      </c>
      <c r="L70" s="188">
        <f t="shared" si="29"/>
        <v>117.04000000000002</v>
      </c>
      <c r="M70" s="188">
        <f t="shared" ref="M70" si="32">L70*F70</f>
        <v>234.08000000000004</v>
      </c>
    </row>
    <row r="71" spans="1:13">
      <c r="A71" s="100"/>
      <c r="B71" s="144" t="s">
        <v>189</v>
      </c>
      <c r="C71" s="145"/>
      <c r="D71" s="139"/>
      <c r="E71" s="100"/>
      <c r="F71" s="100"/>
      <c r="G71" s="100"/>
      <c r="H71" s="146"/>
      <c r="I71" s="146"/>
      <c r="J71" s="187"/>
      <c r="K71" s="187"/>
      <c r="L71" s="188"/>
      <c r="M71" s="188"/>
    </row>
    <row r="72" spans="1:13">
      <c r="A72" s="100"/>
      <c r="B72" s="100" t="s">
        <v>190</v>
      </c>
      <c r="C72" s="100"/>
      <c r="D72" s="139"/>
      <c r="E72" s="100"/>
      <c r="F72" s="149">
        <f>SUM('TAKE OFF'!AV18,'TAKE OFF'!AH18,'TAKE OFF'!T18)</f>
        <v>0</v>
      </c>
      <c r="G72" s="100" t="s">
        <v>84</v>
      </c>
      <c r="H72" s="146">
        <v>0.3</v>
      </c>
      <c r="I72" s="146">
        <f t="shared" ref="I72:I73" si="33">H72*F72</f>
        <v>0</v>
      </c>
      <c r="J72" s="187">
        <v>59</v>
      </c>
      <c r="K72" s="187">
        <f t="shared" ref="K72:K73" si="34">J72*F72</f>
        <v>0</v>
      </c>
      <c r="L72" s="188">
        <f t="shared" si="29"/>
        <v>72.688000000000017</v>
      </c>
      <c r="M72" s="188">
        <f t="shared" ref="M72:M73" si="35">L72*F72</f>
        <v>0</v>
      </c>
    </row>
    <row r="73" spans="1:13">
      <c r="A73" s="100"/>
      <c r="B73" s="100" t="s">
        <v>191</v>
      </c>
      <c r="C73" s="100"/>
      <c r="D73" s="139"/>
      <c r="E73" s="100"/>
      <c r="F73" s="149">
        <f>ROUNDUP((SUM(F28))/5,0)*5</f>
        <v>10</v>
      </c>
      <c r="G73" s="100" t="s">
        <v>84</v>
      </c>
      <c r="H73" s="146">
        <v>0.3</v>
      </c>
      <c r="I73" s="146">
        <f t="shared" si="33"/>
        <v>3</v>
      </c>
      <c r="J73" s="187">
        <v>68</v>
      </c>
      <c r="K73" s="187">
        <f t="shared" si="34"/>
        <v>680</v>
      </c>
      <c r="L73" s="188">
        <f t="shared" si="29"/>
        <v>83.776000000000025</v>
      </c>
      <c r="M73" s="188">
        <f t="shared" si="35"/>
        <v>837.76000000000022</v>
      </c>
    </row>
    <row r="74" spans="1:13">
      <c r="A74" s="100"/>
      <c r="B74" s="144" t="s">
        <v>192</v>
      </c>
      <c r="C74" s="145"/>
      <c r="D74" s="139"/>
      <c r="E74" s="100"/>
      <c r="F74" s="100"/>
      <c r="G74" s="100"/>
      <c r="H74" s="146"/>
      <c r="I74" s="146"/>
      <c r="J74" s="187"/>
      <c r="K74" s="187"/>
      <c r="L74" s="188"/>
      <c r="M74" s="188"/>
    </row>
    <row r="75" spans="1:13" hidden="1">
      <c r="A75" s="100"/>
      <c r="B75" s="276" t="s">
        <v>259</v>
      </c>
      <c r="C75" s="277"/>
      <c r="D75" s="139"/>
      <c r="E75" s="100"/>
      <c r="F75" s="149">
        <f>'TAKE OFF'!X18</f>
        <v>0</v>
      </c>
      <c r="G75" s="100" t="s">
        <v>84</v>
      </c>
      <c r="H75" s="146">
        <v>0.3</v>
      </c>
      <c r="I75" s="146">
        <f t="shared" ref="I75:I83" si="36">H75*F75</f>
        <v>0</v>
      </c>
      <c r="J75" s="187">
        <v>35</v>
      </c>
      <c r="K75" s="187">
        <f t="shared" ref="K75:K82" si="37">J75*F75</f>
        <v>0</v>
      </c>
      <c r="L75" s="188">
        <f t="shared" si="29"/>
        <v>43.120000000000005</v>
      </c>
      <c r="M75" s="188">
        <f t="shared" ref="M75:M83" si="38">L75*F75</f>
        <v>0</v>
      </c>
    </row>
    <row r="76" spans="1:13" hidden="1">
      <c r="A76" s="100"/>
      <c r="B76" s="276" t="s">
        <v>260</v>
      </c>
      <c r="C76" s="277"/>
      <c r="D76" s="140"/>
      <c r="E76" s="100"/>
      <c r="F76" s="149">
        <f>'TAKE OFF'!AL18</f>
        <v>0</v>
      </c>
      <c r="G76" s="100" t="s">
        <v>84</v>
      </c>
      <c r="H76" s="146">
        <v>0.3</v>
      </c>
      <c r="I76" s="146">
        <f t="shared" si="36"/>
        <v>0</v>
      </c>
      <c r="J76" s="187">
        <v>40</v>
      </c>
      <c r="K76" s="187">
        <f t="shared" si="37"/>
        <v>0</v>
      </c>
      <c r="L76" s="188">
        <f t="shared" si="29"/>
        <v>49.28</v>
      </c>
      <c r="M76" s="188">
        <f t="shared" si="38"/>
        <v>0</v>
      </c>
    </row>
    <row r="77" spans="1:13" hidden="1">
      <c r="A77" s="100"/>
      <c r="B77" s="276" t="s">
        <v>261</v>
      </c>
      <c r="C77" s="277"/>
      <c r="D77" s="140"/>
      <c r="E77" s="100"/>
      <c r="F77" s="149">
        <f>'TAKE OFF'!AZ18</f>
        <v>0</v>
      </c>
      <c r="G77" s="100" t="s">
        <v>84</v>
      </c>
      <c r="H77" s="146">
        <v>0.3</v>
      </c>
      <c r="I77" s="146">
        <f t="shared" si="36"/>
        <v>0</v>
      </c>
      <c r="J77" s="187">
        <v>45</v>
      </c>
      <c r="K77" s="187">
        <f t="shared" si="37"/>
        <v>0</v>
      </c>
      <c r="L77" s="188">
        <f t="shared" si="29"/>
        <v>55.440000000000012</v>
      </c>
      <c r="M77" s="188">
        <f t="shared" si="38"/>
        <v>0</v>
      </c>
    </row>
    <row r="78" spans="1:13" hidden="1">
      <c r="A78" s="100"/>
      <c r="B78" s="100" t="s">
        <v>193</v>
      </c>
      <c r="C78" s="100"/>
      <c r="D78" s="139"/>
      <c r="E78" s="100"/>
      <c r="F78" s="149">
        <f>SUM('TAKE OFF'!BA18,'TAKE OFF'!AM18,'TAKE OFF'!Y18)</f>
        <v>0</v>
      </c>
      <c r="G78" s="100" t="s">
        <v>84</v>
      </c>
      <c r="H78" s="146">
        <v>0.3</v>
      </c>
      <c r="I78" s="146">
        <f t="shared" si="36"/>
        <v>0</v>
      </c>
      <c r="J78" s="187">
        <v>100</v>
      </c>
      <c r="K78" s="187">
        <f t="shared" si="37"/>
        <v>0</v>
      </c>
      <c r="L78" s="188">
        <f t="shared" si="29"/>
        <v>123.20000000000003</v>
      </c>
      <c r="M78" s="188">
        <f t="shared" si="38"/>
        <v>0</v>
      </c>
    </row>
    <row r="79" spans="1:13" hidden="1">
      <c r="A79" s="100"/>
      <c r="B79" s="100" t="s">
        <v>194</v>
      </c>
      <c r="C79" s="100"/>
      <c r="D79" s="139"/>
      <c r="E79" s="100"/>
      <c r="F79" s="149">
        <f>SUM('TAKE OFF'!Z18,'TAKE OFF'!AN18,'TAKE OFF'!BB18)</f>
        <v>0</v>
      </c>
      <c r="G79" s="100" t="s">
        <v>84</v>
      </c>
      <c r="H79" s="146">
        <v>0.3</v>
      </c>
      <c r="I79" s="146">
        <f t="shared" si="36"/>
        <v>0</v>
      </c>
      <c r="J79" s="187">
        <v>15</v>
      </c>
      <c r="K79" s="187">
        <f t="shared" si="37"/>
        <v>0</v>
      </c>
      <c r="L79" s="188">
        <f t="shared" si="29"/>
        <v>18.48</v>
      </c>
      <c r="M79" s="188">
        <f t="shared" si="38"/>
        <v>0</v>
      </c>
    </row>
    <row r="80" spans="1:13" hidden="1">
      <c r="A80" s="100"/>
      <c r="B80" s="100" t="s">
        <v>195</v>
      </c>
      <c r="C80" s="100"/>
      <c r="D80" s="139"/>
      <c r="E80" s="100"/>
      <c r="F80" s="149">
        <f>SUM('TAKE OFF'!BC18,'TAKE OFF'!AO18,'TAKE OFF'!AA18)</f>
        <v>0</v>
      </c>
      <c r="G80" s="100" t="s">
        <v>84</v>
      </c>
      <c r="H80" s="146">
        <v>0.3</v>
      </c>
      <c r="I80" s="146">
        <f t="shared" si="36"/>
        <v>0</v>
      </c>
      <c r="J80" s="187">
        <v>3</v>
      </c>
      <c r="K80" s="187">
        <f t="shared" si="37"/>
        <v>0</v>
      </c>
      <c r="L80" s="188">
        <f t="shared" si="29"/>
        <v>3.6960000000000006</v>
      </c>
      <c r="M80" s="188">
        <f t="shared" si="38"/>
        <v>0</v>
      </c>
    </row>
    <row r="81" spans="1:13">
      <c r="A81" s="100"/>
      <c r="B81" s="100" t="s">
        <v>196</v>
      </c>
      <c r="C81" s="100"/>
      <c r="D81" s="139"/>
      <c r="E81" s="100"/>
      <c r="F81" s="149">
        <v>1</v>
      </c>
      <c r="G81" s="100" t="s">
        <v>88</v>
      </c>
      <c r="H81" s="146">
        <v>0.3</v>
      </c>
      <c r="I81" s="146">
        <f t="shared" si="36"/>
        <v>0.3</v>
      </c>
      <c r="J81" s="187">
        <v>130</v>
      </c>
      <c r="K81" s="187">
        <f t="shared" si="37"/>
        <v>130</v>
      </c>
      <c r="L81" s="188">
        <f t="shared" si="29"/>
        <v>160.16000000000003</v>
      </c>
      <c r="M81" s="188">
        <f t="shared" si="38"/>
        <v>160.16000000000003</v>
      </c>
    </row>
    <row r="82" spans="1:13">
      <c r="A82" s="100"/>
      <c r="B82" s="100" t="s">
        <v>87</v>
      </c>
      <c r="C82" s="100"/>
      <c r="D82" s="140"/>
      <c r="E82" s="100"/>
      <c r="F82" s="149">
        <f>SUM(F28*4)</f>
        <v>28</v>
      </c>
      <c r="G82" s="100" t="s">
        <v>86</v>
      </c>
      <c r="H82" s="146">
        <v>0.3</v>
      </c>
      <c r="I82" s="146">
        <f t="shared" si="36"/>
        <v>8.4</v>
      </c>
      <c r="J82" s="187">
        <v>3</v>
      </c>
      <c r="K82" s="187">
        <f t="shared" si="37"/>
        <v>84</v>
      </c>
      <c r="L82" s="188">
        <f t="shared" si="29"/>
        <v>3.6960000000000006</v>
      </c>
      <c r="M82" s="188">
        <f t="shared" si="38"/>
        <v>103.48800000000001</v>
      </c>
    </row>
    <row r="83" spans="1:13" hidden="1">
      <c r="A83" s="100"/>
      <c r="B83" s="100" t="s">
        <v>197</v>
      </c>
      <c r="C83" s="100"/>
      <c r="D83" s="139"/>
      <c r="E83" s="100"/>
      <c r="F83" s="149">
        <f>SUM('TAKE OFF'!BD18,'TAKE OFF'!AP18,'TAKE OFF'!AB18)</f>
        <v>0</v>
      </c>
      <c r="G83" s="100" t="s">
        <v>198</v>
      </c>
      <c r="H83" s="146">
        <v>3.5</v>
      </c>
      <c r="I83" s="146">
        <f t="shared" si="36"/>
        <v>0</v>
      </c>
      <c r="J83" s="187">
        <v>80</v>
      </c>
      <c r="K83" s="187">
        <f>J83*F83</f>
        <v>0</v>
      </c>
      <c r="L83" s="188">
        <f t="shared" si="29"/>
        <v>98.56</v>
      </c>
      <c r="M83" s="188">
        <f t="shared" si="38"/>
        <v>0</v>
      </c>
    </row>
    <row r="84" spans="1:13" s="157" customFormat="1">
      <c r="A84" s="262" t="s">
        <v>199</v>
      </c>
      <c r="B84" s="262"/>
      <c r="C84" s="262"/>
      <c r="D84" s="262"/>
      <c r="E84" s="262"/>
      <c r="F84" s="262"/>
      <c r="G84" s="262"/>
      <c r="H84" s="262"/>
      <c r="I84" s="262"/>
      <c r="J84" s="262"/>
      <c r="K84" s="189">
        <f>SUM(K52:K83)</f>
        <v>2059</v>
      </c>
      <c r="L84" s="190"/>
      <c r="M84" s="196">
        <f>SUM(M52:M83)</f>
        <v>2536.6880000000001</v>
      </c>
    </row>
    <row r="85" spans="1:13">
      <c r="A85" s="143" t="s">
        <v>200</v>
      </c>
      <c r="B85" s="150" t="s">
        <v>201</v>
      </c>
      <c r="C85" s="145"/>
      <c r="D85" s="139"/>
      <c r="E85" s="100"/>
      <c r="F85" s="100"/>
      <c r="G85" s="100"/>
      <c r="H85" s="100"/>
      <c r="I85" s="100"/>
      <c r="J85" s="187"/>
      <c r="K85" s="187"/>
      <c r="L85" s="188"/>
      <c r="M85" s="188"/>
    </row>
    <row r="86" spans="1:13" ht="19.5" customHeight="1">
      <c r="A86" s="100">
        <v>1</v>
      </c>
      <c r="B86" s="278" t="s">
        <v>353</v>
      </c>
      <c r="C86" s="279"/>
      <c r="D86" s="139" t="s">
        <v>350</v>
      </c>
      <c r="E86" s="100"/>
      <c r="F86" s="149"/>
      <c r="G86" s="100" t="s">
        <v>105</v>
      </c>
      <c r="H86" s="146">
        <v>7.0000000000000007E-2</v>
      </c>
      <c r="I86" s="146">
        <f>H86*F86</f>
        <v>0</v>
      </c>
      <c r="J86" s="187">
        <v>25</v>
      </c>
      <c r="K86" s="187">
        <f>J86*F86</f>
        <v>0</v>
      </c>
      <c r="L86" s="188">
        <f t="shared" ref="L86:L87" si="39">J86*(1+$M$22)*(1+$M$23)</f>
        <v>30.800000000000008</v>
      </c>
      <c r="M86" s="188">
        <f t="shared" ref="M86:M87" si="40">L86*F86</f>
        <v>0</v>
      </c>
    </row>
    <row r="87" spans="1:13">
      <c r="A87" s="100">
        <v>2</v>
      </c>
      <c r="B87" s="100" t="s">
        <v>351</v>
      </c>
      <c r="C87" s="100"/>
      <c r="D87" s="139" t="s">
        <v>166</v>
      </c>
      <c r="E87" s="100"/>
      <c r="F87" s="149">
        <f>'TAKE OFF'!BG18+5</f>
        <v>20</v>
      </c>
      <c r="G87" s="100" t="s">
        <v>86</v>
      </c>
      <c r="H87" s="100"/>
      <c r="I87" s="100"/>
      <c r="J87" s="187">
        <v>30</v>
      </c>
      <c r="K87" s="187">
        <f t="shared" ref="K87" si="41">J87*F87</f>
        <v>600</v>
      </c>
      <c r="L87" s="188">
        <f t="shared" si="39"/>
        <v>36.96</v>
      </c>
      <c r="M87" s="188">
        <f t="shared" si="40"/>
        <v>739.2</v>
      </c>
    </row>
    <row r="88" spans="1:13">
      <c r="A88" s="100">
        <v>2</v>
      </c>
      <c r="B88" s="100" t="s">
        <v>352</v>
      </c>
      <c r="C88" s="100"/>
      <c r="D88" s="208" t="s">
        <v>166</v>
      </c>
      <c r="E88" s="100"/>
      <c r="F88" s="149">
        <f>F87</f>
        <v>20</v>
      </c>
      <c r="G88" s="100" t="s">
        <v>86</v>
      </c>
      <c r="H88" s="100"/>
      <c r="I88" s="100"/>
      <c r="J88" s="187">
        <v>30</v>
      </c>
      <c r="K88" s="187">
        <f t="shared" ref="K88" si="42">J88*F88</f>
        <v>600</v>
      </c>
      <c r="L88" s="188">
        <f t="shared" ref="L88" si="43">J88*(1+$M$22)*(1+$M$23)</f>
        <v>36.96</v>
      </c>
      <c r="M88" s="188">
        <f t="shared" ref="M88" si="44">L88*F88</f>
        <v>739.2</v>
      </c>
    </row>
    <row r="89" spans="1:13" s="157" customFormat="1">
      <c r="A89" s="262" t="s">
        <v>202</v>
      </c>
      <c r="B89" s="262"/>
      <c r="C89" s="262"/>
      <c r="D89" s="262"/>
      <c r="E89" s="262"/>
      <c r="F89" s="262"/>
      <c r="G89" s="262"/>
      <c r="H89" s="262"/>
      <c r="I89" s="262"/>
      <c r="J89" s="262"/>
      <c r="K89" s="189">
        <f>SUM(K85:K88)</f>
        <v>1200</v>
      </c>
      <c r="L89" s="190"/>
      <c r="M89" s="196">
        <f>SUM(M85:M88)</f>
        <v>1478.4</v>
      </c>
    </row>
    <row r="90" spans="1:13">
      <c r="A90" s="143" t="s">
        <v>203</v>
      </c>
      <c r="B90" s="144" t="s">
        <v>204</v>
      </c>
      <c r="C90" s="145"/>
      <c r="D90" s="139"/>
      <c r="E90" s="100"/>
      <c r="F90" s="100"/>
      <c r="G90" s="100"/>
      <c r="H90" s="100"/>
      <c r="I90" s="100"/>
      <c r="J90" s="187"/>
      <c r="K90" s="187"/>
      <c r="L90" s="188"/>
      <c r="M90" s="188"/>
    </row>
    <row r="91" spans="1:13" hidden="1">
      <c r="A91" s="100">
        <v>1</v>
      </c>
      <c r="B91" s="100" t="s">
        <v>205</v>
      </c>
      <c r="C91" s="100"/>
      <c r="D91" s="139"/>
      <c r="E91" s="100"/>
      <c r="F91" s="100">
        <v>0</v>
      </c>
      <c r="G91" s="100" t="s">
        <v>105</v>
      </c>
      <c r="H91" s="100"/>
      <c r="I91" s="100"/>
      <c r="J91" s="187"/>
      <c r="K91" s="187">
        <f t="shared" ref="K91:K92" si="45">J91*F91</f>
        <v>0</v>
      </c>
      <c r="L91" s="188"/>
      <c r="M91" s="188"/>
    </row>
    <row r="92" spans="1:13" hidden="1">
      <c r="A92" s="100">
        <v>2</v>
      </c>
      <c r="B92" s="100" t="s">
        <v>206</v>
      </c>
      <c r="C92" s="100"/>
      <c r="D92" s="139"/>
      <c r="E92" s="100"/>
      <c r="F92" s="100">
        <v>0</v>
      </c>
      <c r="G92" s="100" t="s">
        <v>105</v>
      </c>
      <c r="H92" s="100"/>
      <c r="I92" s="100"/>
      <c r="J92" s="187"/>
      <c r="K92" s="187">
        <f t="shared" si="45"/>
        <v>0</v>
      </c>
      <c r="L92" s="188"/>
      <c r="M92" s="188"/>
    </row>
    <row r="93" spans="1:13" s="157" customFormat="1">
      <c r="A93" s="262" t="s">
        <v>207</v>
      </c>
      <c r="B93" s="262"/>
      <c r="C93" s="262"/>
      <c r="D93" s="262"/>
      <c r="E93" s="262"/>
      <c r="F93" s="262"/>
      <c r="G93" s="262"/>
      <c r="H93" s="262"/>
      <c r="I93" s="262"/>
      <c r="J93" s="262"/>
      <c r="K93" s="189">
        <f>SUM(K91:K92)</f>
        <v>0</v>
      </c>
      <c r="L93" s="190"/>
      <c r="M93" s="196">
        <f>SUM(M91:M92)</f>
        <v>0</v>
      </c>
    </row>
    <row r="94" spans="1:13">
      <c r="A94" s="143" t="s">
        <v>208</v>
      </c>
      <c r="B94" s="150" t="s">
        <v>209</v>
      </c>
      <c r="C94" s="145"/>
      <c r="D94" s="139"/>
      <c r="E94" s="100"/>
      <c r="F94" s="100"/>
      <c r="G94" s="100"/>
      <c r="H94" s="100"/>
      <c r="I94" s="100"/>
      <c r="J94" s="187"/>
      <c r="K94" s="187"/>
      <c r="L94" s="188"/>
      <c r="M94" s="188"/>
    </row>
    <row r="95" spans="1:13">
      <c r="A95" s="151">
        <v>1</v>
      </c>
      <c r="B95" s="152" t="s">
        <v>210</v>
      </c>
      <c r="C95" s="145"/>
      <c r="D95" s="139"/>
      <c r="E95" s="100"/>
      <c r="F95" s="100"/>
      <c r="G95" s="100" t="s">
        <v>165</v>
      </c>
      <c r="H95" s="100"/>
      <c r="I95" s="100"/>
      <c r="J95" s="187"/>
      <c r="K95" s="187">
        <f t="shared" ref="K95:K113" si="46">J95*F95</f>
        <v>0</v>
      </c>
      <c r="L95" s="188">
        <f t="shared" ref="L95:L113" si="47">J95*(1+$M$22)*(1+$M$23)</f>
        <v>0</v>
      </c>
      <c r="M95" s="188">
        <f t="shared" ref="M95:M113" si="48">L95*F95</f>
        <v>0</v>
      </c>
    </row>
    <row r="96" spans="1:13">
      <c r="A96" s="151">
        <f>A95+1</f>
        <v>2</v>
      </c>
      <c r="B96" s="152" t="s">
        <v>264</v>
      </c>
      <c r="C96" s="145"/>
      <c r="D96" s="140"/>
      <c r="E96" s="100"/>
      <c r="F96" s="100"/>
      <c r="G96" s="100" t="s">
        <v>86</v>
      </c>
      <c r="H96" s="100"/>
      <c r="I96" s="100"/>
      <c r="J96" s="187"/>
      <c r="K96" s="187">
        <f t="shared" si="46"/>
        <v>0</v>
      </c>
      <c r="L96" s="188">
        <f t="shared" si="47"/>
        <v>0</v>
      </c>
      <c r="M96" s="188">
        <f t="shared" si="48"/>
        <v>0</v>
      </c>
    </row>
    <row r="97" spans="1:13">
      <c r="A97" s="151">
        <f>A96+1</f>
        <v>3</v>
      </c>
      <c r="B97" s="152" t="s">
        <v>91</v>
      </c>
      <c r="C97" s="145"/>
      <c r="D97" s="139"/>
      <c r="E97" s="100"/>
      <c r="F97" s="100">
        <v>4</v>
      </c>
      <c r="G97" s="100" t="s">
        <v>165</v>
      </c>
      <c r="H97" s="100"/>
      <c r="I97" s="100"/>
      <c r="J97" s="187"/>
      <c r="K97" s="187">
        <f t="shared" si="46"/>
        <v>0</v>
      </c>
      <c r="L97" s="188">
        <f t="shared" si="47"/>
        <v>0</v>
      </c>
      <c r="M97" s="188">
        <f t="shared" si="48"/>
        <v>0</v>
      </c>
    </row>
    <row r="98" spans="1:13">
      <c r="A98" s="151">
        <f t="shared" ref="A98:A113" si="49">A97+1</f>
        <v>4</v>
      </c>
      <c r="B98" s="152" t="s">
        <v>262</v>
      </c>
      <c r="C98" s="145"/>
      <c r="D98" s="140"/>
      <c r="E98" s="100"/>
      <c r="F98" s="100">
        <v>1</v>
      </c>
      <c r="G98" s="100" t="s">
        <v>88</v>
      </c>
      <c r="H98" s="100"/>
      <c r="I98" s="100"/>
      <c r="J98" s="187">
        <v>200</v>
      </c>
      <c r="K98" s="187">
        <f t="shared" si="46"/>
        <v>200</v>
      </c>
      <c r="L98" s="188">
        <f t="shared" si="47"/>
        <v>246.40000000000006</v>
      </c>
      <c r="M98" s="188">
        <f t="shared" si="48"/>
        <v>246.40000000000006</v>
      </c>
    </row>
    <row r="99" spans="1:13">
      <c r="A99" s="151">
        <f t="shared" si="49"/>
        <v>5</v>
      </c>
      <c r="B99" s="152" t="s">
        <v>89</v>
      </c>
      <c r="C99" s="145"/>
      <c r="D99" s="140"/>
      <c r="E99" s="100"/>
      <c r="F99" s="100">
        <v>3</v>
      </c>
      <c r="G99" s="100" t="s">
        <v>86</v>
      </c>
      <c r="H99" s="100"/>
      <c r="I99" s="100"/>
      <c r="J99" s="187">
        <v>30</v>
      </c>
      <c r="K99" s="187">
        <f t="shared" si="46"/>
        <v>90</v>
      </c>
      <c r="L99" s="188">
        <f t="shared" si="47"/>
        <v>36.96</v>
      </c>
      <c r="M99" s="188">
        <f t="shared" si="48"/>
        <v>110.88</v>
      </c>
    </row>
    <row r="100" spans="1:13">
      <c r="A100" s="151">
        <f t="shared" si="49"/>
        <v>6</v>
      </c>
      <c r="B100" s="152" t="s">
        <v>90</v>
      </c>
      <c r="C100" s="145"/>
      <c r="D100" s="140"/>
      <c r="E100" s="100"/>
      <c r="F100" s="100">
        <v>3</v>
      </c>
      <c r="G100" s="100" t="s">
        <v>86</v>
      </c>
      <c r="H100" s="100"/>
      <c r="I100" s="100"/>
      <c r="J100" s="187">
        <v>30</v>
      </c>
      <c r="K100" s="187">
        <f t="shared" si="46"/>
        <v>90</v>
      </c>
      <c r="L100" s="188">
        <f t="shared" si="47"/>
        <v>36.96</v>
      </c>
      <c r="M100" s="188">
        <f t="shared" si="48"/>
        <v>110.88</v>
      </c>
    </row>
    <row r="101" spans="1:13">
      <c r="A101" s="151">
        <f t="shared" si="49"/>
        <v>7</v>
      </c>
      <c r="B101" s="152" t="s">
        <v>263</v>
      </c>
      <c r="C101" s="145"/>
      <c r="D101" s="140"/>
      <c r="E101" s="100"/>
      <c r="F101" s="100">
        <v>1</v>
      </c>
      <c r="G101" s="100" t="s">
        <v>84</v>
      </c>
      <c r="H101" s="100"/>
      <c r="I101" s="100"/>
      <c r="J101" s="187">
        <v>850</v>
      </c>
      <c r="K101" s="187">
        <f t="shared" si="46"/>
        <v>850</v>
      </c>
      <c r="L101" s="188">
        <f t="shared" si="47"/>
        <v>1047.2000000000003</v>
      </c>
      <c r="M101" s="188">
        <f t="shared" si="48"/>
        <v>1047.2000000000003</v>
      </c>
    </row>
    <row r="102" spans="1:13">
      <c r="A102" s="151">
        <f t="shared" si="49"/>
        <v>8</v>
      </c>
      <c r="B102" s="152" t="s">
        <v>116</v>
      </c>
      <c r="C102" s="145"/>
      <c r="D102" s="139"/>
      <c r="E102" s="100"/>
      <c r="F102" s="100">
        <v>1</v>
      </c>
      <c r="G102" s="100" t="s">
        <v>165</v>
      </c>
      <c r="H102" s="100"/>
      <c r="I102" s="100"/>
      <c r="J102" s="187"/>
      <c r="K102" s="187">
        <f t="shared" si="46"/>
        <v>0</v>
      </c>
      <c r="L102" s="188">
        <f t="shared" si="47"/>
        <v>0</v>
      </c>
      <c r="M102" s="188">
        <f t="shared" si="48"/>
        <v>0</v>
      </c>
    </row>
    <row r="103" spans="1:13">
      <c r="A103" s="151">
        <f t="shared" si="49"/>
        <v>9</v>
      </c>
      <c r="B103" s="152" t="s">
        <v>211</v>
      </c>
      <c r="C103" s="145"/>
      <c r="D103" s="139"/>
      <c r="E103" s="100"/>
      <c r="F103" s="100">
        <v>1</v>
      </c>
      <c r="G103" s="100" t="s">
        <v>84</v>
      </c>
      <c r="H103" s="100"/>
      <c r="I103" s="100"/>
      <c r="J103" s="187"/>
      <c r="K103" s="187">
        <f t="shared" si="46"/>
        <v>0</v>
      </c>
      <c r="L103" s="188">
        <f t="shared" si="47"/>
        <v>0</v>
      </c>
      <c r="M103" s="188">
        <f t="shared" si="48"/>
        <v>0</v>
      </c>
    </row>
    <row r="104" spans="1:13">
      <c r="A104" s="151">
        <f t="shared" si="49"/>
        <v>10</v>
      </c>
      <c r="B104" s="152" t="s">
        <v>93</v>
      </c>
      <c r="C104" s="145"/>
      <c r="D104" s="139"/>
      <c r="E104" s="100"/>
      <c r="F104" s="100">
        <v>1</v>
      </c>
      <c r="G104" s="100" t="s">
        <v>165</v>
      </c>
      <c r="H104" s="100"/>
      <c r="I104" s="100"/>
      <c r="J104" s="187"/>
      <c r="K104" s="187">
        <f t="shared" si="46"/>
        <v>0</v>
      </c>
      <c r="L104" s="188">
        <f t="shared" si="47"/>
        <v>0</v>
      </c>
      <c r="M104" s="188">
        <f t="shared" si="48"/>
        <v>0</v>
      </c>
    </row>
    <row r="105" spans="1:13">
      <c r="A105" s="151">
        <f t="shared" si="49"/>
        <v>11</v>
      </c>
      <c r="B105" s="152" t="s">
        <v>92</v>
      </c>
      <c r="C105" s="145"/>
      <c r="D105" s="139"/>
      <c r="E105" s="100"/>
      <c r="F105" s="100">
        <v>4</v>
      </c>
      <c r="G105" s="100" t="s">
        <v>165</v>
      </c>
      <c r="H105" s="100"/>
      <c r="I105" s="100"/>
      <c r="J105" s="187"/>
      <c r="K105" s="187">
        <f t="shared" si="46"/>
        <v>0</v>
      </c>
      <c r="L105" s="188">
        <f t="shared" si="47"/>
        <v>0</v>
      </c>
      <c r="M105" s="188">
        <f t="shared" si="48"/>
        <v>0</v>
      </c>
    </row>
    <row r="106" spans="1:13">
      <c r="A106" s="151">
        <f t="shared" si="49"/>
        <v>12</v>
      </c>
      <c r="B106" s="152" t="s">
        <v>94</v>
      </c>
      <c r="C106" s="145"/>
      <c r="D106" s="140"/>
      <c r="E106" s="100"/>
      <c r="F106" s="100">
        <v>2</v>
      </c>
      <c r="G106" s="100" t="s">
        <v>165</v>
      </c>
      <c r="H106" s="100"/>
      <c r="I106" s="100"/>
      <c r="J106" s="187"/>
      <c r="K106" s="187">
        <f t="shared" si="46"/>
        <v>0</v>
      </c>
      <c r="L106" s="188">
        <f t="shared" si="47"/>
        <v>0</v>
      </c>
      <c r="M106" s="188">
        <f t="shared" si="48"/>
        <v>0</v>
      </c>
    </row>
    <row r="107" spans="1:13">
      <c r="A107" s="151">
        <f t="shared" si="49"/>
        <v>13</v>
      </c>
      <c r="B107" s="152" t="s">
        <v>212</v>
      </c>
      <c r="C107" s="145"/>
      <c r="D107" s="139"/>
      <c r="E107" s="100"/>
      <c r="F107" s="100">
        <v>1</v>
      </c>
      <c r="G107" s="100" t="s">
        <v>165</v>
      </c>
      <c r="H107" s="100"/>
      <c r="I107" s="100"/>
      <c r="J107" s="187"/>
      <c r="K107" s="187">
        <f t="shared" si="46"/>
        <v>0</v>
      </c>
      <c r="L107" s="188">
        <f t="shared" si="47"/>
        <v>0</v>
      </c>
      <c r="M107" s="188">
        <f t="shared" si="48"/>
        <v>0</v>
      </c>
    </row>
    <row r="108" spans="1:13">
      <c r="A108" s="151">
        <f t="shared" si="49"/>
        <v>14</v>
      </c>
      <c r="B108" s="95" t="s">
        <v>109</v>
      </c>
      <c r="C108" s="145"/>
      <c r="D108" s="140"/>
      <c r="E108" s="100"/>
      <c r="F108" s="100">
        <v>1</v>
      </c>
      <c r="G108" s="100" t="s">
        <v>86</v>
      </c>
      <c r="H108" s="100"/>
      <c r="I108" s="100"/>
      <c r="J108" s="187">
        <v>320</v>
      </c>
      <c r="K108" s="187">
        <f t="shared" si="46"/>
        <v>320</v>
      </c>
      <c r="L108" s="188">
        <f t="shared" si="47"/>
        <v>394.24</v>
      </c>
      <c r="M108" s="188">
        <f t="shared" si="48"/>
        <v>394.24</v>
      </c>
    </row>
    <row r="109" spans="1:13">
      <c r="A109" s="151">
        <f t="shared" si="49"/>
        <v>15</v>
      </c>
      <c r="B109" s="95" t="s">
        <v>119</v>
      </c>
      <c r="C109" s="145"/>
      <c r="D109" s="140"/>
      <c r="E109" s="100"/>
      <c r="F109" s="100">
        <v>1</v>
      </c>
      <c r="G109" s="100" t="s">
        <v>86</v>
      </c>
      <c r="H109" s="100"/>
      <c r="I109" s="100"/>
      <c r="J109" s="187">
        <v>200</v>
      </c>
      <c r="K109" s="187">
        <f t="shared" si="46"/>
        <v>200</v>
      </c>
      <c r="L109" s="188">
        <f t="shared" si="47"/>
        <v>246.40000000000006</v>
      </c>
      <c r="M109" s="188">
        <f t="shared" si="48"/>
        <v>246.40000000000006</v>
      </c>
    </row>
    <row r="110" spans="1:13">
      <c r="A110" s="151">
        <f t="shared" si="49"/>
        <v>16</v>
      </c>
      <c r="B110" s="152" t="s">
        <v>118</v>
      </c>
      <c r="C110" s="145"/>
      <c r="D110" s="139"/>
      <c r="E110" s="100"/>
      <c r="F110" s="100">
        <v>1</v>
      </c>
      <c r="G110" s="100" t="s">
        <v>165</v>
      </c>
      <c r="H110" s="100"/>
      <c r="I110" s="100"/>
      <c r="J110" s="187"/>
      <c r="K110" s="187">
        <f t="shared" si="46"/>
        <v>0</v>
      </c>
      <c r="L110" s="188">
        <f t="shared" si="47"/>
        <v>0</v>
      </c>
      <c r="M110" s="188">
        <f t="shared" si="48"/>
        <v>0</v>
      </c>
    </row>
    <row r="111" spans="1:13">
      <c r="A111" s="151">
        <f t="shared" si="49"/>
        <v>17</v>
      </c>
      <c r="B111" s="95" t="s">
        <v>120</v>
      </c>
      <c r="C111" s="145"/>
      <c r="D111" s="140"/>
      <c r="E111" s="100"/>
      <c r="F111" s="100">
        <v>1</v>
      </c>
      <c r="G111" s="100" t="s">
        <v>86</v>
      </c>
      <c r="H111" s="100"/>
      <c r="I111" s="100"/>
      <c r="J111" s="187">
        <v>200</v>
      </c>
      <c r="K111" s="187">
        <f t="shared" si="46"/>
        <v>200</v>
      </c>
      <c r="L111" s="188">
        <f t="shared" si="47"/>
        <v>246.40000000000006</v>
      </c>
      <c r="M111" s="188">
        <f t="shared" si="48"/>
        <v>246.40000000000006</v>
      </c>
    </row>
    <row r="112" spans="1:13">
      <c r="A112" s="151">
        <f t="shared" si="49"/>
        <v>18</v>
      </c>
      <c r="B112" s="95" t="s">
        <v>121</v>
      </c>
      <c r="C112" s="145"/>
      <c r="D112" s="140"/>
      <c r="E112" s="100"/>
      <c r="F112" s="100">
        <v>1</v>
      </c>
      <c r="G112" s="100" t="s">
        <v>86</v>
      </c>
      <c r="H112" s="100"/>
      <c r="I112" s="100"/>
      <c r="J112" s="187">
        <v>80</v>
      </c>
      <c r="K112" s="187">
        <f t="shared" si="46"/>
        <v>80</v>
      </c>
      <c r="L112" s="188">
        <f t="shared" si="47"/>
        <v>98.56</v>
      </c>
      <c r="M112" s="188">
        <f t="shared" si="48"/>
        <v>98.56</v>
      </c>
    </row>
    <row r="113" spans="1:14">
      <c r="A113" s="151">
        <f t="shared" si="49"/>
        <v>19</v>
      </c>
      <c r="B113" s="152" t="s">
        <v>213</v>
      </c>
      <c r="C113" s="145"/>
      <c r="D113" s="139"/>
      <c r="E113" s="100"/>
      <c r="F113" s="100">
        <v>2</v>
      </c>
      <c r="G113" s="100" t="s">
        <v>84</v>
      </c>
      <c r="H113" s="100"/>
      <c r="I113" s="100"/>
      <c r="J113" s="187"/>
      <c r="K113" s="187">
        <f t="shared" si="46"/>
        <v>0</v>
      </c>
      <c r="L113" s="188">
        <f t="shared" si="47"/>
        <v>0</v>
      </c>
      <c r="M113" s="188">
        <f t="shared" si="48"/>
        <v>0</v>
      </c>
    </row>
    <row r="114" spans="1:14" s="157" customFormat="1">
      <c r="A114" s="262" t="s">
        <v>214</v>
      </c>
      <c r="B114" s="262"/>
      <c r="C114" s="262"/>
      <c r="D114" s="262"/>
      <c r="E114" s="262"/>
      <c r="F114" s="262"/>
      <c r="G114" s="262"/>
      <c r="H114" s="262"/>
      <c r="I114" s="262"/>
      <c r="J114" s="262"/>
      <c r="K114" s="189">
        <f>SUM(K95:K113)</f>
        <v>2030</v>
      </c>
      <c r="L114" s="190"/>
      <c r="M114" s="196">
        <f>SUM(M95:M113)</f>
        <v>2500.9600000000005</v>
      </c>
    </row>
    <row r="115" spans="1:14">
      <c r="A115" s="143" t="s">
        <v>215</v>
      </c>
      <c r="B115" s="150" t="s">
        <v>216</v>
      </c>
      <c r="C115" s="145"/>
      <c r="D115" s="139"/>
      <c r="E115" s="100"/>
      <c r="F115" s="100"/>
      <c r="G115" s="100"/>
      <c r="H115" s="100"/>
      <c r="I115" s="100"/>
      <c r="J115" s="187"/>
      <c r="K115" s="187"/>
      <c r="L115" s="188"/>
      <c r="M115" s="188"/>
    </row>
    <row r="116" spans="1:14">
      <c r="A116" s="100">
        <v>1</v>
      </c>
      <c r="B116" s="148" t="s">
        <v>226</v>
      </c>
      <c r="C116" s="145"/>
      <c r="D116" s="140"/>
      <c r="E116" s="100"/>
      <c r="F116" s="100"/>
      <c r="G116" s="100"/>
      <c r="H116" s="100"/>
      <c r="I116" s="100"/>
      <c r="J116" s="187"/>
      <c r="K116" s="187"/>
      <c r="L116" s="188"/>
      <c r="M116" s="188"/>
    </row>
    <row r="117" spans="1:14">
      <c r="A117" s="147"/>
      <c r="B117" s="100" t="s">
        <v>265</v>
      </c>
      <c r="C117" s="145"/>
      <c r="D117" s="140"/>
      <c r="E117" s="100"/>
      <c r="F117" s="100">
        <v>1</v>
      </c>
      <c r="G117" s="100" t="s">
        <v>127</v>
      </c>
      <c r="H117" s="100"/>
      <c r="I117" s="100"/>
      <c r="J117" s="187">
        <v>900</v>
      </c>
      <c r="K117" s="187">
        <f>J117*F117*I139</f>
        <v>2700</v>
      </c>
      <c r="L117" s="188">
        <f>J117*(1+$M$23)</f>
        <v>1008.0000000000001</v>
      </c>
      <c r="M117" s="188">
        <f>L117*F117*I139</f>
        <v>3024.0000000000005</v>
      </c>
    </row>
    <row r="118" spans="1:14">
      <c r="A118" s="100">
        <f>A116+1</f>
        <v>2</v>
      </c>
      <c r="B118" s="148" t="s">
        <v>217</v>
      </c>
      <c r="C118" s="145"/>
      <c r="D118" s="139"/>
      <c r="E118" s="100"/>
      <c r="F118" s="100">
        <v>1</v>
      </c>
      <c r="G118" s="100" t="s">
        <v>95</v>
      </c>
      <c r="H118" s="146">
        <f>SUM(I28,I31:I36,I39:I45,I43:I45)</f>
        <v>9.1</v>
      </c>
      <c r="I118" s="146">
        <f>H118*F118</f>
        <v>9.1</v>
      </c>
      <c r="J118" s="187">
        <f>$K$141*N118</f>
        <v>840</v>
      </c>
      <c r="K118" s="187">
        <f t="shared" ref="K118:K121" si="50">J118*F118</f>
        <v>840</v>
      </c>
      <c r="L118" s="188">
        <f t="shared" ref="L118:L122" si="51">J118*(1+$M$23)</f>
        <v>940.80000000000007</v>
      </c>
      <c r="M118" s="188">
        <f t="shared" ref="M118:M122" si="52">L118*F118</f>
        <v>940.80000000000007</v>
      </c>
      <c r="N118" s="198">
        <v>0.2</v>
      </c>
    </row>
    <row r="119" spans="1:14">
      <c r="A119" s="100">
        <f>A118+1</f>
        <v>3</v>
      </c>
      <c r="B119" s="100" t="s">
        <v>218</v>
      </c>
      <c r="C119" s="100"/>
      <c r="D119" s="139"/>
      <c r="E119" s="100"/>
      <c r="F119" s="100">
        <v>1</v>
      </c>
      <c r="G119" s="100" t="s">
        <v>95</v>
      </c>
      <c r="H119" s="146">
        <f>SUM(I53:I83,I144:I147)</f>
        <v>23.130000000000003</v>
      </c>
      <c r="I119" s="146">
        <f>H119*F119</f>
        <v>23.130000000000003</v>
      </c>
      <c r="J119" s="187">
        <f t="shared" ref="J119:J122" si="53">$K$141*N119</f>
        <v>1470</v>
      </c>
      <c r="K119" s="187">
        <f t="shared" si="50"/>
        <v>1470</v>
      </c>
      <c r="L119" s="188">
        <f t="shared" si="51"/>
        <v>1646.4</v>
      </c>
      <c r="M119" s="188">
        <f t="shared" si="52"/>
        <v>1646.4</v>
      </c>
      <c r="N119" s="198">
        <v>0.35</v>
      </c>
    </row>
    <row r="120" spans="1:14">
      <c r="A120" s="100">
        <f t="shared" ref="A120:A122" si="54">A119+1</f>
        <v>4</v>
      </c>
      <c r="B120" s="100" t="s">
        <v>219</v>
      </c>
      <c r="C120" s="100"/>
      <c r="D120" s="139"/>
      <c r="E120" s="100"/>
      <c r="F120" s="100">
        <v>1</v>
      </c>
      <c r="G120" s="100" t="s">
        <v>95</v>
      </c>
      <c r="H120" s="146">
        <f>SUM(I86)</f>
        <v>0</v>
      </c>
      <c r="I120" s="146">
        <f>H120*F120</f>
        <v>0</v>
      </c>
      <c r="J120" s="187">
        <f t="shared" si="53"/>
        <v>1050</v>
      </c>
      <c r="K120" s="187">
        <f t="shared" si="50"/>
        <v>1050</v>
      </c>
      <c r="L120" s="188">
        <f t="shared" si="51"/>
        <v>1176</v>
      </c>
      <c r="M120" s="188">
        <f t="shared" si="52"/>
        <v>1176</v>
      </c>
      <c r="N120" s="198">
        <v>0.25</v>
      </c>
    </row>
    <row r="121" spans="1:14">
      <c r="A121" s="100">
        <f t="shared" si="54"/>
        <v>5</v>
      </c>
      <c r="B121" s="100" t="s">
        <v>220</v>
      </c>
      <c r="C121" s="100"/>
      <c r="D121" s="139"/>
      <c r="E121" s="100"/>
      <c r="F121" s="100">
        <v>1</v>
      </c>
      <c r="G121" s="100" t="s">
        <v>95</v>
      </c>
      <c r="H121" s="146">
        <v>8</v>
      </c>
      <c r="I121" s="146">
        <f>H121*F121</f>
        <v>8</v>
      </c>
      <c r="J121" s="187">
        <f t="shared" si="53"/>
        <v>420</v>
      </c>
      <c r="K121" s="187">
        <f t="shared" si="50"/>
        <v>420</v>
      </c>
      <c r="L121" s="188">
        <f t="shared" si="51"/>
        <v>470.40000000000003</v>
      </c>
      <c r="M121" s="188">
        <f t="shared" si="52"/>
        <v>470.40000000000003</v>
      </c>
      <c r="N121" s="198">
        <v>0.1</v>
      </c>
    </row>
    <row r="122" spans="1:14">
      <c r="A122" s="100">
        <f t="shared" si="54"/>
        <v>6</v>
      </c>
      <c r="B122" s="100" t="s">
        <v>221</v>
      </c>
      <c r="C122" s="100"/>
      <c r="D122" s="139"/>
      <c r="E122" s="100"/>
      <c r="F122" s="100">
        <v>1</v>
      </c>
      <c r="G122" s="100" t="s">
        <v>95</v>
      </c>
      <c r="H122" s="146">
        <v>8</v>
      </c>
      <c r="I122" s="146">
        <f>H122*F122</f>
        <v>8</v>
      </c>
      <c r="J122" s="187">
        <f t="shared" si="53"/>
        <v>420</v>
      </c>
      <c r="K122" s="187">
        <f>J122*F122</f>
        <v>420</v>
      </c>
      <c r="L122" s="188">
        <f t="shared" si="51"/>
        <v>470.40000000000003</v>
      </c>
      <c r="M122" s="188">
        <f t="shared" si="52"/>
        <v>470.40000000000003</v>
      </c>
      <c r="N122" s="198">
        <v>0.1</v>
      </c>
    </row>
    <row r="123" spans="1:14" s="157" customFormat="1">
      <c r="A123" s="262" t="s">
        <v>222</v>
      </c>
      <c r="B123" s="262"/>
      <c r="C123" s="262"/>
      <c r="D123" s="262"/>
      <c r="E123" s="262"/>
      <c r="F123" s="262"/>
      <c r="G123" s="262"/>
      <c r="H123" s="262"/>
      <c r="I123" s="262"/>
      <c r="J123" s="262"/>
      <c r="K123" s="189">
        <f>SUM(K116:K122)</f>
        <v>6900</v>
      </c>
      <c r="L123" s="190"/>
      <c r="M123" s="196">
        <f>SUM(M116:M122)</f>
        <v>7728</v>
      </c>
      <c r="N123" s="197">
        <f>SUM(N118:N122)</f>
        <v>1</v>
      </c>
    </row>
    <row r="124" spans="1:14">
      <c r="A124" s="143" t="s">
        <v>223</v>
      </c>
      <c r="B124" s="144" t="s">
        <v>224</v>
      </c>
      <c r="C124" s="145"/>
      <c r="D124" s="139"/>
      <c r="E124" s="100"/>
      <c r="F124" s="100"/>
      <c r="G124" s="100"/>
      <c r="H124" s="100"/>
      <c r="I124" s="100"/>
      <c r="J124" s="187"/>
      <c r="K124" s="187"/>
      <c r="L124" s="188"/>
      <c r="M124" s="188"/>
    </row>
    <row r="125" spans="1:14">
      <c r="A125" s="100">
        <v>1</v>
      </c>
      <c r="B125" s="100" t="s">
        <v>225</v>
      </c>
      <c r="C125" s="100"/>
      <c r="D125" s="139"/>
      <c r="E125" s="100"/>
      <c r="F125" s="100">
        <v>1</v>
      </c>
      <c r="G125" s="100" t="s">
        <v>95</v>
      </c>
      <c r="H125" s="100"/>
      <c r="I125" s="100"/>
      <c r="J125" s="187">
        <v>4000</v>
      </c>
      <c r="K125" s="187">
        <f>J125*F125</f>
        <v>4000</v>
      </c>
      <c r="L125" s="188">
        <f>J125*(1+$M$23)</f>
        <v>4480</v>
      </c>
      <c r="M125" s="188">
        <f t="shared" ref="M125" si="55">L125*F125</f>
        <v>4480</v>
      </c>
    </row>
    <row r="126" spans="1:14">
      <c r="A126" s="100">
        <f>A125+1</f>
        <v>2</v>
      </c>
      <c r="B126" s="100" t="s">
        <v>227</v>
      </c>
      <c r="C126" s="100"/>
      <c r="D126" s="139"/>
      <c r="E126" s="100"/>
      <c r="F126" s="100"/>
      <c r="G126" s="100"/>
      <c r="H126" s="100"/>
      <c r="I126" s="100"/>
      <c r="J126" s="187"/>
      <c r="K126" s="187"/>
      <c r="L126" s="188"/>
      <c r="M126" s="188"/>
    </row>
    <row r="127" spans="1:14">
      <c r="A127" s="100"/>
      <c r="B127" s="100" t="s">
        <v>228</v>
      </c>
      <c r="C127" s="100"/>
      <c r="D127" s="139"/>
      <c r="E127" s="100"/>
      <c r="F127" s="100">
        <v>1</v>
      </c>
      <c r="G127" s="100" t="s">
        <v>95</v>
      </c>
      <c r="H127" s="100"/>
      <c r="I127" s="100"/>
      <c r="J127" s="187">
        <f>1500*I138</f>
        <v>4500</v>
      </c>
      <c r="K127" s="187">
        <f t="shared" ref="K127:K129" si="56">J127*F127</f>
        <v>4500</v>
      </c>
      <c r="L127" s="188">
        <f t="shared" ref="L127:L129" si="57">J127*(1+$M$23)</f>
        <v>5040.0000000000009</v>
      </c>
      <c r="M127" s="188">
        <f t="shared" ref="M127:M129" si="58">L127*F127</f>
        <v>5040.0000000000009</v>
      </c>
    </row>
    <row r="128" spans="1:14">
      <c r="A128" s="100"/>
      <c r="B128" s="100" t="s">
        <v>229</v>
      </c>
      <c r="C128" s="100"/>
      <c r="D128" s="139"/>
      <c r="E128" s="100"/>
      <c r="F128" s="100">
        <v>1</v>
      </c>
      <c r="G128" s="100" t="s">
        <v>95</v>
      </c>
      <c r="H128" s="100"/>
      <c r="I128" s="100"/>
      <c r="J128" s="187">
        <f>300*I138*I139</f>
        <v>2700</v>
      </c>
      <c r="K128" s="187">
        <f t="shared" si="56"/>
        <v>2700</v>
      </c>
      <c r="L128" s="188">
        <f t="shared" si="57"/>
        <v>3024.0000000000005</v>
      </c>
      <c r="M128" s="188">
        <f t="shared" si="58"/>
        <v>3024.0000000000005</v>
      </c>
    </row>
    <row r="129" spans="1:14">
      <c r="A129" s="100"/>
      <c r="B129" s="100" t="s">
        <v>230</v>
      </c>
      <c r="C129" s="100"/>
      <c r="D129" s="139"/>
      <c r="E129" s="100"/>
      <c r="F129" s="100">
        <v>1</v>
      </c>
      <c r="G129" s="100" t="s">
        <v>95</v>
      </c>
      <c r="H129" s="100"/>
      <c r="I129" s="100"/>
      <c r="J129" s="187">
        <f>1500*I139</f>
        <v>4500</v>
      </c>
      <c r="K129" s="187">
        <f t="shared" si="56"/>
        <v>4500</v>
      </c>
      <c r="L129" s="188">
        <f t="shared" si="57"/>
        <v>5040.0000000000009</v>
      </c>
      <c r="M129" s="188">
        <f t="shared" si="58"/>
        <v>5040.0000000000009</v>
      </c>
    </row>
    <row r="130" spans="1:14" s="157" customFormat="1">
      <c r="A130" s="262" t="s">
        <v>231</v>
      </c>
      <c r="B130" s="262"/>
      <c r="C130" s="262"/>
      <c r="D130" s="262"/>
      <c r="E130" s="262"/>
      <c r="F130" s="262"/>
      <c r="G130" s="262"/>
      <c r="H130" s="262"/>
      <c r="I130" s="262"/>
      <c r="J130" s="262"/>
      <c r="K130" s="189">
        <f>SUM(K124:K129)</f>
        <v>15700</v>
      </c>
      <c r="L130" s="190"/>
      <c r="M130" s="196">
        <f>SUM(M124:M129)</f>
        <v>17584</v>
      </c>
    </row>
    <row r="131" spans="1:14" s="157" customFormat="1">
      <c r="A131" s="178"/>
      <c r="B131" s="178"/>
      <c r="C131" s="178"/>
      <c r="D131" s="178"/>
      <c r="E131" s="178"/>
      <c r="F131" s="178"/>
      <c r="G131" s="178"/>
      <c r="H131" s="178"/>
      <c r="I131" s="178"/>
      <c r="J131" s="191"/>
      <c r="K131" s="189"/>
      <c r="L131" s="190"/>
      <c r="M131" s="190"/>
    </row>
    <row r="132" spans="1:14">
      <c r="A132" s="263" t="s">
        <v>232</v>
      </c>
      <c r="B132" s="263"/>
      <c r="C132" s="263"/>
      <c r="D132" s="263"/>
      <c r="E132" s="263"/>
      <c r="F132" s="263"/>
      <c r="G132" s="263"/>
      <c r="H132" s="263"/>
      <c r="I132" s="263"/>
      <c r="J132" s="263"/>
      <c r="K132" s="192">
        <f>SUM(K29,K37,K41,K46,K50,K84,K89,K93,K114,K123,K130)</f>
        <v>45929</v>
      </c>
      <c r="L132" s="193"/>
      <c r="M132" s="193">
        <f>SUM(M29,M37,M41,M46,M50,M84,M89,M93,M114,M123,M130)</f>
        <v>61139.728000000003</v>
      </c>
    </row>
    <row r="133" spans="1:14">
      <c r="A133" s="180"/>
      <c r="B133" s="180"/>
      <c r="C133" s="180"/>
      <c r="D133" s="181"/>
      <c r="E133" s="180"/>
      <c r="F133" s="180"/>
      <c r="G133" s="182"/>
      <c r="H133" s="182"/>
      <c r="I133" s="183"/>
      <c r="J133" s="194"/>
      <c r="K133" s="192"/>
      <c r="L133" s="192"/>
      <c r="M133" s="192"/>
    </row>
    <row r="134" spans="1:14" ht="15.75">
      <c r="A134" s="180"/>
      <c r="B134" s="180"/>
      <c r="C134" s="180"/>
      <c r="D134" s="181"/>
      <c r="E134" s="180"/>
      <c r="F134" s="180"/>
      <c r="G134" s="184"/>
      <c r="H134" s="184"/>
      <c r="I134" s="280" t="s">
        <v>266</v>
      </c>
      <c r="J134" s="280"/>
      <c r="K134" s="195">
        <f>SUM(K132:K133)</f>
        <v>45929</v>
      </c>
      <c r="L134" s="195"/>
      <c r="M134" s="195">
        <f>SUM(M132:M133)</f>
        <v>61139.728000000003</v>
      </c>
      <c r="N134" s="251"/>
    </row>
    <row r="136" spans="1:14">
      <c r="H136" s="154" t="s">
        <v>83</v>
      </c>
      <c r="I136" s="154">
        <f>SUM(I118:I122)</f>
        <v>48.230000000000004</v>
      </c>
    </row>
    <row r="137" spans="1:14">
      <c r="H137" s="150" t="s">
        <v>96</v>
      </c>
      <c r="I137" s="154">
        <f>I136/8</f>
        <v>6.0287500000000005</v>
      </c>
    </row>
    <row r="138" spans="1:14">
      <c r="H138" s="154" t="s">
        <v>97</v>
      </c>
      <c r="I138" s="154">
        <v>3</v>
      </c>
    </row>
    <row r="139" spans="1:14">
      <c r="H139" s="154" t="s">
        <v>279</v>
      </c>
      <c r="I139" s="179">
        <f>ROUNDUP(I137/I138,0)</f>
        <v>3</v>
      </c>
      <c r="J139" s="185" t="s">
        <v>280</v>
      </c>
    </row>
    <row r="141" spans="1:14">
      <c r="C141" s="100" t="s">
        <v>281</v>
      </c>
      <c r="D141" s="153"/>
      <c r="E141" s="100"/>
      <c r="F141" s="100">
        <f>I138-F117</f>
        <v>2</v>
      </c>
      <c r="G141" s="100" t="s">
        <v>127</v>
      </c>
      <c r="H141" s="100"/>
      <c r="I141" s="100"/>
      <c r="J141" s="187">
        <v>700</v>
      </c>
      <c r="K141" s="187">
        <f>J141*F141*I139</f>
        <v>4200</v>
      </c>
    </row>
    <row r="142" spans="1:14">
      <c r="K142" s="185">
        <f>K141+K117</f>
        <v>6900</v>
      </c>
    </row>
    <row r="143" spans="1:14">
      <c r="A143" s="207" t="s">
        <v>296</v>
      </c>
      <c r="B143" s="144" t="s">
        <v>297</v>
      </c>
      <c r="C143" s="145"/>
      <c r="D143" s="206"/>
      <c r="E143" s="100"/>
      <c r="F143" s="100"/>
      <c r="G143" s="100"/>
      <c r="H143" s="100"/>
      <c r="I143" s="100"/>
      <c r="J143" s="187"/>
      <c r="K143" s="187"/>
      <c r="L143" s="188"/>
      <c r="M143" s="188"/>
    </row>
    <row r="144" spans="1:14">
      <c r="A144" s="100">
        <v>1</v>
      </c>
      <c r="B144" s="267" t="s">
        <v>298</v>
      </c>
      <c r="C144" s="268"/>
      <c r="D144" s="206" t="s">
        <v>299</v>
      </c>
      <c r="E144" s="100"/>
      <c r="F144" s="100">
        <v>1</v>
      </c>
      <c r="G144" s="100" t="s">
        <v>84</v>
      </c>
      <c r="H144" s="146">
        <v>2</v>
      </c>
      <c r="I144" s="146">
        <f>H144*F144</f>
        <v>2</v>
      </c>
      <c r="J144" s="187">
        <f>17204*1.1</f>
        <v>18924.400000000001</v>
      </c>
      <c r="K144" s="187">
        <f t="shared" ref="K144" si="59">J144*F144</f>
        <v>18924.400000000001</v>
      </c>
      <c r="L144" s="188">
        <f t="shared" ref="L144" si="60">J144*(1+$M$21)*(1+$M$23)</f>
        <v>23314.860800000006</v>
      </c>
      <c r="M144" s="188">
        <f t="shared" ref="M144" si="61">L144*F144</f>
        <v>23314.860800000006</v>
      </c>
    </row>
    <row r="145" spans="1:13" ht="15" customHeight="1">
      <c r="A145" s="100">
        <f t="shared" ref="A145:A147" si="62">A144+1</f>
        <v>2</v>
      </c>
      <c r="B145" s="267" t="s">
        <v>242</v>
      </c>
      <c r="C145" s="268"/>
      <c r="D145" s="206" t="s">
        <v>241</v>
      </c>
      <c r="E145" s="100"/>
      <c r="F145" s="100">
        <v>1</v>
      </c>
      <c r="G145" s="100" t="s">
        <v>165</v>
      </c>
      <c r="H145" s="146">
        <v>1</v>
      </c>
      <c r="I145" s="146">
        <f>H145*F145</f>
        <v>1</v>
      </c>
      <c r="J145" s="187">
        <v>1200</v>
      </c>
      <c r="K145" s="187">
        <f>J145*F145</f>
        <v>1200</v>
      </c>
      <c r="L145" s="188">
        <f>J145*(1+$M$21)*(1+$M$23)</f>
        <v>1478.4</v>
      </c>
      <c r="M145" s="188">
        <f>L145*F145</f>
        <v>1478.4</v>
      </c>
    </row>
    <row r="146" spans="1:13">
      <c r="A146" s="100">
        <f t="shared" si="62"/>
        <v>3</v>
      </c>
      <c r="B146" s="264" t="s">
        <v>135</v>
      </c>
      <c r="C146" s="265"/>
      <c r="D146" s="206" t="s">
        <v>241</v>
      </c>
      <c r="E146" s="100"/>
      <c r="F146" s="100">
        <v>8</v>
      </c>
      <c r="G146" s="100" t="s">
        <v>86</v>
      </c>
      <c r="H146" s="146">
        <v>7.0000000000000007E-2</v>
      </c>
      <c r="I146" s="146">
        <f>H146*F146</f>
        <v>0.56000000000000005</v>
      </c>
      <c r="J146" s="187">
        <v>3300</v>
      </c>
      <c r="K146" s="187">
        <f>J146*F146</f>
        <v>26400</v>
      </c>
      <c r="L146" s="188">
        <f>J146*(1+$M$21)*(1+$M$23)</f>
        <v>4065.6000000000008</v>
      </c>
      <c r="M146" s="188">
        <f>L146*F146</f>
        <v>32524.800000000007</v>
      </c>
    </row>
    <row r="147" spans="1:13" ht="15" customHeight="1">
      <c r="A147" s="100">
        <f t="shared" si="62"/>
        <v>4</v>
      </c>
      <c r="B147" s="267" t="s">
        <v>243</v>
      </c>
      <c r="C147" s="268"/>
      <c r="D147" s="206" t="s">
        <v>241</v>
      </c>
      <c r="E147" s="100"/>
      <c r="F147" s="100">
        <v>8</v>
      </c>
      <c r="G147" s="100" t="s">
        <v>85</v>
      </c>
      <c r="H147" s="146">
        <v>0.14000000000000001</v>
      </c>
      <c r="I147" s="146">
        <f>H147*F147</f>
        <v>1.1200000000000001</v>
      </c>
      <c r="J147" s="187">
        <v>400</v>
      </c>
      <c r="K147" s="187">
        <f>J147*F147</f>
        <v>3200</v>
      </c>
      <c r="L147" s="188">
        <f>J147*(1+$M$21)*(1+$M$23)</f>
        <v>492.80000000000013</v>
      </c>
      <c r="M147" s="188">
        <f>L147*F147</f>
        <v>3942.400000000001</v>
      </c>
    </row>
    <row r="148" spans="1:13">
      <c r="A148" s="262" t="s">
        <v>300</v>
      </c>
      <c r="B148" s="262"/>
      <c r="C148" s="262"/>
      <c r="D148" s="262"/>
      <c r="E148" s="262"/>
      <c r="F148" s="262"/>
      <c r="G148" s="262"/>
      <c r="H148" s="262"/>
      <c r="I148" s="262"/>
      <c r="J148" s="262"/>
      <c r="K148" s="189">
        <f>SUM(K143:K147)</f>
        <v>49724.4</v>
      </c>
      <c r="L148" s="190"/>
      <c r="M148" s="196">
        <f>SUM(M144:M147)</f>
        <v>61260.460800000015</v>
      </c>
    </row>
  </sheetData>
  <mergeCells count="44">
    <mergeCell ref="B76:C76"/>
    <mergeCell ref="B77:C77"/>
    <mergeCell ref="B147:C147"/>
    <mergeCell ref="A41:J41"/>
    <mergeCell ref="A46:J46"/>
    <mergeCell ref="B49:C49"/>
    <mergeCell ref="A50:J50"/>
    <mergeCell ref="B45:C45"/>
    <mergeCell ref="B43:C43"/>
    <mergeCell ref="A84:J84"/>
    <mergeCell ref="B86:C86"/>
    <mergeCell ref="A89:J89"/>
    <mergeCell ref="B145:C145"/>
    <mergeCell ref="B144:C144"/>
    <mergeCell ref="I134:J134"/>
    <mergeCell ref="B75:C75"/>
    <mergeCell ref="B44:C44"/>
    <mergeCell ref="B34:C34"/>
    <mergeCell ref="B40:C40"/>
    <mergeCell ref="B32:C32"/>
    <mergeCell ref="A25:A26"/>
    <mergeCell ref="B25:C26"/>
    <mergeCell ref="B31:C31"/>
    <mergeCell ref="A1:K1"/>
    <mergeCell ref="A29:J29"/>
    <mergeCell ref="A37:J37"/>
    <mergeCell ref="B39:C39"/>
    <mergeCell ref="E25:E26"/>
    <mergeCell ref="F25:F26"/>
    <mergeCell ref="G25:G26"/>
    <mergeCell ref="K21:L21"/>
    <mergeCell ref="K22:L22"/>
    <mergeCell ref="B33:C33"/>
    <mergeCell ref="B28:C28"/>
    <mergeCell ref="B35:C35"/>
    <mergeCell ref="B36:C36"/>
    <mergeCell ref="D25:D26"/>
    <mergeCell ref="A148:J148"/>
    <mergeCell ref="A93:J93"/>
    <mergeCell ref="A114:J114"/>
    <mergeCell ref="A123:J123"/>
    <mergeCell ref="A130:J130"/>
    <mergeCell ref="A132:J132"/>
    <mergeCell ref="B146:C146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topLeftCell="B1" workbookViewId="0">
      <selection activeCell="D8" sqref="D8"/>
    </sheetView>
  </sheetViews>
  <sheetFormatPr defaultRowHeight="15"/>
  <cols>
    <col min="1" max="1" width="8.85546875" customWidth="1"/>
    <col min="2" max="2" width="34.85546875" customWidth="1"/>
    <col min="3" max="3" width="29.85546875" customWidth="1"/>
    <col min="4" max="4" width="35.140625" customWidth="1"/>
    <col min="6" max="6" width="12.140625" bestFit="1" customWidth="1"/>
  </cols>
  <sheetData>
    <row r="1" spans="1:6" ht="15.75" thickBot="1">
      <c r="A1" s="158"/>
      <c r="B1" s="159"/>
      <c r="C1" s="159"/>
      <c r="D1" s="159"/>
    </row>
    <row r="2" spans="1:6">
      <c r="A2" s="281" t="s">
        <v>149</v>
      </c>
      <c r="B2" s="282"/>
      <c r="C2" s="283" t="str">
        <f>BOM!B2</f>
        <v>WATSONS - SM LANANG</v>
      </c>
      <c r="D2" s="284"/>
    </row>
    <row r="3" spans="1:6">
      <c r="A3" s="285" t="s">
        <v>82</v>
      </c>
      <c r="B3" s="286"/>
      <c r="C3" s="287" t="str">
        <f>BOM!B3</f>
        <v>ANALOG Closed Circuit Television System</v>
      </c>
      <c r="D3" s="288"/>
    </row>
    <row r="4" spans="1:6" ht="15.75" thickBot="1">
      <c r="A4" s="289"/>
      <c r="B4" s="290"/>
      <c r="C4" s="291"/>
      <c r="D4" s="292"/>
    </row>
    <row r="5" spans="1:6" ht="15.75" thickBot="1">
      <c r="A5" s="158"/>
      <c r="B5" s="160"/>
      <c r="C5" s="159"/>
      <c r="D5" s="159"/>
    </row>
    <row r="6" spans="1:6">
      <c r="A6" s="161"/>
      <c r="B6" s="162"/>
      <c r="C6" s="162" t="s">
        <v>267</v>
      </c>
      <c r="D6" s="163" t="s">
        <v>268</v>
      </c>
    </row>
    <row r="7" spans="1:6">
      <c r="A7" s="164" t="s">
        <v>163</v>
      </c>
      <c r="B7" s="165" t="s">
        <v>274</v>
      </c>
      <c r="C7" s="166">
        <f>SUM(BOM!K50,BOM!K46,BOM!K41,BOM!K37,BOM!K29)</f>
        <v>18040</v>
      </c>
      <c r="D7" s="167">
        <f>SUM(BOM!M29,BOM!M37,BOM!M41,BOM!M46,BOM!M50)</f>
        <v>29311.680000000004</v>
      </c>
    </row>
    <row r="8" spans="1:6">
      <c r="A8" s="164" t="s">
        <v>168</v>
      </c>
      <c r="B8" s="168" t="s">
        <v>275</v>
      </c>
      <c r="C8" s="169">
        <f>BOM!K123</f>
        <v>6900</v>
      </c>
      <c r="D8" s="169">
        <f>BOM!M123</f>
        <v>7728</v>
      </c>
    </row>
    <row r="9" spans="1:6">
      <c r="A9" s="164" t="s">
        <v>179</v>
      </c>
      <c r="B9" s="168" t="s">
        <v>282</v>
      </c>
      <c r="C9" s="169">
        <f>SUM(BOM!K130,BOM!K114,BOM!K93,BOM!K89,BOM!K84)</f>
        <v>20989</v>
      </c>
      <c r="D9" s="169">
        <f>SUM(BOM!M130,BOM!M114,BOM!M93,BOM!M89,BOM!M84)</f>
        <v>24100.048000000003</v>
      </c>
    </row>
    <row r="10" spans="1:6">
      <c r="A10" s="164"/>
      <c r="B10" s="165" t="s">
        <v>269</v>
      </c>
      <c r="C10" s="166">
        <f>SUM(C8:C9)</f>
        <v>27889</v>
      </c>
      <c r="D10" s="167">
        <f>SUM(D8:D9)</f>
        <v>31828.048000000003</v>
      </c>
    </row>
    <row r="11" spans="1:6">
      <c r="A11" s="164"/>
      <c r="B11" s="165" t="s">
        <v>270</v>
      </c>
      <c r="C11" s="166">
        <f>SUM(C7,C10)</f>
        <v>45929</v>
      </c>
      <c r="D11" s="167">
        <f>SUM(D7,D10)</f>
        <v>61139.728000000003</v>
      </c>
    </row>
    <row r="12" spans="1:6">
      <c r="A12" s="164"/>
      <c r="B12" s="168"/>
      <c r="C12" s="169"/>
      <c r="D12" s="170"/>
    </row>
    <row r="13" spans="1:6">
      <c r="A13" s="164"/>
      <c r="B13" s="165" t="s">
        <v>271</v>
      </c>
      <c r="C13" s="166"/>
      <c r="D13" s="167">
        <f>SUM(D11,D12)</f>
        <v>61139.728000000003</v>
      </c>
    </row>
    <row r="14" spans="1:6">
      <c r="A14" s="164"/>
      <c r="B14" s="165" t="s">
        <v>272</v>
      </c>
      <c r="C14" s="171"/>
      <c r="D14" s="167">
        <f>D11-C11</f>
        <v>15210.728000000003</v>
      </c>
      <c r="F14" s="177"/>
    </row>
    <row r="15" spans="1:6" ht="15.75" thickBot="1">
      <c r="A15" s="172"/>
      <c r="B15" s="173" t="s">
        <v>273</v>
      </c>
      <c r="C15" s="174"/>
      <c r="D15" s="175">
        <f>IF(ISERROR((D11-C11)/D11),0,((D11-C11)/D11))</f>
        <v>0.24878632106443133</v>
      </c>
      <c r="F15" s="176"/>
    </row>
    <row r="17" spans="3:4">
      <c r="C17" s="176">
        <f>C10/8</f>
        <v>3486.125</v>
      </c>
      <c r="D17" s="176">
        <f>D10/8</f>
        <v>3978.5060000000003</v>
      </c>
    </row>
  </sheetData>
  <mergeCells count="6">
    <mergeCell ref="A2:B2"/>
    <mergeCell ref="C2:D2"/>
    <mergeCell ref="A3:B3"/>
    <mergeCell ref="C3:D3"/>
    <mergeCell ref="A4:B4"/>
    <mergeCell ref="C4:D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141"/>
  <sheetViews>
    <sheetView view="pageBreakPreview" topLeftCell="A19" zoomScale="85" zoomScaleSheetLayoutView="85" workbookViewId="0">
      <selection activeCell="D12" sqref="D12"/>
    </sheetView>
  </sheetViews>
  <sheetFormatPr defaultRowHeight="15.75"/>
  <cols>
    <col min="1" max="1" width="11.7109375" style="1" customWidth="1"/>
    <col min="2" max="2" width="30.7109375" style="1" customWidth="1"/>
    <col min="3" max="3" width="20.7109375" style="1" customWidth="1"/>
    <col min="4" max="4" width="40.28515625" style="1" customWidth="1"/>
    <col min="5" max="5" width="7" style="37" customWidth="1"/>
    <col min="6" max="6" width="20.7109375" style="1" customWidth="1"/>
    <col min="7" max="7" width="22.28515625" style="1" customWidth="1"/>
    <col min="8" max="8" width="9.140625" style="1"/>
    <col min="9" max="24" width="2.7109375" style="1" customWidth="1"/>
    <col min="25" max="256" width="9.140625" style="1"/>
    <col min="257" max="257" width="12.5703125" style="1" customWidth="1"/>
    <col min="258" max="258" width="32.42578125" style="1" customWidth="1"/>
    <col min="259" max="259" width="20.7109375" style="1" customWidth="1"/>
    <col min="260" max="260" width="40.7109375" style="1" customWidth="1"/>
    <col min="261" max="261" width="7" style="1" customWidth="1"/>
    <col min="262" max="263" width="20.7109375" style="1" customWidth="1"/>
    <col min="264" max="264" width="9.140625" style="1"/>
    <col min="265" max="280" width="2.7109375" style="1" customWidth="1"/>
    <col min="281" max="512" width="9.140625" style="1"/>
    <col min="513" max="513" width="12.5703125" style="1" customWidth="1"/>
    <col min="514" max="514" width="32.42578125" style="1" customWidth="1"/>
    <col min="515" max="515" width="20.7109375" style="1" customWidth="1"/>
    <col min="516" max="516" width="40.7109375" style="1" customWidth="1"/>
    <col min="517" max="517" width="7" style="1" customWidth="1"/>
    <col min="518" max="519" width="20.7109375" style="1" customWidth="1"/>
    <col min="520" max="520" width="9.140625" style="1"/>
    <col min="521" max="536" width="2.7109375" style="1" customWidth="1"/>
    <col min="537" max="768" width="9.140625" style="1"/>
    <col min="769" max="769" width="12.5703125" style="1" customWidth="1"/>
    <col min="770" max="770" width="32.42578125" style="1" customWidth="1"/>
    <col min="771" max="771" width="20.7109375" style="1" customWidth="1"/>
    <col min="772" max="772" width="40.7109375" style="1" customWidth="1"/>
    <col min="773" max="773" width="7" style="1" customWidth="1"/>
    <col min="774" max="775" width="20.7109375" style="1" customWidth="1"/>
    <col min="776" max="776" width="9.140625" style="1"/>
    <col min="777" max="792" width="2.7109375" style="1" customWidth="1"/>
    <col min="793" max="1024" width="9.140625" style="1"/>
    <col min="1025" max="1025" width="12.5703125" style="1" customWidth="1"/>
    <col min="1026" max="1026" width="32.42578125" style="1" customWidth="1"/>
    <col min="1027" max="1027" width="20.7109375" style="1" customWidth="1"/>
    <col min="1028" max="1028" width="40.7109375" style="1" customWidth="1"/>
    <col min="1029" max="1029" width="7" style="1" customWidth="1"/>
    <col min="1030" max="1031" width="20.7109375" style="1" customWidth="1"/>
    <col min="1032" max="1032" width="9.140625" style="1"/>
    <col min="1033" max="1048" width="2.7109375" style="1" customWidth="1"/>
    <col min="1049" max="1280" width="9.140625" style="1"/>
    <col min="1281" max="1281" width="12.5703125" style="1" customWidth="1"/>
    <col min="1282" max="1282" width="32.42578125" style="1" customWidth="1"/>
    <col min="1283" max="1283" width="20.7109375" style="1" customWidth="1"/>
    <col min="1284" max="1284" width="40.7109375" style="1" customWidth="1"/>
    <col min="1285" max="1285" width="7" style="1" customWidth="1"/>
    <col min="1286" max="1287" width="20.7109375" style="1" customWidth="1"/>
    <col min="1288" max="1288" width="9.140625" style="1"/>
    <col min="1289" max="1304" width="2.7109375" style="1" customWidth="1"/>
    <col min="1305" max="1536" width="9.140625" style="1"/>
    <col min="1537" max="1537" width="12.5703125" style="1" customWidth="1"/>
    <col min="1538" max="1538" width="32.42578125" style="1" customWidth="1"/>
    <col min="1539" max="1539" width="20.7109375" style="1" customWidth="1"/>
    <col min="1540" max="1540" width="40.7109375" style="1" customWidth="1"/>
    <col min="1541" max="1541" width="7" style="1" customWidth="1"/>
    <col min="1542" max="1543" width="20.7109375" style="1" customWidth="1"/>
    <col min="1544" max="1544" width="9.140625" style="1"/>
    <col min="1545" max="1560" width="2.7109375" style="1" customWidth="1"/>
    <col min="1561" max="1792" width="9.140625" style="1"/>
    <col min="1793" max="1793" width="12.5703125" style="1" customWidth="1"/>
    <col min="1794" max="1794" width="32.42578125" style="1" customWidth="1"/>
    <col min="1795" max="1795" width="20.7109375" style="1" customWidth="1"/>
    <col min="1796" max="1796" width="40.7109375" style="1" customWidth="1"/>
    <col min="1797" max="1797" width="7" style="1" customWidth="1"/>
    <col min="1798" max="1799" width="20.7109375" style="1" customWidth="1"/>
    <col min="1800" max="1800" width="9.140625" style="1"/>
    <col min="1801" max="1816" width="2.7109375" style="1" customWidth="1"/>
    <col min="1817" max="2048" width="9.140625" style="1"/>
    <col min="2049" max="2049" width="12.5703125" style="1" customWidth="1"/>
    <col min="2050" max="2050" width="32.42578125" style="1" customWidth="1"/>
    <col min="2051" max="2051" width="20.7109375" style="1" customWidth="1"/>
    <col min="2052" max="2052" width="40.7109375" style="1" customWidth="1"/>
    <col min="2053" max="2053" width="7" style="1" customWidth="1"/>
    <col min="2054" max="2055" width="20.7109375" style="1" customWidth="1"/>
    <col min="2056" max="2056" width="9.140625" style="1"/>
    <col min="2057" max="2072" width="2.7109375" style="1" customWidth="1"/>
    <col min="2073" max="2304" width="9.140625" style="1"/>
    <col min="2305" max="2305" width="12.5703125" style="1" customWidth="1"/>
    <col min="2306" max="2306" width="32.42578125" style="1" customWidth="1"/>
    <col min="2307" max="2307" width="20.7109375" style="1" customWidth="1"/>
    <col min="2308" max="2308" width="40.7109375" style="1" customWidth="1"/>
    <col min="2309" max="2309" width="7" style="1" customWidth="1"/>
    <col min="2310" max="2311" width="20.7109375" style="1" customWidth="1"/>
    <col min="2312" max="2312" width="9.140625" style="1"/>
    <col min="2313" max="2328" width="2.7109375" style="1" customWidth="1"/>
    <col min="2329" max="2560" width="9.140625" style="1"/>
    <col min="2561" max="2561" width="12.5703125" style="1" customWidth="1"/>
    <col min="2562" max="2562" width="32.42578125" style="1" customWidth="1"/>
    <col min="2563" max="2563" width="20.7109375" style="1" customWidth="1"/>
    <col min="2564" max="2564" width="40.7109375" style="1" customWidth="1"/>
    <col min="2565" max="2565" width="7" style="1" customWidth="1"/>
    <col min="2566" max="2567" width="20.7109375" style="1" customWidth="1"/>
    <col min="2568" max="2568" width="9.140625" style="1"/>
    <col min="2569" max="2584" width="2.7109375" style="1" customWidth="1"/>
    <col min="2585" max="2816" width="9.140625" style="1"/>
    <col min="2817" max="2817" width="12.5703125" style="1" customWidth="1"/>
    <col min="2818" max="2818" width="32.42578125" style="1" customWidth="1"/>
    <col min="2819" max="2819" width="20.7109375" style="1" customWidth="1"/>
    <col min="2820" max="2820" width="40.7109375" style="1" customWidth="1"/>
    <col min="2821" max="2821" width="7" style="1" customWidth="1"/>
    <col min="2822" max="2823" width="20.7109375" style="1" customWidth="1"/>
    <col min="2824" max="2824" width="9.140625" style="1"/>
    <col min="2825" max="2840" width="2.7109375" style="1" customWidth="1"/>
    <col min="2841" max="3072" width="9.140625" style="1"/>
    <col min="3073" max="3073" width="12.5703125" style="1" customWidth="1"/>
    <col min="3074" max="3074" width="32.42578125" style="1" customWidth="1"/>
    <col min="3075" max="3075" width="20.7109375" style="1" customWidth="1"/>
    <col min="3076" max="3076" width="40.7109375" style="1" customWidth="1"/>
    <col min="3077" max="3077" width="7" style="1" customWidth="1"/>
    <col min="3078" max="3079" width="20.7109375" style="1" customWidth="1"/>
    <col min="3080" max="3080" width="9.140625" style="1"/>
    <col min="3081" max="3096" width="2.7109375" style="1" customWidth="1"/>
    <col min="3097" max="3328" width="9.140625" style="1"/>
    <col min="3329" max="3329" width="12.5703125" style="1" customWidth="1"/>
    <col min="3330" max="3330" width="32.42578125" style="1" customWidth="1"/>
    <col min="3331" max="3331" width="20.7109375" style="1" customWidth="1"/>
    <col min="3332" max="3332" width="40.7109375" style="1" customWidth="1"/>
    <col min="3333" max="3333" width="7" style="1" customWidth="1"/>
    <col min="3334" max="3335" width="20.7109375" style="1" customWidth="1"/>
    <col min="3336" max="3336" width="9.140625" style="1"/>
    <col min="3337" max="3352" width="2.7109375" style="1" customWidth="1"/>
    <col min="3353" max="3584" width="9.140625" style="1"/>
    <col min="3585" max="3585" width="12.5703125" style="1" customWidth="1"/>
    <col min="3586" max="3586" width="32.42578125" style="1" customWidth="1"/>
    <col min="3587" max="3587" width="20.7109375" style="1" customWidth="1"/>
    <col min="3588" max="3588" width="40.7109375" style="1" customWidth="1"/>
    <col min="3589" max="3589" width="7" style="1" customWidth="1"/>
    <col min="3590" max="3591" width="20.7109375" style="1" customWidth="1"/>
    <col min="3592" max="3592" width="9.140625" style="1"/>
    <col min="3593" max="3608" width="2.7109375" style="1" customWidth="1"/>
    <col min="3609" max="3840" width="9.140625" style="1"/>
    <col min="3841" max="3841" width="12.5703125" style="1" customWidth="1"/>
    <col min="3842" max="3842" width="32.42578125" style="1" customWidth="1"/>
    <col min="3843" max="3843" width="20.7109375" style="1" customWidth="1"/>
    <col min="3844" max="3844" width="40.7109375" style="1" customWidth="1"/>
    <col min="3845" max="3845" width="7" style="1" customWidth="1"/>
    <col min="3846" max="3847" width="20.7109375" style="1" customWidth="1"/>
    <col min="3848" max="3848" width="9.140625" style="1"/>
    <col min="3849" max="3864" width="2.7109375" style="1" customWidth="1"/>
    <col min="3865" max="4096" width="9.140625" style="1"/>
    <col min="4097" max="4097" width="12.5703125" style="1" customWidth="1"/>
    <col min="4098" max="4098" width="32.42578125" style="1" customWidth="1"/>
    <col min="4099" max="4099" width="20.7109375" style="1" customWidth="1"/>
    <col min="4100" max="4100" width="40.7109375" style="1" customWidth="1"/>
    <col min="4101" max="4101" width="7" style="1" customWidth="1"/>
    <col min="4102" max="4103" width="20.7109375" style="1" customWidth="1"/>
    <col min="4104" max="4104" width="9.140625" style="1"/>
    <col min="4105" max="4120" width="2.7109375" style="1" customWidth="1"/>
    <col min="4121" max="4352" width="9.140625" style="1"/>
    <col min="4353" max="4353" width="12.5703125" style="1" customWidth="1"/>
    <col min="4354" max="4354" width="32.42578125" style="1" customWidth="1"/>
    <col min="4355" max="4355" width="20.7109375" style="1" customWidth="1"/>
    <col min="4356" max="4356" width="40.7109375" style="1" customWidth="1"/>
    <col min="4357" max="4357" width="7" style="1" customWidth="1"/>
    <col min="4358" max="4359" width="20.7109375" style="1" customWidth="1"/>
    <col min="4360" max="4360" width="9.140625" style="1"/>
    <col min="4361" max="4376" width="2.7109375" style="1" customWidth="1"/>
    <col min="4377" max="4608" width="9.140625" style="1"/>
    <col min="4609" max="4609" width="12.5703125" style="1" customWidth="1"/>
    <col min="4610" max="4610" width="32.42578125" style="1" customWidth="1"/>
    <col min="4611" max="4611" width="20.7109375" style="1" customWidth="1"/>
    <col min="4612" max="4612" width="40.7109375" style="1" customWidth="1"/>
    <col min="4613" max="4613" width="7" style="1" customWidth="1"/>
    <col min="4614" max="4615" width="20.7109375" style="1" customWidth="1"/>
    <col min="4616" max="4616" width="9.140625" style="1"/>
    <col min="4617" max="4632" width="2.7109375" style="1" customWidth="1"/>
    <col min="4633" max="4864" width="9.140625" style="1"/>
    <col min="4865" max="4865" width="12.5703125" style="1" customWidth="1"/>
    <col min="4866" max="4866" width="32.42578125" style="1" customWidth="1"/>
    <col min="4867" max="4867" width="20.7109375" style="1" customWidth="1"/>
    <col min="4868" max="4868" width="40.7109375" style="1" customWidth="1"/>
    <col min="4869" max="4869" width="7" style="1" customWidth="1"/>
    <col min="4870" max="4871" width="20.7109375" style="1" customWidth="1"/>
    <col min="4872" max="4872" width="9.140625" style="1"/>
    <col min="4873" max="4888" width="2.7109375" style="1" customWidth="1"/>
    <col min="4889" max="5120" width="9.140625" style="1"/>
    <col min="5121" max="5121" width="12.5703125" style="1" customWidth="1"/>
    <col min="5122" max="5122" width="32.42578125" style="1" customWidth="1"/>
    <col min="5123" max="5123" width="20.7109375" style="1" customWidth="1"/>
    <col min="5124" max="5124" width="40.7109375" style="1" customWidth="1"/>
    <col min="5125" max="5125" width="7" style="1" customWidth="1"/>
    <col min="5126" max="5127" width="20.7109375" style="1" customWidth="1"/>
    <col min="5128" max="5128" width="9.140625" style="1"/>
    <col min="5129" max="5144" width="2.7109375" style="1" customWidth="1"/>
    <col min="5145" max="5376" width="9.140625" style="1"/>
    <col min="5377" max="5377" width="12.5703125" style="1" customWidth="1"/>
    <col min="5378" max="5378" width="32.42578125" style="1" customWidth="1"/>
    <col min="5379" max="5379" width="20.7109375" style="1" customWidth="1"/>
    <col min="5380" max="5380" width="40.7109375" style="1" customWidth="1"/>
    <col min="5381" max="5381" width="7" style="1" customWidth="1"/>
    <col min="5382" max="5383" width="20.7109375" style="1" customWidth="1"/>
    <col min="5384" max="5384" width="9.140625" style="1"/>
    <col min="5385" max="5400" width="2.7109375" style="1" customWidth="1"/>
    <col min="5401" max="5632" width="9.140625" style="1"/>
    <col min="5633" max="5633" width="12.5703125" style="1" customWidth="1"/>
    <col min="5634" max="5634" width="32.42578125" style="1" customWidth="1"/>
    <col min="5635" max="5635" width="20.7109375" style="1" customWidth="1"/>
    <col min="5636" max="5636" width="40.7109375" style="1" customWidth="1"/>
    <col min="5637" max="5637" width="7" style="1" customWidth="1"/>
    <col min="5638" max="5639" width="20.7109375" style="1" customWidth="1"/>
    <col min="5640" max="5640" width="9.140625" style="1"/>
    <col min="5641" max="5656" width="2.7109375" style="1" customWidth="1"/>
    <col min="5657" max="5888" width="9.140625" style="1"/>
    <col min="5889" max="5889" width="12.5703125" style="1" customWidth="1"/>
    <col min="5890" max="5890" width="32.42578125" style="1" customWidth="1"/>
    <col min="5891" max="5891" width="20.7109375" style="1" customWidth="1"/>
    <col min="5892" max="5892" width="40.7109375" style="1" customWidth="1"/>
    <col min="5893" max="5893" width="7" style="1" customWidth="1"/>
    <col min="5894" max="5895" width="20.7109375" style="1" customWidth="1"/>
    <col min="5896" max="5896" width="9.140625" style="1"/>
    <col min="5897" max="5912" width="2.7109375" style="1" customWidth="1"/>
    <col min="5913" max="6144" width="9.140625" style="1"/>
    <col min="6145" max="6145" width="12.5703125" style="1" customWidth="1"/>
    <col min="6146" max="6146" width="32.42578125" style="1" customWidth="1"/>
    <col min="6147" max="6147" width="20.7109375" style="1" customWidth="1"/>
    <col min="6148" max="6148" width="40.7109375" style="1" customWidth="1"/>
    <col min="6149" max="6149" width="7" style="1" customWidth="1"/>
    <col min="6150" max="6151" width="20.7109375" style="1" customWidth="1"/>
    <col min="6152" max="6152" width="9.140625" style="1"/>
    <col min="6153" max="6168" width="2.7109375" style="1" customWidth="1"/>
    <col min="6169" max="6400" width="9.140625" style="1"/>
    <col min="6401" max="6401" width="12.5703125" style="1" customWidth="1"/>
    <col min="6402" max="6402" width="32.42578125" style="1" customWidth="1"/>
    <col min="6403" max="6403" width="20.7109375" style="1" customWidth="1"/>
    <col min="6404" max="6404" width="40.7109375" style="1" customWidth="1"/>
    <col min="6405" max="6405" width="7" style="1" customWidth="1"/>
    <col min="6406" max="6407" width="20.7109375" style="1" customWidth="1"/>
    <col min="6408" max="6408" width="9.140625" style="1"/>
    <col min="6409" max="6424" width="2.7109375" style="1" customWidth="1"/>
    <col min="6425" max="6656" width="9.140625" style="1"/>
    <col min="6657" max="6657" width="12.5703125" style="1" customWidth="1"/>
    <col min="6658" max="6658" width="32.42578125" style="1" customWidth="1"/>
    <col min="6659" max="6659" width="20.7109375" style="1" customWidth="1"/>
    <col min="6660" max="6660" width="40.7109375" style="1" customWidth="1"/>
    <col min="6661" max="6661" width="7" style="1" customWidth="1"/>
    <col min="6662" max="6663" width="20.7109375" style="1" customWidth="1"/>
    <col min="6664" max="6664" width="9.140625" style="1"/>
    <col min="6665" max="6680" width="2.7109375" style="1" customWidth="1"/>
    <col min="6681" max="6912" width="9.140625" style="1"/>
    <col min="6913" max="6913" width="12.5703125" style="1" customWidth="1"/>
    <col min="6914" max="6914" width="32.42578125" style="1" customWidth="1"/>
    <col min="6915" max="6915" width="20.7109375" style="1" customWidth="1"/>
    <col min="6916" max="6916" width="40.7109375" style="1" customWidth="1"/>
    <col min="6917" max="6917" width="7" style="1" customWidth="1"/>
    <col min="6918" max="6919" width="20.7109375" style="1" customWidth="1"/>
    <col min="6920" max="6920" width="9.140625" style="1"/>
    <col min="6921" max="6936" width="2.7109375" style="1" customWidth="1"/>
    <col min="6937" max="7168" width="9.140625" style="1"/>
    <col min="7169" max="7169" width="12.5703125" style="1" customWidth="1"/>
    <col min="7170" max="7170" width="32.42578125" style="1" customWidth="1"/>
    <col min="7171" max="7171" width="20.7109375" style="1" customWidth="1"/>
    <col min="7172" max="7172" width="40.7109375" style="1" customWidth="1"/>
    <col min="7173" max="7173" width="7" style="1" customWidth="1"/>
    <col min="7174" max="7175" width="20.7109375" style="1" customWidth="1"/>
    <col min="7176" max="7176" width="9.140625" style="1"/>
    <col min="7177" max="7192" width="2.7109375" style="1" customWidth="1"/>
    <col min="7193" max="7424" width="9.140625" style="1"/>
    <col min="7425" max="7425" width="12.5703125" style="1" customWidth="1"/>
    <col min="7426" max="7426" width="32.42578125" style="1" customWidth="1"/>
    <col min="7427" max="7427" width="20.7109375" style="1" customWidth="1"/>
    <col min="7428" max="7428" width="40.7109375" style="1" customWidth="1"/>
    <col min="7429" max="7429" width="7" style="1" customWidth="1"/>
    <col min="7430" max="7431" width="20.7109375" style="1" customWidth="1"/>
    <col min="7432" max="7432" width="9.140625" style="1"/>
    <col min="7433" max="7448" width="2.7109375" style="1" customWidth="1"/>
    <col min="7449" max="7680" width="9.140625" style="1"/>
    <col min="7681" max="7681" width="12.5703125" style="1" customWidth="1"/>
    <col min="7682" max="7682" width="32.42578125" style="1" customWidth="1"/>
    <col min="7683" max="7683" width="20.7109375" style="1" customWidth="1"/>
    <col min="7684" max="7684" width="40.7109375" style="1" customWidth="1"/>
    <col min="7685" max="7685" width="7" style="1" customWidth="1"/>
    <col min="7686" max="7687" width="20.7109375" style="1" customWidth="1"/>
    <col min="7688" max="7688" width="9.140625" style="1"/>
    <col min="7689" max="7704" width="2.7109375" style="1" customWidth="1"/>
    <col min="7705" max="7936" width="9.140625" style="1"/>
    <col min="7937" max="7937" width="12.5703125" style="1" customWidth="1"/>
    <col min="7938" max="7938" width="32.42578125" style="1" customWidth="1"/>
    <col min="7939" max="7939" width="20.7109375" style="1" customWidth="1"/>
    <col min="7940" max="7940" width="40.7109375" style="1" customWidth="1"/>
    <col min="7941" max="7941" width="7" style="1" customWidth="1"/>
    <col min="7942" max="7943" width="20.7109375" style="1" customWidth="1"/>
    <col min="7944" max="7944" width="9.140625" style="1"/>
    <col min="7945" max="7960" width="2.7109375" style="1" customWidth="1"/>
    <col min="7961" max="8192" width="9.140625" style="1"/>
    <col min="8193" max="8193" width="12.5703125" style="1" customWidth="1"/>
    <col min="8194" max="8194" width="32.42578125" style="1" customWidth="1"/>
    <col min="8195" max="8195" width="20.7109375" style="1" customWidth="1"/>
    <col min="8196" max="8196" width="40.7109375" style="1" customWidth="1"/>
    <col min="8197" max="8197" width="7" style="1" customWidth="1"/>
    <col min="8198" max="8199" width="20.7109375" style="1" customWidth="1"/>
    <col min="8200" max="8200" width="9.140625" style="1"/>
    <col min="8201" max="8216" width="2.7109375" style="1" customWidth="1"/>
    <col min="8217" max="8448" width="9.140625" style="1"/>
    <col min="8449" max="8449" width="12.5703125" style="1" customWidth="1"/>
    <col min="8450" max="8450" width="32.42578125" style="1" customWidth="1"/>
    <col min="8451" max="8451" width="20.7109375" style="1" customWidth="1"/>
    <col min="8452" max="8452" width="40.7109375" style="1" customWidth="1"/>
    <col min="8453" max="8453" width="7" style="1" customWidth="1"/>
    <col min="8454" max="8455" width="20.7109375" style="1" customWidth="1"/>
    <col min="8456" max="8456" width="9.140625" style="1"/>
    <col min="8457" max="8472" width="2.7109375" style="1" customWidth="1"/>
    <col min="8473" max="8704" width="9.140625" style="1"/>
    <col min="8705" max="8705" width="12.5703125" style="1" customWidth="1"/>
    <col min="8706" max="8706" width="32.42578125" style="1" customWidth="1"/>
    <col min="8707" max="8707" width="20.7109375" style="1" customWidth="1"/>
    <col min="8708" max="8708" width="40.7109375" style="1" customWidth="1"/>
    <col min="8709" max="8709" width="7" style="1" customWidth="1"/>
    <col min="8710" max="8711" width="20.7109375" style="1" customWidth="1"/>
    <col min="8712" max="8712" width="9.140625" style="1"/>
    <col min="8713" max="8728" width="2.7109375" style="1" customWidth="1"/>
    <col min="8729" max="8960" width="9.140625" style="1"/>
    <col min="8961" max="8961" width="12.5703125" style="1" customWidth="1"/>
    <col min="8962" max="8962" width="32.42578125" style="1" customWidth="1"/>
    <col min="8963" max="8963" width="20.7109375" style="1" customWidth="1"/>
    <col min="8964" max="8964" width="40.7109375" style="1" customWidth="1"/>
    <col min="8965" max="8965" width="7" style="1" customWidth="1"/>
    <col min="8966" max="8967" width="20.7109375" style="1" customWidth="1"/>
    <col min="8968" max="8968" width="9.140625" style="1"/>
    <col min="8969" max="8984" width="2.7109375" style="1" customWidth="1"/>
    <col min="8985" max="9216" width="9.140625" style="1"/>
    <col min="9217" max="9217" width="12.5703125" style="1" customWidth="1"/>
    <col min="9218" max="9218" width="32.42578125" style="1" customWidth="1"/>
    <col min="9219" max="9219" width="20.7109375" style="1" customWidth="1"/>
    <col min="9220" max="9220" width="40.7109375" style="1" customWidth="1"/>
    <col min="9221" max="9221" width="7" style="1" customWidth="1"/>
    <col min="9222" max="9223" width="20.7109375" style="1" customWidth="1"/>
    <col min="9224" max="9224" width="9.140625" style="1"/>
    <col min="9225" max="9240" width="2.7109375" style="1" customWidth="1"/>
    <col min="9241" max="9472" width="9.140625" style="1"/>
    <col min="9473" max="9473" width="12.5703125" style="1" customWidth="1"/>
    <col min="9474" max="9474" width="32.42578125" style="1" customWidth="1"/>
    <col min="9475" max="9475" width="20.7109375" style="1" customWidth="1"/>
    <col min="9476" max="9476" width="40.7109375" style="1" customWidth="1"/>
    <col min="9477" max="9477" width="7" style="1" customWidth="1"/>
    <col min="9478" max="9479" width="20.7109375" style="1" customWidth="1"/>
    <col min="9480" max="9480" width="9.140625" style="1"/>
    <col min="9481" max="9496" width="2.7109375" style="1" customWidth="1"/>
    <col min="9497" max="9728" width="9.140625" style="1"/>
    <col min="9729" max="9729" width="12.5703125" style="1" customWidth="1"/>
    <col min="9730" max="9730" width="32.42578125" style="1" customWidth="1"/>
    <col min="9731" max="9731" width="20.7109375" style="1" customWidth="1"/>
    <col min="9732" max="9732" width="40.7109375" style="1" customWidth="1"/>
    <col min="9733" max="9733" width="7" style="1" customWidth="1"/>
    <col min="9734" max="9735" width="20.7109375" style="1" customWidth="1"/>
    <col min="9736" max="9736" width="9.140625" style="1"/>
    <col min="9737" max="9752" width="2.7109375" style="1" customWidth="1"/>
    <col min="9753" max="9984" width="9.140625" style="1"/>
    <col min="9985" max="9985" width="12.5703125" style="1" customWidth="1"/>
    <col min="9986" max="9986" width="32.42578125" style="1" customWidth="1"/>
    <col min="9987" max="9987" width="20.7109375" style="1" customWidth="1"/>
    <col min="9988" max="9988" width="40.7109375" style="1" customWidth="1"/>
    <col min="9989" max="9989" width="7" style="1" customWidth="1"/>
    <col min="9990" max="9991" width="20.7109375" style="1" customWidth="1"/>
    <col min="9992" max="9992" width="9.140625" style="1"/>
    <col min="9993" max="10008" width="2.7109375" style="1" customWidth="1"/>
    <col min="10009" max="10240" width="9.140625" style="1"/>
    <col min="10241" max="10241" width="12.5703125" style="1" customWidth="1"/>
    <col min="10242" max="10242" width="32.42578125" style="1" customWidth="1"/>
    <col min="10243" max="10243" width="20.7109375" style="1" customWidth="1"/>
    <col min="10244" max="10244" width="40.7109375" style="1" customWidth="1"/>
    <col min="10245" max="10245" width="7" style="1" customWidth="1"/>
    <col min="10246" max="10247" width="20.7109375" style="1" customWidth="1"/>
    <col min="10248" max="10248" width="9.140625" style="1"/>
    <col min="10249" max="10264" width="2.7109375" style="1" customWidth="1"/>
    <col min="10265" max="10496" width="9.140625" style="1"/>
    <col min="10497" max="10497" width="12.5703125" style="1" customWidth="1"/>
    <col min="10498" max="10498" width="32.42578125" style="1" customWidth="1"/>
    <col min="10499" max="10499" width="20.7109375" style="1" customWidth="1"/>
    <col min="10500" max="10500" width="40.7109375" style="1" customWidth="1"/>
    <col min="10501" max="10501" width="7" style="1" customWidth="1"/>
    <col min="10502" max="10503" width="20.7109375" style="1" customWidth="1"/>
    <col min="10504" max="10504" width="9.140625" style="1"/>
    <col min="10505" max="10520" width="2.7109375" style="1" customWidth="1"/>
    <col min="10521" max="10752" width="9.140625" style="1"/>
    <col min="10753" max="10753" width="12.5703125" style="1" customWidth="1"/>
    <col min="10754" max="10754" width="32.42578125" style="1" customWidth="1"/>
    <col min="10755" max="10755" width="20.7109375" style="1" customWidth="1"/>
    <col min="10756" max="10756" width="40.7109375" style="1" customWidth="1"/>
    <col min="10757" max="10757" width="7" style="1" customWidth="1"/>
    <col min="10758" max="10759" width="20.7109375" style="1" customWidth="1"/>
    <col min="10760" max="10760" width="9.140625" style="1"/>
    <col min="10761" max="10776" width="2.7109375" style="1" customWidth="1"/>
    <col min="10777" max="11008" width="9.140625" style="1"/>
    <col min="11009" max="11009" width="12.5703125" style="1" customWidth="1"/>
    <col min="11010" max="11010" width="32.42578125" style="1" customWidth="1"/>
    <col min="11011" max="11011" width="20.7109375" style="1" customWidth="1"/>
    <col min="11012" max="11012" width="40.7109375" style="1" customWidth="1"/>
    <col min="11013" max="11013" width="7" style="1" customWidth="1"/>
    <col min="11014" max="11015" width="20.7109375" style="1" customWidth="1"/>
    <col min="11016" max="11016" width="9.140625" style="1"/>
    <col min="11017" max="11032" width="2.7109375" style="1" customWidth="1"/>
    <col min="11033" max="11264" width="9.140625" style="1"/>
    <col min="11265" max="11265" width="12.5703125" style="1" customWidth="1"/>
    <col min="11266" max="11266" width="32.42578125" style="1" customWidth="1"/>
    <col min="11267" max="11267" width="20.7109375" style="1" customWidth="1"/>
    <col min="11268" max="11268" width="40.7109375" style="1" customWidth="1"/>
    <col min="11269" max="11269" width="7" style="1" customWidth="1"/>
    <col min="11270" max="11271" width="20.7109375" style="1" customWidth="1"/>
    <col min="11272" max="11272" width="9.140625" style="1"/>
    <col min="11273" max="11288" width="2.7109375" style="1" customWidth="1"/>
    <col min="11289" max="11520" width="9.140625" style="1"/>
    <col min="11521" max="11521" width="12.5703125" style="1" customWidth="1"/>
    <col min="11522" max="11522" width="32.42578125" style="1" customWidth="1"/>
    <col min="11523" max="11523" width="20.7109375" style="1" customWidth="1"/>
    <col min="11524" max="11524" width="40.7109375" style="1" customWidth="1"/>
    <col min="11525" max="11525" width="7" style="1" customWidth="1"/>
    <col min="11526" max="11527" width="20.7109375" style="1" customWidth="1"/>
    <col min="11528" max="11528" width="9.140625" style="1"/>
    <col min="11529" max="11544" width="2.7109375" style="1" customWidth="1"/>
    <col min="11545" max="11776" width="9.140625" style="1"/>
    <col min="11777" max="11777" width="12.5703125" style="1" customWidth="1"/>
    <col min="11778" max="11778" width="32.42578125" style="1" customWidth="1"/>
    <col min="11779" max="11779" width="20.7109375" style="1" customWidth="1"/>
    <col min="11780" max="11780" width="40.7109375" style="1" customWidth="1"/>
    <col min="11781" max="11781" width="7" style="1" customWidth="1"/>
    <col min="11782" max="11783" width="20.7109375" style="1" customWidth="1"/>
    <col min="11784" max="11784" width="9.140625" style="1"/>
    <col min="11785" max="11800" width="2.7109375" style="1" customWidth="1"/>
    <col min="11801" max="12032" width="9.140625" style="1"/>
    <col min="12033" max="12033" width="12.5703125" style="1" customWidth="1"/>
    <col min="12034" max="12034" width="32.42578125" style="1" customWidth="1"/>
    <col min="12035" max="12035" width="20.7109375" style="1" customWidth="1"/>
    <col min="12036" max="12036" width="40.7109375" style="1" customWidth="1"/>
    <col min="12037" max="12037" width="7" style="1" customWidth="1"/>
    <col min="12038" max="12039" width="20.7109375" style="1" customWidth="1"/>
    <col min="12040" max="12040" width="9.140625" style="1"/>
    <col min="12041" max="12056" width="2.7109375" style="1" customWidth="1"/>
    <col min="12057" max="12288" width="9.140625" style="1"/>
    <col min="12289" max="12289" width="12.5703125" style="1" customWidth="1"/>
    <col min="12290" max="12290" width="32.42578125" style="1" customWidth="1"/>
    <col min="12291" max="12291" width="20.7109375" style="1" customWidth="1"/>
    <col min="12292" max="12292" width="40.7109375" style="1" customWidth="1"/>
    <col min="12293" max="12293" width="7" style="1" customWidth="1"/>
    <col min="12294" max="12295" width="20.7109375" style="1" customWidth="1"/>
    <col min="12296" max="12296" width="9.140625" style="1"/>
    <col min="12297" max="12312" width="2.7109375" style="1" customWidth="1"/>
    <col min="12313" max="12544" width="9.140625" style="1"/>
    <col min="12545" max="12545" width="12.5703125" style="1" customWidth="1"/>
    <col min="12546" max="12546" width="32.42578125" style="1" customWidth="1"/>
    <col min="12547" max="12547" width="20.7109375" style="1" customWidth="1"/>
    <col min="12548" max="12548" width="40.7109375" style="1" customWidth="1"/>
    <col min="12549" max="12549" width="7" style="1" customWidth="1"/>
    <col min="12550" max="12551" width="20.7109375" style="1" customWidth="1"/>
    <col min="12552" max="12552" width="9.140625" style="1"/>
    <col min="12553" max="12568" width="2.7109375" style="1" customWidth="1"/>
    <col min="12569" max="12800" width="9.140625" style="1"/>
    <col min="12801" max="12801" width="12.5703125" style="1" customWidth="1"/>
    <col min="12802" max="12802" width="32.42578125" style="1" customWidth="1"/>
    <col min="12803" max="12803" width="20.7109375" style="1" customWidth="1"/>
    <col min="12804" max="12804" width="40.7109375" style="1" customWidth="1"/>
    <col min="12805" max="12805" width="7" style="1" customWidth="1"/>
    <col min="12806" max="12807" width="20.7109375" style="1" customWidth="1"/>
    <col min="12808" max="12808" width="9.140625" style="1"/>
    <col min="12809" max="12824" width="2.7109375" style="1" customWidth="1"/>
    <col min="12825" max="13056" width="9.140625" style="1"/>
    <col min="13057" max="13057" width="12.5703125" style="1" customWidth="1"/>
    <col min="13058" max="13058" width="32.42578125" style="1" customWidth="1"/>
    <col min="13059" max="13059" width="20.7109375" style="1" customWidth="1"/>
    <col min="13060" max="13060" width="40.7109375" style="1" customWidth="1"/>
    <col min="13061" max="13061" width="7" style="1" customWidth="1"/>
    <col min="13062" max="13063" width="20.7109375" style="1" customWidth="1"/>
    <col min="13064" max="13064" width="9.140625" style="1"/>
    <col min="13065" max="13080" width="2.7109375" style="1" customWidth="1"/>
    <col min="13081" max="13312" width="9.140625" style="1"/>
    <col min="13313" max="13313" width="12.5703125" style="1" customWidth="1"/>
    <col min="13314" max="13314" width="32.42578125" style="1" customWidth="1"/>
    <col min="13315" max="13315" width="20.7109375" style="1" customWidth="1"/>
    <col min="13316" max="13316" width="40.7109375" style="1" customWidth="1"/>
    <col min="13317" max="13317" width="7" style="1" customWidth="1"/>
    <col min="13318" max="13319" width="20.7109375" style="1" customWidth="1"/>
    <col min="13320" max="13320" width="9.140625" style="1"/>
    <col min="13321" max="13336" width="2.7109375" style="1" customWidth="1"/>
    <col min="13337" max="13568" width="9.140625" style="1"/>
    <col min="13569" max="13569" width="12.5703125" style="1" customWidth="1"/>
    <col min="13570" max="13570" width="32.42578125" style="1" customWidth="1"/>
    <col min="13571" max="13571" width="20.7109375" style="1" customWidth="1"/>
    <col min="13572" max="13572" width="40.7109375" style="1" customWidth="1"/>
    <col min="13573" max="13573" width="7" style="1" customWidth="1"/>
    <col min="13574" max="13575" width="20.7109375" style="1" customWidth="1"/>
    <col min="13576" max="13576" width="9.140625" style="1"/>
    <col min="13577" max="13592" width="2.7109375" style="1" customWidth="1"/>
    <col min="13593" max="13824" width="9.140625" style="1"/>
    <col min="13825" max="13825" width="12.5703125" style="1" customWidth="1"/>
    <col min="13826" max="13826" width="32.42578125" style="1" customWidth="1"/>
    <col min="13827" max="13827" width="20.7109375" style="1" customWidth="1"/>
    <col min="13828" max="13828" width="40.7109375" style="1" customWidth="1"/>
    <col min="13829" max="13829" width="7" style="1" customWidth="1"/>
    <col min="13830" max="13831" width="20.7109375" style="1" customWidth="1"/>
    <col min="13832" max="13832" width="9.140625" style="1"/>
    <col min="13833" max="13848" width="2.7109375" style="1" customWidth="1"/>
    <col min="13849" max="14080" width="9.140625" style="1"/>
    <col min="14081" max="14081" width="12.5703125" style="1" customWidth="1"/>
    <col min="14082" max="14082" width="32.42578125" style="1" customWidth="1"/>
    <col min="14083" max="14083" width="20.7109375" style="1" customWidth="1"/>
    <col min="14084" max="14084" width="40.7109375" style="1" customWidth="1"/>
    <col min="14085" max="14085" width="7" style="1" customWidth="1"/>
    <col min="14086" max="14087" width="20.7109375" style="1" customWidth="1"/>
    <col min="14088" max="14088" width="9.140625" style="1"/>
    <col min="14089" max="14104" width="2.7109375" style="1" customWidth="1"/>
    <col min="14105" max="14336" width="9.140625" style="1"/>
    <col min="14337" max="14337" width="12.5703125" style="1" customWidth="1"/>
    <col min="14338" max="14338" width="32.42578125" style="1" customWidth="1"/>
    <col min="14339" max="14339" width="20.7109375" style="1" customWidth="1"/>
    <col min="14340" max="14340" width="40.7109375" style="1" customWidth="1"/>
    <col min="14341" max="14341" width="7" style="1" customWidth="1"/>
    <col min="14342" max="14343" width="20.7109375" style="1" customWidth="1"/>
    <col min="14344" max="14344" width="9.140625" style="1"/>
    <col min="14345" max="14360" width="2.7109375" style="1" customWidth="1"/>
    <col min="14361" max="14592" width="9.140625" style="1"/>
    <col min="14593" max="14593" width="12.5703125" style="1" customWidth="1"/>
    <col min="14594" max="14594" width="32.42578125" style="1" customWidth="1"/>
    <col min="14595" max="14595" width="20.7109375" style="1" customWidth="1"/>
    <col min="14596" max="14596" width="40.7109375" style="1" customWidth="1"/>
    <col min="14597" max="14597" width="7" style="1" customWidth="1"/>
    <col min="14598" max="14599" width="20.7109375" style="1" customWidth="1"/>
    <col min="14600" max="14600" width="9.140625" style="1"/>
    <col min="14601" max="14616" width="2.7109375" style="1" customWidth="1"/>
    <col min="14617" max="14848" width="9.140625" style="1"/>
    <col min="14849" max="14849" width="12.5703125" style="1" customWidth="1"/>
    <col min="14850" max="14850" width="32.42578125" style="1" customWidth="1"/>
    <col min="14851" max="14851" width="20.7109375" style="1" customWidth="1"/>
    <col min="14852" max="14852" width="40.7109375" style="1" customWidth="1"/>
    <col min="14853" max="14853" width="7" style="1" customWidth="1"/>
    <col min="14854" max="14855" width="20.7109375" style="1" customWidth="1"/>
    <col min="14856" max="14856" width="9.140625" style="1"/>
    <col min="14857" max="14872" width="2.7109375" style="1" customWidth="1"/>
    <col min="14873" max="15104" width="9.140625" style="1"/>
    <col min="15105" max="15105" width="12.5703125" style="1" customWidth="1"/>
    <col min="15106" max="15106" width="32.42578125" style="1" customWidth="1"/>
    <col min="15107" max="15107" width="20.7109375" style="1" customWidth="1"/>
    <col min="15108" max="15108" width="40.7109375" style="1" customWidth="1"/>
    <col min="15109" max="15109" width="7" style="1" customWidth="1"/>
    <col min="15110" max="15111" width="20.7109375" style="1" customWidth="1"/>
    <col min="15112" max="15112" width="9.140625" style="1"/>
    <col min="15113" max="15128" width="2.7109375" style="1" customWidth="1"/>
    <col min="15129" max="15360" width="9.140625" style="1"/>
    <col min="15361" max="15361" width="12.5703125" style="1" customWidth="1"/>
    <col min="15362" max="15362" width="32.42578125" style="1" customWidth="1"/>
    <col min="15363" max="15363" width="20.7109375" style="1" customWidth="1"/>
    <col min="15364" max="15364" width="40.7109375" style="1" customWidth="1"/>
    <col min="15365" max="15365" width="7" style="1" customWidth="1"/>
    <col min="15366" max="15367" width="20.7109375" style="1" customWidth="1"/>
    <col min="15368" max="15368" width="9.140625" style="1"/>
    <col min="15369" max="15384" width="2.7109375" style="1" customWidth="1"/>
    <col min="15385" max="15616" width="9.140625" style="1"/>
    <col min="15617" max="15617" width="12.5703125" style="1" customWidth="1"/>
    <col min="15618" max="15618" width="32.42578125" style="1" customWidth="1"/>
    <col min="15619" max="15619" width="20.7109375" style="1" customWidth="1"/>
    <col min="15620" max="15620" width="40.7109375" style="1" customWidth="1"/>
    <col min="15621" max="15621" width="7" style="1" customWidth="1"/>
    <col min="15622" max="15623" width="20.7109375" style="1" customWidth="1"/>
    <col min="15624" max="15624" width="9.140625" style="1"/>
    <col min="15625" max="15640" width="2.7109375" style="1" customWidth="1"/>
    <col min="15641" max="15872" width="9.140625" style="1"/>
    <col min="15873" max="15873" width="12.5703125" style="1" customWidth="1"/>
    <col min="15874" max="15874" width="32.42578125" style="1" customWidth="1"/>
    <col min="15875" max="15875" width="20.7109375" style="1" customWidth="1"/>
    <col min="15876" max="15876" width="40.7109375" style="1" customWidth="1"/>
    <col min="15877" max="15877" width="7" style="1" customWidth="1"/>
    <col min="15878" max="15879" width="20.7109375" style="1" customWidth="1"/>
    <col min="15880" max="15880" width="9.140625" style="1"/>
    <col min="15881" max="15896" width="2.7109375" style="1" customWidth="1"/>
    <col min="15897" max="16128" width="9.140625" style="1"/>
    <col min="16129" max="16129" width="12.5703125" style="1" customWidth="1"/>
    <col min="16130" max="16130" width="32.42578125" style="1" customWidth="1"/>
    <col min="16131" max="16131" width="20.7109375" style="1" customWidth="1"/>
    <col min="16132" max="16132" width="40.7109375" style="1" customWidth="1"/>
    <col min="16133" max="16133" width="7" style="1" customWidth="1"/>
    <col min="16134" max="16135" width="20.7109375" style="1" customWidth="1"/>
    <col min="16136" max="16136" width="9.140625" style="1"/>
    <col min="16137" max="16152" width="2.7109375" style="1" customWidth="1"/>
    <col min="16153" max="16384" width="9.140625" style="1"/>
  </cols>
  <sheetData>
    <row r="4" spans="1:7" ht="15" customHeight="1">
      <c r="D4" s="309"/>
      <c r="E4" s="309"/>
      <c r="G4" s="2"/>
    </row>
    <row r="5" spans="1:7">
      <c r="F5" s="306"/>
      <c r="G5" s="306"/>
    </row>
    <row r="8" spans="1:7" ht="21" thickBot="1">
      <c r="A8" s="41" t="s">
        <v>0</v>
      </c>
      <c r="B8" s="3"/>
      <c r="C8" s="3"/>
      <c r="D8" s="3"/>
      <c r="E8" s="307"/>
      <c r="F8" s="307"/>
      <c r="G8" s="307"/>
    </row>
    <row r="9" spans="1:7" s="45" customFormat="1" ht="16.5" thickTop="1">
      <c r="A9" s="42" t="s">
        <v>1</v>
      </c>
      <c r="B9" s="85" t="str">
        <f>BOM!B2</f>
        <v>WATSONS - SM LANANG</v>
      </c>
      <c r="C9" s="43"/>
      <c r="D9" s="44" t="s">
        <v>2</v>
      </c>
      <c r="E9" s="59" t="s">
        <v>3</v>
      </c>
      <c r="F9" s="44"/>
      <c r="G9" s="44"/>
    </row>
    <row r="10" spans="1:7" s="45" customFormat="1" ht="18" customHeight="1">
      <c r="B10" s="132"/>
      <c r="C10" s="132"/>
      <c r="D10" s="46">
        <v>43193</v>
      </c>
      <c r="E10" s="60"/>
      <c r="F10" s="47"/>
      <c r="G10" s="43"/>
    </row>
    <row r="11" spans="1:7" s="45" customFormat="1">
      <c r="A11" s="42" t="s">
        <v>4</v>
      </c>
      <c r="B11" s="132" t="str">
        <f>BOM!B4</f>
        <v>DAVAO</v>
      </c>
      <c r="C11" s="132"/>
      <c r="D11" s="43"/>
      <c r="E11" s="59" t="s">
        <v>107</v>
      </c>
      <c r="F11" s="44"/>
      <c r="G11" s="44"/>
    </row>
    <row r="12" spans="1:7" s="45" customFormat="1">
      <c r="A12" s="42"/>
      <c r="B12" s="133"/>
      <c r="C12" s="43"/>
      <c r="D12" s="43"/>
      <c r="E12" s="59"/>
      <c r="F12" s="86"/>
      <c r="G12" s="44"/>
    </row>
    <row r="13" spans="1:7" s="45" customFormat="1">
      <c r="A13" s="42"/>
      <c r="C13" s="43"/>
      <c r="D13" s="43"/>
      <c r="E13" s="312"/>
      <c r="F13" s="312"/>
      <c r="G13" s="48"/>
    </row>
    <row r="14" spans="1:7" s="45" customFormat="1">
      <c r="A14" s="44" t="s">
        <v>6</v>
      </c>
      <c r="B14" s="85"/>
      <c r="C14" s="49"/>
      <c r="D14" s="49"/>
      <c r="E14" s="50"/>
      <c r="F14" s="44"/>
      <c r="G14" s="51" t="s">
        <v>47</v>
      </c>
    </row>
    <row r="15" spans="1:7" s="45" customFormat="1">
      <c r="A15" s="44"/>
      <c r="B15" s="85"/>
      <c r="C15" s="49"/>
      <c r="D15" s="49"/>
      <c r="E15" s="50"/>
      <c r="F15" s="44"/>
      <c r="G15" s="51"/>
    </row>
    <row r="16" spans="1:7" s="45" customFormat="1">
      <c r="A16" s="44" t="s">
        <v>138</v>
      </c>
      <c r="B16" s="85"/>
      <c r="C16" s="49"/>
      <c r="D16" s="49"/>
      <c r="E16" s="50"/>
      <c r="F16" s="44"/>
      <c r="G16" s="51"/>
    </row>
    <row r="17" spans="1:7" s="45" customFormat="1">
      <c r="A17" s="44"/>
      <c r="B17" s="85"/>
      <c r="C17" s="49"/>
      <c r="D17" s="49"/>
      <c r="E17" s="50"/>
      <c r="F17" s="44"/>
      <c r="G17" s="51"/>
    </row>
    <row r="18" spans="1:7" s="45" customFormat="1">
      <c r="A18" s="44"/>
      <c r="B18" s="85"/>
      <c r="C18" s="49"/>
      <c r="D18" s="49"/>
      <c r="E18" s="50"/>
      <c r="F18" s="44"/>
      <c r="G18" s="51"/>
    </row>
    <row r="19" spans="1:7" s="45" customFormat="1">
      <c r="A19" s="44"/>
      <c r="B19" s="49"/>
      <c r="C19" s="49"/>
      <c r="D19" s="49"/>
      <c r="E19" s="50"/>
      <c r="F19" s="44"/>
      <c r="G19" s="51"/>
    </row>
    <row r="20" spans="1:7" s="45" customFormat="1">
      <c r="A20" s="44"/>
      <c r="B20" s="49"/>
      <c r="C20" s="49"/>
      <c r="D20" s="49"/>
      <c r="E20" s="50"/>
      <c r="F20" s="44"/>
      <c r="G20" s="51"/>
    </row>
    <row r="21" spans="1:7" s="45" customFormat="1">
      <c r="A21" s="40" t="s">
        <v>354</v>
      </c>
      <c r="B21" s="1"/>
      <c r="C21" s="49"/>
      <c r="D21" s="49"/>
      <c r="E21" s="50"/>
      <c r="F21" s="44"/>
      <c r="G21" s="51"/>
    </row>
    <row r="22" spans="1:7" s="45" customFormat="1">
      <c r="A22" s="52" t="s">
        <v>7</v>
      </c>
      <c r="B22" s="53" t="s">
        <v>8</v>
      </c>
      <c r="C22" s="313" t="s">
        <v>8</v>
      </c>
      <c r="D22" s="314"/>
      <c r="E22" s="53" t="s">
        <v>9</v>
      </c>
      <c r="F22" s="52" t="s">
        <v>10</v>
      </c>
      <c r="G22" s="52" t="s">
        <v>11</v>
      </c>
    </row>
    <row r="23" spans="1:7" s="45" customFormat="1">
      <c r="A23" s="54" t="s">
        <v>12</v>
      </c>
      <c r="B23" s="54"/>
      <c r="C23" s="315" t="s">
        <v>13</v>
      </c>
      <c r="D23" s="316"/>
      <c r="E23" s="55"/>
      <c r="F23" s="54" t="s">
        <v>14</v>
      </c>
      <c r="G23" s="54" t="s">
        <v>14</v>
      </c>
    </row>
    <row r="24" spans="1:7" s="69" customFormat="1">
      <c r="A24" s="300" t="s">
        <v>98</v>
      </c>
      <c r="B24" s="300"/>
      <c r="C24" s="300"/>
      <c r="D24" s="300"/>
      <c r="E24" s="300"/>
      <c r="F24" s="300"/>
      <c r="G24" s="300"/>
    </row>
    <row r="25" spans="1:7" s="69" customFormat="1">
      <c r="A25" s="317" t="s">
        <v>106</v>
      </c>
      <c r="B25" s="318"/>
      <c r="C25" s="318"/>
      <c r="D25" s="318"/>
      <c r="E25" s="318"/>
      <c r="F25" s="318"/>
      <c r="G25" s="319"/>
    </row>
    <row r="26" spans="1:7" s="69" customFormat="1" ht="36.75" customHeight="1">
      <c r="A26" s="87">
        <v>1</v>
      </c>
      <c r="B26" s="87" t="str">
        <f>BOM!E28</f>
        <v>DS-2CE56D0T-IRF(3.6)</v>
      </c>
      <c r="C26" s="310" t="str">
        <f>BOM!B28</f>
        <v>HIKVISION 1080P 2MP FF3.6mm IR20m IP66 Dome 4in1 Camera [12VDC]</v>
      </c>
      <c r="D26" s="310"/>
      <c r="E26" s="88">
        <f>BOM!F28</f>
        <v>7</v>
      </c>
      <c r="F26" s="82">
        <f>BOM!L28</f>
        <v>1133.4400000000003</v>
      </c>
      <c r="G26" s="89">
        <f>E26*F26</f>
        <v>7934.0800000000017</v>
      </c>
    </row>
    <row r="27" spans="1:7" s="69" customFormat="1" ht="18" customHeight="1">
      <c r="A27" s="293" t="s">
        <v>355</v>
      </c>
      <c r="B27" s="294"/>
      <c r="C27" s="294"/>
      <c r="D27" s="294"/>
      <c r="E27" s="294"/>
      <c r="F27" s="294"/>
      <c r="G27" s="295"/>
    </row>
    <row r="28" spans="1:7" s="106" customFormat="1" ht="36.75" customHeight="1">
      <c r="A28" s="103">
        <f>A26+1</f>
        <v>2</v>
      </c>
      <c r="B28" s="104" t="str">
        <f>BOM!E32</f>
        <v>DS-7208HQHI-K2</v>
      </c>
      <c r="C28" s="296" t="str">
        <f>BOM!B32</f>
        <v>HIKVISION H.265+ 1080P/3MP 8CH 2SATA 1U DVR [Audio I/O=1/1, 100M x 1, HDMI x 1]</v>
      </c>
      <c r="D28" s="296"/>
      <c r="E28" s="108">
        <f>BOM!F32</f>
        <v>1</v>
      </c>
      <c r="F28" s="83">
        <f>BOM!L32</f>
        <v>13000</v>
      </c>
      <c r="G28" s="105">
        <f>E28*F28</f>
        <v>13000</v>
      </c>
    </row>
    <row r="29" spans="1:7" s="106" customFormat="1" ht="18" customHeight="1">
      <c r="A29" s="103">
        <f>A28+1</f>
        <v>3</v>
      </c>
      <c r="B29" s="104" t="str">
        <f>BOM!E33</f>
        <v>ST4000VX007</v>
      </c>
      <c r="C29" s="311" t="str">
        <f>BOM!B33</f>
        <v>Seagate 4000GB (4TB) Skyhawk 5900RPM 64MB</v>
      </c>
      <c r="D29" s="311"/>
      <c r="E29" s="108">
        <f>BOM!F33</f>
        <v>1</v>
      </c>
      <c r="F29" s="83">
        <f>BOM!L33</f>
        <v>8377.6000000000022</v>
      </c>
      <c r="G29" s="105">
        <f>E29*F29</f>
        <v>8377.6000000000022</v>
      </c>
    </row>
    <row r="30" spans="1:7" s="106" customFormat="1" ht="18" customHeight="1">
      <c r="A30" s="293" t="s">
        <v>356</v>
      </c>
      <c r="B30" s="294"/>
      <c r="C30" s="294"/>
      <c r="D30" s="294"/>
      <c r="E30" s="294"/>
      <c r="F30" s="294"/>
      <c r="G30" s="295"/>
    </row>
    <row r="31" spans="1:7" s="106" customFormat="1" ht="21.75" customHeight="1">
      <c r="A31" s="103">
        <f>A29+1</f>
        <v>4</v>
      </c>
      <c r="B31" s="104" t="str">
        <f>BOM!E40</f>
        <v>HY-PSU1216-09C</v>
      </c>
      <c r="C31" s="296" t="str">
        <f>BOM!B40</f>
        <v>Centralized Power Supply 220 VAC input, 12VDC 16A 9CH</v>
      </c>
      <c r="D31" s="296"/>
      <c r="E31" s="108">
        <f>BOM!F40</f>
        <v>0</v>
      </c>
      <c r="F31" s="83">
        <f>BOM!L40</f>
        <v>5051.2000000000007</v>
      </c>
      <c r="G31" s="105">
        <f>E31*F31</f>
        <v>0</v>
      </c>
    </row>
    <row r="32" spans="1:7" s="106" customFormat="1" ht="16.5" customHeight="1">
      <c r="A32" s="293" t="s">
        <v>131</v>
      </c>
      <c r="B32" s="294"/>
      <c r="C32" s="294"/>
      <c r="D32" s="294"/>
      <c r="E32" s="294"/>
      <c r="F32" s="294"/>
      <c r="G32" s="295"/>
    </row>
    <row r="33" spans="1:8" s="106" customFormat="1" ht="16.5" customHeight="1">
      <c r="A33" s="103">
        <f>A31+1</f>
        <v>5</v>
      </c>
      <c r="B33" s="104" t="str">
        <f>BOM!E35</f>
        <v>E1916HV</v>
      </c>
      <c r="C33" s="296" t="str">
        <f>BOM!B35</f>
        <v>Dell E Series E1912H 18.5" Monitor with LED</v>
      </c>
      <c r="D33" s="296"/>
      <c r="E33" s="108">
        <f>BOM!F35</f>
        <v>0</v>
      </c>
      <c r="F33" s="83">
        <f>BOM!L35</f>
        <v>5051.2000000000007</v>
      </c>
      <c r="G33" s="105">
        <f>E33*F33</f>
        <v>0</v>
      </c>
    </row>
    <row r="34" spans="1:8" s="106" customFormat="1" ht="16.5" customHeight="1">
      <c r="A34" s="103">
        <f>A33+1</f>
        <v>6</v>
      </c>
      <c r="B34" s="104"/>
      <c r="C34" s="296" t="str">
        <f>BOM!B36</f>
        <v>HDMI Cable (3m)</v>
      </c>
      <c r="D34" s="296"/>
      <c r="E34" s="108">
        <f>BOM!F36</f>
        <v>0</v>
      </c>
      <c r="F34" s="83">
        <f>BOM!L36</f>
        <v>554.40000000000009</v>
      </c>
      <c r="G34" s="105">
        <f t="shared" ref="G34:G35" si="0">E34*F34</f>
        <v>0</v>
      </c>
    </row>
    <row r="35" spans="1:8" s="106" customFormat="1" ht="16.5" customHeight="1">
      <c r="A35" s="103">
        <f t="shared" ref="A35" si="1">A34+1</f>
        <v>7</v>
      </c>
      <c r="B35" s="104" t="str">
        <f>BOM!E39</f>
        <v>AID650</v>
      </c>
      <c r="C35" s="296" t="str">
        <f>BOM!B39</f>
        <v>AIDE Seires Line Interactive 650VA UPS</v>
      </c>
      <c r="D35" s="296"/>
      <c r="E35" s="108">
        <f>BOM!F39</f>
        <v>0</v>
      </c>
      <c r="F35" s="83">
        <f>BOM!L39</f>
        <v>2328.48</v>
      </c>
      <c r="G35" s="105">
        <f t="shared" si="0"/>
        <v>0</v>
      </c>
    </row>
    <row r="36" spans="1:8" s="42" customFormat="1">
      <c r="A36" s="300" t="s">
        <v>99</v>
      </c>
      <c r="B36" s="300"/>
      <c r="C36" s="300"/>
      <c r="D36" s="300"/>
      <c r="E36" s="300"/>
      <c r="F36" s="300"/>
      <c r="G36" s="300"/>
    </row>
    <row r="37" spans="1:8" s="42" customFormat="1" ht="15.75" customHeight="1">
      <c r="A37" s="103">
        <f>A35+1</f>
        <v>8</v>
      </c>
      <c r="B37" s="109"/>
      <c r="C37" s="301" t="s">
        <v>136</v>
      </c>
      <c r="D37" s="301"/>
      <c r="E37" s="110" t="s">
        <v>100</v>
      </c>
      <c r="F37" s="82">
        <f>SUMMARY!D9</f>
        <v>24100.048000000003</v>
      </c>
      <c r="G37" s="111">
        <f>F37</f>
        <v>24100.048000000003</v>
      </c>
    </row>
    <row r="38" spans="1:8" s="42" customFormat="1" ht="31.5" customHeight="1">
      <c r="A38" s="103">
        <f>A37+1</f>
        <v>9</v>
      </c>
      <c r="B38" s="112"/>
      <c r="C38" s="301" t="s">
        <v>137</v>
      </c>
      <c r="D38" s="301"/>
      <c r="E38" s="113" t="s">
        <v>100</v>
      </c>
      <c r="F38" s="116">
        <f>SUMMARY!D8</f>
        <v>7728</v>
      </c>
      <c r="G38" s="113">
        <f>F38</f>
        <v>7728</v>
      </c>
    </row>
    <row r="39" spans="1:8" s="42" customFormat="1">
      <c r="A39" s="70"/>
      <c r="B39" s="56"/>
      <c r="C39" s="71"/>
      <c r="D39" s="72"/>
      <c r="E39" s="57"/>
      <c r="F39" s="57"/>
      <c r="G39" s="57"/>
    </row>
    <row r="40" spans="1:8" s="42" customFormat="1">
      <c r="A40" s="70"/>
      <c r="B40" s="56"/>
      <c r="C40" s="71"/>
      <c r="D40" s="72"/>
      <c r="E40" s="57"/>
      <c r="F40" s="57"/>
      <c r="G40" s="57"/>
    </row>
    <row r="41" spans="1:8" s="42" customFormat="1">
      <c r="A41" s="70"/>
      <c r="B41" s="70"/>
      <c r="C41" s="71"/>
      <c r="D41" s="44"/>
      <c r="E41" s="58"/>
      <c r="F41" s="58"/>
      <c r="G41" s="57"/>
    </row>
    <row r="42" spans="1:8" s="42" customFormat="1">
      <c r="A42" s="56"/>
      <c r="B42" s="70"/>
      <c r="C42" s="71"/>
      <c r="D42" s="44"/>
      <c r="E42" s="58"/>
      <c r="F42" s="58"/>
      <c r="G42" s="57"/>
    </row>
    <row r="43" spans="1:8" s="42" customFormat="1">
      <c r="A43" s="56"/>
      <c r="B43" s="70"/>
      <c r="C43" s="71"/>
      <c r="D43" s="44"/>
      <c r="E43" s="58"/>
      <c r="F43" s="58"/>
      <c r="G43" s="57"/>
    </row>
    <row r="44" spans="1:8" s="42" customFormat="1">
      <c r="A44" s="56"/>
      <c r="B44" s="70"/>
      <c r="C44" s="71"/>
      <c r="D44" s="44"/>
      <c r="E44" s="58"/>
      <c r="F44" s="58"/>
      <c r="G44" s="57"/>
    </row>
    <row r="45" spans="1:8" s="42" customFormat="1">
      <c r="A45" s="56"/>
      <c r="B45" s="70"/>
      <c r="C45" s="71"/>
      <c r="D45" s="44"/>
      <c r="E45" s="58"/>
      <c r="F45" s="58"/>
      <c r="G45" s="57"/>
    </row>
    <row r="46" spans="1:8" s="42" customFormat="1">
      <c r="A46" s="56"/>
      <c r="B46" s="70"/>
      <c r="C46" s="71"/>
      <c r="D46" s="73" t="s">
        <v>16</v>
      </c>
      <c r="E46" s="58"/>
      <c r="F46" s="74" t="s">
        <v>15</v>
      </c>
      <c r="G46" s="210">
        <f>SUM(G37:G38,G33:G35,G31,G28:G29,G26)</f>
        <v>61139.728000000003</v>
      </c>
      <c r="H46" s="209"/>
    </row>
    <row r="47" spans="1:8" s="42" customFormat="1">
      <c r="A47" s="56"/>
      <c r="B47" s="70"/>
      <c r="C47" s="71"/>
      <c r="D47" s="73"/>
      <c r="E47" s="58"/>
      <c r="F47" s="76"/>
      <c r="G47" s="75"/>
    </row>
    <row r="48" spans="1:8" s="42" customFormat="1">
      <c r="A48" s="56"/>
      <c r="B48" s="70"/>
      <c r="C48" s="71"/>
      <c r="D48" s="73"/>
      <c r="E48" s="58"/>
      <c r="F48" s="74"/>
      <c r="G48" s="75"/>
    </row>
    <row r="49" spans="1:8" s="42" customFormat="1" ht="16.5" thickBot="1">
      <c r="A49" s="77"/>
      <c r="B49" s="77"/>
      <c r="C49" s="78"/>
      <c r="D49" s="79"/>
      <c r="E49" s="80"/>
      <c r="F49" s="81"/>
      <c r="G49" s="81"/>
    </row>
    <row r="50" spans="1:8" s="4" customFormat="1" ht="16.5" thickTop="1">
      <c r="A50" s="66" t="s">
        <v>49</v>
      </c>
      <c r="B50" s="298"/>
      <c r="C50" s="297"/>
      <c r="D50" s="297"/>
      <c r="E50" s="297"/>
      <c r="F50" s="297"/>
      <c r="G50" s="297"/>
      <c r="H50" s="297"/>
    </row>
    <row r="51" spans="1:8" s="4" customFormat="1">
      <c r="A51" s="66"/>
      <c r="B51" s="90"/>
      <c r="C51" s="90"/>
      <c r="D51" s="90"/>
      <c r="E51" s="90"/>
      <c r="F51" s="90"/>
      <c r="G51" s="90"/>
      <c r="H51" s="90"/>
    </row>
    <row r="52" spans="1:8" s="4" customFormat="1">
      <c r="A52" s="84">
        <v>1</v>
      </c>
      <c r="B52" s="299" t="s">
        <v>50</v>
      </c>
      <c r="C52" s="299"/>
      <c r="D52" s="299"/>
      <c r="E52" s="299"/>
      <c r="F52" s="299"/>
      <c r="G52" s="299"/>
      <c r="H52" s="299"/>
    </row>
    <row r="53" spans="1:8" s="4" customFormat="1">
      <c r="A53" s="84">
        <v>2</v>
      </c>
      <c r="B53" s="121" t="s">
        <v>134</v>
      </c>
      <c r="C53" s="120"/>
      <c r="D53" s="120"/>
      <c r="E53" s="120"/>
      <c r="F53" s="120"/>
      <c r="G53" s="120"/>
      <c r="H53" s="120"/>
    </row>
    <row r="54" spans="1:8" s="4" customFormat="1" ht="15.75" customHeight="1">
      <c r="A54" s="84">
        <v>3</v>
      </c>
      <c r="B54" s="297" t="s">
        <v>364</v>
      </c>
      <c r="C54" s="297"/>
      <c r="D54" s="297"/>
      <c r="E54" s="297"/>
      <c r="F54" s="297"/>
      <c r="G54" s="297"/>
      <c r="H54" s="297"/>
    </row>
    <row r="55" spans="1:8" s="4" customFormat="1" ht="15.75" customHeight="1">
      <c r="A55" s="84"/>
      <c r="B55" s="114"/>
      <c r="C55" s="114"/>
      <c r="D55" s="114"/>
      <c r="E55" s="114"/>
      <c r="F55" s="114"/>
      <c r="G55" s="114"/>
      <c r="H55" s="114"/>
    </row>
    <row r="56" spans="1:8" s="4" customFormat="1" ht="16.5" thickBot="1">
      <c r="A56" s="67"/>
      <c r="B56" s="68"/>
      <c r="C56" s="68"/>
      <c r="D56" s="68"/>
      <c r="E56" s="68"/>
      <c r="F56" s="68"/>
      <c r="G56" s="68"/>
      <c r="H56" s="68"/>
    </row>
    <row r="57" spans="1:8" s="4" customFormat="1" ht="15.75" customHeight="1" thickTop="1">
      <c r="A57" s="302" t="s">
        <v>17</v>
      </c>
      <c r="B57" s="302"/>
      <c r="C57" s="302"/>
      <c r="D57" s="302"/>
      <c r="E57" s="302"/>
      <c r="F57" s="302"/>
      <c r="G57" s="302"/>
    </row>
    <row r="58" spans="1:8" s="4" customFormat="1">
      <c r="A58" s="303" t="s">
        <v>18</v>
      </c>
      <c r="B58" s="303"/>
      <c r="C58" s="303"/>
      <c r="D58" s="303"/>
      <c r="E58" s="303"/>
      <c r="F58" s="303"/>
      <c r="G58" s="303"/>
    </row>
    <row r="59" spans="1:8" s="4" customFormat="1">
      <c r="A59" s="308" t="s">
        <v>19</v>
      </c>
      <c r="B59" s="304"/>
      <c r="C59" s="304"/>
      <c r="D59" s="304"/>
      <c r="E59" s="304"/>
      <c r="F59" s="304"/>
      <c r="G59" s="304"/>
    </row>
    <row r="63" spans="1:8" ht="15" customHeight="1">
      <c r="D63" s="18"/>
      <c r="E63" s="61"/>
      <c r="G63" s="2"/>
    </row>
    <row r="64" spans="1:8">
      <c r="F64" s="306"/>
      <c r="G64" s="306"/>
    </row>
    <row r="67" spans="1:8" ht="16.5" thickBot="1">
      <c r="A67" s="3" t="s">
        <v>0</v>
      </c>
      <c r="B67" s="3"/>
      <c r="C67" s="3"/>
      <c r="D67" s="3"/>
      <c r="E67" s="307"/>
      <c r="F67" s="307"/>
      <c r="G67" s="307"/>
    </row>
    <row r="68" spans="1:8" s="4" customFormat="1" ht="13.5" customHeight="1" thickTop="1">
      <c r="A68" s="4" t="s">
        <v>1</v>
      </c>
      <c r="B68" s="10" t="str">
        <f>B9</f>
        <v>WATSONS - SM LANANG</v>
      </c>
      <c r="C68" s="5"/>
      <c r="D68" s="6" t="s">
        <v>2</v>
      </c>
      <c r="E68" s="14" t="s">
        <v>3</v>
      </c>
      <c r="F68" s="6"/>
      <c r="G68" s="6"/>
    </row>
    <row r="69" spans="1:8" s="4" customFormat="1" ht="13.5" customHeight="1">
      <c r="A69" s="4" t="s">
        <v>4</v>
      </c>
      <c r="B69" s="305"/>
      <c r="C69" s="305"/>
      <c r="D69" s="7">
        <f>D10</f>
        <v>43193</v>
      </c>
      <c r="E69" s="62"/>
      <c r="F69" s="8"/>
      <c r="G69" s="5"/>
    </row>
    <row r="70" spans="1:8" s="4" customFormat="1" ht="13.5" customHeight="1">
      <c r="B70" s="305"/>
      <c r="C70" s="305"/>
      <c r="D70" s="5"/>
      <c r="E70" s="14" t="s">
        <v>5</v>
      </c>
      <c r="F70" s="6"/>
      <c r="G70" s="6"/>
    </row>
    <row r="71" spans="1:8" s="4" customFormat="1" ht="13.5" customHeight="1">
      <c r="B71" s="305"/>
      <c r="C71" s="305"/>
      <c r="D71" s="5"/>
      <c r="E71" s="38"/>
      <c r="F71" s="11"/>
      <c r="G71" s="9"/>
    </row>
    <row r="72" spans="1:8" s="4" customFormat="1" ht="13.5" customHeight="1">
      <c r="A72" s="6" t="s">
        <v>6</v>
      </c>
      <c r="B72" s="10">
        <f>B14</f>
        <v>0</v>
      </c>
      <c r="C72" s="10"/>
      <c r="D72" s="10"/>
      <c r="E72" s="38"/>
      <c r="F72" s="6"/>
      <c r="G72" s="12" t="s">
        <v>48</v>
      </c>
    </row>
    <row r="73" spans="1:8" s="4" customFormat="1" ht="13.5" customHeight="1">
      <c r="A73" s="19"/>
      <c r="B73" s="19"/>
      <c r="C73" s="19"/>
      <c r="D73" s="19"/>
      <c r="E73" s="39"/>
      <c r="F73" s="19"/>
      <c r="G73" s="19"/>
      <c r="H73" s="6"/>
    </row>
    <row r="74" spans="1:8" s="4" customFormat="1" ht="13.5" customHeight="1">
      <c r="A74" s="21"/>
      <c r="B74" s="20" t="s">
        <v>20</v>
      </c>
      <c r="C74" s="20"/>
      <c r="D74" s="20"/>
      <c r="E74" s="39"/>
      <c r="F74" s="20"/>
      <c r="G74" s="20"/>
      <c r="H74" s="6"/>
    </row>
    <row r="75" spans="1:8" s="4" customFormat="1" ht="13.5" customHeight="1">
      <c r="A75" s="11"/>
      <c r="B75" s="11"/>
      <c r="C75" s="10"/>
      <c r="D75" s="10"/>
      <c r="E75" s="38"/>
      <c r="F75" s="11"/>
      <c r="G75" s="11"/>
      <c r="H75" s="6"/>
    </row>
    <row r="76" spans="1:8" s="4" customFormat="1" ht="13.5" customHeight="1">
      <c r="A76" s="5"/>
      <c r="B76" s="6" t="s">
        <v>21</v>
      </c>
      <c r="C76" s="22" t="s">
        <v>22</v>
      </c>
      <c r="D76" s="5"/>
      <c r="E76" s="23"/>
      <c r="F76" s="23"/>
      <c r="G76" s="23"/>
      <c r="H76" s="6"/>
    </row>
    <row r="77" spans="1:8" s="4" customFormat="1" ht="13.5" customHeight="1">
      <c r="A77" s="14"/>
      <c r="B77" s="14"/>
      <c r="C77" s="22" t="s">
        <v>23</v>
      </c>
      <c r="D77" s="6"/>
      <c r="E77" s="15"/>
      <c r="F77" s="15"/>
      <c r="G77" s="15"/>
      <c r="H77" s="6"/>
    </row>
    <row r="78" spans="1:8" s="4" customFormat="1" ht="13.5" customHeight="1">
      <c r="A78" s="14"/>
      <c r="B78" s="14"/>
      <c r="C78" s="6"/>
      <c r="D78" s="6"/>
      <c r="E78" s="15"/>
      <c r="F78" s="15"/>
      <c r="G78" s="15"/>
      <c r="H78" s="6"/>
    </row>
    <row r="79" spans="1:8" s="4" customFormat="1" ht="13.5" customHeight="1">
      <c r="A79" s="14"/>
      <c r="B79" s="24" t="s">
        <v>51</v>
      </c>
      <c r="C79" s="6" t="s">
        <v>122</v>
      </c>
      <c r="D79" s="6"/>
      <c r="E79" s="15"/>
      <c r="F79" s="15"/>
      <c r="G79" s="15"/>
      <c r="H79" s="6"/>
    </row>
    <row r="80" spans="1:8" s="4" customFormat="1" ht="13.5" customHeight="1">
      <c r="A80" s="14"/>
      <c r="B80" s="14"/>
      <c r="C80" s="6"/>
      <c r="D80" s="6"/>
      <c r="E80" s="15"/>
      <c r="F80" s="15"/>
      <c r="G80" s="15"/>
      <c r="H80" s="6"/>
    </row>
    <row r="81" spans="1:8" s="4" customFormat="1" ht="13.5" customHeight="1">
      <c r="A81" s="14"/>
      <c r="B81" s="24" t="s">
        <v>24</v>
      </c>
      <c r="C81" s="22" t="s">
        <v>25</v>
      </c>
      <c r="D81" s="6"/>
      <c r="E81" s="15"/>
      <c r="F81" s="15"/>
      <c r="G81" s="15"/>
      <c r="H81" s="6"/>
    </row>
    <row r="82" spans="1:8" s="4" customFormat="1" ht="13.5" customHeight="1">
      <c r="A82" s="14"/>
      <c r="B82" s="25" t="s">
        <v>26</v>
      </c>
      <c r="C82" s="22" t="s">
        <v>27</v>
      </c>
      <c r="D82" s="6"/>
      <c r="E82" s="15"/>
      <c r="F82" s="15"/>
      <c r="G82" s="15"/>
      <c r="H82" s="6"/>
    </row>
    <row r="83" spans="1:8" s="4" customFormat="1" ht="13.5" customHeight="1">
      <c r="A83" s="14"/>
      <c r="B83" s="14"/>
      <c r="C83" s="26"/>
      <c r="D83" s="26"/>
      <c r="E83" s="63"/>
      <c r="F83"/>
      <c r="G83" s="15"/>
      <c r="H83" s="6"/>
    </row>
    <row r="84" spans="1:8" s="4" customFormat="1" ht="13.5" customHeight="1">
      <c r="A84" s="14"/>
      <c r="B84" s="24" t="s">
        <v>28</v>
      </c>
      <c r="C84" s="22" t="s">
        <v>29</v>
      </c>
      <c r="D84" s="6"/>
      <c r="E84" s="15"/>
      <c r="F84" s="15"/>
      <c r="G84" s="15"/>
      <c r="H84" s="6"/>
    </row>
    <row r="85" spans="1:8" s="4" customFormat="1" ht="13.5" customHeight="1">
      <c r="A85" s="14"/>
      <c r="B85" s="14"/>
      <c r="C85" s="6" t="s">
        <v>30</v>
      </c>
      <c r="D85" s="6"/>
      <c r="E85" s="15"/>
      <c r="F85" s="15"/>
      <c r="G85" s="15"/>
      <c r="H85" s="6"/>
    </row>
    <row r="86" spans="1:8" s="4" customFormat="1" ht="13.5" customHeight="1">
      <c r="A86" s="14"/>
      <c r="B86" s="14"/>
      <c r="C86" s="6"/>
      <c r="D86" s="6"/>
      <c r="E86" s="15"/>
      <c r="F86" s="15"/>
      <c r="G86" s="15"/>
      <c r="H86" s="6"/>
    </row>
    <row r="87" spans="1:8" s="4" customFormat="1" ht="13.5" customHeight="1">
      <c r="A87" s="14"/>
      <c r="B87" s="24" t="s">
        <v>31</v>
      </c>
      <c r="C87" s="22" t="s">
        <v>32</v>
      </c>
      <c r="D87" s="6"/>
      <c r="E87" s="15"/>
      <c r="F87" s="15"/>
      <c r="G87" s="15"/>
      <c r="H87" s="6"/>
    </row>
    <row r="88" spans="1:8" s="4" customFormat="1" ht="13.5" customHeight="1">
      <c r="A88" s="14"/>
      <c r="B88" s="14"/>
      <c r="C88" s="22" t="s">
        <v>33</v>
      </c>
      <c r="D88" s="6"/>
      <c r="E88" s="15"/>
      <c r="F88" s="15"/>
      <c r="G88" s="15"/>
      <c r="H88" s="6"/>
    </row>
    <row r="89" spans="1:8" s="4" customFormat="1" ht="13.5" customHeight="1">
      <c r="A89" s="14"/>
      <c r="B89" s="14"/>
      <c r="C89" s="22" t="s">
        <v>34</v>
      </c>
      <c r="D89" s="6"/>
      <c r="E89" s="64"/>
      <c r="F89" s="27"/>
      <c r="G89" s="15"/>
      <c r="H89" s="6"/>
    </row>
    <row r="90" spans="1:8" s="4" customFormat="1" ht="13.5" customHeight="1">
      <c r="A90" s="14"/>
      <c r="B90" s="14"/>
      <c r="C90" s="6"/>
      <c r="D90" s="6"/>
      <c r="E90" s="64"/>
      <c r="F90" s="26"/>
      <c r="G90" s="15"/>
      <c r="H90" s="6"/>
    </row>
    <row r="91" spans="1:8" s="4" customFormat="1" ht="13.5" customHeight="1">
      <c r="A91" s="14"/>
      <c r="B91" s="24" t="s">
        <v>35</v>
      </c>
      <c r="C91" s="22" t="s">
        <v>36</v>
      </c>
      <c r="D91" s="6"/>
      <c r="E91" s="15"/>
      <c r="F91" s="15"/>
      <c r="G91" s="15"/>
      <c r="H91" s="6"/>
    </row>
    <row r="92" spans="1:8" s="4" customFormat="1" ht="13.5" customHeight="1">
      <c r="A92" s="14"/>
      <c r="B92" s="24" t="s">
        <v>37</v>
      </c>
      <c r="C92" s="28" t="s">
        <v>38</v>
      </c>
      <c r="D92" s="27"/>
      <c r="E92" s="64"/>
      <c r="F92" s="27"/>
      <c r="G92" s="15"/>
      <c r="H92" s="6"/>
    </row>
    <row r="93" spans="1:8" s="4" customFormat="1" ht="13.5" customHeight="1">
      <c r="A93" s="14"/>
      <c r="B93" s="14"/>
      <c r="C93" s="29" t="s">
        <v>39</v>
      </c>
      <c r="D93" s="26"/>
      <c r="E93" s="64"/>
      <c r="F93" s="27"/>
      <c r="G93" s="15"/>
      <c r="H93" s="6"/>
    </row>
    <row r="94" spans="1:8" s="4" customFormat="1" ht="13.5" customHeight="1">
      <c r="A94" s="14"/>
      <c r="B94" s="14"/>
      <c r="C94" s="4" t="s">
        <v>40</v>
      </c>
      <c r="D94" s="6"/>
      <c r="E94" s="15"/>
      <c r="F94" s="15"/>
      <c r="G94" s="15"/>
      <c r="H94" s="6"/>
    </row>
    <row r="95" spans="1:8" s="4" customFormat="1" ht="13.5" customHeight="1">
      <c r="A95" s="14"/>
      <c r="B95" s="14"/>
      <c r="C95" s="28" t="s">
        <v>41</v>
      </c>
      <c r="D95" s="27"/>
      <c r="E95" s="65"/>
      <c r="F95" s="30"/>
      <c r="G95" s="30"/>
      <c r="H95" s="6"/>
    </row>
    <row r="96" spans="1:8" s="4" customFormat="1" ht="13.5" customHeight="1">
      <c r="A96" s="14"/>
      <c r="B96" s="14"/>
      <c r="C96" s="28" t="s">
        <v>42</v>
      </c>
      <c r="D96" s="27"/>
      <c r="E96" s="15"/>
      <c r="F96" s="15"/>
      <c r="G96" s="15"/>
      <c r="H96" s="6"/>
    </row>
    <row r="97" spans="1:8" s="4" customFormat="1" ht="13.5" customHeight="1">
      <c r="A97" s="14"/>
      <c r="B97" s="14"/>
      <c r="C97" s="6"/>
      <c r="D97" s="6"/>
      <c r="E97" s="15"/>
      <c r="F97" s="15"/>
      <c r="G97" s="15"/>
      <c r="H97" s="6"/>
    </row>
    <row r="98" spans="1:8" s="4" customFormat="1" ht="13.5" customHeight="1">
      <c r="A98" s="14"/>
      <c r="B98" s="24"/>
      <c r="C98" s="30"/>
      <c r="D98" s="30"/>
      <c r="E98" s="15"/>
      <c r="F98" s="15"/>
      <c r="G98" s="15"/>
      <c r="H98" s="6"/>
    </row>
    <row r="99" spans="1:8" s="4" customFormat="1" ht="13.5" customHeight="1">
      <c r="A99" s="14"/>
      <c r="B99" s="24"/>
      <c r="C99" s="6"/>
      <c r="D99" s="6"/>
      <c r="E99" s="15"/>
      <c r="F99" s="15"/>
      <c r="G99" s="15"/>
      <c r="H99" s="6"/>
    </row>
    <row r="100" spans="1:8" s="4" customFormat="1" ht="13.5" customHeight="1">
      <c r="A100" s="14"/>
      <c r="B100" s="31"/>
      <c r="C100" s="6"/>
      <c r="D100" s="6"/>
      <c r="E100" s="15"/>
      <c r="F100" s="15"/>
      <c r="G100" s="15"/>
      <c r="H100" s="6"/>
    </row>
    <row r="101" spans="1:8" s="4" customFormat="1" ht="13.5" customHeight="1">
      <c r="A101" s="14"/>
      <c r="B101" s="31"/>
      <c r="C101" s="6"/>
      <c r="D101" s="6"/>
      <c r="E101" s="15"/>
      <c r="F101" s="15"/>
      <c r="G101" s="15"/>
      <c r="H101" s="6"/>
    </row>
    <row r="102" spans="1:8" s="4" customFormat="1" ht="13.5" customHeight="1">
      <c r="A102" s="14"/>
      <c r="E102" s="15"/>
      <c r="F102" s="15"/>
      <c r="G102" s="15"/>
      <c r="H102" s="6"/>
    </row>
    <row r="103" spans="1:8" s="4" customFormat="1" ht="13.5" customHeight="1">
      <c r="A103" s="14"/>
      <c r="E103" s="15"/>
      <c r="F103" s="15"/>
      <c r="G103" s="15"/>
      <c r="H103" s="6"/>
    </row>
    <row r="104" spans="1:8" s="4" customFormat="1" ht="13.5" customHeight="1">
      <c r="A104" s="14"/>
      <c r="E104" s="15"/>
      <c r="F104" s="15"/>
      <c r="G104" s="15"/>
      <c r="H104" s="6"/>
    </row>
    <row r="105" spans="1:8" s="4" customFormat="1" ht="13.5" customHeight="1">
      <c r="A105" s="14"/>
      <c r="E105" s="15"/>
      <c r="F105" s="15"/>
      <c r="G105" s="15"/>
      <c r="H105" s="6"/>
    </row>
    <row r="106" spans="1:8" s="4" customFormat="1" ht="13.5" customHeight="1">
      <c r="A106" s="14"/>
      <c r="B106" s="14"/>
      <c r="C106" s="6"/>
      <c r="D106" s="6"/>
      <c r="E106" s="15"/>
      <c r="F106" s="15"/>
      <c r="G106" s="15"/>
      <c r="H106" s="6"/>
    </row>
    <row r="107" spans="1:8" s="4" customFormat="1" ht="13.5" customHeight="1">
      <c r="A107" s="14"/>
      <c r="B107" s="14"/>
      <c r="C107" s="6"/>
      <c r="D107" s="6"/>
      <c r="E107" s="15"/>
      <c r="F107" s="15"/>
      <c r="G107" s="15"/>
      <c r="H107" s="6"/>
    </row>
    <row r="108" spans="1:8" s="4" customFormat="1" ht="13.5" customHeight="1">
      <c r="A108" s="14"/>
      <c r="B108" s="14"/>
      <c r="C108" s="6"/>
      <c r="D108" s="6"/>
      <c r="E108" s="15"/>
      <c r="F108" s="15"/>
      <c r="G108" s="15"/>
      <c r="H108" s="6"/>
    </row>
    <row r="109" spans="1:8" s="4" customFormat="1" ht="13.5" customHeight="1">
      <c r="A109" s="14"/>
      <c r="B109" s="14"/>
      <c r="C109" s="6"/>
      <c r="D109" s="6"/>
      <c r="E109" s="15"/>
      <c r="F109" s="15"/>
      <c r="G109" s="15"/>
      <c r="H109" s="6"/>
    </row>
    <row r="110" spans="1:8" s="4" customFormat="1" ht="13.5" customHeight="1">
      <c r="A110" s="14"/>
      <c r="B110" s="14"/>
      <c r="C110" s="6"/>
      <c r="D110" s="6"/>
      <c r="E110" s="15"/>
      <c r="F110" s="15"/>
      <c r="G110" s="15"/>
      <c r="H110" s="6"/>
    </row>
    <row r="111" spans="1:8" s="4" customFormat="1" ht="13.5" customHeight="1">
      <c r="A111" s="14"/>
      <c r="B111" s="14"/>
      <c r="C111" s="6"/>
      <c r="D111" s="6"/>
      <c r="E111" s="15"/>
      <c r="F111" s="15"/>
      <c r="G111" s="15"/>
      <c r="H111" s="6"/>
    </row>
    <row r="112" spans="1:8" s="4" customFormat="1" ht="13.5" customHeight="1">
      <c r="A112" s="14"/>
      <c r="B112" s="14"/>
      <c r="C112" s="6"/>
      <c r="D112" s="6"/>
      <c r="E112" s="15"/>
      <c r="F112" s="15"/>
      <c r="G112" s="15"/>
      <c r="H112" s="6"/>
    </row>
    <row r="113" spans="1:8" s="4" customFormat="1" ht="13.5" customHeight="1">
      <c r="A113" s="14"/>
      <c r="B113" s="14"/>
      <c r="C113" s="6"/>
      <c r="D113" s="6"/>
      <c r="E113" s="15"/>
      <c r="F113" s="15"/>
      <c r="G113" s="15"/>
      <c r="H113" s="6"/>
    </row>
    <row r="114" spans="1:8" s="4" customFormat="1" ht="13.5" customHeight="1">
      <c r="A114" s="14"/>
      <c r="B114" s="14"/>
      <c r="C114" s="6"/>
      <c r="D114" s="6"/>
      <c r="E114" s="15"/>
      <c r="F114" s="15"/>
      <c r="G114" s="15"/>
      <c r="H114" s="6"/>
    </row>
    <row r="115" spans="1:8" s="4" customFormat="1" ht="13.5" customHeight="1">
      <c r="A115" s="14"/>
      <c r="B115" s="14"/>
      <c r="C115" s="6"/>
      <c r="D115" s="6"/>
      <c r="E115" s="15"/>
      <c r="F115" s="15"/>
      <c r="G115" s="15"/>
      <c r="H115" s="6"/>
    </row>
    <row r="116" spans="1:8" s="4" customFormat="1" ht="13.5" customHeight="1">
      <c r="A116" s="14"/>
      <c r="C116" s="6"/>
      <c r="D116" s="6"/>
      <c r="E116" s="15"/>
      <c r="F116" s="15"/>
      <c r="G116" s="15"/>
      <c r="H116" s="6"/>
    </row>
    <row r="117" spans="1:8" s="4" customFormat="1" ht="13.5" customHeight="1">
      <c r="A117" s="14"/>
      <c r="C117" s="6"/>
      <c r="D117" s="6"/>
      <c r="E117" s="15"/>
      <c r="F117" s="15"/>
      <c r="G117" s="15"/>
      <c r="H117" s="6"/>
    </row>
    <row r="118" spans="1:8" s="4" customFormat="1" ht="13.5" customHeight="1">
      <c r="A118" s="14"/>
      <c r="B118" s="24" t="s">
        <v>43</v>
      </c>
      <c r="C118" s="6"/>
      <c r="D118" s="6"/>
      <c r="E118" s="15"/>
      <c r="F118" s="15"/>
      <c r="G118" s="15"/>
      <c r="H118" s="6"/>
    </row>
    <row r="119" spans="1:8" s="4" customFormat="1" ht="13.5" customHeight="1">
      <c r="A119" s="14"/>
      <c r="B119" s="14"/>
      <c r="C119" s="6"/>
      <c r="D119" s="6"/>
      <c r="E119" s="15"/>
      <c r="F119" s="15"/>
      <c r="G119" s="15"/>
      <c r="H119" s="6"/>
    </row>
    <row r="120" spans="1:8" s="4" customFormat="1" ht="13.5" customHeight="1">
      <c r="A120" s="14"/>
      <c r="B120" s="14"/>
      <c r="C120" s="6"/>
      <c r="D120" s="6"/>
      <c r="E120" s="15"/>
      <c r="F120" s="15"/>
      <c r="G120" s="15"/>
      <c r="H120" s="6"/>
    </row>
    <row r="121" spans="1:8" s="4" customFormat="1" ht="13.5" customHeight="1">
      <c r="A121" s="14"/>
      <c r="B121" s="32"/>
      <c r="C121" s="6"/>
      <c r="D121" s="6"/>
      <c r="E121" s="15"/>
      <c r="F121" s="15"/>
      <c r="G121" s="15"/>
      <c r="H121" s="6"/>
    </row>
    <row r="122" spans="1:8" s="4" customFormat="1" ht="13.5" customHeight="1">
      <c r="A122" s="14"/>
      <c r="B122" s="9" t="s">
        <v>365</v>
      </c>
      <c r="C122" s="6"/>
      <c r="D122" s="6"/>
      <c r="E122" s="15"/>
      <c r="F122" s="15"/>
      <c r="G122" s="15"/>
      <c r="H122" s="6"/>
    </row>
    <row r="123" spans="1:8" s="4" customFormat="1" ht="13.5" customHeight="1">
      <c r="A123" s="14"/>
      <c r="B123" s="123" t="s">
        <v>108</v>
      </c>
      <c r="C123" s="6"/>
      <c r="D123" s="6"/>
      <c r="E123" s="15"/>
      <c r="F123" s="15"/>
      <c r="G123" s="15"/>
      <c r="H123" s="6"/>
    </row>
    <row r="124" spans="1:8" s="4" customFormat="1" ht="13.5" customHeight="1">
      <c r="A124" s="14"/>
      <c r="C124" s="6"/>
      <c r="D124" s="6"/>
      <c r="E124" s="15"/>
      <c r="F124" s="15"/>
      <c r="G124" s="15"/>
      <c r="H124" s="6"/>
    </row>
    <row r="125" spans="1:8" s="4" customFormat="1" ht="13.5" customHeight="1">
      <c r="A125" s="14"/>
      <c r="B125" s="14"/>
      <c r="C125" s="6"/>
      <c r="D125" s="6"/>
      <c r="E125" s="15"/>
      <c r="F125" s="15"/>
      <c r="G125" s="15"/>
      <c r="H125" s="6"/>
    </row>
    <row r="126" spans="1:8" s="4" customFormat="1" ht="13.5" customHeight="1">
      <c r="A126" s="14"/>
      <c r="B126" s="4" t="s">
        <v>44</v>
      </c>
      <c r="C126" s="6"/>
      <c r="D126" s="6"/>
      <c r="E126" s="15" t="s">
        <v>45</v>
      </c>
      <c r="F126" s="15"/>
      <c r="G126" s="15"/>
      <c r="H126" s="6"/>
    </row>
    <row r="127" spans="1:8" s="4" customFormat="1" ht="13.5" customHeight="1">
      <c r="A127" s="14"/>
      <c r="C127" s="6"/>
      <c r="D127" s="6"/>
      <c r="E127" s="15"/>
      <c r="F127" s="15"/>
      <c r="G127" s="15"/>
      <c r="H127" s="6"/>
    </row>
    <row r="128" spans="1:8" s="4" customFormat="1" ht="13.5" customHeight="1">
      <c r="A128" s="14"/>
      <c r="C128" s="6"/>
      <c r="D128" s="6"/>
      <c r="E128" s="15"/>
      <c r="F128" s="15"/>
      <c r="G128" s="15"/>
      <c r="H128" s="6"/>
    </row>
    <row r="129" spans="1:8" s="4" customFormat="1" ht="13.5" customHeight="1">
      <c r="A129" s="14"/>
      <c r="B129" s="21"/>
      <c r="C129" s="6"/>
      <c r="D129" s="6"/>
      <c r="E129" s="33"/>
      <c r="F129" s="33"/>
      <c r="G129" s="15"/>
      <c r="H129" s="6"/>
    </row>
    <row r="130" spans="1:8" s="4" customFormat="1" ht="13.5" customHeight="1">
      <c r="A130" s="14"/>
      <c r="B130" s="1" t="s">
        <v>132</v>
      </c>
      <c r="C130" s="6"/>
      <c r="D130" s="6"/>
      <c r="E130" s="23" t="s">
        <v>52</v>
      </c>
      <c r="F130" s="15"/>
      <c r="G130" s="15"/>
      <c r="H130" s="6"/>
    </row>
    <row r="131" spans="1:8" s="4" customFormat="1" ht="13.5" customHeight="1">
      <c r="A131" s="14"/>
      <c r="B131" s="122" t="s">
        <v>133</v>
      </c>
      <c r="C131" s="6"/>
      <c r="D131" s="6"/>
      <c r="E131" s="15" t="s">
        <v>46</v>
      </c>
      <c r="F131" s="15"/>
      <c r="G131" s="15"/>
      <c r="H131" s="6"/>
    </row>
    <row r="132" spans="1:8" s="4" customFormat="1" ht="13.5" customHeight="1">
      <c r="A132" s="14"/>
      <c r="C132" s="6"/>
      <c r="D132" s="6"/>
      <c r="E132" s="15"/>
      <c r="F132" s="15"/>
      <c r="G132" s="15"/>
      <c r="H132" s="6"/>
    </row>
    <row r="133" spans="1:8">
      <c r="A133" s="14"/>
      <c r="C133" s="6"/>
      <c r="D133" s="6"/>
      <c r="E133" s="15"/>
      <c r="F133" s="15"/>
      <c r="G133" s="15"/>
      <c r="H133" s="5"/>
    </row>
    <row r="134" spans="1:8">
      <c r="A134" s="14"/>
      <c r="C134" s="6"/>
      <c r="D134" s="6"/>
      <c r="E134" s="15"/>
      <c r="F134" s="15"/>
      <c r="G134" s="15"/>
      <c r="H134" s="5"/>
    </row>
    <row r="135" spans="1:8">
      <c r="A135" s="14"/>
      <c r="C135" s="6"/>
      <c r="D135" s="6"/>
      <c r="E135" s="15"/>
      <c r="F135" s="15"/>
      <c r="G135" s="15"/>
      <c r="H135" s="5"/>
    </row>
    <row r="136" spans="1:8">
      <c r="A136" s="14"/>
      <c r="B136" s="14"/>
      <c r="C136" s="6"/>
      <c r="D136" s="6"/>
      <c r="E136" s="15"/>
      <c r="F136" s="15"/>
      <c r="G136" s="15"/>
      <c r="H136" s="5"/>
    </row>
    <row r="137" spans="1:8" ht="16.5" thickBot="1">
      <c r="A137" s="34"/>
      <c r="B137" s="34"/>
      <c r="C137" s="13"/>
      <c r="D137" s="13"/>
      <c r="E137" s="35"/>
      <c r="F137" s="16"/>
      <c r="G137" s="36"/>
    </row>
    <row r="138" spans="1:8" ht="16.5" thickTop="1">
      <c r="A138" s="302" t="s">
        <v>17</v>
      </c>
      <c r="B138" s="302"/>
      <c r="C138" s="302"/>
      <c r="D138" s="302"/>
      <c r="E138" s="302"/>
      <c r="F138" s="302"/>
      <c r="G138" s="302"/>
    </row>
    <row r="139" spans="1:8">
      <c r="A139" s="303" t="s">
        <v>18</v>
      </c>
      <c r="B139" s="303"/>
      <c r="C139" s="303"/>
      <c r="D139" s="303"/>
      <c r="E139" s="303"/>
      <c r="F139" s="303"/>
      <c r="G139" s="303"/>
    </row>
    <row r="140" spans="1:8">
      <c r="A140" s="304" t="s">
        <v>19</v>
      </c>
      <c r="B140" s="304"/>
      <c r="C140" s="304"/>
      <c r="D140" s="304"/>
      <c r="E140" s="304"/>
      <c r="F140" s="304"/>
      <c r="G140" s="304"/>
    </row>
    <row r="141" spans="1:8">
      <c r="A141" s="14"/>
      <c r="B141" s="14"/>
      <c r="C141" s="6"/>
      <c r="D141" s="6"/>
      <c r="E141" s="15"/>
      <c r="F141" s="16"/>
      <c r="G141" s="17"/>
    </row>
  </sheetData>
  <mergeCells count="33">
    <mergeCell ref="D4:E4"/>
    <mergeCell ref="A30:G30"/>
    <mergeCell ref="C31:D31"/>
    <mergeCell ref="A24:G24"/>
    <mergeCell ref="C26:D26"/>
    <mergeCell ref="C29:D29"/>
    <mergeCell ref="C28:D28"/>
    <mergeCell ref="F5:G5"/>
    <mergeCell ref="E8:G8"/>
    <mergeCell ref="E13:F13"/>
    <mergeCell ref="C22:D22"/>
    <mergeCell ref="C23:D23"/>
    <mergeCell ref="A27:G27"/>
    <mergeCell ref="A25:G25"/>
    <mergeCell ref="A57:G57"/>
    <mergeCell ref="A58:G58"/>
    <mergeCell ref="A140:G140"/>
    <mergeCell ref="A138:G138"/>
    <mergeCell ref="B69:C71"/>
    <mergeCell ref="A139:G139"/>
    <mergeCell ref="F64:G64"/>
    <mergeCell ref="E67:G67"/>
    <mergeCell ref="A59:G59"/>
    <mergeCell ref="A32:G32"/>
    <mergeCell ref="C33:D33"/>
    <mergeCell ref="C34:D34"/>
    <mergeCell ref="C35:D35"/>
    <mergeCell ref="B54:H54"/>
    <mergeCell ref="B50:H50"/>
    <mergeCell ref="B52:H52"/>
    <mergeCell ref="A36:G36"/>
    <mergeCell ref="C37:D37"/>
    <mergeCell ref="C38:D38"/>
  </mergeCells>
  <hyperlinks>
    <hyperlink ref="A59" r:id="rId1"/>
    <hyperlink ref="A140" r:id="rId2"/>
  </hyperlinks>
  <printOptions horizontalCentered="1"/>
  <pageMargins left="0" right="0" top="0.5" bottom="0" header="0.3" footer="0.3"/>
  <pageSetup scale="64" orientation="portrait" r:id="rId3"/>
  <rowBreaks count="1" manualBreakCount="1">
    <brk id="59" max="6" man="1"/>
  </rowBreaks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54"/>
  <sheetViews>
    <sheetView tabSelected="1" view="pageBreakPreview" topLeftCell="A4" zoomScale="148" zoomScaleNormal="148" zoomScaleSheetLayoutView="148" zoomScalePageLayoutView="57" workbookViewId="0">
      <pane xSplit="1" topLeftCell="B1" activePane="topRight" state="frozen"/>
      <selection pane="topRight" activeCell="A11" sqref="A11"/>
    </sheetView>
  </sheetViews>
  <sheetFormatPr defaultRowHeight="12.75"/>
  <cols>
    <col min="1" max="1" width="73.85546875" style="213" customWidth="1"/>
    <col min="2" max="2" width="9.140625" style="242" customWidth="1"/>
    <col min="3" max="3" width="4.85546875" style="242" customWidth="1"/>
    <col min="4" max="4" width="11.7109375" style="242" customWidth="1"/>
    <col min="5" max="5" width="14.85546875" style="242" customWidth="1"/>
    <col min="6" max="256" width="9.140625" style="213"/>
    <col min="257" max="257" width="73.85546875" style="213" customWidth="1"/>
    <col min="258" max="258" width="6.7109375" style="213" customWidth="1"/>
    <col min="259" max="259" width="4.85546875" style="213" customWidth="1"/>
    <col min="260" max="260" width="11.7109375" style="213" customWidth="1"/>
    <col min="261" max="261" width="14.85546875" style="213" customWidth="1"/>
    <col min="262" max="512" width="9.140625" style="213"/>
    <col min="513" max="513" width="73.85546875" style="213" customWidth="1"/>
    <col min="514" max="514" width="6.7109375" style="213" customWidth="1"/>
    <col min="515" max="515" width="4.85546875" style="213" customWidth="1"/>
    <col min="516" max="516" width="11.7109375" style="213" customWidth="1"/>
    <col min="517" max="517" width="14.85546875" style="213" customWidth="1"/>
    <col min="518" max="768" width="9.140625" style="213"/>
    <col min="769" max="769" width="73.85546875" style="213" customWidth="1"/>
    <col min="770" max="770" width="6.7109375" style="213" customWidth="1"/>
    <col min="771" max="771" width="4.85546875" style="213" customWidth="1"/>
    <col min="772" max="772" width="11.7109375" style="213" customWidth="1"/>
    <col min="773" max="773" width="14.85546875" style="213" customWidth="1"/>
    <col min="774" max="1024" width="9.140625" style="213"/>
    <col min="1025" max="1025" width="73.85546875" style="213" customWidth="1"/>
    <col min="1026" max="1026" width="6.7109375" style="213" customWidth="1"/>
    <col min="1027" max="1027" width="4.85546875" style="213" customWidth="1"/>
    <col min="1028" max="1028" width="11.7109375" style="213" customWidth="1"/>
    <col min="1029" max="1029" width="14.85546875" style="213" customWidth="1"/>
    <col min="1030" max="1280" width="9.140625" style="213"/>
    <col min="1281" max="1281" width="73.85546875" style="213" customWidth="1"/>
    <col min="1282" max="1282" width="6.7109375" style="213" customWidth="1"/>
    <col min="1283" max="1283" width="4.85546875" style="213" customWidth="1"/>
    <col min="1284" max="1284" width="11.7109375" style="213" customWidth="1"/>
    <col min="1285" max="1285" width="14.85546875" style="213" customWidth="1"/>
    <col min="1286" max="1536" width="9.140625" style="213"/>
    <col min="1537" max="1537" width="73.85546875" style="213" customWidth="1"/>
    <col min="1538" max="1538" width="6.7109375" style="213" customWidth="1"/>
    <col min="1539" max="1539" width="4.85546875" style="213" customWidth="1"/>
    <col min="1540" max="1540" width="11.7109375" style="213" customWidth="1"/>
    <col min="1541" max="1541" width="14.85546875" style="213" customWidth="1"/>
    <col min="1542" max="1792" width="9.140625" style="213"/>
    <col min="1793" max="1793" width="73.85546875" style="213" customWidth="1"/>
    <col min="1794" max="1794" width="6.7109375" style="213" customWidth="1"/>
    <col min="1795" max="1795" width="4.85546875" style="213" customWidth="1"/>
    <col min="1796" max="1796" width="11.7109375" style="213" customWidth="1"/>
    <col min="1797" max="1797" width="14.85546875" style="213" customWidth="1"/>
    <col min="1798" max="2048" width="9.140625" style="213"/>
    <col min="2049" max="2049" width="73.85546875" style="213" customWidth="1"/>
    <col min="2050" max="2050" width="6.7109375" style="213" customWidth="1"/>
    <col min="2051" max="2051" width="4.85546875" style="213" customWidth="1"/>
    <col min="2052" max="2052" width="11.7109375" style="213" customWidth="1"/>
    <col min="2053" max="2053" width="14.85546875" style="213" customWidth="1"/>
    <col min="2054" max="2304" width="9.140625" style="213"/>
    <col min="2305" max="2305" width="73.85546875" style="213" customWidth="1"/>
    <col min="2306" max="2306" width="6.7109375" style="213" customWidth="1"/>
    <col min="2307" max="2307" width="4.85546875" style="213" customWidth="1"/>
    <col min="2308" max="2308" width="11.7109375" style="213" customWidth="1"/>
    <col min="2309" max="2309" width="14.85546875" style="213" customWidth="1"/>
    <col min="2310" max="2560" width="9.140625" style="213"/>
    <col min="2561" max="2561" width="73.85546875" style="213" customWidth="1"/>
    <col min="2562" max="2562" width="6.7109375" style="213" customWidth="1"/>
    <col min="2563" max="2563" width="4.85546875" style="213" customWidth="1"/>
    <col min="2564" max="2564" width="11.7109375" style="213" customWidth="1"/>
    <col min="2565" max="2565" width="14.85546875" style="213" customWidth="1"/>
    <col min="2566" max="2816" width="9.140625" style="213"/>
    <col min="2817" max="2817" width="73.85546875" style="213" customWidth="1"/>
    <col min="2818" max="2818" width="6.7109375" style="213" customWidth="1"/>
    <col min="2819" max="2819" width="4.85546875" style="213" customWidth="1"/>
    <col min="2820" max="2820" width="11.7109375" style="213" customWidth="1"/>
    <col min="2821" max="2821" width="14.85546875" style="213" customWidth="1"/>
    <col min="2822" max="3072" width="9.140625" style="213"/>
    <col min="3073" max="3073" width="73.85546875" style="213" customWidth="1"/>
    <col min="3074" max="3074" width="6.7109375" style="213" customWidth="1"/>
    <col min="3075" max="3075" width="4.85546875" style="213" customWidth="1"/>
    <col min="3076" max="3076" width="11.7109375" style="213" customWidth="1"/>
    <col min="3077" max="3077" width="14.85546875" style="213" customWidth="1"/>
    <col min="3078" max="3328" width="9.140625" style="213"/>
    <col min="3329" max="3329" width="73.85546875" style="213" customWidth="1"/>
    <col min="3330" max="3330" width="6.7109375" style="213" customWidth="1"/>
    <col min="3331" max="3331" width="4.85546875" style="213" customWidth="1"/>
    <col min="3332" max="3332" width="11.7109375" style="213" customWidth="1"/>
    <col min="3333" max="3333" width="14.85546875" style="213" customWidth="1"/>
    <col min="3334" max="3584" width="9.140625" style="213"/>
    <col min="3585" max="3585" width="73.85546875" style="213" customWidth="1"/>
    <col min="3586" max="3586" width="6.7109375" style="213" customWidth="1"/>
    <col min="3587" max="3587" width="4.85546875" style="213" customWidth="1"/>
    <col min="3588" max="3588" width="11.7109375" style="213" customWidth="1"/>
    <col min="3589" max="3589" width="14.85546875" style="213" customWidth="1"/>
    <col min="3590" max="3840" width="9.140625" style="213"/>
    <col min="3841" max="3841" width="73.85546875" style="213" customWidth="1"/>
    <col min="3842" max="3842" width="6.7109375" style="213" customWidth="1"/>
    <col min="3843" max="3843" width="4.85546875" style="213" customWidth="1"/>
    <col min="3844" max="3844" width="11.7109375" style="213" customWidth="1"/>
    <col min="3845" max="3845" width="14.85546875" style="213" customWidth="1"/>
    <col min="3846" max="4096" width="9.140625" style="213"/>
    <col min="4097" max="4097" width="73.85546875" style="213" customWidth="1"/>
    <col min="4098" max="4098" width="6.7109375" style="213" customWidth="1"/>
    <col min="4099" max="4099" width="4.85546875" style="213" customWidth="1"/>
    <col min="4100" max="4100" width="11.7109375" style="213" customWidth="1"/>
    <col min="4101" max="4101" width="14.85546875" style="213" customWidth="1"/>
    <col min="4102" max="4352" width="9.140625" style="213"/>
    <col min="4353" max="4353" width="73.85546875" style="213" customWidth="1"/>
    <col min="4354" max="4354" width="6.7109375" style="213" customWidth="1"/>
    <col min="4355" max="4355" width="4.85546875" style="213" customWidth="1"/>
    <col min="4356" max="4356" width="11.7109375" style="213" customWidth="1"/>
    <col min="4357" max="4357" width="14.85546875" style="213" customWidth="1"/>
    <col min="4358" max="4608" width="9.140625" style="213"/>
    <col min="4609" max="4609" width="73.85546875" style="213" customWidth="1"/>
    <col min="4610" max="4610" width="6.7109375" style="213" customWidth="1"/>
    <col min="4611" max="4611" width="4.85546875" style="213" customWidth="1"/>
    <col min="4612" max="4612" width="11.7109375" style="213" customWidth="1"/>
    <col min="4613" max="4613" width="14.85546875" style="213" customWidth="1"/>
    <col min="4614" max="4864" width="9.140625" style="213"/>
    <col min="4865" max="4865" width="73.85546875" style="213" customWidth="1"/>
    <col min="4866" max="4866" width="6.7109375" style="213" customWidth="1"/>
    <col min="4867" max="4867" width="4.85546875" style="213" customWidth="1"/>
    <col min="4868" max="4868" width="11.7109375" style="213" customWidth="1"/>
    <col min="4869" max="4869" width="14.85546875" style="213" customWidth="1"/>
    <col min="4870" max="5120" width="9.140625" style="213"/>
    <col min="5121" max="5121" width="73.85546875" style="213" customWidth="1"/>
    <col min="5122" max="5122" width="6.7109375" style="213" customWidth="1"/>
    <col min="5123" max="5123" width="4.85546875" style="213" customWidth="1"/>
    <col min="5124" max="5124" width="11.7109375" style="213" customWidth="1"/>
    <col min="5125" max="5125" width="14.85546875" style="213" customWidth="1"/>
    <col min="5126" max="5376" width="9.140625" style="213"/>
    <col min="5377" max="5377" width="73.85546875" style="213" customWidth="1"/>
    <col min="5378" max="5378" width="6.7109375" style="213" customWidth="1"/>
    <col min="5379" max="5379" width="4.85546875" style="213" customWidth="1"/>
    <col min="5380" max="5380" width="11.7109375" style="213" customWidth="1"/>
    <col min="5381" max="5381" width="14.85546875" style="213" customWidth="1"/>
    <col min="5382" max="5632" width="9.140625" style="213"/>
    <col min="5633" max="5633" width="73.85546875" style="213" customWidth="1"/>
    <col min="5634" max="5634" width="6.7109375" style="213" customWidth="1"/>
    <col min="5635" max="5635" width="4.85546875" style="213" customWidth="1"/>
    <col min="5636" max="5636" width="11.7109375" style="213" customWidth="1"/>
    <col min="5637" max="5637" width="14.85546875" style="213" customWidth="1"/>
    <col min="5638" max="5888" width="9.140625" style="213"/>
    <col min="5889" max="5889" width="73.85546875" style="213" customWidth="1"/>
    <col min="5890" max="5890" width="6.7109375" style="213" customWidth="1"/>
    <col min="5891" max="5891" width="4.85546875" style="213" customWidth="1"/>
    <col min="5892" max="5892" width="11.7109375" style="213" customWidth="1"/>
    <col min="5893" max="5893" width="14.85546875" style="213" customWidth="1"/>
    <col min="5894" max="6144" width="9.140625" style="213"/>
    <col min="6145" max="6145" width="73.85546875" style="213" customWidth="1"/>
    <col min="6146" max="6146" width="6.7109375" style="213" customWidth="1"/>
    <col min="6147" max="6147" width="4.85546875" style="213" customWidth="1"/>
    <col min="6148" max="6148" width="11.7109375" style="213" customWidth="1"/>
    <col min="6149" max="6149" width="14.85546875" style="213" customWidth="1"/>
    <col min="6150" max="6400" width="9.140625" style="213"/>
    <col min="6401" max="6401" width="73.85546875" style="213" customWidth="1"/>
    <col min="6402" max="6402" width="6.7109375" style="213" customWidth="1"/>
    <col min="6403" max="6403" width="4.85546875" style="213" customWidth="1"/>
    <col min="6404" max="6404" width="11.7109375" style="213" customWidth="1"/>
    <col min="6405" max="6405" width="14.85546875" style="213" customWidth="1"/>
    <col min="6406" max="6656" width="9.140625" style="213"/>
    <col min="6657" max="6657" width="73.85546875" style="213" customWidth="1"/>
    <col min="6658" max="6658" width="6.7109375" style="213" customWidth="1"/>
    <col min="6659" max="6659" width="4.85546875" style="213" customWidth="1"/>
    <col min="6660" max="6660" width="11.7109375" style="213" customWidth="1"/>
    <col min="6661" max="6661" width="14.85546875" style="213" customWidth="1"/>
    <col min="6662" max="6912" width="9.140625" style="213"/>
    <col min="6913" max="6913" width="73.85546875" style="213" customWidth="1"/>
    <col min="6914" max="6914" width="6.7109375" style="213" customWidth="1"/>
    <col min="6915" max="6915" width="4.85546875" style="213" customWidth="1"/>
    <col min="6916" max="6916" width="11.7109375" style="213" customWidth="1"/>
    <col min="6917" max="6917" width="14.85546875" style="213" customWidth="1"/>
    <col min="6918" max="7168" width="9.140625" style="213"/>
    <col min="7169" max="7169" width="73.85546875" style="213" customWidth="1"/>
    <col min="7170" max="7170" width="6.7109375" style="213" customWidth="1"/>
    <col min="7171" max="7171" width="4.85546875" style="213" customWidth="1"/>
    <col min="7172" max="7172" width="11.7109375" style="213" customWidth="1"/>
    <col min="7173" max="7173" width="14.85546875" style="213" customWidth="1"/>
    <col min="7174" max="7424" width="9.140625" style="213"/>
    <col min="7425" max="7425" width="73.85546875" style="213" customWidth="1"/>
    <col min="7426" max="7426" width="6.7109375" style="213" customWidth="1"/>
    <col min="7427" max="7427" width="4.85546875" style="213" customWidth="1"/>
    <col min="7428" max="7428" width="11.7109375" style="213" customWidth="1"/>
    <col min="7429" max="7429" width="14.85546875" style="213" customWidth="1"/>
    <col min="7430" max="7680" width="9.140625" style="213"/>
    <col min="7681" max="7681" width="73.85546875" style="213" customWidth="1"/>
    <col min="7682" max="7682" width="6.7109375" style="213" customWidth="1"/>
    <col min="7683" max="7683" width="4.85546875" style="213" customWidth="1"/>
    <col min="7684" max="7684" width="11.7109375" style="213" customWidth="1"/>
    <col min="7685" max="7685" width="14.85546875" style="213" customWidth="1"/>
    <col min="7686" max="7936" width="9.140625" style="213"/>
    <col min="7937" max="7937" width="73.85546875" style="213" customWidth="1"/>
    <col min="7938" max="7938" width="6.7109375" style="213" customWidth="1"/>
    <col min="7939" max="7939" width="4.85546875" style="213" customWidth="1"/>
    <col min="7940" max="7940" width="11.7109375" style="213" customWidth="1"/>
    <col min="7941" max="7941" width="14.85546875" style="213" customWidth="1"/>
    <col min="7942" max="8192" width="9.140625" style="213"/>
    <col min="8193" max="8193" width="73.85546875" style="213" customWidth="1"/>
    <col min="8194" max="8194" width="6.7109375" style="213" customWidth="1"/>
    <col min="8195" max="8195" width="4.85546875" style="213" customWidth="1"/>
    <col min="8196" max="8196" width="11.7109375" style="213" customWidth="1"/>
    <col min="8197" max="8197" width="14.85546875" style="213" customWidth="1"/>
    <col min="8198" max="8448" width="9.140625" style="213"/>
    <col min="8449" max="8449" width="73.85546875" style="213" customWidth="1"/>
    <col min="8450" max="8450" width="6.7109375" style="213" customWidth="1"/>
    <col min="8451" max="8451" width="4.85546875" style="213" customWidth="1"/>
    <col min="8452" max="8452" width="11.7109375" style="213" customWidth="1"/>
    <col min="8453" max="8453" width="14.85546875" style="213" customWidth="1"/>
    <col min="8454" max="8704" width="9.140625" style="213"/>
    <col min="8705" max="8705" width="73.85546875" style="213" customWidth="1"/>
    <col min="8706" max="8706" width="6.7109375" style="213" customWidth="1"/>
    <col min="8707" max="8707" width="4.85546875" style="213" customWidth="1"/>
    <col min="8708" max="8708" width="11.7109375" style="213" customWidth="1"/>
    <col min="8709" max="8709" width="14.85546875" style="213" customWidth="1"/>
    <col min="8710" max="8960" width="9.140625" style="213"/>
    <col min="8961" max="8961" width="73.85546875" style="213" customWidth="1"/>
    <col min="8962" max="8962" width="6.7109375" style="213" customWidth="1"/>
    <col min="8963" max="8963" width="4.85546875" style="213" customWidth="1"/>
    <col min="8964" max="8964" width="11.7109375" style="213" customWidth="1"/>
    <col min="8965" max="8965" width="14.85546875" style="213" customWidth="1"/>
    <col min="8966" max="9216" width="9.140625" style="213"/>
    <col min="9217" max="9217" width="73.85546875" style="213" customWidth="1"/>
    <col min="9218" max="9218" width="6.7109375" style="213" customWidth="1"/>
    <col min="9219" max="9219" width="4.85546875" style="213" customWidth="1"/>
    <col min="9220" max="9220" width="11.7109375" style="213" customWidth="1"/>
    <col min="9221" max="9221" width="14.85546875" style="213" customWidth="1"/>
    <col min="9222" max="9472" width="9.140625" style="213"/>
    <col min="9473" max="9473" width="73.85546875" style="213" customWidth="1"/>
    <col min="9474" max="9474" width="6.7109375" style="213" customWidth="1"/>
    <col min="9475" max="9475" width="4.85546875" style="213" customWidth="1"/>
    <col min="9476" max="9476" width="11.7109375" style="213" customWidth="1"/>
    <col min="9477" max="9477" width="14.85546875" style="213" customWidth="1"/>
    <col min="9478" max="9728" width="9.140625" style="213"/>
    <col min="9729" max="9729" width="73.85546875" style="213" customWidth="1"/>
    <col min="9730" max="9730" width="6.7109375" style="213" customWidth="1"/>
    <col min="9731" max="9731" width="4.85546875" style="213" customWidth="1"/>
    <col min="9732" max="9732" width="11.7109375" style="213" customWidth="1"/>
    <col min="9733" max="9733" width="14.85546875" style="213" customWidth="1"/>
    <col min="9734" max="9984" width="9.140625" style="213"/>
    <col min="9985" max="9985" width="73.85546875" style="213" customWidth="1"/>
    <col min="9986" max="9986" width="6.7109375" style="213" customWidth="1"/>
    <col min="9987" max="9987" width="4.85546875" style="213" customWidth="1"/>
    <col min="9988" max="9988" width="11.7109375" style="213" customWidth="1"/>
    <col min="9989" max="9989" width="14.85546875" style="213" customWidth="1"/>
    <col min="9990" max="10240" width="9.140625" style="213"/>
    <col min="10241" max="10241" width="73.85546875" style="213" customWidth="1"/>
    <col min="10242" max="10242" width="6.7109375" style="213" customWidth="1"/>
    <col min="10243" max="10243" width="4.85546875" style="213" customWidth="1"/>
    <col min="10244" max="10244" width="11.7109375" style="213" customWidth="1"/>
    <col min="10245" max="10245" width="14.85546875" style="213" customWidth="1"/>
    <col min="10246" max="10496" width="9.140625" style="213"/>
    <col min="10497" max="10497" width="73.85546875" style="213" customWidth="1"/>
    <col min="10498" max="10498" width="6.7109375" style="213" customWidth="1"/>
    <col min="10499" max="10499" width="4.85546875" style="213" customWidth="1"/>
    <col min="10500" max="10500" width="11.7109375" style="213" customWidth="1"/>
    <col min="10501" max="10501" width="14.85546875" style="213" customWidth="1"/>
    <col min="10502" max="10752" width="9.140625" style="213"/>
    <col min="10753" max="10753" width="73.85546875" style="213" customWidth="1"/>
    <col min="10754" max="10754" width="6.7109375" style="213" customWidth="1"/>
    <col min="10755" max="10755" width="4.85546875" style="213" customWidth="1"/>
    <col min="10756" max="10756" width="11.7109375" style="213" customWidth="1"/>
    <col min="10757" max="10757" width="14.85546875" style="213" customWidth="1"/>
    <col min="10758" max="11008" width="9.140625" style="213"/>
    <col min="11009" max="11009" width="73.85546875" style="213" customWidth="1"/>
    <col min="11010" max="11010" width="6.7109375" style="213" customWidth="1"/>
    <col min="11011" max="11011" width="4.85546875" style="213" customWidth="1"/>
    <col min="11012" max="11012" width="11.7109375" style="213" customWidth="1"/>
    <col min="11013" max="11013" width="14.85546875" style="213" customWidth="1"/>
    <col min="11014" max="11264" width="9.140625" style="213"/>
    <col min="11265" max="11265" width="73.85546875" style="213" customWidth="1"/>
    <col min="11266" max="11266" width="6.7109375" style="213" customWidth="1"/>
    <col min="11267" max="11267" width="4.85546875" style="213" customWidth="1"/>
    <col min="11268" max="11268" width="11.7109375" style="213" customWidth="1"/>
    <col min="11269" max="11269" width="14.85546875" style="213" customWidth="1"/>
    <col min="11270" max="11520" width="9.140625" style="213"/>
    <col min="11521" max="11521" width="73.85546875" style="213" customWidth="1"/>
    <col min="11522" max="11522" width="6.7109375" style="213" customWidth="1"/>
    <col min="11523" max="11523" width="4.85546875" style="213" customWidth="1"/>
    <col min="11524" max="11524" width="11.7109375" style="213" customWidth="1"/>
    <col min="11525" max="11525" width="14.85546875" style="213" customWidth="1"/>
    <col min="11526" max="11776" width="9.140625" style="213"/>
    <col min="11777" max="11777" width="73.85546875" style="213" customWidth="1"/>
    <col min="11778" max="11778" width="6.7109375" style="213" customWidth="1"/>
    <col min="11779" max="11779" width="4.85546875" style="213" customWidth="1"/>
    <col min="11780" max="11780" width="11.7109375" style="213" customWidth="1"/>
    <col min="11781" max="11781" width="14.85546875" style="213" customWidth="1"/>
    <col min="11782" max="12032" width="9.140625" style="213"/>
    <col min="12033" max="12033" width="73.85546875" style="213" customWidth="1"/>
    <col min="12034" max="12034" width="6.7109375" style="213" customWidth="1"/>
    <col min="12035" max="12035" width="4.85546875" style="213" customWidth="1"/>
    <col min="12036" max="12036" width="11.7109375" style="213" customWidth="1"/>
    <col min="12037" max="12037" width="14.85546875" style="213" customWidth="1"/>
    <col min="12038" max="12288" width="9.140625" style="213"/>
    <col min="12289" max="12289" width="73.85546875" style="213" customWidth="1"/>
    <col min="12290" max="12290" width="6.7109375" style="213" customWidth="1"/>
    <col min="12291" max="12291" width="4.85546875" style="213" customWidth="1"/>
    <col min="12292" max="12292" width="11.7109375" style="213" customWidth="1"/>
    <col min="12293" max="12293" width="14.85546875" style="213" customWidth="1"/>
    <col min="12294" max="12544" width="9.140625" style="213"/>
    <col min="12545" max="12545" width="73.85546875" style="213" customWidth="1"/>
    <col min="12546" max="12546" width="6.7109375" style="213" customWidth="1"/>
    <col min="12547" max="12547" width="4.85546875" style="213" customWidth="1"/>
    <col min="12548" max="12548" width="11.7109375" style="213" customWidth="1"/>
    <col min="12549" max="12549" width="14.85546875" style="213" customWidth="1"/>
    <col min="12550" max="12800" width="9.140625" style="213"/>
    <col min="12801" max="12801" width="73.85546875" style="213" customWidth="1"/>
    <col min="12802" max="12802" width="6.7109375" style="213" customWidth="1"/>
    <col min="12803" max="12803" width="4.85546875" style="213" customWidth="1"/>
    <col min="12804" max="12804" width="11.7109375" style="213" customWidth="1"/>
    <col min="12805" max="12805" width="14.85546875" style="213" customWidth="1"/>
    <col min="12806" max="13056" width="9.140625" style="213"/>
    <col min="13057" max="13057" width="73.85546875" style="213" customWidth="1"/>
    <col min="13058" max="13058" width="6.7109375" style="213" customWidth="1"/>
    <col min="13059" max="13059" width="4.85546875" style="213" customWidth="1"/>
    <col min="13060" max="13060" width="11.7109375" style="213" customWidth="1"/>
    <col min="13061" max="13061" width="14.85546875" style="213" customWidth="1"/>
    <col min="13062" max="13312" width="9.140625" style="213"/>
    <col min="13313" max="13313" width="73.85546875" style="213" customWidth="1"/>
    <col min="13314" max="13314" width="6.7109375" style="213" customWidth="1"/>
    <col min="13315" max="13315" width="4.85546875" style="213" customWidth="1"/>
    <col min="13316" max="13316" width="11.7109375" style="213" customWidth="1"/>
    <col min="13317" max="13317" width="14.85546875" style="213" customWidth="1"/>
    <col min="13318" max="13568" width="9.140625" style="213"/>
    <col min="13569" max="13569" width="73.85546875" style="213" customWidth="1"/>
    <col min="13570" max="13570" width="6.7109375" style="213" customWidth="1"/>
    <col min="13571" max="13571" width="4.85546875" style="213" customWidth="1"/>
    <col min="13572" max="13572" width="11.7109375" style="213" customWidth="1"/>
    <col min="13573" max="13573" width="14.85546875" style="213" customWidth="1"/>
    <col min="13574" max="13824" width="9.140625" style="213"/>
    <col min="13825" max="13825" width="73.85546875" style="213" customWidth="1"/>
    <col min="13826" max="13826" width="6.7109375" style="213" customWidth="1"/>
    <col min="13827" max="13827" width="4.85546875" style="213" customWidth="1"/>
    <col min="13828" max="13828" width="11.7109375" style="213" customWidth="1"/>
    <col min="13829" max="13829" width="14.85546875" style="213" customWidth="1"/>
    <col min="13830" max="14080" width="9.140625" style="213"/>
    <col min="14081" max="14081" width="73.85546875" style="213" customWidth="1"/>
    <col min="14082" max="14082" width="6.7109375" style="213" customWidth="1"/>
    <col min="14083" max="14083" width="4.85546875" style="213" customWidth="1"/>
    <col min="14084" max="14084" width="11.7109375" style="213" customWidth="1"/>
    <col min="14085" max="14085" width="14.85546875" style="213" customWidth="1"/>
    <col min="14086" max="14336" width="9.140625" style="213"/>
    <col min="14337" max="14337" width="73.85546875" style="213" customWidth="1"/>
    <col min="14338" max="14338" width="6.7109375" style="213" customWidth="1"/>
    <col min="14339" max="14339" width="4.85546875" style="213" customWidth="1"/>
    <col min="14340" max="14340" width="11.7109375" style="213" customWidth="1"/>
    <col min="14341" max="14341" width="14.85546875" style="213" customWidth="1"/>
    <col min="14342" max="14592" width="9.140625" style="213"/>
    <col min="14593" max="14593" width="73.85546875" style="213" customWidth="1"/>
    <col min="14594" max="14594" width="6.7109375" style="213" customWidth="1"/>
    <col min="14595" max="14595" width="4.85546875" style="213" customWidth="1"/>
    <col min="14596" max="14596" width="11.7109375" style="213" customWidth="1"/>
    <col min="14597" max="14597" width="14.85546875" style="213" customWidth="1"/>
    <col min="14598" max="14848" width="9.140625" style="213"/>
    <col min="14849" max="14849" width="73.85546875" style="213" customWidth="1"/>
    <col min="14850" max="14850" width="6.7109375" style="213" customWidth="1"/>
    <col min="14851" max="14851" width="4.85546875" style="213" customWidth="1"/>
    <col min="14852" max="14852" width="11.7109375" style="213" customWidth="1"/>
    <col min="14853" max="14853" width="14.85546875" style="213" customWidth="1"/>
    <col min="14854" max="15104" width="9.140625" style="213"/>
    <col min="15105" max="15105" width="73.85546875" style="213" customWidth="1"/>
    <col min="15106" max="15106" width="6.7109375" style="213" customWidth="1"/>
    <col min="15107" max="15107" width="4.85546875" style="213" customWidth="1"/>
    <col min="15108" max="15108" width="11.7109375" style="213" customWidth="1"/>
    <col min="15109" max="15109" width="14.85546875" style="213" customWidth="1"/>
    <col min="15110" max="15360" width="9.140625" style="213"/>
    <col min="15361" max="15361" width="73.85546875" style="213" customWidth="1"/>
    <col min="15362" max="15362" width="6.7109375" style="213" customWidth="1"/>
    <col min="15363" max="15363" width="4.85546875" style="213" customWidth="1"/>
    <col min="15364" max="15364" width="11.7109375" style="213" customWidth="1"/>
    <col min="15365" max="15365" width="14.85546875" style="213" customWidth="1"/>
    <col min="15366" max="15616" width="9.140625" style="213"/>
    <col min="15617" max="15617" width="73.85546875" style="213" customWidth="1"/>
    <col min="15618" max="15618" width="6.7109375" style="213" customWidth="1"/>
    <col min="15619" max="15619" width="4.85546875" style="213" customWidth="1"/>
    <col min="15620" max="15620" width="11.7109375" style="213" customWidth="1"/>
    <col min="15621" max="15621" width="14.85546875" style="213" customWidth="1"/>
    <col min="15622" max="15872" width="9.140625" style="213"/>
    <col min="15873" max="15873" width="73.85546875" style="213" customWidth="1"/>
    <col min="15874" max="15874" width="6.7109375" style="213" customWidth="1"/>
    <col min="15875" max="15875" width="4.85546875" style="213" customWidth="1"/>
    <col min="15876" max="15876" width="11.7109375" style="213" customWidth="1"/>
    <col min="15877" max="15877" width="14.85546875" style="213" customWidth="1"/>
    <col min="15878" max="16128" width="9.140625" style="213"/>
    <col min="16129" max="16129" width="73.85546875" style="213" customWidth="1"/>
    <col min="16130" max="16130" width="6.7109375" style="213" customWidth="1"/>
    <col min="16131" max="16131" width="4.85546875" style="213" customWidth="1"/>
    <col min="16132" max="16132" width="11.7109375" style="213" customWidth="1"/>
    <col min="16133" max="16133" width="14.85546875" style="213" customWidth="1"/>
    <col min="16134" max="16384" width="9.140625" style="213"/>
  </cols>
  <sheetData>
    <row r="1" spans="1:5">
      <c r="A1" s="211" t="s">
        <v>301</v>
      </c>
      <c r="B1" s="212"/>
      <c r="C1" s="212"/>
      <c r="D1" s="212"/>
      <c r="E1" s="212"/>
    </row>
    <row r="2" spans="1:5">
      <c r="A2" s="211" t="s">
        <v>374</v>
      </c>
      <c r="B2" s="212"/>
      <c r="C2" s="212"/>
      <c r="D2" s="212"/>
      <c r="E2" s="212"/>
    </row>
    <row r="3" spans="1:5">
      <c r="A3" s="211" t="s">
        <v>302</v>
      </c>
      <c r="B3" s="212"/>
      <c r="C3" s="212"/>
      <c r="D3" s="212"/>
      <c r="E3" s="212"/>
    </row>
    <row r="4" spans="1:5">
      <c r="A4" s="214"/>
      <c r="B4" s="212"/>
      <c r="C4" s="212"/>
      <c r="D4" s="212"/>
      <c r="E4" s="212"/>
    </row>
    <row r="5" spans="1:5">
      <c r="A5" s="321" t="s">
        <v>303</v>
      </c>
      <c r="B5" s="322"/>
      <c r="C5" s="322"/>
      <c r="D5" s="322"/>
      <c r="E5" s="322"/>
    </row>
    <row r="6" spans="1:5">
      <c r="A6" s="321"/>
      <c r="B6" s="215" t="s">
        <v>304</v>
      </c>
      <c r="C6" s="216" t="s">
        <v>305</v>
      </c>
      <c r="D6" s="215" t="s">
        <v>306</v>
      </c>
      <c r="E6" s="216" t="s">
        <v>307</v>
      </c>
    </row>
    <row r="7" spans="1:5">
      <c r="A7" s="217" t="s">
        <v>308</v>
      </c>
      <c r="B7" s="218"/>
      <c r="C7" s="219"/>
      <c r="D7" s="218"/>
      <c r="E7" s="219"/>
    </row>
    <row r="8" spans="1:5" ht="12.75" customHeight="1">
      <c r="A8" s="220" t="s">
        <v>309</v>
      </c>
      <c r="B8" s="218">
        <v>1</v>
      </c>
      <c r="C8" s="219" t="s">
        <v>95</v>
      </c>
      <c r="D8" s="218">
        <f>BOM!L125</f>
        <v>4480</v>
      </c>
      <c r="E8" s="219">
        <f>B8*D8</f>
        <v>4480</v>
      </c>
    </row>
    <row r="9" spans="1:5">
      <c r="A9" s="221" t="s">
        <v>228</v>
      </c>
      <c r="B9" s="218">
        <v>1</v>
      </c>
      <c r="C9" s="219" t="s">
        <v>95</v>
      </c>
      <c r="D9" s="218">
        <f>BOM!L127</f>
        <v>5040.0000000000009</v>
      </c>
      <c r="E9" s="219">
        <f>B9*D9</f>
        <v>5040.0000000000009</v>
      </c>
    </row>
    <row r="10" spans="1:5">
      <c r="A10" s="221" t="s">
        <v>310</v>
      </c>
      <c r="B10" s="218">
        <v>1</v>
      </c>
      <c r="C10" s="219" t="s">
        <v>95</v>
      </c>
      <c r="D10" s="218">
        <f>BOM!L129</f>
        <v>5040.0000000000009</v>
      </c>
      <c r="E10" s="219">
        <f>B10*D10</f>
        <v>5040.0000000000009</v>
      </c>
    </row>
    <row r="11" spans="1:5">
      <c r="A11" s="221" t="s">
        <v>311</v>
      </c>
      <c r="B11" s="218">
        <v>1</v>
      </c>
      <c r="C11" s="219" t="s">
        <v>95</v>
      </c>
      <c r="D11" s="218">
        <f>BOM!L128</f>
        <v>3024.0000000000005</v>
      </c>
      <c r="E11" s="219">
        <f>B11*D11</f>
        <v>3024.0000000000005</v>
      </c>
    </row>
    <row r="12" spans="1:5" ht="12.75" customHeight="1">
      <c r="A12" s="220" t="s">
        <v>312</v>
      </c>
      <c r="B12" s="323" t="s">
        <v>313</v>
      </c>
      <c r="C12" s="324"/>
      <c r="D12" s="324"/>
      <c r="E12" s="325"/>
    </row>
    <row r="13" spans="1:5">
      <c r="A13" s="220" t="s">
        <v>314</v>
      </c>
      <c r="B13" s="323" t="s">
        <v>313</v>
      </c>
      <c r="C13" s="324"/>
      <c r="D13" s="324"/>
      <c r="E13" s="325"/>
    </row>
    <row r="14" spans="1:5">
      <c r="A14" s="220" t="s">
        <v>369</v>
      </c>
      <c r="B14" s="323" t="s">
        <v>313</v>
      </c>
      <c r="C14" s="324"/>
      <c r="D14" s="324"/>
      <c r="E14" s="325"/>
    </row>
    <row r="15" spans="1:5">
      <c r="A15" s="222"/>
      <c r="B15" s="218"/>
      <c r="C15" s="219"/>
      <c r="D15" s="218"/>
      <c r="E15" s="219"/>
    </row>
    <row r="16" spans="1:5">
      <c r="A16" s="223" t="s">
        <v>315</v>
      </c>
      <c r="B16" s="224"/>
      <c r="C16" s="225"/>
      <c r="D16" s="224"/>
      <c r="E16" s="226">
        <f>SUM(E8:E15)</f>
        <v>17584</v>
      </c>
    </row>
    <row r="17" spans="1:5">
      <c r="A17" s="227" t="s">
        <v>316</v>
      </c>
      <c r="B17" s="218"/>
      <c r="C17" s="219"/>
      <c r="D17" s="218"/>
      <c r="E17" s="219"/>
    </row>
    <row r="18" spans="1:5">
      <c r="A18" s="228" t="s">
        <v>317</v>
      </c>
      <c r="B18" s="218"/>
      <c r="C18" s="219"/>
      <c r="D18" s="218"/>
      <c r="E18" s="219"/>
    </row>
    <row r="19" spans="1:5">
      <c r="A19" s="229" t="s">
        <v>318</v>
      </c>
      <c r="B19" s="218">
        <f>BOM!F32</f>
        <v>1</v>
      </c>
      <c r="C19" s="219" t="s">
        <v>319</v>
      </c>
      <c r="D19" s="218">
        <f>BOM!L32</f>
        <v>13000</v>
      </c>
      <c r="E19" s="219">
        <f t="shared" ref="E19:E24" si="0">D19*B19</f>
        <v>13000</v>
      </c>
    </row>
    <row r="20" spans="1:5">
      <c r="A20" s="229" t="s">
        <v>320</v>
      </c>
      <c r="B20" s="218">
        <f>BOM!F28</f>
        <v>7</v>
      </c>
      <c r="C20" s="219" t="s">
        <v>321</v>
      </c>
      <c r="D20" s="218">
        <f>BOM!L28</f>
        <v>1133.4400000000003</v>
      </c>
      <c r="E20" s="219">
        <f t="shared" si="0"/>
        <v>7934.0800000000017</v>
      </c>
    </row>
    <row r="21" spans="1:5">
      <c r="A21" s="229" t="s">
        <v>322</v>
      </c>
      <c r="B21" s="218">
        <v>2</v>
      </c>
      <c r="C21" s="219" t="s">
        <v>319</v>
      </c>
      <c r="D21" s="218">
        <f>BOM!L33</f>
        <v>8377.6000000000022</v>
      </c>
      <c r="E21" s="219">
        <f t="shared" si="0"/>
        <v>16755.200000000004</v>
      </c>
    </row>
    <row r="22" spans="1:5">
      <c r="A22" s="228" t="s">
        <v>367</v>
      </c>
      <c r="B22" s="218">
        <v>0</v>
      </c>
      <c r="C22" s="219" t="s">
        <v>319</v>
      </c>
      <c r="D22" s="218">
        <f>SUM(BOM!L35:L36)</f>
        <v>5605.6</v>
      </c>
      <c r="E22" s="219">
        <f t="shared" si="0"/>
        <v>0</v>
      </c>
    </row>
    <row r="23" spans="1:5">
      <c r="A23" s="229" t="s">
        <v>323</v>
      </c>
      <c r="B23" s="218">
        <v>0</v>
      </c>
      <c r="C23" s="219" t="s">
        <v>319</v>
      </c>
      <c r="D23" s="218">
        <f>BOM!L39</f>
        <v>2328.48</v>
      </c>
      <c r="E23" s="219">
        <f t="shared" si="0"/>
        <v>0</v>
      </c>
    </row>
    <row r="24" spans="1:5">
      <c r="A24" s="229" t="s">
        <v>324</v>
      </c>
      <c r="B24" s="218">
        <v>0</v>
      </c>
      <c r="C24" s="219" t="s">
        <v>319</v>
      </c>
      <c r="D24" s="218">
        <f>BOM!L40</f>
        <v>5051.2000000000007</v>
      </c>
      <c r="E24" s="219">
        <f t="shared" si="0"/>
        <v>0</v>
      </c>
    </row>
    <row r="25" spans="1:5">
      <c r="A25" s="228" t="s">
        <v>371</v>
      </c>
      <c r="B25" s="218">
        <v>0</v>
      </c>
      <c r="C25" s="219" t="s">
        <v>325</v>
      </c>
      <c r="D25" s="218">
        <f>BOM!L86</f>
        <v>30.800000000000008</v>
      </c>
      <c r="E25" s="219">
        <f>D25*B25</f>
        <v>0</v>
      </c>
    </row>
    <row r="26" spans="1:5">
      <c r="A26" s="228" t="s">
        <v>370</v>
      </c>
      <c r="B26" s="218">
        <v>0</v>
      </c>
      <c r="C26" s="219" t="s">
        <v>95</v>
      </c>
      <c r="D26" s="218">
        <f>BOM!M123</f>
        <v>7728</v>
      </c>
      <c r="E26" s="219">
        <f>D26*B26</f>
        <v>0</v>
      </c>
    </row>
    <row r="27" spans="1:5" ht="12" customHeight="1">
      <c r="A27" s="228" t="s">
        <v>366</v>
      </c>
      <c r="B27" s="218">
        <v>1</v>
      </c>
      <c r="C27" s="219" t="s">
        <v>95</v>
      </c>
      <c r="D27" s="218">
        <f>SUM(BOM!M84,BOM!M87:M88,BOM!M114)</f>
        <v>6516.0480000000007</v>
      </c>
      <c r="E27" s="219">
        <f>D27*B27</f>
        <v>6516.0480000000007</v>
      </c>
    </row>
    <row r="28" spans="1:5" ht="12.75" customHeight="1">
      <c r="A28" s="223" t="s">
        <v>315</v>
      </c>
      <c r="B28" s="224"/>
      <c r="C28" s="225"/>
      <c r="D28" s="224"/>
      <c r="E28" s="226">
        <f>SUM(E18:E27)</f>
        <v>44205.328000000009</v>
      </c>
    </row>
    <row r="29" spans="1:5" ht="12.75" customHeight="1">
      <c r="A29" s="230"/>
      <c r="B29" s="231"/>
      <c r="C29" s="231"/>
      <c r="D29" s="231"/>
      <c r="E29" s="232"/>
    </row>
    <row r="30" spans="1:5" ht="12.75" customHeight="1">
      <c r="A30" s="233" t="s">
        <v>326</v>
      </c>
      <c r="B30" s="234"/>
      <c r="C30" s="234"/>
      <c r="D30" s="234"/>
      <c r="E30" s="235">
        <f>SUM(E16,E28,)</f>
        <v>61789.328000000009</v>
      </c>
    </row>
    <row r="31" spans="1:5">
      <c r="A31" s="236"/>
      <c r="B31" s="237"/>
      <c r="C31" s="237"/>
      <c r="D31" s="237"/>
      <c r="E31" s="238">
        <v>59940</v>
      </c>
    </row>
    <row r="32" spans="1:5">
      <c r="A32" s="233" t="s">
        <v>327</v>
      </c>
      <c r="B32" s="234"/>
      <c r="C32" s="234"/>
      <c r="D32" s="234"/>
      <c r="E32" s="235">
        <v>0</v>
      </c>
    </row>
    <row r="33" spans="1:5">
      <c r="A33" s="236"/>
      <c r="B33" s="237"/>
      <c r="C33" s="237"/>
      <c r="D33" s="237"/>
      <c r="E33" s="238"/>
    </row>
    <row r="34" spans="1:5">
      <c r="A34" s="233" t="s">
        <v>328</v>
      </c>
      <c r="B34" s="234"/>
      <c r="C34" s="234"/>
      <c r="D34" s="234"/>
      <c r="E34" s="235" t="e">
        <f>E30/E32</f>
        <v>#DIV/0!</v>
      </c>
    </row>
    <row r="35" spans="1:5">
      <c r="A35" s="239"/>
      <c r="B35" s="231"/>
      <c r="C35" s="231"/>
      <c r="D35" s="231"/>
      <c r="E35" s="232"/>
    </row>
    <row r="36" spans="1:5" ht="16.5">
      <c r="A36" s="240" t="s">
        <v>49</v>
      </c>
      <c r="B36" s="241"/>
      <c r="C36" s="241"/>
      <c r="D36" s="241"/>
    </row>
    <row r="37" spans="1:5" ht="16.5">
      <c r="A37" s="243" t="s">
        <v>368</v>
      </c>
      <c r="B37" s="241"/>
      <c r="C37" s="241"/>
      <c r="D37" s="241"/>
    </row>
    <row r="38" spans="1:5" ht="16.5">
      <c r="A38" s="240"/>
      <c r="B38" s="241"/>
      <c r="C38" s="241"/>
      <c r="D38" s="241"/>
    </row>
    <row r="39" spans="1:5" ht="16.5">
      <c r="A39" s="240"/>
      <c r="B39" s="241"/>
      <c r="C39" s="241"/>
      <c r="D39" s="241"/>
    </row>
    <row r="40" spans="1:5">
      <c r="A40" s="244"/>
      <c r="B40" s="231"/>
      <c r="C40" s="231"/>
      <c r="D40" s="231"/>
    </row>
    <row r="41" spans="1:5" ht="12.75" customHeight="1">
      <c r="A41" s="320" t="s">
        <v>329</v>
      </c>
    </row>
    <row r="42" spans="1:5">
      <c r="A42" s="320"/>
    </row>
    <row r="43" spans="1:5" ht="12" customHeight="1">
      <c r="A43" s="214"/>
    </row>
    <row r="44" spans="1:5" ht="12.75" customHeight="1">
      <c r="A44" s="320" t="s">
        <v>330</v>
      </c>
    </row>
    <row r="45" spans="1:5">
      <c r="A45" s="320"/>
    </row>
    <row r="46" spans="1:5" ht="12" customHeight="1">
      <c r="A46" s="214"/>
    </row>
    <row r="47" spans="1:5" ht="12" customHeight="1">
      <c r="A47" s="245" t="s">
        <v>331</v>
      </c>
    </row>
    <row r="48" spans="1:5">
      <c r="A48" s="245" t="s">
        <v>332</v>
      </c>
    </row>
    <row r="49" spans="1:1">
      <c r="A49" s="214" t="s">
        <v>333</v>
      </c>
    </row>
    <row r="50" spans="1:1">
      <c r="A50" s="211"/>
    </row>
    <row r="51" spans="1:1">
      <c r="A51" s="246"/>
    </row>
    <row r="52" spans="1:1">
      <c r="A52" s="247"/>
    </row>
    <row r="53" spans="1:1">
      <c r="A53" s="242" t="s">
        <v>375</v>
      </c>
    </row>
    <row r="54" spans="1:1">
      <c r="A54" s="242" t="s">
        <v>334</v>
      </c>
    </row>
  </sheetData>
  <protectedRanges>
    <protectedRange password="DFA2" sqref="E15:E17 C15:C17 C6:C8 E6:E7 C27:C28" name="Range2"/>
    <protectedRange password="DFA2" sqref="A1:A3 A5:A8 A28:E28 A27 E7 A15:A17 E15:E17 C15:C17 B5:E6 C7:C8" name="dreb_3"/>
    <protectedRange password="DFA2" sqref="E12:E14 C12:C14" name="Range2_2"/>
    <protectedRange password="DFA2" sqref="A19:A21 A9:A14 A23:A24 C12:C14 E12:E14" name="dreb_3_2"/>
    <protectedRange password="DFA2" sqref="C18:C26 E18:E27" name="Range2_3"/>
    <protectedRange password="DFA2" sqref="A18 A22 C18:C26 A25:A26 E18:E27" name="dreb_3_1_1"/>
    <protectedRange password="DFA2" sqref="C9:C11 E8:E11" name="Range2_2_3"/>
    <protectedRange password="DFA2" sqref="C9:C11 E8:E11" name="dreb_3_2_2"/>
  </protectedRanges>
  <mergeCells count="7">
    <mergeCell ref="A44:A45"/>
    <mergeCell ref="A5:A6"/>
    <mergeCell ref="B5:E5"/>
    <mergeCell ref="B12:E12"/>
    <mergeCell ref="B13:E13"/>
    <mergeCell ref="A41:A42"/>
    <mergeCell ref="B14:E14"/>
  </mergeCells>
  <printOptions horizontalCentered="1"/>
  <pageMargins left="0.25" right="0.25" top="0.25" bottom="0.25" header="0.3" footer="0.3"/>
  <pageSetup scale="91" fitToHeight="0" pageOrder="overThenDown" orientation="portrait" useFirstPageNumber="1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TAKE OFF</vt:lpstr>
      <vt:lpstr>BOM</vt:lpstr>
      <vt:lpstr>SUMMARY</vt:lpstr>
      <vt:lpstr>QUOTATION</vt:lpstr>
      <vt:lpstr>CCTV</vt:lpstr>
      <vt:lpstr>QUOTATION!Print_Area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Intellismart</dc:creator>
  <cp:lastModifiedBy>Angeli Gozum</cp:lastModifiedBy>
  <cp:lastPrinted>2018-01-18T09:48:15Z</cp:lastPrinted>
  <dcterms:created xsi:type="dcterms:W3CDTF">2016-10-03T07:11:28Z</dcterms:created>
  <dcterms:modified xsi:type="dcterms:W3CDTF">2018-04-20T05:54:37Z</dcterms:modified>
</cp:coreProperties>
</file>