
<file path=[Content_Types].xml><?xml version="1.0" encoding="utf-8"?>
<Types xmlns="http://schemas.openxmlformats.org/package/2006/content-types">
  <Default Extension="png" ContentType="image/png"/>
  <Default Extension="rels" ContentType="application/vnd.openxmlformats-package.relationships+xml"/>
  <Default Extension="tmp" ContentType="image/jpe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14.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xr:revisionPtr revIDLastSave="0" documentId="8_{B07B3523-9BE9-455E-97A0-CD5E6D4103AD}" xr6:coauthVersionLast="47" xr6:coauthVersionMax="47" xr10:uidLastSave="{00000000-0000-0000-0000-000000000000}"/>
  <bookViews>
    <workbookView xWindow="240" yWindow="105" windowWidth="14805" windowHeight="8010" firstSheet="6" activeTab="14" xr2:uid="{00000000-000D-0000-FFFF-FFFF00000000}"/>
  </bookViews>
  <sheets>
    <sheet name="Table of Capture Methods" sheetId="1" r:id="rId1"/>
    <sheet name="Small SD" sheetId="2" r:id="rId2"/>
    <sheet name="Medium SD" sheetId="3" r:id="rId3"/>
    <sheet name="Large SD" sheetId="5" r:id="rId4"/>
    <sheet name="summary" sheetId="6" r:id="rId5"/>
    <sheet name="Targeted SDs" sheetId="4" r:id="rId6"/>
    <sheet name="SMA raising Isp 500 PM" sheetId="7" r:id="rId7"/>
    <sheet name="Phasing Isp 600" sheetId="9" state="hidden" r:id="rId8"/>
    <sheet name="Phasing Isp 1000" sheetId="10" state="hidden" r:id="rId9"/>
    <sheet name="Phasing Isp 2000" sheetId="11" state="hidden" r:id="rId10"/>
    <sheet name="SMA raising Isp 500 RB" sheetId="14" r:id="rId11"/>
    <sheet name="Inclination Change Isp 500 PM" sheetId="8" r:id="rId12"/>
    <sheet name="Inclination Change Isp 500 RB" sheetId="16" r:id="rId13"/>
    <sheet name="AInclination Change Isp 500 RB " sheetId="15" state="hidden" r:id="rId14"/>
    <sheet name=" Semi Mission" sheetId="12" r:id="rId15"/>
    <sheet name="Non Contact Mission" sheetId="13"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3" i="14" l="1"/>
  <c r="E46" i="4"/>
  <c r="R16" i="16"/>
  <c r="R14" i="16"/>
  <c r="Q13" i="16"/>
  <c r="R12" i="16"/>
  <c r="P12" i="16"/>
  <c r="Q11" i="16"/>
  <c r="O11" i="16"/>
  <c r="R10" i="16"/>
  <c r="R17" i="16"/>
  <c r="R18" i="16"/>
  <c r="P10" i="16"/>
  <c r="N10" i="16"/>
  <c r="F10" i="16"/>
  <c r="W9" i="16"/>
  <c r="Q9" i="16"/>
  <c r="Q16" i="16"/>
  <c r="Q17" i="16"/>
  <c r="O9" i="16"/>
  <c r="F9" i="16"/>
  <c r="W8" i="16"/>
  <c r="Q8" i="16"/>
  <c r="Q15" i="16"/>
  <c r="P8" i="16"/>
  <c r="P15" i="16"/>
  <c r="P16" i="16"/>
  <c r="N8" i="16"/>
  <c r="F8" i="16"/>
  <c r="W7" i="16"/>
  <c r="P7" i="16"/>
  <c r="P14" i="16"/>
  <c r="O7" i="16"/>
  <c r="O14" i="16"/>
  <c r="O15" i="16"/>
  <c r="F7" i="16"/>
  <c r="W6" i="16"/>
  <c r="O6" i="16"/>
  <c r="O13" i="16"/>
  <c r="N6" i="16"/>
  <c r="N13" i="16"/>
  <c r="N14" i="16"/>
  <c r="F6" i="16"/>
  <c r="Y5" i="16"/>
  <c r="W5" i="16"/>
  <c r="X5" i="16"/>
  <c r="T5" i="16"/>
  <c r="N5" i="16"/>
  <c r="N12" i="16"/>
  <c r="Q8" i="8"/>
  <c r="P7" i="8"/>
  <c r="O6" i="8"/>
  <c r="N5" i="8"/>
  <c r="E50" i="4"/>
  <c r="E52" i="4"/>
  <c r="E54" i="4"/>
  <c r="E56" i="4"/>
  <c r="E58" i="4"/>
  <c r="E60" i="4"/>
  <c r="E62" i="4"/>
  <c r="E64" i="4"/>
  <c r="E66" i="4"/>
  <c r="E68" i="4"/>
  <c r="E70" i="4"/>
  <c r="E72" i="4"/>
  <c r="E74" i="4"/>
  <c r="E76" i="4"/>
  <c r="E78" i="4"/>
  <c r="E80" i="4"/>
  <c r="E82" i="4"/>
  <c r="E84" i="4"/>
  <c r="E86" i="4"/>
  <c r="E48" i="4"/>
  <c r="R16" i="15"/>
  <c r="Q15" i="15"/>
  <c r="R14" i="15"/>
  <c r="P14" i="15"/>
  <c r="Q13" i="15"/>
  <c r="O13" i="15"/>
  <c r="R12" i="15"/>
  <c r="P12" i="15"/>
  <c r="N12" i="15"/>
  <c r="Q11" i="15"/>
  <c r="O11" i="15"/>
  <c r="R10" i="15"/>
  <c r="R17" i="15"/>
  <c r="R18" i="15"/>
  <c r="P10" i="15"/>
  <c r="N10" i="15"/>
  <c r="F10" i="15"/>
  <c r="W9" i="15"/>
  <c r="Q9" i="15"/>
  <c r="Q16" i="15"/>
  <c r="Q17" i="15"/>
  <c r="O9" i="15"/>
  <c r="F9" i="15"/>
  <c r="W8" i="15"/>
  <c r="P8" i="15"/>
  <c r="P15" i="15"/>
  <c r="P16" i="15"/>
  <c r="N8" i="15"/>
  <c r="F8" i="15"/>
  <c r="W7" i="15"/>
  <c r="O7" i="15"/>
  <c r="O14" i="15"/>
  <c r="O15" i="15"/>
  <c r="F7" i="15"/>
  <c r="W6" i="15"/>
  <c r="N6" i="15"/>
  <c r="N13" i="15"/>
  <c r="N14" i="15"/>
  <c r="F6" i="15"/>
  <c r="Y5" i="15"/>
  <c r="W5" i="15"/>
  <c r="X5" i="15"/>
  <c r="T5" i="15"/>
  <c r="W6" i="8"/>
  <c r="W7" i="8"/>
  <c r="W8" i="8"/>
  <c r="W9" i="8"/>
  <c r="W5" i="8"/>
  <c r="Q8" i="14"/>
  <c r="F8" i="14"/>
  <c r="V7" i="14"/>
  <c r="P7" i="14"/>
  <c r="F7" i="14"/>
  <c r="V6" i="14"/>
  <c r="Q6" i="14"/>
  <c r="O6" i="14"/>
  <c r="F6" i="14"/>
  <c r="B6" i="14"/>
  <c r="V5" i="14"/>
  <c r="Q5" i="14"/>
  <c r="N5" i="14"/>
  <c r="F5" i="14"/>
  <c r="V4" i="14"/>
  <c r="Q4" i="14"/>
  <c r="M4" i="14"/>
  <c r="F4" i="14"/>
  <c r="X3" i="14"/>
  <c r="V3" i="14"/>
  <c r="W3" i="14"/>
  <c r="S3" i="14"/>
  <c r="Q3" i="14"/>
  <c r="Q6" i="7"/>
  <c r="Q5" i="7"/>
  <c r="Q4" i="7"/>
  <c r="Q3" i="7"/>
  <c r="B6" i="7"/>
  <c r="V8" i="12"/>
  <c r="V10" i="12"/>
  <c r="V12" i="12"/>
  <c r="V14" i="12"/>
  <c r="V16" i="12"/>
  <c r="U16" i="12"/>
  <c r="U14" i="12"/>
  <c r="U12" i="12"/>
  <c r="U10" i="12"/>
  <c r="U8" i="12"/>
  <c r="O7" i="12"/>
  <c r="P7" i="12"/>
  <c r="Q7" i="12"/>
  <c r="R7" i="12"/>
  <c r="S7" i="12"/>
  <c r="T7" i="12"/>
  <c r="U7" i="12"/>
  <c r="V7" i="12"/>
  <c r="W7" i="12"/>
  <c r="X7" i="12"/>
  <c r="Y7" i="12"/>
  <c r="O8" i="12"/>
  <c r="P8" i="12"/>
  <c r="Q8" i="12"/>
  <c r="R8" i="12"/>
  <c r="S8" i="12"/>
  <c r="T8" i="12"/>
  <c r="W8" i="12"/>
  <c r="X8" i="12"/>
  <c r="Y8" i="12"/>
  <c r="O9" i="12"/>
  <c r="P9" i="12"/>
  <c r="Q9" i="12"/>
  <c r="R9" i="12"/>
  <c r="S9" i="12"/>
  <c r="T9" i="12"/>
  <c r="U9" i="12"/>
  <c r="V9" i="12"/>
  <c r="W9" i="12"/>
  <c r="X9" i="12"/>
  <c r="Y9" i="12"/>
  <c r="O10" i="12"/>
  <c r="P10" i="12"/>
  <c r="Q10" i="12"/>
  <c r="R10" i="12"/>
  <c r="S10" i="12"/>
  <c r="T10" i="12"/>
  <c r="W10" i="12"/>
  <c r="X10" i="12"/>
  <c r="Y10" i="12"/>
  <c r="O11" i="12"/>
  <c r="P11" i="12"/>
  <c r="Q11" i="12"/>
  <c r="R11" i="12"/>
  <c r="S11" i="12"/>
  <c r="T11" i="12"/>
  <c r="U11" i="12"/>
  <c r="V11" i="12"/>
  <c r="W11" i="12"/>
  <c r="X11" i="12"/>
  <c r="Y11" i="12"/>
  <c r="O12" i="12"/>
  <c r="P12" i="12"/>
  <c r="Q12" i="12"/>
  <c r="R12" i="12"/>
  <c r="S12" i="12"/>
  <c r="T12" i="12"/>
  <c r="W12" i="12"/>
  <c r="X12" i="12"/>
  <c r="Y12" i="12"/>
  <c r="O13" i="12"/>
  <c r="P13" i="12"/>
  <c r="Q13" i="12"/>
  <c r="R13" i="12"/>
  <c r="S13" i="12"/>
  <c r="T13" i="12"/>
  <c r="U13" i="12"/>
  <c r="V13" i="12"/>
  <c r="W13" i="12"/>
  <c r="X13" i="12"/>
  <c r="Y13" i="12"/>
  <c r="O14" i="12"/>
  <c r="P14" i="12"/>
  <c r="Q14" i="12"/>
  <c r="R14" i="12"/>
  <c r="S14" i="12"/>
  <c r="T14" i="12"/>
  <c r="W14" i="12"/>
  <c r="X14" i="12"/>
  <c r="Y14" i="12"/>
  <c r="O15" i="12"/>
  <c r="P15" i="12"/>
  <c r="Q15" i="12"/>
  <c r="R15" i="12"/>
  <c r="S15" i="12"/>
  <c r="T15" i="12"/>
  <c r="U15" i="12"/>
  <c r="V15" i="12"/>
  <c r="W15" i="12"/>
  <c r="X15" i="12"/>
  <c r="Y15" i="12"/>
  <c r="O16" i="12"/>
  <c r="P16" i="12"/>
  <c r="Q16" i="12"/>
  <c r="R16" i="12"/>
  <c r="S16" i="12"/>
  <c r="T16" i="12"/>
  <c r="W16" i="12"/>
  <c r="X16" i="12"/>
  <c r="Y16" i="12"/>
  <c r="O17" i="12"/>
  <c r="P17" i="12"/>
  <c r="Q17" i="12"/>
  <c r="R17" i="12"/>
  <c r="S17" i="12"/>
  <c r="T17" i="12"/>
  <c r="U17" i="12"/>
  <c r="V17" i="12"/>
  <c r="W17" i="12"/>
  <c r="X17" i="12"/>
  <c r="Y17" i="12"/>
  <c r="Q8" i="11"/>
  <c r="F8" i="11"/>
  <c r="T7" i="11"/>
  <c r="P7" i="11"/>
  <c r="F7" i="11"/>
  <c r="T6" i="11"/>
  <c r="O6" i="11"/>
  <c r="F6" i="11"/>
  <c r="T5" i="11"/>
  <c r="N5" i="11"/>
  <c r="F5" i="11"/>
  <c r="T4" i="11"/>
  <c r="M4" i="11"/>
  <c r="F4" i="11"/>
  <c r="V3" i="11"/>
  <c r="T3" i="11"/>
  <c r="U3" i="11"/>
  <c r="Q8" i="10"/>
  <c r="F8" i="10"/>
  <c r="T7" i="10"/>
  <c r="P7" i="10"/>
  <c r="F7" i="10"/>
  <c r="T6" i="10"/>
  <c r="O6" i="10"/>
  <c r="F6" i="10"/>
  <c r="T5" i="10"/>
  <c r="N5" i="10"/>
  <c r="F5" i="10"/>
  <c r="T4" i="10"/>
  <c r="M4" i="10"/>
  <c r="F4" i="10"/>
  <c r="V3" i="10"/>
  <c r="T3" i="10"/>
  <c r="U3" i="10"/>
  <c r="Q8" i="9"/>
  <c r="F8" i="9"/>
  <c r="T7" i="9"/>
  <c r="P7" i="9"/>
  <c r="F7" i="9"/>
  <c r="T6" i="9"/>
  <c r="O6" i="9"/>
  <c r="F6" i="9"/>
  <c r="T5" i="9"/>
  <c r="N5" i="9"/>
  <c r="F5" i="9"/>
  <c r="T4" i="9"/>
  <c r="M4" i="9"/>
  <c r="F4" i="9"/>
  <c r="V3" i="9"/>
  <c r="T3" i="9"/>
  <c r="U3" i="9"/>
  <c r="R14" i="8"/>
  <c r="R12" i="8"/>
  <c r="R10" i="8"/>
  <c r="R17" i="8"/>
  <c r="R18" i="8"/>
  <c r="Q13" i="8"/>
  <c r="Q11" i="8"/>
  <c r="Q9" i="8"/>
  <c r="Q16" i="8"/>
  <c r="Q17" i="8"/>
  <c r="P12" i="8"/>
  <c r="P10" i="8"/>
  <c r="P8" i="8"/>
  <c r="P15" i="8"/>
  <c r="P16" i="8"/>
  <c r="O11" i="8"/>
  <c r="O9" i="8"/>
  <c r="O7" i="8"/>
  <c r="O14" i="8"/>
  <c r="O15" i="8"/>
  <c r="R16" i="8"/>
  <c r="Q15" i="8"/>
  <c r="P14" i="8"/>
  <c r="O13" i="8"/>
  <c r="N12" i="8"/>
  <c r="N10" i="8"/>
  <c r="N8" i="8"/>
  <c r="N6" i="8"/>
  <c r="N13" i="8"/>
  <c r="O6" i="7"/>
  <c r="N5" i="7"/>
  <c r="Q8" i="7"/>
  <c r="P7" i="7"/>
  <c r="M4" i="7"/>
  <c r="X3" i="7"/>
  <c r="F10" i="8"/>
  <c r="L10" i="8" s="1"/>
  <c r="F9" i="8"/>
  <c r="L9" i="8" s="1"/>
  <c r="F8" i="8"/>
  <c r="L8" i="8" s="1"/>
  <c r="F7" i="8"/>
  <c r="L7" i="8" s="1"/>
  <c r="F6" i="8"/>
  <c r="L6" i="8" s="1"/>
  <c r="V4" i="7"/>
  <c r="V5" i="7"/>
  <c r="V6" i="7"/>
  <c r="V7" i="7"/>
  <c r="V3" i="7"/>
  <c r="F7" i="7"/>
  <c r="F8" i="7"/>
  <c r="F4" i="7"/>
  <c r="F5" i="7"/>
  <c r="F6" i="7"/>
  <c r="E42" i="4"/>
  <c r="E41" i="4"/>
  <c r="G37" i="4"/>
  <c r="I37" i="4"/>
  <c r="D35" i="4"/>
  <c r="G35" i="4"/>
  <c r="G38" i="4"/>
  <c r="E30" i="4"/>
  <c r="E29" i="4"/>
  <c r="G25" i="4"/>
  <c r="I25" i="4"/>
  <c r="D23" i="4"/>
  <c r="G23" i="4"/>
  <c r="P4" i="6"/>
  <c r="P5" i="6"/>
  <c r="P6" i="6"/>
  <c r="P7" i="6"/>
  <c r="M1" i="6"/>
  <c r="K1" i="6"/>
  <c r="I1" i="6"/>
  <c r="G1" i="6"/>
  <c r="E1" i="6"/>
  <c r="C1" i="6"/>
  <c r="M29" i="6"/>
  <c r="M30" i="6"/>
  <c r="M31" i="6"/>
  <c r="M32" i="6"/>
  <c r="M33" i="6"/>
  <c r="M34" i="6"/>
  <c r="M35" i="6"/>
  <c r="M36" i="6"/>
  <c r="M37" i="6"/>
  <c r="M38" i="6"/>
  <c r="M39" i="6"/>
  <c r="M40" i="6"/>
  <c r="M41" i="6"/>
  <c r="C29" i="6"/>
  <c r="C30" i="6"/>
  <c r="C31" i="6"/>
  <c r="C32" i="6"/>
  <c r="C33" i="6"/>
  <c r="C34" i="6"/>
  <c r="C35" i="6"/>
  <c r="C36" i="6"/>
  <c r="C37" i="6"/>
  <c r="C38" i="6"/>
  <c r="C39" i="6"/>
  <c r="C40" i="6"/>
  <c r="C41" i="6"/>
  <c r="M16" i="6"/>
  <c r="M17" i="6"/>
  <c r="M18" i="6"/>
  <c r="M19" i="6"/>
  <c r="M20" i="6"/>
  <c r="M21" i="6"/>
  <c r="M22" i="6"/>
  <c r="M23" i="6"/>
  <c r="M24" i="6"/>
  <c r="M25" i="6"/>
  <c r="M26" i="6"/>
  <c r="M27" i="6"/>
  <c r="M28" i="6"/>
  <c r="B3" i="6"/>
  <c r="B4" i="6"/>
  <c r="B5" i="6"/>
  <c r="B6" i="6"/>
  <c r="B7" i="6"/>
  <c r="B8" i="6"/>
  <c r="B9" i="6"/>
  <c r="B10" i="6"/>
  <c r="B11" i="6"/>
  <c r="B12" i="6"/>
  <c r="B13" i="6"/>
  <c r="B14" i="6"/>
  <c r="B15" i="6"/>
  <c r="AA21" i="5"/>
  <c r="Y21" i="5"/>
  <c r="W21" i="5"/>
  <c r="U21" i="5"/>
  <c r="S21" i="5"/>
  <c r="Q21" i="5"/>
  <c r="AA20" i="5"/>
  <c r="Y20" i="5"/>
  <c r="W20" i="5"/>
  <c r="U20" i="5"/>
  <c r="S20" i="5"/>
  <c r="Q20" i="5"/>
  <c r="AA19" i="5"/>
  <c r="Y19" i="5"/>
  <c r="W19" i="5"/>
  <c r="U19" i="5"/>
  <c r="S19" i="5"/>
  <c r="Q19" i="5"/>
  <c r="AA18" i="5"/>
  <c r="Y18" i="5"/>
  <c r="W18" i="5"/>
  <c r="U18" i="5"/>
  <c r="S18" i="5"/>
  <c r="Q18" i="5"/>
  <c r="AK17" i="5"/>
  <c r="AR17" i="5"/>
  <c r="AJ17" i="5"/>
  <c r="AQ17" i="5"/>
  <c r="AI17" i="5"/>
  <c r="AP17" i="5"/>
  <c r="AH17" i="5"/>
  <c r="AO17" i="5"/>
  <c r="AG17" i="5"/>
  <c r="AN17" i="5"/>
  <c r="AF17" i="5"/>
  <c r="AM17" i="5"/>
  <c r="AS17" i="5"/>
  <c r="AE17" i="5"/>
  <c r="AL17" i="5"/>
  <c r="AA17" i="5"/>
  <c r="Y17" i="5"/>
  <c r="W17" i="5"/>
  <c r="U17" i="5"/>
  <c r="S17" i="5"/>
  <c r="Q17" i="5"/>
  <c r="AK16" i="5"/>
  <c r="AR16" i="5"/>
  <c r="AJ16" i="5"/>
  <c r="AQ16" i="5"/>
  <c r="AI16" i="5"/>
  <c r="AP16" i="5"/>
  <c r="AH16" i="5"/>
  <c r="AO16" i="5"/>
  <c r="AG16" i="5"/>
  <c r="AN16" i="5"/>
  <c r="AF16" i="5"/>
  <c r="AM16" i="5"/>
  <c r="AS16" i="5"/>
  <c r="AE16" i="5"/>
  <c r="AL16" i="5"/>
  <c r="AA16" i="5"/>
  <c r="Y16" i="5"/>
  <c r="W16" i="5"/>
  <c r="U16" i="5"/>
  <c r="S16" i="5"/>
  <c r="Q16" i="5"/>
  <c r="AK15" i="5"/>
  <c r="AR15" i="5"/>
  <c r="AJ15" i="5"/>
  <c r="AQ15" i="5"/>
  <c r="AI15" i="5"/>
  <c r="AP15" i="5"/>
  <c r="AH15" i="5"/>
  <c r="AO15" i="5"/>
  <c r="AG15" i="5"/>
  <c r="AN15" i="5"/>
  <c r="AF15" i="5"/>
  <c r="AM15" i="5"/>
  <c r="AS15" i="5"/>
  <c r="AE15" i="5"/>
  <c r="AL15" i="5"/>
  <c r="AA15" i="5"/>
  <c r="Y15" i="5"/>
  <c r="W15" i="5"/>
  <c r="U15" i="5"/>
  <c r="S15" i="5"/>
  <c r="Q15" i="5"/>
  <c r="AK14" i="5"/>
  <c r="AR14" i="5"/>
  <c r="AJ14" i="5"/>
  <c r="AQ14" i="5"/>
  <c r="AI14" i="5"/>
  <c r="AP14" i="5"/>
  <c r="AH14" i="5"/>
  <c r="AO14" i="5"/>
  <c r="AG14" i="5"/>
  <c r="AN14" i="5"/>
  <c r="AF14" i="5"/>
  <c r="AM14" i="5"/>
  <c r="AS14" i="5"/>
  <c r="AE14" i="5"/>
  <c r="AL14" i="5"/>
  <c r="AA14" i="5"/>
  <c r="Y14" i="5"/>
  <c r="W14" i="5"/>
  <c r="U14" i="5"/>
  <c r="S14" i="5"/>
  <c r="Q14" i="5"/>
  <c r="AK13" i="5"/>
  <c r="AR13" i="5"/>
  <c r="AJ13" i="5"/>
  <c r="AQ13" i="5"/>
  <c r="AI13" i="5"/>
  <c r="AP13" i="5"/>
  <c r="AH13" i="5"/>
  <c r="AO13" i="5"/>
  <c r="AG13" i="5"/>
  <c r="AN13" i="5"/>
  <c r="AF13" i="5"/>
  <c r="AM13" i="5"/>
  <c r="AS13" i="5"/>
  <c r="AE13" i="5"/>
  <c r="AL13" i="5"/>
  <c r="AA13" i="5"/>
  <c r="Y13" i="5"/>
  <c r="W13" i="5"/>
  <c r="U13" i="5"/>
  <c r="S13" i="5"/>
  <c r="Q13" i="5"/>
  <c r="AK12" i="5"/>
  <c r="AR12" i="5"/>
  <c r="AJ12" i="5"/>
  <c r="AQ12" i="5"/>
  <c r="AI12" i="5"/>
  <c r="AP12" i="5"/>
  <c r="AH12" i="5"/>
  <c r="AO12" i="5"/>
  <c r="AG12" i="5"/>
  <c r="AN12" i="5"/>
  <c r="AF12" i="5"/>
  <c r="AM12" i="5"/>
  <c r="AS12" i="5"/>
  <c r="AE12" i="5"/>
  <c r="AL12" i="5"/>
  <c r="AA12" i="5"/>
  <c r="Y12" i="5"/>
  <c r="W12" i="5"/>
  <c r="U12" i="5"/>
  <c r="S12" i="5"/>
  <c r="Q12" i="5"/>
  <c r="AK11" i="5"/>
  <c r="AR11" i="5"/>
  <c r="AJ11" i="5"/>
  <c r="AQ11" i="5"/>
  <c r="AI11" i="5"/>
  <c r="AP11" i="5"/>
  <c r="AH11" i="5"/>
  <c r="AO11" i="5"/>
  <c r="AG11" i="5"/>
  <c r="AN11" i="5"/>
  <c r="AF11" i="5"/>
  <c r="AM11" i="5"/>
  <c r="AS11" i="5"/>
  <c r="AE11" i="5"/>
  <c r="AL11" i="5"/>
  <c r="AA11" i="5"/>
  <c r="Y11" i="5"/>
  <c r="W11" i="5"/>
  <c r="U11" i="5"/>
  <c r="S11" i="5"/>
  <c r="Q11" i="5"/>
  <c r="AK10" i="5"/>
  <c r="AR10" i="5"/>
  <c r="AJ10" i="5"/>
  <c r="AQ10" i="5"/>
  <c r="AI10" i="5"/>
  <c r="AP10" i="5"/>
  <c r="AH10" i="5"/>
  <c r="AO10" i="5"/>
  <c r="AG10" i="5"/>
  <c r="AN10" i="5"/>
  <c r="AF10" i="5"/>
  <c r="AM10" i="5"/>
  <c r="AS10" i="5"/>
  <c r="AE10" i="5"/>
  <c r="AL10" i="5"/>
  <c r="AA10" i="5"/>
  <c r="Y10" i="5"/>
  <c r="W10" i="5"/>
  <c r="U10" i="5"/>
  <c r="S10" i="5"/>
  <c r="Q10" i="5"/>
  <c r="AK9" i="5"/>
  <c r="AR9" i="5"/>
  <c r="AJ9" i="5"/>
  <c r="AQ9" i="5"/>
  <c r="AI9" i="5"/>
  <c r="AP9" i="5"/>
  <c r="AH9" i="5"/>
  <c r="AO9" i="5"/>
  <c r="AG9" i="5"/>
  <c r="AN9" i="5"/>
  <c r="AF9" i="5"/>
  <c r="AM9" i="5"/>
  <c r="AS9" i="5"/>
  <c r="AE9" i="5"/>
  <c r="AL9" i="5"/>
  <c r="AA9" i="5"/>
  <c r="Y9" i="5"/>
  <c r="W9" i="5"/>
  <c r="U9" i="5"/>
  <c r="S9" i="5"/>
  <c r="Q9" i="5"/>
  <c r="AK8" i="5"/>
  <c r="AR8" i="5"/>
  <c r="AJ8" i="5"/>
  <c r="AQ8" i="5"/>
  <c r="AI8" i="5"/>
  <c r="AP8" i="5"/>
  <c r="AH8" i="5"/>
  <c r="AO8" i="5"/>
  <c r="AG8" i="5"/>
  <c r="AN8" i="5"/>
  <c r="AF8" i="5"/>
  <c r="AM8" i="5"/>
  <c r="AS8" i="5"/>
  <c r="AE8" i="5"/>
  <c r="AL8" i="5"/>
  <c r="AK7" i="5"/>
  <c r="AR7" i="5"/>
  <c r="AJ7" i="5"/>
  <c r="AQ7" i="5"/>
  <c r="AI7" i="5"/>
  <c r="AP7" i="5"/>
  <c r="AH7" i="5"/>
  <c r="AO7" i="5"/>
  <c r="AG7" i="5"/>
  <c r="AN7" i="5"/>
  <c r="AF7" i="5"/>
  <c r="AM7" i="5"/>
  <c r="AS7" i="5"/>
  <c r="AE7" i="5"/>
  <c r="AL7" i="5"/>
  <c r="AK6" i="5"/>
  <c r="AR6" i="5"/>
  <c r="AJ6" i="5"/>
  <c r="AQ6" i="5"/>
  <c r="AI6" i="5"/>
  <c r="AP6" i="5"/>
  <c r="AH6" i="5"/>
  <c r="AO6" i="5"/>
  <c r="AG6" i="5"/>
  <c r="AN6" i="5"/>
  <c r="AF6" i="5"/>
  <c r="AM6" i="5"/>
  <c r="AS6" i="5"/>
  <c r="AE6" i="5"/>
  <c r="AL6" i="5"/>
  <c r="AK5" i="5"/>
  <c r="AR5" i="5"/>
  <c r="AJ5" i="5"/>
  <c r="AQ5" i="5"/>
  <c r="AI5" i="5"/>
  <c r="AP5" i="5"/>
  <c r="AH5" i="5"/>
  <c r="AO5" i="5"/>
  <c r="AG5" i="5"/>
  <c r="AN5" i="5"/>
  <c r="AF5" i="5"/>
  <c r="AM5" i="5"/>
  <c r="AS5" i="5"/>
  <c r="B4" i="5"/>
  <c r="AE5" i="5"/>
  <c r="AL5" i="5"/>
  <c r="AR3" i="5"/>
  <c r="AP3" i="5"/>
  <c r="AO3" i="5"/>
  <c r="AN3" i="5"/>
  <c r="AM3" i="5"/>
  <c r="AA2" i="5"/>
  <c r="Y2" i="5"/>
  <c r="W2" i="5"/>
  <c r="U2" i="5"/>
  <c r="S2" i="5"/>
  <c r="Q2" i="5"/>
  <c r="AA21" i="3"/>
  <c r="Y21" i="3"/>
  <c r="W21" i="3"/>
  <c r="U21" i="3"/>
  <c r="S21" i="3"/>
  <c r="Q21" i="3"/>
  <c r="AA20" i="3"/>
  <c r="Y20" i="3"/>
  <c r="W20" i="3"/>
  <c r="U20" i="3"/>
  <c r="S20" i="3"/>
  <c r="Q20" i="3"/>
  <c r="AA19" i="3"/>
  <c r="Y19" i="3"/>
  <c r="W19" i="3"/>
  <c r="U19" i="3"/>
  <c r="S19" i="3"/>
  <c r="Q19" i="3"/>
  <c r="AA18" i="3"/>
  <c r="Y18" i="3"/>
  <c r="W18" i="3"/>
  <c r="U18" i="3"/>
  <c r="S18" i="3"/>
  <c r="Q18" i="3"/>
  <c r="AK17" i="3"/>
  <c r="AR17" i="3"/>
  <c r="AJ17" i="3"/>
  <c r="AQ17" i="3"/>
  <c r="AI17" i="3"/>
  <c r="AP17" i="3"/>
  <c r="AH17" i="3"/>
  <c r="AO17" i="3"/>
  <c r="AG17" i="3"/>
  <c r="AN17" i="3"/>
  <c r="AF17" i="3"/>
  <c r="AM17" i="3"/>
  <c r="AS17" i="3"/>
  <c r="AE17" i="3"/>
  <c r="AL17" i="3"/>
  <c r="AA17" i="3"/>
  <c r="Y17" i="3"/>
  <c r="W17" i="3"/>
  <c r="U17" i="3"/>
  <c r="S17" i="3"/>
  <c r="Q17" i="3"/>
  <c r="AK16" i="3"/>
  <c r="AR16" i="3"/>
  <c r="AJ16" i="3"/>
  <c r="AQ16" i="3"/>
  <c r="AI16" i="3"/>
  <c r="AP16" i="3"/>
  <c r="AH16" i="3"/>
  <c r="AO16" i="3"/>
  <c r="AG16" i="3"/>
  <c r="AN16" i="3"/>
  <c r="AF16" i="3"/>
  <c r="AM16" i="3"/>
  <c r="AS16" i="3"/>
  <c r="AE16" i="3"/>
  <c r="AL16" i="3"/>
  <c r="AA16" i="3"/>
  <c r="Y16" i="3"/>
  <c r="W16" i="3"/>
  <c r="U16" i="3"/>
  <c r="S16" i="3"/>
  <c r="Q16" i="3"/>
  <c r="AK15" i="3"/>
  <c r="AR15" i="3"/>
  <c r="AJ15" i="3"/>
  <c r="AQ15" i="3"/>
  <c r="AI15" i="3"/>
  <c r="AP15" i="3"/>
  <c r="AH15" i="3"/>
  <c r="AO15" i="3"/>
  <c r="AG15" i="3"/>
  <c r="AN15" i="3"/>
  <c r="AF15" i="3"/>
  <c r="AM15" i="3"/>
  <c r="AS15" i="3"/>
  <c r="AE15" i="3"/>
  <c r="AL15" i="3"/>
  <c r="AA15" i="3"/>
  <c r="Y15" i="3"/>
  <c r="W15" i="3"/>
  <c r="U15" i="3"/>
  <c r="S15" i="3"/>
  <c r="Q15" i="3"/>
  <c r="AK14" i="3"/>
  <c r="AR14" i="3"/>
  <c r="AJ14" i="3"/>
  <c r="AQ14" i="3"/>
  <c r="AI14" i="3"/>
  <c r="AP14" i="3"/>
  <c r="AH14" i="3"/>
  <c r="AO14" i="3"/>
  <c r="AG14" i="3"/>
  <c r="AN14" i="3"/>
  <c r="AF14" i="3"/>
  <c r="AM14" i="3"/>
  <c r="AS14" i="3"/>
  <c r="AE14" i="3"/>
  <c r="AL14" i="3"/>
  <c r="AA14" i="3"/>
  <c r="Y14" i="3"/>
  <c r="W14" i="3"/>
  <c r="U14" i="3"/>
  <c r="S14" i="3"/>
  <c r="Q14" i="3"/>
  <c r="AK13" i="3"/>
  <c r="AR13" i="3"/>
  <c r="AJ13" i="3"/>
  <c r="AQ13" i="3"/>
  <c r="AI13" i="3"/>
  <c r="AP13" i="3"/>
  <c r="AH13" i="3"/>
  <c r="AO13" i="3"/>
  <c r="AG13" i="3"/>
  <c r="AN13" i="3"/>
  <c r="AF13" i="3"/>
  <c r="AM13" i="3"/>
  <c r="AS13" i="3"/>
  <c r="AE13" i="3"/>
  <c r="AL13" i="3"/>
  <c r="AA13" i="3"/>
  <c r="Y13" i="3"/>
  <c r="W13" i="3"/>
  <c r="U13" i="3"/>
  <c r="S13" i="3"/>
  <c r="Q13" i="3"/>
  <c r="AK12" i="3"/>
  <c r="AR12" i="3"/>
  <c r="AJ12" i="3"/>
  <c r="AQ12" i="3"/>
  <c r="AI12" i="3"/>
  <c r="AP12" i="3"/>
  <c r="AH12" i="3"/>
  <c r="AO12" i="3"/>
  <c r="AG12" i="3"/>
  <c r="AN12" i="3"/>
  <c r="AF12" i="3"/>
  <c r="AM12" i="3"/>
  <c r="AS12" i="3"/>
  <c r="AE12" i="3"/>
  <c r="AL12" i="3"/>
  <c r="AA12" i="3"/>
  <c r="Y12" i="3"/>
  <c r="W12" i="3"/>
  <c r="U12" i="3"/>
  <c r="S12" i="3"/>
  <c r="Q12" i="3"/>
  <c r="AK11" i="3"/>
  <c r="AR11" i="3"/>
  <c r="AJ11" i="3"/>
  <c r="AQ11" i="3"/>
  <c r="AI11" i="3"/>
  <c r="AP11" i="3"/>
  <c r="AH11" i="3"/>
  <c r="AO11" i="3"/>
  <c r="AG11" i="3"/>
  <c r="AN11" i="3"/>
  <c r="AF11" i="3"/>
  <c r="AM11" i="3"/>
  <c r="AS11" i="3"/>
  <c r="AE11" i="3"/>
  <c r="AL11" i="3"/>
  <c r="AA11" i="3"/>
  <c r="Y11" i="3"/>
  <c r="W11" i="3"/>
  <c r="U11" i="3"/>
  <c r="S11" i="3"/>
  <c r="Q11" i="3"/>
  <c r="AK10" i="3"/>
  <c r="AR10" i="3"/>
  <c r="AJ10" i="3"/>
  <c r="AQ10" i="3"/>
  <c r="AI10" i="3"/>
  <c r="AP10" i="3"/>
  <c r="AH10" i="3"/>
  <c r="AO10" i="3"/>
  <c r="AG10" i="3"/>
  <c r="AN10" i="3"/>
  <c r="AF10" i="3"/>
  <c r="AM10" i="3"/>
  <c r="AS10" i="3"/>
  <c r="AE10" i="3"/>
  <c r="AL10" i="3"/>
  <c r="AA10" i="3"/>
  <c r="Y10" i="3"/>
  <c r="W10" i="3"/>
  <c r="U10" i="3"/>
  <c r="S10" i="3"/>
  <c r="Q10" i="3"/>
  <c r="AK9" i="3"/>
  <c r="AR9" i="3"/>
  <c r="AJ9" i="3"/>
  <c r="AQ9" i="3"/>
  <c r="AI9" i="3"/>
  <c r="AP9" i="3"/>
  <c r="AH9" i="3"/>
  <c r="AO9" i="3"/>
  <c r="AG9" i="3"/>
  <c r="AN9" i="3"/>
  <c r="AF9" i="3"/>
  <c r="AM9" i="3"/>
  <c r="AS9" i="3"/>
  <c r="AE9" i="3"/>
  <c r="AL9" i="3"/>
  <c r="AA9" i="3"/>
  <c r="Y9" i="3"/>
  <c r="W9" i="3"/>
  <c r="U9" i="3"/>
  <c r="S9" i="3"/>
  <c r="Q9" i="3"/>
  <c r="AK8" i="3"/>
  <c r="AR8" i="3"/>
  <c r="AJ8" i="3"/>
  <c r="AQ8" i="3"/>
  <c r="AI8" i="3"/>
  <c r="AP8" i="3"/>
  <c r="AH8" i="3"/>
  <c r="AO8" i="3"/>
  <c r="AG8" i="3"/>
  <c r="AN8" i="3"/>
  <c r="AF8" i="3"/>
  <c r="AM8" i="3"/>
  <c r="AS8" i="3"/>
  <c r="AE8" i="3"/>
  <c r="AL8" i="3"/>
  <c r="AK7" i="3"/>
  <c r="AR7" i="3"/>
  <c r="AJ7" i="3"/>
  <c r="AQ7" i="3"/>
  <c r="AI7" i="3"/>
  <c r="AP7" i="3"/>
  <c r="AH7" i="3"/>
  <c r="AO7" i="3"/>
  <c r="AG7" i="3"/>
  <c r="AN7" i="3"/>
  <c r="AF7" i="3"/>
  <c r="AM7" i="3"/>
  <c r="AS7" i="3"/>
  <c r="AE7" i="3"/>
  <c r="AL7" i="3"/>
  <c r="AK6" i="3"/>
  <c r="AR6" i="3"/>
  <c r="AJ6" i="3"/>
  <c r="AQ6" i="3"/>
  <c r="AI6" i="3"/>
  <c r="AP6" i="3"/>
  <c r="AH6" i="3"/>
  <c r="AO6" i="3"/>
  <c r="AG6" i="3"/>
  <c r="AN6" i="3"/>
  <c r="AF6" i="3"/>
  <c r="AM6" i="3"/>
  <c r="AS6" i="3"/>
  <c r="AE6" i="3"/>
  <c r="AL6" i="3"/>
  <c r="AK5" i="3"/>
  <c r="AR5" i="3"/>
  <c r="AJ5" i="3"/>
  <c r="AQ5" i="3"/>
  <c r="AI5" i="3"/>
  <c r="AP5" i="3"/>
  <c r="AH5" i="3"/>
  <c r="AO5" i="3"/>
  <c r="AG5" i="3"/>
  <c r="AN5" i="3"/>
  <c r="AF5" i="3"/>
  <c r="AM5" i="3"/>
  <c r="AS5" i="3"/>
  <c r="B4" i="3"/>
  <c r="AE5" i="3"/>
  <c r="AL5" i="3"/>
  <c r="AR3" i="3"/>
  <c r="AP3" i="3"/>
  <c r="AO3" i="3"/>
  <c r="AN3" i="3"/>
  <c r="AM3" i="3"/>
  <c r="AA2" i="3"/>
  <c r="Y2" i="3"/>
  <c r="W2" i="3"/>
  <c r="U2" i="3"/>
  <c r="S2" i="3"/>
  <c r="Q2" i="3"/>
  <c r="AM3" i="2"/>
  <c r="AF5" i="2"/>
  <c r="AF6" i="2"/>
  <c r="AF7" i="2"/>
  <c r="AF8" i="2"/>
  <c r="AF9" i="2"/>
  <c r="AF10" i="2"/>
  <c r="AF11" i="2"/>
  <c r="AF12" i="2"/>
  <c r="AF13" i="2"/>
  <c r="AF14" i="2"/>
  <c r="AF15" i="2"/>
  <c r="AF16" i="2"/>
  <c r="AF17" i="2"/>
  <c r="AM6" i="2"/>
  <c r="AM7" i="2"/>
  <c r="AM8" i="2"/>
  <c r="AM9" i="2"/>
  <c r="AM10" i="2"/>
  <c r="AM11" i="2"/>
  <c r="AM12" i="2"/>
  <c r="AM13" i="2"/>
  <c r="AM14" i="2"/>
  <c r="AM15" i="2"/>
  <c r="AM16" i="2"/>
  <c r="AM17" i="2"/>
  <c r="AM5" i="2"/>
  <c r="Q10" i="2"/>
  <c r="C4" i="6"/>
  <c r="C17" i="6" s="1"/>
  <c r="Q11" i="2"/>
  <c r="C5" i="6"/>
  <c r="C18" i="6" s="1"/>
  <c r="Q12" i="2"/>
  <c r="C6" i="6"/>
  <c r="C19" i="6" s="1"/>
  <c r="Q13" i="2"/>
  <c r="C7" i="6"/>
  <c r="C20" i="6" s="1"/>
  <c r="Q14" i="2"/>
  <c r="C8" i="6"/>
  <c r="C21" i="6" s="1"/>
  <c r="Q15" i="2"/>
  <c r="C9" i="6"/>
  <c r="C22" i="6" s="1"/>
  <c r="Q16" i="2"/>
  <c r="C10" i="6"/>
  <c r="C23" i="6" s="1"/>
  <c r="Q17" i="2"/>
  <c r="C11" i="6"/>
  <c r="C24" i="6" s="1"/>
  <c r="Q18" i="2"/>
  <c r="C12" i="6"/>
  <c r="C25" i="6" s="1"/>
  <c r="Q19" i="2"/>
  <c r="C13" i="6"/>
  <c r="C26" i="6" s="1"/>
  <c r="Q20" i="2"/>
  <c r="C14" i="6"/>
  <c r="C27" i="6" s="1"/>
  <c r="Q21" i="2"/>
  <c r="C15" i="6"/>
  <c r="C28" i="6" s="1"/>
  <c r="Q9" i="2"/>
  <c r="C3" i="6"/>
  <c r="C16" i="6" s="1"/>
  <c r="Q2" i="2"/>
  <c r="AR3" i="2"/>
  <c r="AP3" i="2"/>
  <c r="AO3" i="2"/>
  <c r="AN3" i="2"/>
  <c r="B4" i="2"/>
  <c r="S2" i="2"/>
  <c r="U2" i="2"/>
  <c r="W2" i="2"/>
  <c r="Y2" i="2"/>
  <c r="AA10" i="2"/>
  <c r="M4" i="6" s="1"/>
  <c r="AA11" i="2"/>
  <c r="M5" i="6" s="1"/>
  <c r="AA12" i="2"/>
  <c r="M6" i="6" s="1"/>
  <c r="AA13" i="2"/>
  <c r="M7" i="6" s="1"/>
  <c r="AA14" i="2"/>
  <c r="M8" i="6" s="1"/>
  <c r="AA15" i="2"/>
  <c r="M9" i="6" s="1"/>
  <c r="AA16" i="2"/>
  <c r="M10" i="6" s="1"/>
  <c r="AA17" i="2"/>
  <c r="M11" i="6" s="1"/>
  <c r="AA18" i="2"/>
  <c r="M12" i="6" s="1"/>
  <c r="AA19" i="2"/>
  <c r="M13" i="6" s="1"/>
  <c r="AA20" i="2"/>
  <c r="M14" i="6" s="1"/>
  <c r="AA21" i="2"/>
  <c r="M15" i="6" s="1"/>
  <c r="AA9" i="2"/>
  <c r="M3" i="6" s="1"/>
  <c r="Y10" i="2"/>
  <c r="K4" i="6"/>
  <c r="K17" i="6" s="1"/>
  <c r="K30" i="6" s="1"/>
  <c r="Y11" i="2"/>
  <c r="K5" i="6"/>
  <c r="K18" i="6" s="1"/>
  <c r="K31" i="6" s="1"/>
  <c r="Y12" i="2"/>
  <c r="K6" i="6"/>
  <c r="K19" i="6" s="1"/>
  <c r="K32" i="6" s="1"/>
  <c r="Y13" i="2"/>
  <c r="K7" i="6"/>
  <c r="K20" i="6" s="1"/>
  <c r="K33" i="6" s="1"/>
  <c r="Y14" i="2"/>
  <c r="K8" i="6"/>
  <c r="K21" i="6" s="1"/>
  <c r="K34" i="6" s="1"/>
  <c r="Y15" i="2"/>
  <c r="K9" i="6"/>
  <c r="K22" i="6" s="1"/>
  <c r="K35" i="6" s="1"/>
  <c r="Y16" i="2"/>
  <c r="K10" i="6"/>
  <c r="K23" i="6" s="1"/>
  <c r="K36" i="6" s="1"/>
  <c r="Y17" i="2"/>
  <c r="K11" i="6"/>
  <c r="K24" i="6" s="1"/>
  <c r="K37" i="6" s="1"/>
  <c r="Y18" i="2"/>
  <c r="K12" i="6"/>
  <c r="K25" i="6" s="1"/>
  <c r="K38" i="6" s="1"/>
  <c r="Y19" i="2"/>
  <c r="K13" i="6"/>
  <c r="K26" i="6" s="1"/>
  <c r="K39" i="6" s="1"/>
  <c r="Y20" i="2"/>
  <c r="K14" i="6"/>
  <c r="K27" i="6" s="1"/>
  <c r="K40" i="6" s="1"/>
  <c r="Y21" i="2"/>
  <c r="K15" i="6"/>
  <c r="K28" i="6" s="1"/>
  <c r="K41" i="6" s="1"/>
  <c r="Y9" i="2"/>
  <c r="K3" i="6"/>
  <c r="K16" i="6" s="1"/>
  <c r="K29" i="6" s="1"/>
  <c r="W10" i="2"/>
  <c r="I4" i="6"/>
  <c r="I17" i="6" s="1"/>
  <c r="I30" i="6" s="1"/>
  <c r="W11" i="2"/>
  <c r="I5" i="6"/>
  <c r="I18" i="6" s="1"/>
  <c r="I31" i="6" s="1"/>
  <c r="W12" i="2"/>
  <c r="I6" i="6"/>
  <c r="I19" i="6" s="1"/>
  <c r="I32" i="6" s="1"/>
  <c r="W13" i="2"/>
  <c r="I7" i="6"/>
  <c r="I20" i="6" s="1"/>
  <c r="I33" i="6" s="1"/>
  <c r="W14" i="2"/>
  <c r="I8" i="6"/>
  <c r="I21" i="6" s="1"/>
  <c r="I34" i="6" s="1"/>
  <c r="W15" i="2"/>
  <c r="I9" i="6"/>
  <c r="I22" i="6" s="1"/>
  <c r="I35" i="6" s="1"/>
  <c r="W16" i="2"/>
  <c r="I10" i="6"/>
  <c r="I23" i="6" s="1"/>
  <c r="I36" i="6" s="1"/>
  <c r="W17" i="2"/>
  <c r="I11" i="6"/>
  <c r="I24" i="6" s="1"/>
  <c r="I37" i="6" s="1"/>
  <c r="W18" i="2"/>
  <c r="I12" i="6"/>
  <c r="I25" i="6" s="1"/>
  <c r="I38" i="6" s="1"/>
  <c r="W19" i="2"/>
  <c r="I13" i="6"/>
  <c r="I26" i="6" s="1"/>
  <c r="I39" i="6" s="1"/>
  <c r="W20" i="2"/>
  <c r="I14" i="6"/>
  <c r="I27" i="6" s="1"/>
  <c r="I40" i="6" s="1"/>
  <c r="W21" i="2"/>
  <c r="I15" i="6"/>
  <c r="I28" i="6" s="1"/>
  <c r="I41" i="6" s="1"/>
  <c r="W9" i="2"/>
  <c r="I3" i="6"/>
  <c r="I16" i="6" s="1"/>
  <c r="I29" i="6" s="1"/>
  <c r="U10" i="2"/>
  <c r="G4" i="6"/>
  <c r="G17" i="6" s="1"/>
  <c r="G30" i="6" s="1"/>
  <c r="U11" i="2"/>
  <c r="G5" i="6"/>
  <c r="G18" i="6" s="1"/>
  <c r="G31" i="6" s="1"/>
  <c r="U12" i="2"/>
  <c r="G6" i="6"/>
  <c r="G19" i="6" s="1"/>
  <c r="G32" i="6" s="1"/>
  <c r="U13" i="2"/>
  <c r="G7" i="6"/>
  <c r="G20" i="6" s="1"/>
  <c r="G33" i="6" s="1"/>
  <c r="U14" i="2"/>
  <c r="G8" i="6"/>
  <c r="G21" i="6" s="1"/>
  <c r="G34" i="6" s="1"/>
  <c r="U15" i="2"/>
  <c r="G9" i="6"/>
  <c r="G22" i="6" s="1"/>
  <c r="G35" i="6" s="1"/>
  <c r="U16" i="2"/>
  <c r="G10" i="6"/>
  <c r="G23" i="6" s="1"/>
  <c r="G36" i="6" s="1"/>
  <c r="U17" i="2"/>
  <c r="G11" i="6"/>
  <c r="G24" i="6" s="1"/>
  <c r="G37" i="6" s="1"/>
  <c r="U18" i="2"/>
  <c r="G12" i="6"/>
  <c r="G25" i="6" s="1"/>
  <c r="G38" i="6" s="1"/>
  <c r="U19" i="2"/>
  <c r="G13" i="6"/>
  <c r="G26" i="6" s="1"/>
  <c r="G39" i="6" s="1"/>
  <c r="U20" i="2"/>
  <c r="G14" i="6"/>
  <c r="G27" i="6" s="1"/>
  <c r="G40" i="6" s="1"/>
  <c r="U21" i="2"/>
  <c r="G15" i="6"/>
  <c r="G28" i="6" s="1"/>
  <c r="G41" i="6" s="1"/>
  <c r="U9" i="2"/>
  <c r="G3" i="6"/>
  <c r="G16" i="6" s="1"/>
  <c r="G29" i="6" s="1"/>
  <c r="S12" i="2"/>
  <c r="E6" i="6"/>
  <c r="E19" i="6" s="1"/>
  <c r="E32" i="6" s="1"/>
  <c r="S13" i="2"/>
  <c r="E7" i="6"/>
  <c r="E20" i="6" s="1"/>
  <c r="E33" i="6" s="1"/>
  <c r="S14" i="2"/>
  <c r="E8" i="6"/>
  <c r="E21" i="6" s="1"/>
  <c r="E34" i="6" s="1"/>
  <c r="S15" i="2"/>
  <c r="E9" i="6"/>
  <c r="E22" i="6" s="1"/>
  <c r="E35" i="6" s="1"/>
  <c r="S16" i="2"/>
  <c r="E10" i="6"/>
  <c r="E23" i="6" s="1"/>
  <c r="E36" i="6" s="1"/>
  <c r="S17" i="2"/>
  <c r="E11" i="6"/>
  <c r="E24" i="6" s="1"/>
  <c r="E37" i="6" s="1"/>
  <c r="S18" i="2"/>
  <c r="E12" i="6"/>
  <c r="E25" i="6" s="1"/>
  <c r="E38" i="6" s="1"/>
  <c r="S19" i="2"/>
  <c r="E13" i="6"/>
  <c r="E26" i="6" s="1"/>
  <c r="E39" i="6" s="1"/>
  <c r="S20" i="2"/>
  <c r="E14" i="6"/>
  <c r="E27" i="6" s="1"/>
  <c r="E40" i="6" s="1"/>
  <c r="S21" i="2"/>
  <c r="E15" i="6"/>
  <c r="E28" i="6" s="1"/>
  <c r="E41" i="6" s="1"/>
  <c r="S9" i="2"/>
  <c r="E3" i="6"/>
  <c r="E16" i="6" s="1"/>
  <c r="E29" i="6" s="1"/>
  <c r="S11" i="2"/>
  <c r="E5" i="6"/>
  <c r="E18" i="6" s="1"/>
  <c r="E31" i="6" s="1"/>
  <c r="S10" i="2"/>
  <c r="E4" i="6"/>
  <c r="E17" i="6" s="1"/>
  <c r="E30" i="6" s="1"/>
  <c r="AK5" i="2"/>
  <c r="AR5" i="2"/>
  <c r="AK6" i="2"/>
  <c r="AR6" i="2"/>
  <c r="AK7" i="2"/>
  <c r="AR7" i="2"/>
  <c r="AK8" i="2"/>
  <c r="AR8" i="2"/>
  <c r="AK9" i="2"/>
  <c r="AR9" i="2"/>
  <c r="AK10" i="2"/>
  <c r="AR10" i="2"/>
  <c r="AK11" i="2"/>
  <c r="AR11" i="2"/>
  <c r="AK12" i="2"/>
  <c r="AR12" i="2"/>
  <c r="AK13" i="2"/>
  <c r="AR13" i="2"/>
  <c r="AK14" i="2"/>
  <c r="AR14" i="2"/>
  <c r="AK15" i="2"/>
  <c r="AR15" i="2"/>
  <c r="AK16" i="2"/>
  <c r="AR16" i="2"/>
  <c r="AK17" i="2"/>
  <c r="AR17" i="2"/>
  <c r="AH5" i="2"/>
  <c r="AI5" i="2"/>
  <c r="AP5" i="2"/>
  <c r="AJ5" i="2"/>
  <c r="AQ5" i="2"/>
  <c r="AH6" i="2"/>
  <c r="AO6" i="2"/>
  <c r="AI6" i="2"/>
  <c r="AP6" i="2"/>
  <c r="AJ6" i="2"/>
  <c r="AQ6" i="2"/>
  <c r="AH7" i="2"/>
  <c r="AO7" i="2"/>
  <c r="AI7" i="2"/>
  <c r="AP7" i="2"/>
  <c r="AJ7" i="2"/>
  <c r="AQ7" i="2"/>
  <c r="AH8" i="2"/>
  <c r="AO8" i="2"/>
  <c r="AI8" i="2"/>
  <c r="AP8" i="2"/>
  <c r="AJ8" i="2"/>
  <c r="AQ8" i="2"/>
  <c r="AH9" i="2"/>
  <c r="AO9" i="2"/>
  <c r="AI9" i="2"/>
  <c r="AP9" i="2"/>
  <c r="AJ9" i="2"/>
  <c r="AQ9" i="2"/>
  <c r="AH10" i="2"/>
  <c r="AI10" i="2"/>
  <c r="AP10" i="2"/>
  <c r="AJ10" i="2"/>
  <c r="AQ10" i="2"/>
  <c r="AH11" i="2"/>
  <c r="AI11" i="2"/>
  <c r="AP11" i="2"/>
  <c r="AJ11" i="2"/>
  <c r="AQ11" i="2"/>
  <c r="AH12" i="2"/>
  <c r="AI12" i="2"/>
  <c r="AP12" i="2"/>
  <c r="AJ12" i="2"/>
  <c r="AQ12" i="2"/>
  <c r="AH13" i="2"/>
  <c r="AI13" i="2"/>
  <c r="AP13" i="2"/>
  <c r="AJ13" i="2"/>
  <c r="AQ13" i="2"/>
  <c r="AH14" i="2"/>
  <c r="AO14" i="2"/>
  <c r="AI14" i="2"/>
  <c r="AP14" i="2"/>
  <c r="AJ14" i="2"/>
  <c r="AQ14" i="2"/>
  <c r="AH15" i="2"/>
  <c r="AI15" i="2"/>
  <c r="AP15" i="2"/>
  <c r="AJ15" i="2"/>
  <c r="AQ15" i="2"/>
  <c r="AH16" i="2"/>
  <c r="AI16" i="2"/>
  <c r="AP16" i="2"/>
  <c r="AJ16" i="2"/>
  <c r="AQ16" i="2"/>
  <c r="AH17" i="2"/>
  <c r="AI17" i="2"/>
  <c r="AP17" i="2"/>
  <c r="AJ17" i="2"/>
  <c r="AQ17" i="2"/>
  <c r="AG5" i="2"/>
  <c r="AN5" i="2"/>
  <c r="AG6" i="2"/>
  <c r="AN6" i="2"/>
  <c r="AG7" i="2"/>
  <c r="AN7" i="2"/>
  <c r="AG8" i="2"/>
  <c r="AN8" i="2"/>
  <c r="AG9" i="2"/>
  <c r="AN9" i="2"/>
  <c r="AG10" i="2"/>
  <c r="AN10" i="2"/>
  <c r="AG11" i="2"/>
  <c r="AN11" i="2"/>
  <c r="AG12" i="2"/>
  <c r="AN12" i="2"/>
  <c r="AG13" i="2"/>
  <c r="AN13" i="2"/>
  <c r="AG14" i="2"/>
  <c r="AN14" i="2"/>
  <c r="AG15" i="2"/>
  <c r="AN15" i="2"/>
  <c r="AG16" i="2"/>
  <c r="AN16" i="2"/>
  <c r="AG17" i="2"/>
  <c r="AN17" i="2"/>
  <c r="AE17" i="2"/>
  <c r="AL17" i="2"/>
  <c r="AE16" i="2"/>
  <c r="AL16" i="2"/>
  <c r="AE15" i="2"/>
  <c r="AL15" i="2"/>
  <c r="AE14" i="2"/>
  <c r="AL14" i="2"/>
  <c r="AE13" i="2"/>
  <c r="AL13" i="2"/>
  <c r="AE12" i="2"/>
  <c r="AL12" i="2"/>
  <c r="AE11" i="2"/>
  <c r="AL11" i="2"/>
  <c r="AE10" i="2"/>
  <c r="AL10" i="2"/>
  <c r="AE9" i="2"/>
  <c r="AL9" i="2"/>
  <c r="AE8" i="2"/>
  <c r="AL8" i="2"/>
  <c r="AE7" i="2"/>
  <c r="AL7" i="2"/>
  <c r="AE6" i="2"/>
  <c r="AL6" i="2"/>
  <c r="AE5" i="2"/>
  <c r="AL5" i="2"/>
  <c r="AA2" i="2"/>
  <c r="Z5" i="16"/>
  <c r="Y6" i="16"/>
  <c r="AC5" i="16"/>
  <c r="AA5" i="16"/>
  <c r="AF5" i="16"/>
  <c r="X6" i="16"/>
  <c r="X7" i="16"/>
  <c r="X8" i="16"/>
  <c r="X9" i="16"/>
  <c r="Z5" i="15"/>
  <c r="Y6" i="15"/>
  <c r="AC5" i="15"/>
  <c r="AA5" i="15"/>
  <c r="AF5" i="15"/>
  <c r="X6" i="15"/>
  <c r="X7" i="15"/>
  <c r="X8" i="15"/>
  <c r="X9" i="15"/>
  <c r="Y3" i="14"/>
  <c r="X4" i="14"/>
  <c r="AB3" i="14"/>
  <c r="W4" i="14"/>
  <c r="W5" i="14"/>
  <c r="W6" i="14"/>
  <c r="W7" i="14"/>
  <c r="N14" i="8"/>
  <c r="Y5" i="8"/>
  <c r="X5" i="8"/>
  <c r="W3" i="7"/>
  <c r="W4" i="7"/>
  <c r="X4" i="7"/>
  <c r="X5" i="7"/>
  <c r="W5" i="7"/>
  <c r="V4" i="11"/>
  <c r="U4" i="11"/>
  <c r="U5" i="11"/>
  <c r="U6" i="11"/>
  <c r="U7" i="11"/>
  <c r="V4" i="10"/>
  <c r="U4" i="10"/>
  <c r="U5" i="10"/>
  <c r="U6" i="10"/>
  <c r="U7" i="10"/>
  <c r="V4" i="9"/>
  <c r="U4" i="9"/>
  <c r="U5" i="9"/>
  <c r="U6" i="9"/>
  <c r="U7" i="9"/>
  <c r="G26" i="4"/>
  <c r="AT17" i="5"/>
  <c r="AT16" i="5"/>
  <c r="AT15" i="5"/>
  <c r="AT14" i="5"/>
  <c r="AT13" i="5"/>
  <c r="AT12" i="5"/>
  <c r="AT11" i="5"/>
  <c r="AT10" i="5"/>
  <c r="AT9" i="5"/>
  <c r="AT8" i="5"/>
  <c r="AT7" i="5"/>
  <c r="AT6" i="5"/>
  <c r="AT5" i="5"/>
  <c r="AT17" i="3"/>
  <c r="AT16" i="3"/>
  <c r="AT15" i="3"/>
  <c r="AT14" i="3"/>
  <c r="AT13" i="3"/>
  <c r="AT12" i="3"/>
  <c r="AT11" i="3"/>
  <c r="AT10" i="3"/>
  <c r="AT9" i="3"/>
  <c r="AT8" i="3"/>
  <c r="AT7" i="3"/>
  <c r="AT6" i="3"/>
  <c r="AT5" i="3"/>
  <c r="AS14" i="2"/>
  <c r="AS9" i="2"/>
  <c r="AS8" i="2"/>
  <c r="AS7" i="2"/>
  <c r="AS6" i="2"/>
  <c r="AT6" i="2"/>
  <c r="AT7" i="2"/>
  <c r="AT8" i="2"/>
  <c r="AT9" i="2"/>
  <c r="AT14" i="2"/>
  <c r="AO17" i="2"/>
  <c r="AS17" i="2"/>
  <c r="AO16" i="2"/>
  <c r="AS16" i="2"/>
  <c r="AO15" i="2"/>
  <c r="AS15" i="2"/>
  <c r="AO13" i="2"/>
  <c r="AS13" i="2"/>
  <c r="AO12" i="2"/>
  <c r="AS12" i="2"/>
  <c r="AO11" i="2"/>
  <c r="AS11" i="2"/>
  <c r="AO10" i="2"/>
  <c r="AS10" i="2"/>
  <c r="AO5" i="2"/>
  <c r="AS5" i="2"/>
  <c r="Z9" i="16"/>
  <c r="AE9" i="16"/>
  <c r="T9" i="16"/>
  <c r="S9" i="16"/>
  <c r="Z8" i="16"/>
  <c r="AE8" i="16"/>
  <c r="T8" i="16"/>
  <c r="S8" i="16"/>
  <c r="Z7" i="16"/>
  <c r="AE7" i="16"/>
  <c r="T7" i="16"/>
  <c r="S7" i="16"/>
  <c r="Z6" i="16"/>
  <c r="AE6" i="16"/>
  <c r="T6" i="16"/>
  <c r="S6" i="16"/>
  <c r="AD5" i="16"/>
  <c r="AC6" i="16"/>
  <c r="AA6" i="16"/>
  <c r="AF6" i="16"/>
  <c r="Y7" i="16"/>
  <c r="S5" i="16"/>
  <c r="AE5" i="16"/>
  <c r="Z9" i="15"/>
  <c r="AE9" i="15"/>
  <c r="T9" i="15"/>
  <c r="S9" i="15"/>
  <c r="Z8" i="15"/>
  <c r="AE8" i="15"/>
  <c r="T8" i="15"/>
  <c r="S8" i="15"/>
  <c r="Z7" i="15"/>
  <c r="AE7" i="15"/>
  <c r="T7" i="15"/>
  <c r="S7" i="15"/>
  <c r="Z6" i="15"/>
  <c r="AE6" i="15"/>
  <c r="T6" i="15"/>
  <c r="S6" i="15"/>
  <c r="AD5" i="15"/>
  <c r="AC6" i="15"/>
  <c r="AA6" i="15"/>
  <c r="AF6" i="15"/>
  <c r="Y7" i="15"/>
  <c r="S5" i="15"/>
  <c r="AE5" i="15"/>
  <c r="X6" i="8"/>
  <c r="T6" i="8"/>
  <c r="Z5" i="8"/>
  <c r="AE5" i="8"/>
  <c r="T5" i="8"/>
  <c r="S5" i="8"/>
  <c r="W8" i="14"/>
  <c r="W9" i="14"/>
  <c r="Y7" i="14"/>
  <c r="AD7" i="14"/>
  <c r="S7" i="14"/>
  <c r="R7" i="14"/>
  <c r="Y6" i="14"/>
  <c r="AD6" i="14"/>
  <c r="S6" i="14"/>
  <c r="R6" i="14"/>
  <c r="Y5" i="14"/>
  <c r="AD5" i="14"/>
  <c r="S5" i="14"/>
  <c r="R5" i="14"/>
  <c r="Y4" i="14"/>
  <c r="AD4" i="14"/>
  <c r="S4" i="14"/>
  <c r="R4" i="14"/>
  <c r="AC3" i="14"/>
  <c r="AE3" i="14"/>
  <c r="X5" i="14"/>
  <c r="AB4" i="14"/>
  <c r="Z4" i="14"/>
  <c r="R3" i="14"/>
  <c r="AD3" i="14"/>
  <c r="Y4" i="7"/>
  <c r="AD4" i="7"/>
  <c r="Y5" i="7"/>
  <c r="AD5" i="7"/>
  <c r="Y3" i="7"/>
  <c r="AD3" i="7"/>
  <c r="S3" i="7"/>
  <c r="S5" i="7"/>
  <c r="S4" i="7"/>
  <c r="X7" i="8"/>
  <c r="X8" i="8"/>
  <c r="X9" i="8"/>
  <c r="Y6" i="8"/>
  <c r="R3" i="7"/>
  <c r="X6" i="7"/>
  <c r="W6" i="7"/>
  <c r="U8" i="11"/>
  <c r="V5" i="11"/>
  <c r="U8" i="10"/>
  <c r="V5" i="10"/>
  <c r="U8" i="9"/>
  <c r="V5" i="9"/>
  <c r="AT5" i="2"/>
  <c r="AT10" i="2"/>
  <c r="AT11" i="2"/>
  <c r="AT12" i="2"/>
  <c r="AT13" i="2"/>
  <c r="AT15" i="2"/>
  <c r="AT16" i="2"/>
  <c r="AT17" i="2"/>
  <c r="AC7" i="16"/>
  <c r="AA7" i="16"/>
  <c r="AF7" i="16"/>
  <c r="Y8" i="16"/>
  <c r="AD6" i="16"/>
  <c r="AC7" i="15"/>
  <c r="AA7" i="15"/>
  <c r="AF7" i="15"/>
  <c r="Y8" i="15"/>
  <c r="AD6" i="15"/>
  <c r="Z9" i="8"/>
  <c r="AE9" i="8"/>
  <c r="T9" i="8"/>
  <c r="S9" i="8"/>
  <c r="Z8" i="8"/>
  <c r="AE8" i="8"/>
  <c r="T8" i="8"/>
  <c r="S8" i="8"/>
  <c r="Z7" i="8"/>
  <c r="AE7" i="8"/>
  <c r="T7" i="8"/>
  <c r="S7" i="8"/>
  <c r="Z6" i="8"/>
  <c r="S6" i="8"/>
  <c r="AE6" i="8"/>
  <c r="AC4" i="14"/>
  <c r="AE4" i="14"/>
  <c r="X6" i="14"/>
  <c r="AB5" i="14"/>
  <c r="Z5" i="14"/>
  <c r="Y6" i="7"/>
  <c r="AD6" i="7"/>
  <c r="S6" i="7"/>
  <c r="Y7" i="8"/>
  <c r="R4" i="7"/>
  <c r="R5" i="7"/>
  <c r="W7" i="7"/>
  <c r="X7" i="7"/>
  <c r="V6" i="11"/>
  <c r="V6" i="10"/>
  <c r="V6" i="9"/>
  <c r="W8" i="7"/>
  <c r="W9" i="7"/>
  <c r="AC8" i="16"/>
  <c r="AA8" i="16"/>
  <c r="AF8" i="16"/>
  <c r="Y9" i="16"/>
  <c r="AD7" i="16"/>
  <c r="AC8" i="15"/>
  <c r="AA8" i="15"/>
  <c r="AF8" i="15"/>
  <c r="Y9" i="15"/>
  <c r="AD7" i="15"/>
  <c r="AC5" i="14"/>
  <c r="AE5" i="14"/>
  <c r="X7" i="14"/>
  <c r="AB6" i="14"/>
  <c r="Z6" i="14"/>
  <c r="Y7" i="7"/>
  <c r="AD7" i="7"/>
  <c r="S7" i="7"/>
  <c r="Y8" i="8"/>
  <c r="R7" i="7"/>
  <c r="R6" i="7"/>
  <c r="V7" i="11"/>
  <c r="V8" i="11"/>
  <c r="W8" i="11"/>
  <c r="V7" i="10"/>
  <c r="V8" i="10"/>
  <c r="W8" i="10"/>
  <c r="V7" i="9"/>
  <c r="V8" i="9"/>
  <c r="W8" i="9"/>
  <c r="X8" i="7"/>
  <c r="AC9" i="16"/>
  <c r="AA9" i="16"/>
  <c r="AF9" i="16"/>
  <c r="AD8" i="16"/>
  <c r="AC9" i="15"/>
  <c r="AA9" i="15"/>
  <c r="AF9" i="15"/>
  <c r="AD8" i="15"/>
  <c r="AC6" i="14"/>
  <c r="AE6" i="14"/>
  <c r="X8" i="14"/>
  <c r="AB7" i="14"/>
  <c r="Z7" i="14"/>
  <c r="Y9" i="8"/>
  <c r="AD9" i="16"/>
  <c r="AD9" i="15"/>
  <c r="AC7" i="14"/>
  <c r="AE7" i="14"/>
  <c r="Z4" i="7" l="1"/>
  <c r="Z5" i="7"/>
  <c r="Z6" i="7"/>
  <c r="Z7" i="7"/>
  <c r="Z3" i="7"/>
  <c r="AB4" i="7"/>
  <c r="AB5" i="7"/>
  <c r="AB6" i="7"/>
  <c r="AB7" i="7"/>
  <c r="AB3" i="7"/>
  <c r="B41" i="6"/>
  <c r="B28" i="6"/>
  <c r="B40" i="6"/>
  <c r="B27" i="6"/>
  <c r="B39" i="6"/>
  <c r="B26" i="6"/>
  <c r="B38" i="6"/>
  <c r="B25" i="6"/>
  <c r="B37" i="6"/>
  <c r="B24" i="6"/>
  <c r="B36" i="6"/>
  <c r="B23" i="6"/>
  <c r="B35" i="6"/>
  <c r="B22" i="6"/>
  <c r="B34" i="6"/>
  <c r="B21" i="6"/>
  <c r="B33" i="6"/>
  <c r="B20" i="6"/>
  <c r="B32" i="6"/>
  <c r="B19" i="6"/>
  <c r="B31" i="6"/>
  <c r="B18" i="6"/>
  <c r="B30" i="6"/>
  <c r="B17" i="6"/>
  <c r="B29" i="6"/>
  <c r="B16" i="6"/>
  <c r="AC9" i="8"/>
  <c r="AA9" i="8"/>
  <c r="AF9" i="8" s="1"/>
  <c r="AC8" i="8"/>
  <c r="AA8" i="8"/>
  <c r="AF8" i="8" s="1"/>
  <c r="AC7" i="8"/>
  <c r="AA7" i="8"/>
  <c r="AF7" i="8" s="1"/>
  <c r="AC6" i="8"/>
  <c r="AA6" i="8"/>
  <c r="AF6" i="8" s="1"/>
  <c r="AC5" i="8"/>
  <c r="AA5" i="8"/>
  <c r="AF5" i="8" s="1"/>
  <c r="AC3" i="7" l="1"/>
  <c r="AE3" i="7"/>
  <c r="AC7" i="7"/>
  <c r="AE7" i="7"/>
  <c r="AC6" i="7"/>
  <c r="AE6" i="7"/>
  <c r="AC5" i="7"/>
  <c r="AE5" i="7"/>
  <c r="AC4" i="7"/>
  <c r="AE4" i="7"/>
  <c r="AD5" i="8"/>
  <c r="AD6" i="8"/>
  <c r="AD7" i="8"/>
  <c r="AD8" i="8"/>
  <c r="AD9" i="8"/>
</calcChain>
</file>

<file path=xl/sharedStrings.xml><?xml version="1.0" encoding="utf-8"?>
<sst xmlns="http://schemas.openxmlformats.org/spreadsheetml/2006/main" count="978" uniqueCount="309">
  <si>
    <t>S. No.</t>
  </si>
  <si>
    <t>Name</t>
  </si>
  <si>
    <t>Description</t>
  </si>
  <si>
    <t>Image (if Available)</t>
  </si>
  <si>
    <t>How to check feasibilty?</t>
  </si>
  <si>
    <t>Potential Problems/Issues</t>
  </si>
  <si>
    <t>Principles Involved</t>
  </si>
  <si>
    <t>Criterias for Comparison</t>
  </si>
  <si>
    <t>Controlled Net</t>
  </si>
  <si>
    <t>Square Net controlled by actuators and propulsion units placed on the corners. ​The net needs to be flexible enough to dampen the motion of the SD. A lot of close-proximity maneuvers would be required to carried out to mitigate the possibility of high energy collisions, which if occur may result in more SDs.</t>
  </si>
  <si>
    <t> </t>
  </si>
  <si>
    <t>Multiple on earth experiments and simulations have been carried out to showcase the viability of this method for a single target. For capturing multiple targets, a simulation seems as the best way to achieve or understand the dynamics of the problem. A net can be simulated with a mass already attached to the net.  But for a preliminary analysis on feasibility of the mission, existing ideal case scenarios can be extrapolated by assuming same mass gets attached to the net everytime and evaluating the requirements demanded from the propulsion units guiding the net.</t>
  </si>
  <si>
    <t>After capturing the first object techniques need to developed for it to stay stuck and not interfere extensively when capturing the next target.​</t>
  </si>
  <si>
    <t>Collision momentum transfer</t>
  </si>
  <si>
    <t>The breakdown to "principles involved" assumed that the rendezvous with multiple space debris would be similar for each of the methods.</t>
  </si>
  <si>
    <t>1) Involved Technology's Readiness. (complexity is also involved)</t>
  </si>
  <si>
    <t>Inflated Method</t>
  </si>
  <si>
    <t>Covering a SD with inflated material and increase the drag to area ratio such that the SDs all come down to the same orbit. With additional propulsion units these can be guided to move closer to each other. When nearby, they can be stuck together with a glue like substance which is prelayed on to the outer of the inflated surface or another unit of net can be deployed to capture all these objects together.</t>
  </si>
  <si>
    <t>Major feasibility study should be experimental for the sticking together part. If propulsion units are to be used to guide the infalted SDs together, again a preliminary feasibility can be judged in terms of power requirements from astrodynamical calulations</t>
  </si>
  <si>
    <t>High dependence of level of stickiness that can be achieved. Also the dynamics of the balloon has to be maintained very accurately to ensure that any other collision is non destructive.</t>
  </si>
  <si>
    <t xml:space="preserve">Adhesion forces required </t>
  </si>
  <si>
    <t>2) Versatility in terms of size of objects that can be captured. 3 bands small,medium and large.</t>
  </si>
  <si>
    <t>bands based on type of debris</t>
  </si>
  <si>
    <t>Foam Method</t>
  </si>
  <si>
    <t>A rendezvous unit goes close to a SD to then cover it with foam and change its area to drag ratio, same as inflated method. Same stratergy as inflate dmethod is used to generate the artificial lumps of masses.</t>
  </si>
  <si>
    <t>If it is assumed that foam can be succesfully formed, and propulsion units are used to guide the foamed SDs together, again a preliminary feasibility can be judged in terms of power requirements from astrodynamical calculations.</t>
  </si>
  <si>
    <t>TLR levels are very low for the formation of foam in vacuum conditions. Most reserahcers have either assumed a polymer based foam or have started with the assumption that foam can be somehow formed.</t>
  </si>
  <si>
    <t>Foaming in vaccum and adhesion forces required</t>
  </si>
  <si>
    <t>3) Energy requirements (apart from rendezvous requirements).3 bands small,medium and large.</t>
  </si>
  <si>
    <t>energy per unit mass</t>
  </si>
  <si>
    <t>"Adhesive" Method</t>
  </si>
  <si>
    <t>Based on Adhesive Method, proposed by Astroscale Singapore, a mothership carrying 6 de tumbling units sticks on to the debris.​ SDs can be guided towards together. Sticking together has to be achieved through other means such as use of nets or long term operable propulsion units need to be used for active control over time.</t>
  </si>
  <si>
    <t>Astrodynamic calculations to calculate the mission requirements and power usage can be carried to form comparable data. These calculations wiil involve similar route as the 2 methods mentioned above,</t>
  </si>
  <si>
    <t>Very accurate docking mechanisms for each SD rendezvous will demand either a human in the loop or a highly sophisticated non linear automated control algorithm.</t>
  </si>
  <si>
    <t>Momentum transfer between propulsive units and the targeted SD</t>
  </si>
  <si>
    <t>4) Risk involved especially the possibilty to generate more Space Debris.</t>
  </si>
  <si>
    <t>Tether + Adhesive Thread + Damper</t>
  </si>
  <si>
    <t>A tether moves out of the main unit to mechanicaly attach with the SD with other end attached to a damper system within the main unit. The damper will help in dissipating the energy of motion of SD. The tether can be lined with adhesive substance to help it spool and attach around the SD. The main unit can capture multiple SD and then when all the tethers have been utlized, it can start pulling them back in to attach the captured objects to main unit. Thus forming a lump of mass. This method can also provide extra control over the artificial moons as the main unit can thrusters can be sized or designed to be operable for specific durations.</t>
  </si>
  <si>
    <t>Theoretical assesments to understand what amounts of damping of motion is required in order to achieve control over worst state SDs.</t>
  </si>
  <si>
    <t>Potential damage to either the main unit or the SD if the tether attachment generates shock as dampinf starts.</t>
  </si>
  <si>
    <t>Momentum transfer between dampers on main units and the targeted SD</t>
  </si>
  <si>
    <t>5) Mass sent in space vs mass that can be repositioned</t>
  </si>
  <si>
    <t>infrastructure requirement</t>
  </si>
  <si>
    <t>Slingshot and Catch</t>
  </si>
  <si>
    <t>A unit with rotating arms which collide with the space debris and then slingshot it towards a net moving behind this unit. The slinshot action occurs when the arm rotates by 180 degrees. A sticky substance can be laid on the surface of the SD which helps in attachement with the net and other SDs as well.</t>
  </si>
  <si>
    <t>Ideal case simulations with multiple assumptions related to collision dynamics.</t>
  </si>
  <si>
    <t>No collision can be perfectly energy dissipating which is the most basic requirement of this method to avoid destructive collisons with both the slinshot arm and the catching net.</t>
  </si>
  <si>
    <t>Momentum transfer between main unit with slingshot mechanism and the targeted SD</t>
  </si>
  <si>
    <t xml:space="preserve">6) Number of SD that can be reoriented or captured </t>
  </si>
  <si>
    <t>maybe captured in previous criterias</t>
  </si>
  <si>
    <t>Magnetic</t>
  </si>
  <si>
    <t>A tether moves out of the main unit to attach with the SD with other end attached to a damper system within the main unit. The attaching end has either a magnetic coil or a permanent magnet attached . This magnet can be ultilized to attract the SD. The damper will help in dissipating the energy of motion of SD. The main unit can capture multiple SD and then when all the tethers have been utlized, it can start pulling them back in to attach the captured objects to main unit. Thus forming a lump of mass. This method can also provide extra control over the artificial moons as the main unit can thrusters can be sized or designed to be operable for specific durations.</t>
  </si>
  <si>
    <t>Requiremnts for both electromagnets (in terms of power required) and permanent magnet (in terms of size) can be judged from calculations relating the required magnetic field to ensure secure attachment to the SD. Theoretical assesments to understand what amounts of damping of motion is required in order to achieve control over worst state SDs.</t>
  </si>
  <si>
    <t>Magnetic attraction between magnet and the SD. Electromagnetism if the tethers are used to generate magnetic electromagnetic drags, this will adiitionally then involve momentum transfer as well.</t>
  </si>
  <si>
    <t>Ion Beam Shepherd</t>
  </si>
  <si>
    <t>Using a set of ion beam thrusters to reorient different debris into a final orbit. After the reorientation when these objects are in close proximity of each other they can be captured.</t>
  </si>
  <si>
    <t>Fuel requirements/power requirements will be main factors for determining the feasibilty. Second major factor would be the non linear control algorithm requirements for close proximity operations.</t>
  </si>
  <si>
    <t>Control aspect and how to stick the objects together finally.</t>
  </si>
  <si>
    <t>Momentum transfer between the ion beam particles and the SD.</t>
  </si>
  <si>
    <t>Cold Welding</t>
  </si>
  <si>
    <t>Objects in conditions of vacuum i.e. low temperature and absence of oxygen can stick together if sufficient force is applied on them form "cold welds". A mission can be carried out to use this phenomenon to form artificial moons. For example if we capture objects with say net then the net can be compressed to generate points of enough force to achieve adhesion. Similarly if ion beams can be controlled very precisely, 2 objects can be impacted with enough force to form cold welds.</t>
  </si>
  <si>
    <t xml:space="preserve">Studying how much adhesion forces are required for materials like aluminium. </t>
  </si>
  <si>
    <t>Possibility of generation of additional debris on collisions especially if the adhesion force required corresponds to  the yielding stress.</t>
  </si>
  <si>
    <t>Energy generated from pressurizing the two objects (2 SDs or 1 SD and a Capture plate)</t>
  </si>
  <si>
    <t>Robotic Arms (multiple on one system)</t>
  </si>
  <si>
    <t>Multiple missions and systems have already been proposed to carry out single space debris capture or deotbit using robotic arms. One of the simplest configurations involve using two arms to mate with the SD. One arm is utlized to dampen the rotational motion of the SD while the other attempts tp establish a connection. If this system is to form the basis of this missions objective then the robotic arms could be used in reorientation of SD towards a said position or another capture mechanism.</t>
  </si>
  <si>
    <t>Feasibilty of this system is dependent on multiple aspects especially the capture or adhesion mechanism.</t>
  </si>
  <si>
    <t>Controlling the reorientation through robotic arms can be very difficult.</t>
  </si>
  <si>
    <t>Momentum transfer between arms and the SD.</t>
  </si>
  <si>
    <t>Electrostatic charge induced capture</t>
  </si>
  <si>
    <t>A mission in which a mother ship has plate made of material that has a positive charge on it. On the other end an electron gun/ion beam is used to generate negative charge on the Space Debris. The bombardment of negative charge happens when the mothership is in close proximity operations of the SD.</t>
  </si>
  <si>
    <t>Based on different sizes of the SD, the amount of charge that can generate enough charge to cause attarction between the plate and SD without causing any damage to either.</t>
  </si>
  <si>
    <t>Power requried to generate the charge in the SD. If the plate and the SD are both metallic charge neutralization will occur causing the attraction for ces to diminsh. plamsa interaction.</t>
  </si>
  <si>
    <t>Electrostatic charge generation and attraction.</t>
  </si>
  <si>
    <t>Solar Sails</t>
  </si>
  <si>
    <t>Lasers</t>
  </si>
  <si>
    <t>Criterias and Ranking</t>
  </si>
  <si>
    <t>Weights</t>
  </si>
  <si>
    <t>Capture Methods</t>
  </si>
  <si>
    <t>Stickiness</t>
  </si>
  <si>
    <t>Involved Technology's Readiness. (complexity is also involved)</t>
  </si>
  <si>
    <t>Energy per unit captured</t>
  </si>
  <si>
    <t>Risk involved especially the possibilty to generate more Space Debris.</t>
  </si>
  <si>
    <t>Mass sent in space vs mass that can be repositioned/captured</t>
  </si>
  <si>
    <t>Suitability for Small SDs</t>
  </si>
  <si>
    <t>Justication</t>
  </si>
  <si>
    <t>Ranking</t>
  </si>
  <si>
    <t>System of Ranking</t>
  </si>
  <si>
    <t>1 corresponds to best  TLR                                        13 correspondds to worst TLR</t>
  </si>
  <si>
    <t>1 corresponds to least E/C req                                       13 correspondds to highest E/C req</t>
  </si>
  <si>
    <t>1 corresponds to least risk of new SD generation                                       13 correspondds to highest risk of new SD generation</t>
  </si>
  <si>
    <t xml:space="preserve">1 corresponds to lowest Payload Mass to Captured Mass Ratio (Mp/Mc)                                      13 correspondds to highest  Mp/Mc     </t>
  </si>
  <si>
    <t>1 corresponds to best suited                                      13 correspondds to least suited</t>
  </si>
  <si>
    <t>As compared to the methods above this, using net to capture SDs has been widely demonstrated on earth through simulations and experiments. Comparatively the technology is not as matured as the top 3 which have involved some sort or the other form of implementation in space or space like situations.</t>
  </si>
  <si>
    <t>For each capture power would be required for fine adjusting manuevers as well as sensors that determine the state of the net. Fineness of the net's mesh will dictate whether smaller masses can be captured or not.</t>
  </si>
  <si>
    <t>On any kind of satellite system, the controlled net system would take up very less mass as compared to mass of fuel and subsystems required for the rendezvous manuevers.</t>
  </si>
  <si>
    <t xml:space="preserve">TRL </t>
  </si>
  <si>
    <t>E/C</t>
  </si>
  <si>
    <t>Risk</t>
  </si>
  <si>
    <t>Mp/Mc</t>
  </si>
  <si>
    <t>Suitability</t>
  </si>
  <si>
    <t>TRL</t>
  </si>
  <si>
    <t>Avg Score</t>
  </si>
  <si>
    <t>W. Avg Score</t>
  </si>
  <si>
    <t>In terms of energy utilized per capture, majority of the energy would be required for the first capture in which the SD is covered with inflated material. After that the energy will be required to catch up to remaining pre selected debris for the mission that would stick around on the inflated region.</t>
  </si>
  <si>
    <t>Mass carried to the space would be higher as the mission would be carrying multiple reorientation units with infaltion technology attached to them.</t>
  </si>
  <si>
    <t>in general methods that involved adhesive are ranked higher. The basic principle here used was how well each conept  shows an extent of stickiness necessary for the mission.</t>
  </si>
  <si>
    <t>TRL   should be included.</t>
  </si>
  <si>
    <t>Understanding of what kind of extra energy input is required for each of the methods apart from the subsystem critical for mission launch and orbital insertion.</t>
  </si>
  <si>
    <t>In general there are two types of risks involved with such missions, one is direct contact between the mission unit and the SD and second is collison between other space objects. In general if non contact missions are carried out with care, they can reduce a lot of risk in first scenario. That's why these methods have been ranked higher in general</t>
  </si>
  <si>
    <t>Any viable tech not available. Higher long term.</t>
  </si>
  <si>
    <t>When in comes to SD which are small in size, then the main problem becomes there detection. Since they are very small in size, detection of such objects is very hard especially having datat about their states. Thus methods which in general require more precision to capture would rank lower. Higher ranking means that the method can either be deployed or modified to capture small SDs.</t>
  </si>
  <si>
    <t>Expansion of foam related energy consumption. Very similar to consumption requirement of inflated method. Although more energy will be required when exapnding for each SD capture.</t>
  </si>
  <si>
    <t>captured mass similar to that of inflated method but extra payload mass for expansion of foam.</t>
  </si>
  <si>
    <t>One of the only methods that also has investments from Astroscale showing there are chances of higher development already happening for the method.</t>
  </si>
  <si>
    <t>Apart from rendezvous, the majority of energy would required for each space debris to be repositioned and each unit that is glued to the debris will need different quantity based on orbital and attitude state.</t>
  </si>
  <si>
    <t>A lot SRM units that can stick to SD will be carried thus higher payload mass and the lack of suitability towards SD reduces the captured mass by alot.</t>
  </si>
  <si>
    <t>One of the only methods that involves concepts and components which are used widely, especially motion dampers. The part about using tethers to attach and adhesive thread for sticking together has not been matured yet. Tethers have been used a lot on multiple concepts but have not seen appliction in space. The reason for this and controlled net having similar rankings is that the two methods have components of similar TLR levels but some which require a lot more input and are at very earlt stages. Adaptation of dampers in context of this mission is also a technological barrier that needs an input.</t>
  </si>
  <si>
    <t>Based on the properties of damper system if any kind of reactions reorient the main SC unit then extra energy for corrections will be required. Deployement of tether and its control will require energy. Comparatively not very high. Similar to robotic arms, the smaller the debris the harder it is to capture thus larger masses can be captured more effectively which will also increase the energy required per mass.</t>
  </si>
  <si>
    <t>Captured mass capabilites reduced due to mechanical contact usage. Furthermore new systems of tether, adhesive and damper system along with fuel to counter any untoward moments during motion damping requires extra fuel.</t>
  </si>
  <si>
    <t>phased selection</t>
  </si>
  <si>
    <t>criteria by criteria</t>
  </si>
  <si>
    <t>TRL and mass ratio first</t>
  </si>
  <si>
    <t>then energy</t>
  </si>
  <si>
    <t>then stickiness</t>
  </si>
  <si>
    <t>Changing the attitude of slingshot for each SD's specific parameters will require energy. All kind of small space debris can be captures, thus a higher Mc value.</t>
  </si>
  <si>
    <t>Added mass of slingshot mechnism to the payload.</t>
  </si>
  <si>
    <t>Primary Objectives</t>
  </si>
  <si>
    <t>Clearing of SD or non functional satellites to free up space in orbits</t>
  </si>
  <si>
    <t>Use captured objects to form artifical moons</t>
  </si>
  <si>
    <t>Secondary Objectives</t>
  </si>
  <si>
    <t>Provide raw material extraction source</t>
  </si>
  <si>
    <t>Testing bed for extraction techniques, asteroid equipments or mounting base for equpments such as antennas.</t>
  </si>
  <si>
    <t>Aspects</t>
  </si>
  <si>
    <t>Cost</t>
  </si>
  <si>
    <t>Life</t>
  </si>
  <si>
    <t>Capability</t>
  </si>
  <si>
    <t>Common Critical Mission Tasks</t>
  </si>
  <si>
    <t>Affected Criterias</t>
  </si>
  <si>
    <t>Magnetic unit and tethers. Even if elctromagnetic units are required then the added mass wouldn't be very high. Captured mass is low as most of the SDs are weakly magnetic.</t>
  </si>
  <si>
    <t>Tasks - Aspect Relatioship Matrix</t>
  </si>
  <si>
    <t>Rendezvous with the Space Debris in different orbits</t>
  </si>
  <si>
    <t>Deployment/proximity maneuvers to dock or perfrom tasks to begin transitioning to reorientation phase</t>
  </si>
  <si>
    <t>Reorient/Capture the targeted SD</t>
  </si>
  <si>
    <t>TRL,  Suitablity</t>
  </si>
  <si>
    <t>Multiple Capture Capabilites</t>
  </si>
  <si>
    <t>Suitability, TRL, Energy per</t>
  </si>
  <si>
    <t>Ensure that the captured objects stick to form artificial moon</t>
  </si>
  <si>
    <t>Energy Efficient</t>
  </si>
  <si>
    <t>Mass Ratio, Energy per</t>
  </si>
  <si>
    <t>Non destructive in nature</t>
  </si>
  <si>
    <t>TRL, Suitability</t>
  </si>
  <si>
    <t>Energy per</t>
  </si>
  <si>
    <t>Stickiness, Risk</t>
  </si>
  <si>
    <t>Mass Ratio</t>
  </si>
  <si>
    <t xml:space="preserve">Again a method which has recieved heavy investments in. The reason it doesn't go higher than 3rd is that apart from the physical requirements in terms of ion beam units needed for this mission, majority of technological development is still required in automated non linear control implementation. </t>
  </si>
  <si>
    <t>Energy per capture highly dependent on states of each SDs. Considering each of the concepts will encounter with simialr SDs, the energy for reorientation  will be high here as a beam or multi beam config will required to produce enough ion plume that can reposition.</t>
  </si>
  <si>
    <t>Critical Mission Tasks</t>
  </si>
  <si>
    <t>Capture of the space debris, for contact-less methods such as IBS this will instead be called as reorientation of the space debris.</t>
  </si>
  <si>
    <t>The C-R process should be such that high energy collisions can be avoided i.e. non-destructive nature of contact (or ion impingement in case of IBS).</t>
  </si>
  <si>
    <t>A many-to-one C-R capability, i.e. the subsystem would be able to carry out multiple C-R tasks within the course of a single mission life cycle.</t>
  </si>
  <si>
    <t>Suitability, TRL, Energy per C-R</t>
  </si>
  <si>
    <t>The operation of C-R in itself warrants close proximity or docking manoeuvring.</t>
  </si>
  <si>
    <t>TRL, Energy per C-R</t>
  </si>
  <si>
    <t>Complexity of the subsystem should be low.</t>
  </si>
  <si>
    <t>If cold welding is to be achieved, high amounts of close contact pressure generation will required. if ion beam or any other method is capable of such pressure generation, additional energy requirements will be placed on the mission. Similar mass capturing capabilities as ion beam shepherd.</t>
  </si>
  <si>
    <t>Added mass of surface on which the SDs will be welded. Deployement mechanism for such a surface. Additional fuel for some additional maneuvers for ion beams that'll be reorienting.</t>
  </si>
  <si>
    <t>No need to involve development cost as this is already being captured by TRLs</t>
  </si>
  <si>
    <t>Multiple concepts have already been invested upin by clearspace and DLR showing that there are several  mission options available to test the systems.</t>
  </si>
  <si>
    <t>Power required to operate the robotic arms in the mating process. Unable to capture very small debris</t>
  </si>
  <si>
    <t>Main energy consumption in generating charges on the SDs. If electron gun is used or say the 2 SDs are stuck together by creating a voltage difference, would require some amount of energy.</t>
  </si>
  <si>
    <t>Solar sails will be powered by photon momentum transfer so very less energy required per mass. Although this method is on as effective as tether and robotic arm to capture larger masses.</t>
  </si>
  <si>
    <t>Solar sails to be carried with attachment mechanism. Low captured mass as not all SDs can be attached with this unit.</t>
  </si>
  <si>
    <t>Converting the solar radiation to any other form of energy for momentum transfer would requrie energy for each transfer. Theoreticaly if the laser is accurate eneough even the smallest of the debris can reoriented.</t>
  </si>
  <si>
    <t>Payload of solar panels to ansorb radiation, energy to laser conversion units but almost all SDs can be repositioned or captured.</t>
  </si>
  <si>
    <t>Suitability for Medium SDs</t>
  </si>
  <si>
    <t xml:space="preserve">TLR </t>
  </si>
  <si>
    <t>When in comes to SD which are medium in size, contactless methods still hold high suitability as the bodies are still of the size less than 10cm, making it tougher to make physical contact. But the increase in size does improve the suitability of physical contact missions. Some of the methods such as inflated and foam will show decreased suitability as it becomes harder to stick or contact larger debris with expanding foames.</t>
  </si>
  <si>
    <t>Ranks</t>
  </si>
  <si>
    <t>Small SDs</t>
  </si>
  <si>
    <t>Medium SDs</t>
  </si>
  <si>
    <t>Large SDs</t>
  </si>
  <si>
    <t>Require two line NORAD parameters for each debris.</t>
  </si>
  <si>
    <t>Good refrence paper is Design of Spacecraft Missions to Remove Multiple 
Orbital Debris Objects</t>
  </si>
  <si>
    <t>Ref 9, 12 for rendezvous</t>
  </si>
  <si>
    <t>Ref 13 for series method</t>
  </si>
  <si>
    <t>Selected debris can all be removed as well as reoriented/captured so select one method and compare the results for the two mission scenarios</t>
  </si>
  <si>
    <t>This means the final orbit for the deorbit as well capture need to be determined</t>
  </si>
  <si>
    <t>Same rendezvous sequence should be used for both scenarios as rendezvous remains largely independent for both.</t>
  </si>
  <si>
    <t>Energy calculations will therefore be related to debris removal and capture process</t>
  </si>
  <si>
    <t>In hindsight, the energy required for reorientation should be lesser but will be highly dependent on the selected final orbit</t>
  </si>
  <si>
    <t>GEO graveyard orbit would be a good example to set on</t>
  </si>
  <si>
    <t>11 m/s for GEO to GEO disposal  equivalent to 2-3 months of extra fuel</t>
  </si>
  <si>
    <t>500-1500 km most populated LEO</t>
  </si>
  <si>
    <t>Less than 600 km deorbit time is several years</t>
  </si>
  <si>
    <t>More than 800km deorbit time is centuries</t>
  </si>
  <si>
    <t>More than 1000km deorbit time is thousands of years</t>
  </si>
  <si>
    <t>https://sdup.esoc.esa.int/discosweb/statistics/</t>
  </si>
  <si>
    <t>Mass of SC</t>
  </si>
  <si>
    <t>kg</t>
  </si>
  <si>
    <t>Orbits</t>
  </si>
  <si>
    <t>mu</t>
  </si>
  <si>
    <t>km3/s2</t>
  </si>
  <si>
    <t>Re</t>
  </si>
  <si>
    <t>km</t>
  </si>
  <si>
    <t>Altitude</t>
  </si>
  <si>
    <t>Inclination</t>
  </si>
  <si>
    <t>Target</t>
  </si>
  <si>
    <t>Rocket Bodies</t>
  </si>
  <si>
    <t>Total Mass</t>
  </si>
  <si>
    <t>tonnes</t>
  </si>
  <si>
    <t>Avg Mass</t>
  </si>
  <si>
    <t>Kg</t>
  </si>
  <si>
    <t xml:space="preserve">Total Number </t>
  </si>
  <si>
    <t>Cross Sectional Area</t>
  </si>
  <si>
    <t>m2</t>
  </si>
  <si>
    <t>Avg Cross Sectional Area</t>
  </si>
  <si>
    <t>m</t>
  </si>
  <si>
    <t>LEO</t>
  </si>
  <si>
    <t>Hp</t>
  </si>
  <si>
    <t>&lt;2000 km</t>
  </si>
  <si>
    <t>Avg Mass Per Avg Cross Sectional Area</t>
  </si>
  <si>
    <t>kg/m2</t>
  </si>
  <si>
    <t>Ha</t>
  </si>
  <si>
    <t>E/m</t>
  </si>
  <si>
    <t>MJ/kg</t>
  </si>
  <si>
    <t>degrees</t>
  </si>
  <si>
    <t>V1circular</t>
  </si>
  <si>
    <t>km/s</t>
  </si>
  <si>
    <t>Payload Mission related objects</t>
  </si>
  <si>
    <t>Oshape</t>
  </si>
  <si>
    <t>OPlane</t>
  </si>
  <si>
    <t>Oplane</t>
  </si>
  <si>
    <t>Oorientation</t>
  </si>
  <si>
    <t>Apo</t>
  </si>
  <si>
    <t>Peri</t>
  </si>
  <si>
    <t>SMA</t>
  </si>
  <si>
    <t>ECC</t>
  </si>
  <si>
    <t>INC</t>
  </si>
  <si>
    <t>RAAN</t>
  </si>
  <si>
    <t>AOP</t>
  </si>
  <si>
    <t>MA</t>
  </si>
  <si>
    <t>Mean Motion</t>
  </si>
  <si>
    <t>COSMOS</t>
  </si>
  <si>
    <t>DEB</t>
  </si>
  <si>
    <t>SC</t>
  </si>
  <si>
    <t>delta_V</t>
  </si>
  <si>
    <t>Dry Mass frac  w SD</t>
  </si>
  <si>
    <t>Dry Mass of SC w/o SD</t>
  </si>
  <si>
    <t xml:space="preserve">Mass Added </t>
  </si>
  <si>
    <t>Total Mass w SD</t>
  </si>
  <si>
    <t>Mass of Prop Spent w SD</t>
  </si>
  <si>
    <t>Mass of Prop Spent w/o SD</t>
  </si>
  <si>
    <t xml:space="preserve">(after travelling) Fuel Frac w SD </t>
  </si>
  <si>
    <t>(after travelling) Fuel Frac w/o SD</t>
  </si>
  <si>
    <t>Dry Mass of SC</t>
  </si>
  <si>
    <t>Dry Mass Frac w/o SD</t>
  </si>
  <si>
    <t>Total system Mass when arriving at dest w SDs</t>
  </si>
  <si>
    <t>Total System Mass when arriving at dest NO SD</t>
  </si>
  <si>
    <t>1 to 2</t>
  </si>
  <si>
    <t>Isp</t>
  </si>
  <si>
    <t>2 to 3</t>
  </si>
  <si>
    <t>3 to 4</t>
  </si>
  <si>
    <t>4 to 5</t>
  </si>
  <si>
    <t>5 to 6</t>
  </si>
  <si>
    <t>TA</t>
  </si>
  <si>
    <t>Mass of SC w/o SD</t>
  </si>
  <si>
    <t>Mass Prop w SD</t>
  </si>
  <si>
    <t>Mass Prop w/o SD</t>
  </si>
  <si>
    <t>Normalize wrt system initial mass</t>
  </si>
  <si>
    <t>https://www.google.com/search?q=phase+changing+manuever+in+GMAT&amp;rlz=1C1SQJL_enIN963IN963&amp;oq=phase+changing+manuever+in+GMAT&amp;gs_lcrp=EgZjaHJvbWUyBggAEEUYOdIBCTU1MjY1ajBqN6gCALACAA&amp;sourceid=chrome&amp;ie=UTF-8#fpstate=ive&amp;vld=cid:173cc5b5,vid:zv44J8lfw_w,st:0</t>
  </si>
  <si>
    <t>Total system Mass when arriving at dest</t>
  </si>
  <si>
    <t>Initial Total System Mass when arriving at dest</t>
  </si>
  <si>
    <t>+5 deg</t>
  </si>
  <si>
    <t>V_x</t>
  </si>
  <si>
    <t>+15 deg</t>
  </si>
  <si>
    <t>-5 deg</t>
  </si>
  <si>
    <t>V_y</t>
  </si>
  <si>
    <t>-10 deg</t>
  </si>
  <si>
    <t>-20 deg</t>
  </si>
  <si>
    <t>V_z</t>
  </si>
  <si>
    <t xml:space="preserve"> </t>
  </si>
  <si>
    <t>1 to 3</t>
  </si>
  <si>
    <t>redundancy reduction</t>
  </si>
  <si>
    <t>1 to 4</t>
  </si>
  <si>
    <t>1 to 5</t>
  </si>
  <si>
    <t>lamberts problem</t>
  </si>
  <si>
    <t>Coelliptic sequence</t>
  </si>
  <si>
    <t xml:space="preserve">select a time between each transfer initially 60 days for each </t>
  </si>
  <si>
    <t>344 km peri</t>
  </si>
  <si>
    <t>66 deg inc</t>
  </si>
  <si>
    <t>calculate transfer orbit parameters</t>
  </si>
  <si>
    <t>Take to perigee</t>
  </si>
  <si>
    <t>carry out 2 transfers per orbit - from first orbit to transfer orbit then transfer orbit to final orbit</t>
  </si>
  <si>
    <t>Make the two orbits co planar by changing incilnation and RAAN</t>
  </si>
  <si>
    <t>Problem finding position of vector for each transfer</t>
  </si>
  <si>
    <t>Make the two orbits co focal by changing the AOP</t>
  </si>
  <si>
    <t>Each transfer has 4 possible transfer orbits for the given scenario the transfer orbits are bit scuffed</t>
  </si>
  <si>
    <t>Hohmann transfer to the final orbit</t>
  </si>
  <si>
    <t>Optimize based on sequences</t>
  </si>
  <si>
    <t>SQP</t>
  </si>
  <si>
    <t>Put constraints</t>
  </si>
  <si>
    <t>Insertion Orbit</t>
  </si>
  <si>
    <t>describe an object with random motion attributes</t>
  </si>
  <si>
    <t>select a final orbit</t>
  </si>
  <si>
    <t xml:space="preserve">calculate the decelarations and subsequently force required to produce those </t>
  </si>
  <si>
    <t>compare if the forces are in the range of available ion beam thrusters</t>
  </si>
  <si>
    <t xml:space="preserve">or </t>
  </si>
  <si>
    <t xml:space="preserve">find the amount of beam mass/prop mass required through existing models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</si>
</sst>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ptos Narrow"/>
      <family val="2"/>
      <scheme val="minor"/>
    </font>
    <font>
      <b/>
      <sz val="11"/>
      <color theme="1"/>
      <name val="Aptos Narrow"/>
      <family val="2"/>
      <scheme val="minor"/>
    </font>
    <font>
      <sz val="11"/>
      <color theme="1"/>
      <name val="Aptos Narrow"/>
      <scheme val="minor"/>
    </font>
    <font>
      <sz val="11"/>
      <color rgb="FF242424"/>
      <name val="Aptos Narrow"/>
      <charset val="1"/>
    </font>
    <font>
      <sz val="13.5"/>
      <color rgb="FF000000"/>
      <name val="Times New Roman"/>
      <charset val="1"/>
    </font>
    <font>
      <b/>
      <sz val="11"/>
      <color rgb="FF242424"/>
      <name val="Aptos Narrow"/>
      <charset val="1"/>
    </font>
    <font>
      <sz val="11"/>
      <color rgb="FF000000"/>
      <name val="Aptos Narrow"/>
      <charset val="1"/>
    </font>
    <font>
      <u/>
      <sz val="11"/>
      <color theme="10"/>
      <name val="Aptos Narrow"/>
      <family val="2"/>
      <scheme val="minor"/>
    </font>
    <font>
      <sz val="11"/>
      <color rgb="FF000000"/>
      <name val="Aptos Narrow"/>
      <family val="2"/>
      <scheme val="minor"/>
    </font>
    <font>
      <sz val="11"/>
      <color rgb="FF333333"/>
      <name val="Aptos Narrow"/>
      <scheme val="minor"/>
    </font>
    <font>
      <b/>
      <sz val="14"/>
      <color theme="1"/>
      <name val="Aptos Narrow"/>
      <family val="2"/>
      <scheme val="minor"/>
    </font>
    <font>
      <sz val="11"/>
      <color rgb="FF000000"/>
      <name val="Aptos Narrow"/>
      <family val="2"/>
    </font>
    <font>
      <b/>
      <sz val="14"/>
      <color rgb="FF000000"/>
      <name val="Aptos Narrow"/>
      <family val="2"/>
    </font>
    <font>
      <b/>
      <sz val="11"/>
      <color rgb="FF000000"/>
      <name val="Aptos Narrow"/>
      <family val="2"/>
    </font>
    <font>
      <b/>
      <sz val="9"/>
      <color theme="1"/>
      <name val="Aptos Narrow"/>
      <family val="2"/>
      <scheme val="minor"/>
    </font>
    <font>
      <sz val="11"/>
      <color theme="0"/>
      <name val="Aptos Narrow"/>
      <family val="2"/>
      <scheme val="minor"/>
    </font>
  </fonts>
  <fills count="11">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49992370372631"/>
        <bgColor indexed="64"/>
      </patternFill>
    </fill>
    <fill>
      <patternFill patternType="solid">
        <fgColor theme="2" tint="-9.9978637043366805E-2"/>
        <bgColor indexed="64"/>
      </patternFill>
    </fill>
    <fill>
      <patternFill patternType="solid">
        <fgColor theme="1"/>
        <bgColor indexed="64"/>
      </patternFill>
    </fill>
    <fill>
      <patternFill patternType="solid">
        <fgColor rgb="FF00B050"/>
        <bgColor indexed="64"/>
      </patternFill>
    </fill>
    <fill>
      <patternFill patternType="solid">
        <fgColor theme="2"/>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2">
    <xf numFmtId="0" fontId="0" fillId="0" borderId="0"/>
    <xf numFmtId="0" fontId="7" fillId="0" borderId="0" applyNumberFormat="0" applyFill="0" applyBorder="0" applyAlignment="0" applyProtection="0"/>
  </cellStyleXfs>
  <cellXfs count="170">
    <xf numFmtId="0" fontId="0" fillId="0" borderId="0" xfId="0"/>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xf>
    <xf numFmtId="0" fontId="1" fillId="0" borderId="2" xfId="0" applyFont="1" applyBorder="1" applyAlignment="1">
      <alignment horizontal="center" vertic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xf numFmtId="0" fontId="1" fillId="0" borderId="1" xfId="0" applyFont="1" applyBorder="1" applyAlignment="1">
      <alignment vertical="center"/>
    </xf>
    <xf numFmtId="0" fontId="0" fillId="0" borderId="1" xfId="0" applyBorder="1"/>
    <xf numFmtId="0" fontId="0" fillId="0" borderId="2" xfId="0" applyBorder="1"/>
    <xf numFmtId="0" fontId="1" fillId="0" borderId="3" xfId="0" applyFont="1" applyBorder="1" applyAlignment="1">
      <alignment horizontal="center"/>
    </xf>
    <xf numFmtId="0" fontId="0" fillId="0" borderId="0" xfId="0" applyAlignment="1">
      <alignment horizontal="center"/>
    </xf>
    <xf numFmtId="0" fontId="1" fillId="0" borderId="2" xfId="0" applyFont="1" applyBorder="1" applyAlignment="1">
      <alignment vertical="center"/>
    </xf>
    <xf numFmtId="0" fontId="1" fillId="0" borderId="14" xfId="0" applyFont="1" applyBorder="1" applyAlignment="1">
      <alignment vertical="center"/>
    </xf>
    <xf numFmtId="0" fontId="1" fillId="0" borderId="5" xfId="0" applyFont="1" applyBorder="1" applyAlignment="1">
      <alignment horizontal="center" vertical="center"/>
    </xf>
    <xf numFmtId="0" fontId="6" fillId="0" borderId="0" xfId="0" applyFont="1"/>
    <xf numFmtId="0" fontId="0" fillId="2" borderId="0" xfId="0" applyFill="1"/>
    <xf numFmtId="0" fontId="6" fillId="2" borderId="0" xfId="0" applyFont="1" applyFill="1"/>
    <xf numFmtId="0" fontId="1" fillId="0" borderId="0" xfId="0" applyFont="1" applyAlignment="1">
      <alignment horizontal="center"/>
    </xf>
    <xf numFmtId="0" fontId="0" fillId="0" borderId="15" xfId="0" applyBorder="1"/>
    <xf numFmtId="0" fontId="0" fillId="0" borderId="14" xfId="0" applyBorder="1"/>
    <xf numFmtId="0" fontId="1" fillId="0" borderId="1" xfId="0" applyFont="1" applyBorder="1" applyAlignment="1">
      <alignment horizontal="center"/>
    </xf>
    <xf numFmtId="0" fontId="0" fillId="2" borderId="12" xfId="0" applyFill="1" applyBorder="1"/>
    <xf numFmtId="0" fontId="0" fillId="0" borderId="6" xfId="0" applyBorder="1"/>
    <xf numFmtId="0" fontId="0" fillId="2" borderId="13" xfId="0" applyFill="1" applyBorder="1"/>
    <xf numFmtId="0" fontId="1" fillId="0" borderId="10" xfId="0" applyFont="1" applyBorder="1" applyAlignment="1">
      <alignment horizontal="center"/>
    </xf>
    <xf numFmtId="0" fontId="1" fillId="0" borderId="6" xfId="0" applyFont="1" applyBorder="1" applyAlignment="1">
      <alignment horizontal="center"/>
    </xf>
    <xf numFmtId="0" fontId="1" fillId="0" borderId="13" xfId="0" applyFont="1" applyBorder="1" applyAlignment="1">
      <alignment horizontal="center"/>
    </xf>
    <xf numFmtId="0" fontId="0" fillId="3" borderId="1" xfId="0" applyFill="1" applyBorder="1"/>
    <xf numFmtId="0" fontId="0" fillId="4" borderId="0" xfId="0" applyFill="1"/>
    <xf numFmtId="0" fontId="0" fillId="4" borderId="12" xfId="0" applyFill="1" applyBorder="1"/>
    <xf numFmtId="0" fontId="0" fillId="4" borderId="9" xfId="0" applyFill="1" applyBorder="1"/>
    <xf numFmtId="0" fontId="0" fillId="4" borderId="11" xfId="0" applyFill="1" applyBorder="1" applyAlignment="1">
      <alignment wrapText="1"/>
    </xf>
    <xf numFmtId="0" fontId="0" fillId="4" borderId="12" xfId="0" applyFill="1" applyBorder="1" applyAlignment="1">
      <alignment wrapText="1"/>
    </xf>
    <xf numFmtId="0" fontId="0" fillId="3" borderId="0" xfId="0" applyFill="1"/>
    <xf numFmtId="0" fontId="0" fillId="3" borderId="12" xfId="0" applyFill="1" applyBorder="1"/>
    <xf numFmtId="0" fontId="0" fillId="3" borderId="12" xfId="0" applyFill="1" applyBorder="1" applyAlignment="1">
      <alignment wrapText="1"/>
    </xf>
    <xf numFmtId="0" fontId="0" fillId="5" borderId="0" xfId="0" applyFill="1"/>
    <xf numFmtId="0" fontId="0" fillId="5" borderId="12" xfId="0" applyFill="1" applyBorder="1"/>
    <xf numFmtId="0" fontId="0" fillId="5" borderId="6" xfId="0" applyFill="1" applyBorder="1"/>
    <xf numFmtId="0" fontId="0" fillId="5" borderId="13" xfId="0" applyFill="1" applyBorder="1"/>
    <xf numFmtId="0" fontId="0" fillId="5" borderId="12" xfId="0" applyFill="1" applyBorder="1" applyAlignment="1">
      <alignment wrapText="1"/>
    </xf>
    <xf numFmtId="0" fontId="0" fillId="5" borderId="13" xfId="0" applyFill="1" applyBorder="1" applyAlignment="1">
      <alignment wrapText="1"/>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 fillId="5" borderId="0" xfId="0" applyFont="1" applyFill="1" applyAlignment="1">
      <alignment horizontal="center" vertical="center"/>
    </xf>
    <xf numFmtId="0" fontId="1" fillId="5" borderId="6" xfId="0" applyFont="1" applyFill="1" applyBorder="1" applyAlignment="1">
      <alignment horizontal="center" vertical="center"/>
    </xf>
    <xf numFmtId="0" fontId="1" fillId="4" borderId="9" xfId="0" applyFont="1" applyFill="1" applyBorder="1" applyAlignment="1">
      <alignment horizontal="center" vertical="center"/>
    </xf>
    <xf numFmtId="0" fontId="7" fillId="0" borderId="0" xfId="1"/>
    <xf numFmtId="0" fontId="8" fillId="6" borderId="0" xfId="0" applyFont="1" applyFill="1"/>
    <xf numFmtId="0" fontId="0" fillId="6" borderId="0" xfId="0" applyFill="1"/>
    <xf numFmtId="0" fontId="0" fillId="6" borderId="9" xfId="0" applyFill="1" applyBorder="1"/>
    <xf numFmtId="0" fontId="0" fillId="7" borderId="0" xfId="0" applyFill="1"/>
    <xf numFmtId="0" fontId="0" fillId="7" borderId="9" xfId="0" applyFill="1" applyBorder="1"/>
    <xf numFmtId="0" fontId="9" fillId="0" borderId="0" xfId="0" applyFont="1"/>
    <xf numFmtId="0" fontId="0" fillId="8" borderId="0" xfId="0" applyFill="1"/>
    <xf numFmtId="0" fontId="10" fillId="0" borderId="0" xfId="0" applyFont="1"/>
    <xf numFmtId="0" fontId="10" fillId="0" borderId="0" xfId="0" applyFont="1" applyAlignment="1">
      <alignment horizontal="center"/>
    </xf>
    <xf numFmtId="0" fontId="11" fillId="0" borderId="0" xfId="0" applyFont="1"/>
    <xf numFmtId="0" fontId="12" fillId="0" borderId="0" xfId="0" applyFont="1"/>
    <xf numFmtId="0" fontId="0" fillId="0" borderId="11" xfId="0" applyBorder="1"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1" fillId="0" borderId="0" xfId="0" applyFont="1"/>
    <xf numFmtId="0" fontId="4" fillId="0" borderId="0" xfId="0" applyFont="1"/>
    <xf numFmtId="0" fontId="14" fillId="0" borderId="0" xfId="0" applyFont="1"/>
    <xf numFmtId="0" fontId="15" fillId="2" borderId="0" xfId="0" applyFont="1" applyFill="1"/>
    <xf numFmtId="0" fontId="15" fillId="9" borderId="0" xfId="0" applyFont="1" applyFill="1"/>
    <xf numFmtId="0" fontId="0" fillId="0" borderId="12" xfId="0"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8" xfId="0" applyBorder="1"/>
    <xf numFmtId="0" fontId="1" fillId="0" borderId="0" xfId="0" applyFont="1" applyAlignment="1">
      <alignment vertical="center"/>
    </xf>
    <xf numFmtId="0" fontId="1" fillId="0" borderId="6" xfId="0" applyFont="1" applyBorder="1" applyAlignment="1">
      <alignment vertical="center"/>
    </xf>
    <xf numFmtId="0" fontId="11" fillId="8" borderId="0" xfId="0" applyFont="1" applyFill="1"/>
    <xf numFmtId="0" fontId="14" fillId="4" borderId="0" xfId="0" applyFont="1" applyFill="1" applyAlignment="1">
      <alignment horizontal="center"/>
    </xf>
    <xf numFmtId="0" fontId="10" fillId="4" borderId="0" xfId="0" applyFont="1" applyFill="1" applyAlignment="1">
      <alignment horizontal="center"/>
    </xf>
    <xf numFmtId="0" fontId="0" fillId="0" borderId="13" xfId="0" applyBorder="1"/>
    <xf numFmtId="0" fontId="0" fillId="2" borderId="6" xfId="0" applyFill="1" applyBorder="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wrapText="1"/>
    </xf>
    <xf numFmtId="0" fontId="1" fillId="0" borderId="2" xfId="0" applyFont="1" applyBorder="1" applyAlignment="1">
      <alignment horizontal="center" wrapText="1"/>
    </xf>
    <xf numFmtId="0" fontId="2" fillId="0" borderId="1" xfId="0" applyFont="1" applyBorder="1" applyAlignment="1">
      <alignment horizontal="left" vertical="center" wrapText="1"/>
    </xf>
    <xf numFmtId="0" fontId="4" fillId="0" borderId="1" xfId="0" applyFont="1" applyBorder="1" applyAlignment="1">
      <alignment horizontal="center" wrapText="1"/>
    </xf>
    <xf numFmtId="0" fontId="1" fillId="0" borderId="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top" wrapText="1"/>
    </xf>
    <xf numFmtId="0" fontId="0" fillId="0" borderId="3"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1" fillId="0" borderId="2" xfId="0" applyFont="1" applyBorder="1" applyAlignment="1">
      <alignment horizontal="center" vertical="center" textRotation="90" wrapText="1"/>
    </xf>
    <xf numFmtId="0" fontId="1" fillId="0" borderId="15" xfId="0" applyFont="1" applyBorder="1" applyAlignment="1">
      <alignment horizontal="center" vertical="center" textRotation="90" wrapText="1"/>
    </xf>
    <xf numFmtId="0" fontId="1" fillId="0" borderId="14" xfId="0" applyFont="1" applyBorder="1" applyAlignment="1">
      <alignment horizontal="center" vertical="center" textRotation="90" wrapText="1"/>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0" fillId="0" borderId="6" xfId="0" applyBorder="1" applyAlignment="1">
      <alignment horizontal="left" wrapText="1"/>
    </xf>
    <xf numFmtId="0" fontId="0" fillId="0" borderId="13" xfId="0" applyBorder="1" applyAlignment="1">
      <alignment horizontal="left" wrapText="1"/>
    </xf>
    <xf numFmtId="0" fontId="0" fillId="0" borderId="0" xfId="0" applyAlignment="1">
      <alignment horizontal="left" wrapText="1"/>
    </xf>
    <xf numFmtId="0" fontId="0" fillId="0" borderId="12" xfId="0" applyBorder="1" applyAlignment="1">
      <alignment horizontal="left" wrapText="1"/>
    </xf>
    <xf numFmtId="0" fontId="0" fillId="0" borderId="0" xfId="0" applyAlignment="1">
      <alignment horizontal="left"/>
    </xf>
    <xf numFmtId="0" fontId="0" fillId="0" borderId="12" xfId="0" applyBorder="1" applyAlignment="1">
      <alignment horizontal="left"/>
    </xf>
    <xf numFmtId="0" fontId="1" fillId="0" borderId="0" xfId="0" applyFont="1" applyAlignment="1">
      <alignment horizontal="center"/>
    </xf>
    <xf numFmtId="0" fontId="0" fillId="0" borderId="8" xfId="0" applyBorder="1" applyAlignment="1">
      <alignment horizontal="left"/>
    </xf>
    <xf numFmtId="0" fontId="0" fillId="0" borderId="8" xfId="0" applyBorder="1" applyAlignment="1">
      <alignment horizontal="left" wrapText="1"/>
    </xf>
    <xf numFmtId="0" fontId="0" fillId="0" borderId="9" xfId="0" applyBorder="1" applyAlignment="1">
      <alignment horizontal="left" wrapText="1"/>
    </xf>
    <xf numFmtId="0" fontId="0" fillId="0" borderId="11" xfId="0" applyBorder="1" applyAlignment="1">
      <alignment horizontal="left" wrapText="1"/>
    </xf>
    <xf numFmtId="0" fontId="5"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 xfId="0" applyBorder="1" applyAlignment="1">
      <alignment horizontal="left"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7" xfId="0" applyBorder="1" applyAlignment="1">
      <alignment horizontal="center" vertical="center" wrapText="1"/>
    </xf>
    <xf numFmtId="0" fontId="0" fillId="0" borderId="14" xfId="0" applyBorder="1" applyAlignment="1">
      <alignment horizontal="center" vertical="center" wrapText="1"/>
    </xf>
    <xf numFmtId="0" fontId="0" fillId="0" borderId="10" xfId="0" applyBorder="1" applyAlignment="1">
      <alignment horizontal="center" vertical="center" wrapText="1"/>
    </xf>
    <xf numFmtId="0" fontId="0" fillId="0" borderId="8" xfId="0" applyBorder="1" applyAlignment="1">
      <alignment horizontal="center"/>
    </xf>
    <xf numFmtId="0" fontId="0" fillId="0" borderId="12" xfId="0" applyBorder="1" applyAlignment="1">
      <alignment horizontal="center" vertical="center"/>
    </xf>
    <xf numFmtId="0" fontId="0" fillId="0" borderId="7" xfId="0" applyBorder="1" applyAlignment="1">
      <alignment horizontal="center"/>
    </xf>
    <xf numFmtId="0" fontId="0" fillId="0" borderId="11" xfId="0" applyBorder="1" applyAlignment="1">
      <alignment horizontal="center" vertical="center"/>
    </xf>
    <xf numFmtId="0" fontId="0" fillId="0" borderId="6" xfId="0" applyBorder="1" applyAlignment="1">
      <alignment horizontal="center"/>
    </xf>
    <xf numFmtId="0" fontId="0" fillId="0" borderId="13" xfId="0" applyBorder="1" applyAlignment="1">
      <alignment horizontal="center"/>
    </xf>
    <xf numFmtId="0" fontId="3" fillId="0" borderId="7" xfId="0" applyFont="1"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xf>
    <xf numFmtId="0" fontId="0" fillId="0" borderId="10" xfId="0" applyBorder="1" applyAlignment="1">
      <alignment horizontal="center"/>
    </xf>
    <xf numFmtId="0" fontId="0" fillId="0" borderId="13" xfId="0" applyBorder="1" applyAlignment="1">
      <alignment horizontal="center" vertical="center"/>
    </xf>
    <xf numFmtId="0" fontId="0" fillId="0" borderId="7" xfId="0" applyBorder="1" applyAlignment="1">
      <alignment horizontal="left" vertical="center" wrapText="1"/>
    </xf>
    <xf numFmtId="0" fontId="0" fillId="0" borderId="10" xfId="0" applyBorder="1" applyAlignment="1">
      <alignment horizontal="left" vertical="center" wrapText="1"/>
    </xf>
    <xf numFmtId="0" fontId="0" fillId="0" borderId="6" xfId="0" applyBorder="1" applyAlignment="1">
      <alignment horizontal="center" vertical="center"/>
    </xf>
    <xf numFmtId="0" fontId="0" fillId="0" borderId="15"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3" fillId="0" borderId="7" xfId="0" applyFont="1" applyBorder="1" applyAlignment="1">
      <alignment horizontal="center"/>
    </xf>
    <xf numFmtId="0" fontId="1" fillId="0" borderId="1" xfId="0" applyFont="1" applyBorder="1" applyAlignment="1">
      <alignment horizontal="center" vertical="center"/>
    </xf>
    <xf numFmtId="0" fontId="0" fillId="0" borderId="12" xfId="0" applyBorder="1" applyAlignment="1">
      <alignment horizontal="center"/>
    </xf>
    <xf numFmtId="0" fontId="1" fillId="0" borderId="7"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13" xfId="0" applyFont="1" applyBorder="1" applyAlignment="1">
      <alignment horizontal="center" vertical="center"/>
    </xf>
    <xf numFmtId="0" fontId="0" fillId="8" borderId="0" xfId="0" applyFill="1" applyAlignment="1">
      <alignment horizontal="center"/>
    </xf>
    <xf numFmtId="0" fontId="0" fillId="0" borderId="0" xfId="0" applyAlignment="1">
      <alignment horizontal="center"/>
    </xf>
    <xf numFmtId="0" fontId="0" fillId="0" borderId="2"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1" fillId="3" borderId="0" xfId="0" applyFont="1" applyFill="1" applyAlignment="1">
      <alignment horizontal="center" wrapText="1"/>
    </xf>
    <xf numFmtId="0" fontId="1" fillId="10" borderId="0" xfId="0" applyFont="1" applyFill="1" applyAlignment="1">
      <alignment horizontal="center" wrapText="1"/>
    </xf>
    <xf numFmtId="0" fontId="1" fillId="0" borderId="0" xfId="0" applyFont="1" applyAlignment="1">
      <alignment horizont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14" xfId="0" applyFont="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xf>
    <xf numFmtId="0" fontId="0" fillId="0" borderId="9" xfId="0" applyBorder="1" applyAlignment="1">
      <alignment horizontal="center"/>
    </xf>
    <xf numFmtId="0" fontId="0" fillId="0" borderId="4" xfId="0" applyBorder="1" applyAlignment="1">
      <alignment horizontal="center"/>
    </xf>
    <xf numFmtId="0" fontId="0" fillId="0" borderId="3" xfId="0" applyBorder="1" applyAlignment="1">
      <alignment horizontal="center" vertical="center"/>
    </xf>
    <xf numFmtId="0" fontId="1"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'Small SD'!$AF$4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SD'!$AF$5:$AF$17</c:f>
              <c:numCache>
                <c:formatCode>General</c:formatCode>
                <c:ptCount val="13"/>
                <c:pt idx="0">
                  <c:v>4</c:v>
                </c:pt>
                <c:pt idx="1">
                  <c:v>1</c:v>
                </c:pt>
                <c:pt idx="2">
                  <c:v>2</c:v>
                </c:pt>
                <c:pt idx="3">
                  <c:v>8</c:v>
                </c:pt>
                <c:pt idx="4">
                  <c:v>3</c:v>
                </c:pt>
                <c:pt idx="5">
                  <c:v>9</c:v>
                </c:pt>
                <c:pt idx="6">
                  <c:v>6</c:v>
                </c:pt>
                <c:pt idx="7">
                  <c:v>5</c:v>
                </c:pt>
                <c:pt idx="8">
                  <c:v>7</c:v>
                </c:pt>
                <c:pt idx="9">
                  <c:v>10</c:v>
                </c:pt>
                <c:pt idx="10">
                  <c:v>13</c:v>
                </c:pt>
                <c:pt idx="11">
                  <c:v>11</c:v>
                </c:pt>
                <c:pt idx="12">
                  <c:v>12</c:v>
                </c:pt>
              </c:numCache>
            </c:numRef>
          </c:val>
          <c:smooth val="0"/>
          <c:extLst>
            <c:ext xmlns:c16="http://schemas.microsoft.com/office/drawing/2014/chart" uri="{C3380CC4-5D6E-409C-BE32-E72D297353CC}">
              <c16:uniqueId val="{00000002-8166-4A9F-9E1D-8B3180D14B84}"/>
            </c:ext>
          </c:extLst>
        </c:ser>
        <c:ser>
          <c:idx val="1"/>
          <c:order val="1"/>
          <c:tx>
            <c:strRef>
              <c:f>'Small SD'!$AG$4</c:f>
              <c:strCache>
                <c:ptCount val="1"/>
                <c:pt idx="0">
                  <c:v>TRL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SD'!$AG$5:$AG$17</c:f>
              <c:numCache>
                <c:formatCode>General</c:formatCode>
                <c:ptCount val="13"/>
                <c:pt idx="0">
                  <c:v>4</c:v>
                </c:pt>
                <c:pt idx="1">
                  <c:v>12</c:v>
                </c:pt>
                <c:pt idx="2">
                  <c:v>13</c:v>
                </c:pt>
                <c:pt idx="3">
                  <c:v>2</c:v>
                </c:pt>
                <c:pt idx="4">
                  <c:v>5</c:v>
                </c:pt>
                <c:pt idx="5">
                  <c:v>6</c:v>
                </c:pt>
                <c:pt idx="6">
                  <c:v>11</c:v>
                </c:pt>
                <c:pt idx="7">
                  <c:v>3</c:v>
                </c:pt>
                <c:pt idx="8">
                  <c:v>10</c:v>
                </c:pt>
                <c:pt idx="9">
                  <c:v>1</c:v>
                </c:pt>
                <c:pt idx="10">
                  <c:v>8</c:v>
                </c:pt>
                <c:pt idx="11">
                  <c:v>9</c:v>
                </c:pt>
                <c:pt idx="12">
                  <c:v>7</c:v>
                </c:pt>
              </c:numCache>
            </c:numRef>
          </c:val>
          <c:smooth val="0"/>
          <c:extLst>
            <c:ext xmlns:c16="http://schemas.microsoft.com/office/drawing/2014/chart" uri="{C3380CC4-5D6E-409C-BE32-E72D297353CC}">
              <c16:uniqueId val="{00000004-8166-4A9F-9E1D-8B3180D14B84}"/>
            </c:ext>
          </c:extLst>
        </c:ser>
        <c:ser>
          <c:idx val="2"/>
          <c:order val="2"/>
          <c:tx>
            <c:strRef>
              <c:f>'Small SD'!$AH$4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SD'!$AH$5:$AH$17</c:f>
              <c:numCache>
                <c:formatCode>General</c:formatCode>
                <c:ptCount val="13"/>
                <c:pt idx="0">
                  <c:v>7</c:v>
                </c:pt>
                <c:pt idx="1">
                  <c:v>6</c:v>
                </c:pt>
                <c:pt idx="2">
                  <c:v>5</c:v>
                </c:pt>
                <c:pt idx="3">
                  <c:v>3</c:v>
                </c:pt>
                <c:pt idx="4">
                  <c:v>2</c:v>
                </c:pt>
                <c:pt idx="5">
                  <c:v>11</c:v>
                </c:pt>
                <c:pt idx="6">
                  <c:v>13</c:v>
                </c:pt>
                <c:pt idx="7">
                  <c:v>8</c:v>
                </c:pt>
                <c:pt idx="8">
                  <c:v>10</c:v>
                </c:pt>
                <c:pt idx="9">
                  <c:v>4</c:v>
                </c:pt>
                <c:pt idx="10">
                  <c:v>12</c:v>
                </c:pt>
                <c:pt idx="11">
                  <c:v>1</c:v>
                </c:pt>
                <c:pt idx="12">
                  <c:v>9</c:v>
                </c:pt>
              </c:numCache>
            </c:numRef>
          </c:val>
          <c:smooth val="0"/>
          <c:extLst>
            <c:ext xmlns:c16="http://schemas.microsoft.com/office/drawing/2014/chart" uri="{C3380CC4-5D6E-409C-BE32-E72D297353CC}">
              <c16:uniqueId val="{00000006-8166-4A9F-9E1D-8B3180D14B84}"/>
            </c:ext>
          </c:extLst>
        </c:ser>
        <c:ser>
          <c:idx val="3"/>
          <c:order val="3"/>
          <c:tx>
            <c:strRef>
              <c:f>'Small SD'!$AI$4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SD'!$AI$5:$AI$17</c:f>
              <c:numCache>
                <c:formatCode>General</c:formatCode>
                <c:ptCount val="13"/>
                <c:pt idx="0">
                  <c:v>11</c:v>
                </c:pt>
                <c:pt idx="1">
                  <c:v>6</c:v>
                </c:pt>
                <c:pt idx="2">
                  <c:v>5</c:v>
                </c:pt>
                <c:pt idx="3">
                  <c:v>8</c:v>
                </c:pt>
                <c:pt idx="4">
                  <c:v>9</c:v>
                </c:pt>
                <c:pt idx="5">
                  <c:v>12</c:v>
                </c:pt>
                <c:pt idx="6">
                  <c:v>4</c:v>
                </c:pt>
                <c:pt idx="7">
                  <c:v>1</c:v>
                </c:pt>
                <c:pt idx="8">
                  <c:v>13</c:v>
                </c:pt>
                <c:pt idx="9">
                  <c:v>7</c:v>
                </c:pt>
                <c:pt idx="10">
                  <c:v>3</c:v>
                </c:pt>
                <c:pt idx="11">
                  <c:v>10</c:v>
                </c:pt>
                <c:pt idx="12">
                  <c:v>2</c:v>
                </c:pt>
              </c:numCache>
            </c:numRef>
          </c:val>
          <c:smooth val="0"/>
          <c:extLst>
            <c:ext xmlns:c16="http://schemas.microsoft.com/office/drawing/2014/chart" uri="{C3380CC4-5D6E-409C-BE32-E72D297353CC}">
              <c16:uniqueId val="{00000008-8166-4A9F-9E1D-8B3180D14B84}"/>
            </c:ext>
          </c:extLst>
        </c:ser>
        <c:ser>
          <c:idx val="4"/>
          <c:order val="4"/>
          <c:tx>
            <c:strRef>
              <c:f>'Small SD'!$AJ$4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SD'!$AJ$5:$AJ$17</c:f>
              <c:numCache>
                <c:formatCode>General</c:formatCode>
                <c:ptCount val="13"/>
                <c:pt idx="0">
                  <c:v>1</c:v>
                </c:pt>
                <c:pt idx="1">
                  <c:v>2</c:v>
                </c:pt>
                <c:pt idx="2">
                  <c:v>3</c:v>
                </c:pt>
                <c:pt idx="3">
                  <c:v>13</c:v>
                </c:pt>
                <c:pt idx="4">
                  <c:v>11</c:v>
                </c:pt>
                <c:pt idx="5">
                  <c:v>8</c:v>
                </c:pt>
                <c:pt idx="6">
                  <c:v>6</c:v>
                </c:pt>
                <c:pt idx="7">
                  <c:v>4</c:v>
                </c:pt>
                <c:pt idx="8">
                  <c:v>12</c:v>
                </c:pt>
                <c:pt idx="9">
                  <c:v>10</c:v>
                </c:pt>
                <c:pt idx="10">
                  <c:v>7</c:v>
                </c:pt>
                <c:pt idx="11">
                  <c:v>9</c:v>
                </c:pt>
                <c:pt idx="12">
                  <c:v>5</c:v>
                </c:pt>
              </c:numCache>
            </c:numRef>
          </c:val>
          <c:smooth val="0"/>
          <c:extLst>
            <c:ext xmlns:c16="http://schemas.microsoft.com/office/drawing/2014/chart" uri="{C3380CC4-5D6E-409C-BE32-E72D297353CC}">
              <c16:uniqueId val="{0000000A-8166-4A9F-9E1D-8B3180D14B84}"/>
            </c:ext>
          </c:extLst>
        </c:ser>
        <c:ser>
          <c:idx val="5"/>
          <c:order val="5"/>
          <c:tx>
            <c:strRef>
              <c:f>'Small SD'!$AK$4</c:f>
              <c:strCache>
                <c:ptCount val="1"/>
                <c:pt idx="0">
                  <c:v>Suitability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SD'!$AK$5:$AK$17</c:f>
              <c:numCache>
                <c:formatCode>General</c:formatCode>
                <c:ptCount val="13"/>
                <c:pt idx="0">
                  <c:v>1</c:v>
                </c:pt>
                <c:pt idx="1">
                  <c:v>6</c:v>
                </c:pt>
                <c:pt idx="2">
                  <c:v>8</c:v>
                </c:pt>
                <c:pt idx="3">
                  <c:v>11</c:v>
                </c:pt>
                <c:pt idx="4">
                  <c:v>10</c:v>
                </c:pt>
                <c:pt idx="5">
                  <c:v>9</c:v>
                </c:pt>
                <c:pt idx="6">
                  <c:v>2</c:v>
                </c:pt>
                <c:pt idx="7">
                  <c:v>3</c:v>
                </c:pt>
                <c:pt idx="8">
                  <c:v>5</c:v>
                </c:pt>
                <c:pt idx="9">
                  <c:v>13</c:v>
                </c:pt>
                <c:pt idx="10">
                  <c:v>7</c:v>
                </c:pt>
                <c:pt idx="11">
                  <c:v>12</c:v>
                </c:pt>
                <c:pt idx="12">
                  <c:v>4</c:v>
                </c:pt>
              </c:numCache>
            </c:numRef>
          </c:val>
          <c:smooth val="0"/>
          <c:extLst>
            <c:ext xmlns:c16="http://schemas.microsoft.com/office/drawing/2014/chart" uri="{C3380CC4-5D6E-409C-BE32-E72D297353CC}">
              <c16:uniqueId val="{0000000C-8166-4A9F-9E1D-8B3180D14B84}"/>
            </c:ext>
          </c:extLst>
        </c:ser>
        <c:dLbls>
          <c:dLblPos val="b"/>
          <c:showLegendKey val="0"/>
          <c:showVal val="1"/>
          <c:showCatName val="0"/>
          <c:showSerName val="0"/>
          <c:showPercent val="0"/>
          <c:showBubbleSize val="0"/>
        </c:dLbls>
        <c:marker val="1"/>
        <c:smooth val="0"/>
        <c:axId val="102221320"/>
        <c:axId val="1205219336"/>
      </c:lineChart>
      <c:catAx>
        <c:axId val="102221320"/>
        <c:scaling>
          <c:orientation val="minMax"/>
        </c:scaling>
        <c:delete val="0"/>
        <c:axPos val="t"/>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19336"/>
        <c:crosses val="autoZero"/>
        <c:auto val="1"/>
        <c:lblAlgn val="ctr"/>
        <c:lblOffset val="100"/>
        <c:noMultiLvlLbl val="0"/>
      </c:catAx>
      <c:valAx>
        <c:axId val="1205219336"/>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1320"/>
        <c:crosses val="autoZero"/>
        <c:crossBetween val="between"/>
        <c:majorUnit val="1"/>
        <c:minorUnit val="0.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PM'!$W$1</c:f>
              <c:strCache>
                <c:ptCount val="1"/>
                <c:pt idx="0">
                  <c:v>Mass of Prop Spent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'SMA raising Isp 500 PM'!$W$2:$W$7</c:f>
              <c:numCache>
                <c:formatCode>General</c:formatCode>
                <c:ptCount val="6"/>
                <c:pt idx="1">
                  <c:v>106.76891301836663</c:v>
                </c:pt>
                <c:pt idx="2">
                  <c:v>69.977682509424469</c:v>
                </c:pt>
                <c:pt idx="3">
                  <c:v>65.416962392284944</c:v>
                </c:pt>
                <c:pt idx="4">
                  <c:v>60.703034151781516</c:v>
                </c:pt>
                <c:pt idx="5">
                  <c:v>57.204019211281874</c:v>
                </c:pt>
              </c:numCache>
            </c:numRef>
          </c:val>
          <c:smooth val="0"/>
          <c:extLst>
            <c:ext xmlns:c16="http://schemas.microsoft.com/office/drawing/2014/chart" uri="{C3380CC4-5D6E-409C-BE32-E72D297353CC}">
              <c16:uniqueId val="{0000000A-C4BE-4D95-9E64-4AF9E42D812A}"/>
            </c:ext>
          </c:extLst>
        </c:ser>
        <c:ser>
          <c:idx val="1"/>
          <c:order val="1"/>
          <c:tx>
            <c:strRef>
              <c:f>'SMA raising Isp 500 PM'!$X$1</c:f>
              <c:strCache>
                <c:ptCount val="1"/>
                <c:pt idx="0">
                  <c:v>Mass of Prop Spent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'SMA raising Isp 500 PM'!$X$2:$X$7</c:f>
              <c:numCache>
                <c:formatCode>General</c:formatCode>
                <c:ptCount val="6"/>
                <c:pt idx="1">
                  <c:v>105.26300451317104</c:v>
                </c:pt>
                <c:pt idx="2">
                  <c:v>68.001784671290807</c:v>
                </c:pt>
                <c:pt idx="3">
                  <c:v>62.65338832590772</c:v>
                </c:pt>
                <c:pt idx="4">
                  <c:v>57.296706198705884</c:v>
                </c:pt>
                <c:pt idx="5">
                  <c:v>53.209726526243323</c:v>
                </c:pt>
              </c:numCache>
            </c:numRef>
          </c:val>
          <c:smooth val="0"/>
          <c:extLst>
            <c:ext xmlns:c16="http://schemas.microsoft.com/office/drawing/2014/chart" uri="{C3380CC4-5D6E-409C-BE32-E72D297353CC}">
              <c16:uniqueId val="{0000000C-C4BE-4D95-9E64-4AF9E42D812A}"/>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PM'!$S$1</c:f>
              <c:strCache>
                <c:ptCount val="1"/>
                <c:pt idx="0">
                  <c:v>Dry Mass frac  w SD</c:v>
                </c:pt>
              </c:strCache>
            </c:strRef>
          </c:tx>
          <c:spPr>
            <a:ln w="28575" cap="rnd">
              <a:solidFill>
                <a:srgbClr val="002060"/>
              </a:solidFill>
              <a:prstDash val="solid"/>
              <a:round/>
            </a:ln>
            <a:effectLst/>
          </c:spPr>
          <c:marker>
            <c:symbol val="x"/>
            <c:size val="9"/>
            <c:spPr>
              <a:noFill/>
              <a:ln w="9525">
                <a:solidFill>
                  <a:schemeClr val="accent1"/>
                </a:solidFill>
              </a:ln>
              <a:effectLst/>
            </c:spPr>
          </c:marker>
          <c:cat>
            <c:strRef>
              <c:f>'SMA raising Isp 500 PM'!Q2:Q7</c:f>
              <c:strCache>
                <c:ptCount val="6"/>
                <c:pt idx="1">
                  <c:v>1 to 2</c:v>
                </c:pt>
                <c:pt idx="2">
                  <c:v>2 to 3</c:v>
                </c:pt>
                <c:pt idx="3">
                  <c:v>3 to 4</c:v>
                </c:pt>
                <c:pt idx="4">
                  <c:v>4 to 5</c:v>
                </c:pt>
                <c:pt idx="5">
                  <c:v>5 to 6</c:v>
                </c:pt>
              </c:strCache>
            </c:strRef>
          </c:cat>
          <c:val>
            <c:numRef>
              <c:f>'SMA raising Isp 500 PM'!$S$2:$S$7</c:f>
              <c:numCache>
                <c:formatCode>General</c:formatCode>
                <c:ptCount val="6"/>
                <c:pt idx="1">
                  <c:v>0.24576591236100179</c:v>
                </c:pt>
                <c:pt idx="2">
                  <c:v>0.26182962293814827</c:v>
                </c:pt>
                <c:pt idx="3">
                  <c:v>0.27770949796881372</c:v>
                </c:pt>
                <c:pt idx="4">
                  <c:v>0.29332572760094633</c:v>
                </c:pt>
                <c:pt idx="5">
                  <c:v>0.30872135870347728</c:v>
                </c:pt>
              </c:numCache>
            </c:numRef>
          </c:val>
          <c:smooth val="0"/>
          <c:extLst>
            <c:ext xmlns:c16="http://schemas.microsoft.com/office/drawing/2014/chart" uri="{C3380CC4-5D6E-409C-BE32-E72D297353CC}">
              <c16:uniqueId val="{00000014-66F4-4BDD-A435-69066696E89D}"/>
            </c:ext>
          </c:extLst>
        </c:ser>
        <c:ser>
          <c:idx val="1"/>
          <c:order val="1"/>
          <c:tx>
            <c:strRef>
              <c:f>'SMA raising Isp 500 PM'!$Y$1</c:f>
              <c:strCache>
                <c:ptCount val="1"/>
                <c:pt idx="0">
                  <c:v>(after travelling) Fuel Frac w SD </c:v>
                </c:pt>
              </c:strCache>
            </c:strRef>
          </c:tx>
          <c:spPr>
            <a:ln w="28575" cap="rnd">
              <a:solidFill>
                <a:srgbClr val="002060"/>
              </a:solidFill>
              <a:prstDash val="solid"/>
              <a:round/>
            </a:ln>
            <a:effectLst/>
          </c:spPr>
          <c:marker>
            <c:symbol val="circle"/>
            <c:size val="9"/>
            <c:spPr>
              <a:solidFill>
                <a:srgbClr val="002060"/>
              </a:solidFill>
              <a:ln w="25400">
                <a:noFill/>
              </a:ln>
              <a:effectLst/>
            </c:spPr>
          </c:marker>
          <c:cat>
            <c:strRef>
              <c:f>'SMA raising Isp 500 PM'!Q2:Q7</c:f>
              <c:strCache>
                <c:ptCount val="6"/>
                <c:pt idx="1">
                  <c:v>1 to 2</c:v>
                </c:pt>
                <c:pt idx="2">
                  <c:v>2 to 3</c:v>
                </c:pt>
                <c:pt idx="3">
                  <c:v>3 to 4</c:v>
                </c:pt>
                <c:pt idx="4">
                  <c:v>4 to 5</c:v>
                </c:pt>
                <c:pt idx="5">
                  <c:v>5 to 6</c:v>
                </c:pt>
              </c:strCache>
            </c:strRef>
          </c:cat>
          <c:val>
            <c:numRef>
              <c:f>'SMA raising Isp 500 PM'!$Y$2:$Y$7</c:f>
              <c:numCache>
                <c:formatCode>General</c:formatCode>
                <c:ptCount val="6"/>
                <c:pt idx="1">
                  <c:v>0.75423408763899824</c:v>
                </c:pt>
                <c:pt idx="2">
                  <c:v>0.73817037706185173</c:v>
                </c:pt>
                <c:pt idx="3">
                  <c:v>0.72229050203118628</c:v>
                </c:pt>
                <c:pt idx="4">
                  <c:v>0.70667427239905367</c:v>
                </c:pt>
                <c:pt idx="5">
                  <c:v>0.69127864129652272</c:v>
                </c:pt>
              </c:numCache>
            </c:numRef>
          </c:val>
          <c:smooth val="0"/>
          <c:extLst>
            <c:ext xmlns:c16="http://schemas.microsoft.com/office/drawing/2014/chart" uri="{C3380CC4-5D6E-409C-BE32-E72D297353CC}">
              <c16:uniqueId val="{00000016-66F4-4BDD-A435-69066696E89D}"/>
            </c:ext>
          </c:extLst>
        </c:ser>
        <c:ser>
          <c:idx val="2"/>
          <c:order val="2"/>
          <c:tx>
            <c:strRef>
              <c:f>'SMA raising Isp 500 PM'!$Z$1</c:f>
              <c:strCache>
                <c:ptCount val="1"/>
                <c:pt idx="0">
                  <c:v>(after travelling) Fuel Frac w/o SD</c:v>
                </c:pt>
              </c:strCache>
            </c:strRef>
          </c:tx>
          <c:spPr>
            <a:ln w="28575" cap="rnd">
              <a:solidFill>
                <a:srgbClr val="F1A983"/>
              </a:solidFill>
              <a:prstDash val="solid"/>
              <a:round/>
            </a:ln>
            <a:effectLst/>
          </c:spPr>
          <c:marker>
            <c:symbol val="circle"/>
            <c:size val="9"/>
            <c:spPr>
              <a:solidFill>
                <a:srgbClr val="F5C6AB"/>
              </a:solidFill>
              <a:ln w="25400">
                <a:noFill/>
              </a:ln>
              <a:effectLst/>
            </c:spPr>
          </c:marker>
          <c:cat>
            <c:strRef>
              <c:f>'SMA raising Isp 500 PM'!Q2:Q7</c:f>
              <c:strCache>
                <c:ptCount val="6"/>
                <c:pt idx="1">
                  <c:v>1 to 2</c:v>
                </c:pt>
                <c:pt idx="2">
                  <c:v>2 to 3</c:v>
                </c:pt>
                <c:pt idx="3">
                  <c:v>3 to 4</c:v>
                </c:pt>
                <c:pt idx="4">
                  <c:v>4 to 5</c:v>
                </c:pt>
                <c:pt idx="5">
                  <c:v>5 to 6</c:v>
                </c:pt>
              </c:strCache>
            </c:strRef>
          </c:cat>
          <c:val>
            <c:numRef>
              <c:f>'SMA raising Isp 500 PM'!$Z$2:$Z$7</c:f>
              <c:numCache>
                <c:formatCode>General</c:formatCode>
                <c:ptCount val="6"/>
                <c:pt idx="1">
                  <c:v>0.7654685301371521</c:v>
                </c:pt>
                <c:pt idx="2">
                  <c:v>0.76066725685675141</c:v>
                </c:pt>
                <c:pt idx="3">
                  <c:v>0.7560662655002951</c:v>
                </c:pt>
                <c:pt idx="4">
                  <c:v>0.75170101330192962</c:v>
                </c:pt>
                <c:pt idx="5">
                  <c:v>0.74750485486726215</c:v>
                </c:pt>
              </c:numCache>
            </c:numRef>
          </c:val>
          <c:smooth val="0"/>
          <c:extLst>
            <c:ext xmlns:c16="http://schemas.microsoft.com/office/drawing/2014/chart" uri="{C3380CC4-5D6E-409C-BE32-E72D297353CC}">
              <c16:uniqueId val="{00000018-66F4-4BDD-A435-69066696E89D}"/>
            </c:ext>
          </c:extLst>
        </c:ser>
        <c:ser>
          <c:idx val="3"/>
          <c:order val="3"/>
          <c:tx>
            <c:strRef>
              <c:f>'SMA raising Isp 500 PM'!$AB$1</c:f>
              <c:strCache>
                <c:ptCount val="1"/>
                <c:pt idx="0">
                  <c:v>Dry Mass Frac w/o SD</c:v>
                </c:pt>
              </c:strCache>
            </c:strRef>
          </c:tx>
          <c:spPr>
            <a:ln w="28575" cap="rnd">
              <a:solidFill>
                <a:srgbClr val="F1A983"/>
              </a:solidFill>
              <a:prstDash val="solid"/>
              <a:round/>
            </a:ln>
            <a:effectLst/>
          </c:spPr>
          <c:marker>
            <c:symbol val="x"/>
            <c:size val="9"/>
            <c:spPr>
              <a:noFill/>
              <a:ln w="9525">
                <a:solidFill>
                  <a:srgbClr val="F1A983"/>
                </a:solidFill>
                <a:prstDash val="solid"/>
              </a:ln>
              <a:effectLst/>
            </c:spPr>
          </c:marker>
          <c:cat>
            <c:strRef>
              <c:f>'SMA raising Isp 500 PM'!Q2:Q7</c:f>
              <c:strCache>
                <c:ptCount val="6"/>
                <c:pt idx="1">
                  <c:v>1 to 2</c:v>
                </c:pt>
                <c:pt idx="2">
                  <c:v>2 to 3</c:v>
                </c:pt>
                <c:pt idx="3">
                  <c:v>3 to 4</c:v>
                </c:pt>
                <c:pt idx="4">
                  <c:v>4 to 5</c:v>
                </c:pt>
                <c:pt idx="5">
                  <c:v>5 to 6</c:v>
                </c:pt>
              </c:strCache>
            </c:strRef>
          </c:cat>
          <c:val>
            <c:numRef>
              <c:f>'SMA raising Isp 500 PM'!$AB$2:$AB$7</c:f>
              <c:numCache>
                <c:formatCode>General</c:formatCode>
                <c:ptCount val="6"/>
                <c:pt idx="1">
                  <c:v>0.23453146986284795</c:v>
                </c:pt>
                <c:pt idx="2">
                  <c:v>0.23933274314324862</c:v>
                </c:pt>
                <c:pt idx="3">
                  <c:v>0.24393373449970496</c:v>
                </c:pt>
                <c:pt idx="4">
                  <c:v>0.24829898669807038</c:v>
                </c:pt>
                <c:pt idx="5">
                  <c:v>0.25249514513273791</c:v>
                </c:pt>
              </c:numCache>
            </c:numRef>
          </c:val>
          <c:smooth val="0"/>
          <c:extLst>
            <c:ext xmlns:c16="http://schemas.microsoft.com/office/drawing/2014/chart" uri="{C3380CC4-5D6E-409C-BE32-E72D297353CC}">
              <c16:uniqueId val="{0000001A-66F4-4BDD-A435-69066696E89D}"/>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PM'!$AD$1</c:f>
              <c:strCache>
                <c:ptCount val="1"/>
                <c:pt idx="0">
                  <c:v>Total system Mass when arriving at dest w SDs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'SMA raising Isp 500 PM'!Q2:Q7</c:f>
              <c:strCache>
                <c:ptCount val="6"/>
                <c:pt idx="1">
                  <c:v>1 to 2</c:v>
                </c:pt>
                <c:pt idx="2">
                  <c:v>2 to 3</c:v>
                </c:pt>
                <c:pt idx="3">
                  <c:v>3 to 4</c:v>
                </c:pt>
                <c:pt idx="4">
                  <c:v>4 to 5</c:v>
                </c:pt>
                <c:pt idx="5">
                  <c:v>5 to 6</c:v>
                </c:pt>
              </c:strCache>
            </c:strRef>
          </c:cat>
          <c:val>
            <c:numRef>
              <c:f>'SMA raising Isp 500 PM'!$AD$2:$AD$7</c:f>
              <c:numCache>
                <c:formatCode>General</c:formatCode>
                <c:ptCount val="6"/>
                <c:pt idx="1">
                  <c:v>3438.2310869816333</c:v>
                </c:pt>
                <c:pt idx="2">
                  <c:v>3418.2534044722088</c:v>
                </c:pt>
                <c:pt idx="3">
                  <c:v>3402.8364420799239</c:v>
                </c:pt>
                <c:pt idx="4">
                  <c:v>3392.1334079281423</c:v>
                </c:pt>
                <c:pt idx="5">
                  <c:v>3384.9293887168606</c:v>
                </c:pt>
              </c:numCache>
            </c:numRef>
          </c:val>
          <c:smooth val="0"/>
          <c:extLst>
            <c:ext xmlns:c16="http://schemas.microsoft.com/office/drawing/2014/chart" uri="{C3380CC4-5D6E-409C-BE32-E72D297353CC}">
              <c16:uniqueId val="{00000008-EC8A-467D-9408-DBA814F0EA7D}"/>
            </c:ext>
          </c:extLst>
        </c:ser>
        <c:ser>
          <c:idx val="1"/>
          <c:order val="1"/>
          <c:tx>
            <c:strRef>
              <c:f>'SMA raising Isp 500 PM'!$AE$1</c:f>
              <c:strCache>
                <c:ptCount val="1"/>
                <c:pt idx="0">
                  <c:v>Total System Mass when arriving at dest NO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'SMA raising Isp 500 PM'!Q2:Q7</c:f>
              <c:strCache>
                <c:ptCount val="6"/>
                <c:pt idx="1">
                  <c:v>1 to 2</c:v>
                </c:pt>
                <c:pt idx="2">
                  <c:v>2 to 3</c:v>
                </c:pt>
                <c:pt idx="3">
                  <c:v>3 to 4</c:v>
                </c:pt>
                <c:pt idx="4">
                  <c:v>4 to 5</c:v>
                </c:pt>
                <c:pt idx="5">
                  <c:v>5 to 6</c:v>
                </c:pt>
              </c:strCache>
            </c:strRef>
          </c:cat>
          <c:val>
            <c:numRef>
              <c:f>'SMA raising Isp 500 PM'!$AE$2:$AE$7</c:f>
              <c:numCache>
                <c:formatCode>General</c:formatCode>
                <c:ptCount val="6"/>
                <c:pt idx="1">
                  <c:v>3389.7369954868291</c:v>
                </c:pt>
                <c:pt idx="2">
                  <c:v>3321.7352108155383</c:v>
                </c:pt>
                <c:pt idx="3">
                  <c:v>3259.0818224896302</c:v>
                </c:pt>
                <c:pt idx="4">
                  <c:v>3201.7851162909246</c:v>
                </c:pt>
                <c:pt idx="5">
                  <c:v>3148.5753897646814</c:v>
                </c:pt>
              </c:numCache>
            </c:numRef>
          </c:val>
          <c:smooth val="0"/>
          <c:extLst>
            <c:ext xmlns:c16="http://schemas.microsoft.com/office/drawing/2014/chart" uri="{C3380CC4-5D6E-409C-BE32-E72D297353CC}">
              <c16:uniqueId val="{0000000A-EC8A-467D-9408-DBA814F0EA7D}"/>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'Phasing Isp 600'!$U$1</c:f>
              <c:strCache>
                <c:ptCount val="1"/>
                <c:pt idx="0">
                  <c:v>Mass Prop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'Phasing Isp 600'!$U$2:$U$7</c:f>
              <c:numCache>
                <c:formatCode>General</c:formatCode>
                <c:ptCount val="6"/>
                <c:pt idx="1">
                  <c:v>25.673011556210646</c:v>
                </c:pt>
                <c:pt idx="2">
                  <c:v>17.414341468920981</c:v>
                </c:pt>
                <c:pt idx="3">
                  <c:v>16.810495224619675</c:v>
                </c:pt>
                <c:pt idx="4">
                  <c:v>16.085093770612549</c:v>
                </c:pt>
                <c:pt idx="5">
                  <c:v>15.608983984572056</c:v>
                </c:pt>
              </c:numCache>
            </c:numRef>
          </c:val>
          <c:smooth val="0"/>
          <c:extLst>
            <c:ext xmlns:c16="http://schemas.microsoft.com/office/drawing/2014/chart" uri="{C3380CC4-5D6E-409C-BE32-E72D297353CC}">
              <c16:uniqueId val="{00000000-3521-4290-B59A-E6FFA13E85D6}"/>
            </c:ext>
          </c:extLst>
        </c:ser>
        <c:ser>
          <c:idx val="1"/>
          <c:order val="1"/>
          <c:tx>
            <c:strRef>
              <c:f>'Phasing Isp 600'!$V$1</c:f>
              <c:strCache>
                <c:ptCount val="1"/>
                <c:pt idx="0">
                  <c:v>Mass Prop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'Phasing Isp 600'!$V$2:$V$7</c:f>
              <c:numCache>
                <c:formatCode>General</c:formatCode>
                <c:ptCount val="6"/>
                <c:pt idx="1">
                  <c:v>24.533163057243339</c:v>
                </c:pt>
                <c:pt idx="2">
                  <c:v>15.916265504538417</c:v>
                </c:pt>
                <c:pt idx="3">
                  <c:v>14.712560263109065</c:v>
                </c:pt>
                <c:pt idx="4">
                  <c:v>13.495987980963141</c:v>
                </c:pt>
                <c:pt idx="5">
                  <c:v>12.569403568149228</c:v>
                </c:pt>
              </c:numCache>
            </c:numRef>
          </c:val>
          <c:smooth val="0"/>
          <c:extLst>
            <c:ext xmlns:c16="http://schemas.microsoft.com/office/drawing/2014/chart" uri="{C3380CC4-5D6E-409C-BE32-E72D297353CC}">
              <c16:uniqueId val="{00000001-3521-4290-B59A-E6FFA13E85D6}"/>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'Phasing Isp 1000'!$U$1</c:f>
              <c:strCache>
                <c:ptCount val="1"/>
                <c:pt idx="0">
                  <c:v>Mass Prop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'Phasing Isp 1000'!$U$2:$U$7</c:f>
              <c:numCache>
                <c:formatCode>General</c:formatCode>
                <c:ptCount val="6"/>
                <c:pt idx="1">
                  <c:v>15.482249961142733</c:v>
                </c:pt>
                <c:pt idx="2">
                  <c:v>10.586611743788525</c:v>
                </c:pt>
                <c:pt idx="3">
                  <c:v>10.279552645276768</c:v>
                </c:pt>
                <c:pt idx="4">
                  <c:v>9.8874970537946698</c:v>
                </c:pt>
                <c:pt idx="5">
                  <c:v>9.639751376505421</c:v>
                </c:pt>
              </c:numCache>
            </c:numRef>
          </c:val>
          <c:smooth val="0"/>
          <c:extLst>
            <c:ext xmlns:c16="http://schemas.microsoft.com/office/drawing/2014/chart" uri="{C3380CC4-5D6E-409C-BE32-E72D297353CC}">
              <c16:uniqueId val="{00000000-C30A-4436-9183-3D60C804DC45}"/>
            </c:ext>
          </c:extLst>
        </c:ser>
        <c:ser>
          <c:idx val="1"/>
          <c:order val="1"/>
          <c:tx>
            <c:strRef>
              <c:f>'Phasing Isp 1000'!$V$1</c:f>
              <c:strCache>
                <c:ptCount val="1"/>
                <c:pt idx="0">
                  <c:v>Mass Prop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'Phasing Isp 1000'!$V$2:$V$7</c:f>
              <c:numCache>
                <c:formatCode>General</c:formatCode>
                <c:ptCount val="6"/>
                <c:pt idx="1">
                  <c:v>14.79485809282972</c:v>
                </c:pt>
                <c:pt idx="2">
                  <c:v>9.6801706583708675</c:v>
                </c:pt>
                <c:pt idx="3">
                  <c:v>9.0069054414849976</c:v>
                </c:pt>
                <c:pt idx="4">
                  <c:v>8.3129382688355058</c:v>
                </c:pt>
                <c:pt idx="5">
                  <c:v>7.7868476148027108</c:v>
                </c:pt>
              </c:numCache>
            </c:numRef>
          </c:val>
          <c:smooth val="0"/>
          <c:extLst>
            <c:ext xmlns:c16="http://schemas.microsoft.com/office/drawing/2014/chart" uri="{C3380CC4-5D6E-409C-BE32-E72D297353CC}">
              <c16:uniqueId val="{00000001-C30A-4436-9183-3D60C804DC45}"/>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'Phasing Isp 2000'!$U$1</c:f>
              <c:strCache>
                <c:ptCount val="1"/>
                <c:pt idx="0">
                  <c:v>Mass Prop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'Phasing Isp 2000'!$U$2:$U$7</c:f>
              <c:numCache>
                <c:formatCode>General</c:formatCode>
                <c:ptCount val="6"/>
                <c:pt idx="1">
                  <c:v>7.7707162927848827</c:v>
                </c:pt>
                <c:pt idx="2">
                  <c:v>5.3456842995174725</c:v>
                </c:pt>
                <c:pt idx="3">
                  <c:v>5.2135231133068336</c:v>
                </c:pt>
                <c:pt idx="4">
                  <c:v>5.0344310417359459</c:v>
                </c:pt>
                <c:pt idx="5">
                  <c:v>4.9255946351561128</c:v>
                </c:pt>
              </c:numCache>
            </c:numRef>
          </c:val>
          <c:smooth val="0"/>
          <c:extLst>
            <c:ext xmlns:c16="http://schemas.microsoft.com/office/drawing/2014/chart" uri="{C3380CC4-5D6E-409C-BE32-E72D297353CC}">
              <c16:uniqueId val="{00000000-4E6D-4E37-8A2B-F6CB849A0783}"/>
            </c:ext>
          </c:extLst>
        </c:ser>
        <c:ser>
          <c:idx val="1"/>
          <c:order val="1"/>
          <c:tx>
            <c:strRef>
              <c:f>'Phasing Isp 2000'!$V$1</c:f>
              <c:strCache>
                <c:ptCount val="1"/>
                <c:pt idx="0">
                  <c:v>Mass Prop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'Phasing Isp 2000'!$V$2:$V$7</c:f>
              <c:numCache>
                <c:formatCode>General</c:formatCode>
                <c:ptCount val="6"/>
                <c:pt idx="1">
                  <c:v>7.4257065426494764</c:v>
                </c:pt>
                <c:pt idx="2">
                  <c:v>4.889585483042147</c:v>
                </c:pt>
                <c:pt idx="3">
                  <c:v>4.5719201658314583</c:v>
                </c:pt>
                <c:pt idx="4">
                  <c:v>4.2391067846125585</c:v>
                </c:pt>
                <c:pt idx="5">
                  <c:v>3.9879916245638878</c:v>
                </c:pt>
              </c:numCache>
            </c:numRef>
          </c:val>
          <c:smooth val="0"/>
          <c:extLst>
            <c:ext xmlns:c16="http://schemas.microsoft.com/office/drawing/2014/chart" uri="{C3380CC4-5D6E-409C-BE32-E72D297353CC}">
              <c16:uniqueId val="{00000001-4E6D-4E37-8A2B-F6CB849A0783}"/>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RB'!$W$1</c:f>
              <c:strCache>
                <c:ptCount val="1"/>
                <c:pt idx="0">
                  <c:v>Mass of Prop Spent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'SMA raising Isp 500 RB'!$W$2:$W$7</c:f>
              <c:numCache>
                <c:formatCode>General</c:formatCode>
                <c:ptCount val="6"/>
                <c:pt idx="1">
                  <c:v>150.44025966903845</c:v>
                </c:pt>
                <c:pt idx="2">
                  <c:v>127.27871981530053</c:v>
                </c:pt>
                <c:pt idx="3">
                  <c:v>145.56061031722479</c:v>
                </c:pt>
                <c:pt idx="4">
                  <c:v>159.48654479097456</c:v>
                </c:pt>
                <c:pt idx="5">
                  <c:v>173.03850707739977</c:v>
                </c:pt>
              </c:numCache>
            </c:numRef>
          </c:val>
          <c:smooth val="0"/>
          <c:extLst>
            <c:ext xmlns:c16="http://schemas.microsoft.com/office/drawing/2014/chart" uri="{C3380CC4-5D6E-409C-BE32-E72D297353CC}">
              <c16:uniqueId val="{00000000-B3E2-41B2-9D2E-105BAF67BA22}"/>
            </c:ext>
          </c:extLst>
        </c:ser>
        <c:ser>
          <c:idx val="1"/>
          <c:order val="1"/>
          <c:tx>
            <c:strRef>
              <c:f>'SMA raising Isp 500 RB'!$X$1</c:f>
              <c:strCache>
                <c:ptCount val="1"/>
                <c:pt idx="0">
                  <c:v>Mass of Prop Spent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'SMA raising Isp 500 RB'!$X$2:$X$7</c:f>
              <c:numCache>
                <c:formatCode>General</c:formatCode>
                <c:ptCount val="6"/>
                <c:pt idx="1">
                  <c:v>105.26300451317104</c:v>
                </c:pt>
                <c:pt idx="2">
                  <c:v>68.001784671290807</c:v>
                </c:pt>
                <c:pt idx="3">
                  <c:v>62.65338832590772</c:v>
                </c:pt>
                <c:pt idx="4">
                  <c:v>57.296706198705884</c:v>
                </c:pt>
                <c:pt idx="5">
                  <c:v>53.209726526243323</c:v>
                </c:pt>
              </c:numCache>
            </c:numRef>
          </c:val>
          <c:smooth val="0"/>
          <c:extLst>
            <c:ext xmlns:c16="http://schemas.microsoft.com/office/drawing/2014/chart" uri="{C3380CC4-5D6E-409C-BE32-E72D297353CC}">
              <c16:uniqueId val="{00000001-B3E2-41B2-9D2E-105BAF67BA22}"/>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RB'!$S$1</c:f>
              <c:strCache>
                <c:ptCount val="1"/>
                <c:pt idx="0">
                  <c:v>Dry Mass frac  w SD</c:v>
                </c:pt>
              </c:strCache>
            </c:strRef>
          </c:tx>
          <c:spPr>
            <a:ln w="28575" cap="rnd">
              <a:solidFill>
                <a:srgbClr val="002060"/>
              </a:solidFill>
              <a:prstDash val="solid"/>
              <a:round/>
            </a:ln>
            <a:effectLst/>
          </c:spPr>
          <c:marker>
            <c:symbol val="x"/>
            <c:size val="9"/>
            <c:spPr>
              <a:noFill/>
              <a:ln w="9525">
                <a:solidFill>
                  <a:schemeClr val="accent1"/>
                </a:solidFill>
              </a:ln>
              <a:effectLst/>
            </c:spPr>
          </c:marker>
          <c:cat>
            <c:strRef>
              <c:f>'SMA raising Isp 500 RB'!Q2:Q7</c:f>
              <c:strCache>
                <c:ptCount val="6"/>
                <c:pt idx="1">
                  <c:v>1 to 2</c:v>
                </c:pt>
                <c:pt idx="2">
                  <c:v>2 to 3</c:v>
                </c:pt>
                <c:pt idx="3">
                  <c:v>3 to 4</c:v>
                </c:pt>
                <c:pt idx="4">
                  <c:v>4 to 5</c:v>
                </c:pt>
                <c:pt idx="5">
                  <c:v>5 to 6</c:v>
                </c:pt>
              </c:strCache>
            </c:strRef>
          </c:cat>
          <c:val>
            <c:numRef>
              <c:f>'SMA raising Isp 500 RB'!$S$2:$S$7</c:f>
              <c:numCache>
                <c:formatCode>General</c:formatCode>
                <c:ptCount val="6"/>
                <c:pt idx="1">
                  <c:v>0.47372725758630335</c:v>
                </c:pt>
                <c:pt idx="2">
                  <c:v>0.61039544255396117</c:v>
                </c:pt>
                <c:pt idx="3">
                  <c:v>0.69931266781431922</c:v>
                </c:pt>
                <c:pt idx="4">
                  <c:v>0.76243510915647827</c:v>
                </c:pt>
                <c:pt idx="5">
                  <c:v>0.81012225176967945</c:v>
                </c:pt>
              </c:numCache>
            </c:numRef>
          </c:val>
          <c:smooth val="0"/>
          <c:extLst>
            <c:ext xmlns:c16="http://schemas.microsoft.com/office/drawing/2014/chart" uri="{C3380CC4-5D6E-409C-BE32-E72D297353CC}">
              <c16:uniqueId val="{00000000-F44B-47BD-BF05-D8F59A984FB9}"/>
            </c:ext>
          </c:extLst>
        </c:ser>
        <c:ser>
          <c:idx val="1"/>
          <c:order val="1"/>
          <c:tx>
            <c:strRef>
              <c:f>'SMA raising Isp 500 RB'!$Y$1</c:f>
              <c:strCache>
                <c:ptCount val="1"/>
                <c:pt idx="0">
                  <c:v>(after travelling) Fuel Frac w SD </c:v>
                </c:pt>
              </c:strCache>
            </c:strRef>
          </c:tx>
          <c:spPr>
            <a:ln w="28575" cap="rnd">
              <a:solidFill>
                <a:srgbClr val="002060"/>
              </a:solidFill>
              <a:prstDash val="solid"/>
              <a:round/>
            </a:ln>
            <a:effectLst/>
          </c:spPr>
          <c:marker>
            <c:symbol val="circle"/>
            <c:size val="9"/>
            <c:spPr>
              <a:solidFill>
                <a:srgbClr val="002060"/>
              </a:solidFill>
              <a:ln w="25400">
                <a:noFill/>
              </a:ln>
              <a:effectLst/>
            </c:spPr>
          </c:marker>
          <c:cat>
            <c:strRef>
              <c:f>'SMA raising Isp 500 RB'!Q2:Q7</c:f>
              <c:strCache>
                <c:ptCount val="6"/>
                <c:pt idx="1">
                  <c:v>1 to 2</c:v>
                </c:pt>
                <c:pt idx="2">
                  <c:v>2 to 3</c:v>
                </c:pt>
                <c:pt idx="3">
                  <c:v>3 to 4</c:v>
                </c:pt>
                <c:pt idx="4">
                  <c:v>4 to 5</c:v>
                </c:pt>
                <c:pt idx="5">
                  <c:v>5 to 6</c:v>
                </c:pt>
              </c:strCache>
            </c:strRef>
          </c:cat>
          <c:val>
            <c:numRef>
              <c:f>'SMA raising Isp 500 RB'!$Y$2:$Y$7</c:f>
              <c:numCache>
                <c:formatCode>General</c:formatCode>
                <c:ptCount val="6"/>
                <c:pt idx="1">
                  <c:v>0.52627274241369681</c:v>
                </c:pt>
                <c:pt idx="2">
                  <c:v>0.38960455744603889</c:v>
                </c:pt>
                <c:pt idx="3">
                  <c:v>0.30068733218568078</c:v>
                </c:pt>
                <c:pt idx="4">
                  <c:v>0.23756489084352175</c:v>
                </c:pt>
                <c:pt idx="5">
                  <c:v>0.18987774823032053</c:v>
                </c:pt>
              </c:numCache>
            </c:numRef>
          </c:val>
          <c:smooth val="0"/>
          <c:extLst>
            <c:ext xmlns:c16="http://schemas.microsoft.com/office/drawing/2014/chart" uri="{C3380CC4-5D6E-409C-BE32-E72D297353CC}">
              <c16:uniqueId val="{00000001-F44B-47BD-BF05-D8F59A984FB9}"/>
            </c:ext>
          </c:extLst>
        </c:ser>
        <c:ser>
          <c:idx val="2"/>
          <c:order val="2"/>
          <c:tx>
            <c:strRef>
              <c:f>'SMA raising Isp 500 RB'!$Z$1</c:f>
              <c:strCache>
                <c:ptCount val="1"/>
                <c:pt idx="0">
                  <c:v>(after travelling) Fuel Frac w/o SD</c:v>
                </c:pt>
              </c:strCache>
            </c:strRef>
          </c:tx>
          <c:spPr>
            <a:ln w="28575" cap="rnd">
              <a:solidFill>
                <a:srgbClr val="F1A983"/>
              </a:solidFill>
              <a:prstDash val="solid"/>
              <a:round/>
            </a:ln>
            <a:effectLst/>
          </c:spPr>
          <c:marker>
            <c:symbol val="circle"/>
            <c:size val="9"/>
            <c:spPr>
              <a:solidFill>
                <a:srgbClr val="F5C6AB"/>
              </a:solidFill>
              <a:ln w="25400">
                <a:noFill/>
              </a:ln>
              <a:effectLst/>
            </c:spPr>
          </c:marker>
          <c:cat>
            <c:strRef>
              <c:f>'SMA raising Isp 500 RB'!Q2:Q7</c:f>
              <c:strCache>
                <c:ptCount val="6"/>
                <c:pt idx="1">
                  <c:v>1 to 2</c:v>
                </c:pt>
                <c:pt idx="2">
                  <c:v>2 to 3</c:v>
                </c:pt>
                <c:pt idx="3">
                  <c:v>3 to 4</c:v>
                </c:pt>
                <c:pt idx="4">
                  <c:v>4 to 5</c:v>
                </c:pt>
                <c:pt idx="5">
                  <c:v>5 to 6</c:v>
                </c:pt>
              </c:strCache>
            </c:strRef>
          </c:cat>
          <c:val>
            <c:numRef>
              <c:f>'SMA raising Isp 500 RB'!$Z$2:$Z$7</c:f>
              <c:numCache>
                <c:formatCode>General</c:formatCode>
                <c:ptCount val="6"/>
                <c:pt idx="1">
                  <c:v>0.7654685301371521</c:v>
                </c:pt>
                <c:pt idx="2">
                  <c:v>0.76066725685675141</c:v>
                </c:pt>
                <c:pt idx="3">
                  <c:v>0.7560662655002951</c:v>
                </c:pt>
                <c:pt idx="4">
                  <c:v>0.75170101330192962</c:v>
                </c:pt>
                <c:pt idx="5">
                  <c:v>0.74750485486726215</c:v>
                </c:pt>
              </c:numCache>
            </c:numRef>
          </c:val>
          <c:smooth val="0"/>
          <c:extLst>
            <c:ext xmlns:c16="http://schemas.microsoft.com/office/drawing/2014/chart" uri="{C3380CC4-5D6E-409C-BE32-E72D297353CC}">
              <c16:uniqueId val="{00000002-F44B-47BD-BF05-D8F59A984FB9}"/>
            </c:ext>
          </c:extLst>
        </c:ser>
        <c:ser>
          <c:idx val="3"/>
          <c:order val="3"/>
          <c:tx>
            <c:strRef>
              <c:f>'SMA raising Isp 500 RB'!$AB$1</c:f>
              <c:strCache>
                <c:ptCount val="1"/>
                <c:pt idx="0">
                  <c:v>Dry Mass Frac w/o SD</c:v>
                </c:pt>
              </c:strCache>
            </c:strRef>
          </c:tx>
          <c:spPr>
            <a:ln w="28575" cap="rnd">
              <a:solidFill>
                <a:srgbClr val="F1A983"/>
              </a:solidFill>
              <a:prstDash val="solid"/>
              <a:round/>
            </a:ln>
            <a:effectLst/>
          </c:spPr>
          <c:marker>
            <c:symbol val="x"/>
            <c:size val="9"/>
            <c:spPr>
              <a:noFill/>
              <a:ln w="9525">
                <a:solidFill>
                  <a:srgbClr val="F1A983"/>
                </a:solidFill>
                <a:prstDash val="solid"/>
              </a:ln>
              <a:effectLst/>
            </c:spPr>
          </c:marker>
          <c:cat>
            <c:strRef>
              <c:f>'SMA raising Isp 500 RB'!Q2:Q7</c:f>
              <c:strCache>
                <c:ptCount val="6"/>
                <c:pt idx="1">
                  <c:v>1 to 2</c:v>
                </c:pt>
                <c:pt idx="2">
                  <c:v>2 to 3</c:v>
                </c:pt>
                <c:pt idx="3">
                  <c:v>3 to 4</c:v>
                </c:pt>
                <c:pt idx="4">
                  <c:v>4 to 5</c:v>
                </c:pt>
                <c:pt idx="5">
                  <c:v>5 to 6</c:v>
                </c:pt>
              </c:strCache>
            </c:strRef>
          </c:cat>
          <c:val>
            <c:numRef>
              <c:f>'SMA raising Isp 500 RB'!$AB$2:$AB$7</c:f>
              <c:numCache>
                <c:formatCode>General</c:formatCode>
                <c:ptCount val="6"/>
                <c:pt idx="1">
                  <c:v>0.23453146986284795</c:v>
                </c:pt>
                <c:pt idx="2">
                  <c:v>0.23933274314324862</c:v>
                </c:pt>
                <c:pt idx="3">
                  <c:v>0.24393373449970496</c:v>
                </c:pt>
                <c:pt idx="4">
                  <c:v>0.24829898669807038</c:v>
                </c:pt>
                <c:pt idx="5">
                  <c:v>0.25249514513273791</c:v>
                </c:pt>
              </c:numCache>
            </c:numRef>
          </c:val>
          <c:smooth val="0"/>
          <c:extLst>
            <c:ext xmlns:c16="http://schemas.microsoft.com/office/drawing/2014/chart" uri="{C3380CC4-5D6E-409C-BE32-E72D297353CC}">
              <c16:uniqueId val="{00000003-F44B-47BD-BF05-D8F59A984FB9}"/>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'SMA raising Isp 500 RB'!$AD$1</c:f>
              <c:strCache>
                <c:ptCount val="1"/>
                <c:pt idx="0">
                  <c:v>Total system Mass when arriving at dest w SDs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'SMA raising Isp 500 RB'!Q2:Q7</c:f>
              <c:strCache>
                <c:ptCount val="6"/>
                <c:pt idx="1">
                  <c:v>1 to 2</c:v>
                </c:pt>
                <c:pt idx="2">
                  <c:v>2 to 3</c:v>
                </c:pt>
                <c:pt idx="3">
                  <c:v>3 to 4</c:v>
                </c:pt>
                <c:pt idx="4">
                  <c:v>4 to 5</c:v>
                </c:pt>
                <c:pt idx="5">
                  <c:v>5 to 6</c:v>
                </c:pt>
              </c:strCache>
            </c:strRef>
          </c:cat>
          <c:val>
            <c:numRef>
              <c:f>'SMA raising Isp 500 RB'!$AD$2:$AD$7</c:f>
              <c:numCache>
                <c:formatCode>General</c:formatCode>
                <c:ptCount val="6"/>
                <c:pt idx="1">
                  <c:v>4844.5597403309612</c:v>
                </c:pt>
                <c:pt idx="2">
                  <c:v>6217.2810205156611</c:v>
                </c:pt>
                <c:pt idx="3">
                  <c:v>7571.7204101984362</c:v>
                </c:pt>
                <c:pt idx="4">
                  <c:v>8912.2338654074611</c:v>
                </c:pt>
                <c:pt idx="5">
                  <c:v>10239.195358330062</c:v>
                </c:pt>
              </c:numCache>
            </c:numRef>
          </c:val>
          <c:smooth val="0"/>
          <c:extLst>
            <c:ext xmlns:c16="http://schemas.microsoft.com/office/drawing/2014/chart" uri="{C3380CC4-5D6E-409C-BE32-E72D297353CC}">
              <c16:uniqueId val="{00000000-7FB9-451D-898E-47642704CA7A}"/>
            </c:ext>
          </c:extLst>
        </c:ser>
        <c:ser>
          <c:idx val="1"/>
          <c:order val="1"/>
          <c:tx>
            <c:strRef>
              <c:f>'SMA raising Isp 500 RB'!$AE$1</c:f>
              <c:strCache>
                <c:ptCount val="1"/>
                <c:pt idx="0">
                  <c:v>Total System Mass when arriving at dest NO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'SMA raising Isp 500 RB'!Q2:Q7</c:f>
              <c:strCache>
                <c:ptCount val="6"/>
                <c:pt idx="1">
                  <c:v>1 to 2</c:v>
                </c:pt>
                <c:pt idx="2">
                  <c:v>2 to 3</c:v>
                </c:pt>
                <c:pt idx="3">
                  <c:v>3 to 4</c:v>
                </c:pt>
                <c:pt idx="4">
                  <c:v>4 to 5</c:v>
                </c:pt>
                <c:pt idx="5">
                  <c:v>5 to 6</c:v>
                </c:pt>
              </c:strCache>
            </c:strRef>
          </c:cat>
          <c:val>
            <c:numRef>
              <c:f>'SMA raising Isp 500 RB'!$AE$2:$AE$7</c:f>
              <c:numCache>
                <c:formatCode>General</c:formatCode>
                <c:ptCount val="6"/>
                <c:pt idx="1">
                  <c:v>3389.7369954868291</c:v>
                </c:pt>
                <c:pt idx="2">
                  <c:v>3321.7352108155383</c:v>
                </c:pt>
                <c:pt idx="3">
                  <c:v>3259.0818224896302</c:v>
                </c:pt>
                <c:pt idx="4">
                  <c:v>3201.7851162909246</c:v>
                </c:pt>
                <c:pt idx="5">
                  <c:v>3148.5753897646814</c:v>
                </c:pt>
              </c:numCache>
            </c:numRef>
          </c:val>
          <c:smooth val="0"/>
          <c:extLst>
            <c:ext xmlns:c16="http://schemas.microsoft.com/office/drawing/2014/chart" uri="{C3380CC4-5D6E-409C-BE32-E72D297353CC}">
              <c16:uniqueId val="{00000001-7FB9-451D-898E-47642704CA7A}"/>
            </c:ext>
          </c:extLst>
        </c:ser>
        <c:dLbls>
          <c:showLegendKey val="0"/>
          <c:showVal val="0"/>
          <c:showCatName val="0"/>
          <c:showSerName val="0"/>
          <c:showPercent val="0"/>
          <c:showBubbleSize val="0"/>
        </c:dLbls>
        <c:marker val="1"/>
        <c:smooth val="0"/>
        <c:axId val="1940486664"/>
        <c:axId val="1940488712"/>
      </c:lineChart>
      <c:catAx>
        <c:axId val="1940486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8712"/>
        <c:crosses val="autoZero"/>
        <c:auto val="1"/>
        <c:lblAlgn val="ctr"/>
        <c:lblOffset val="100"/>
        <c:noMultiLvlLbl val="0"/>
      </c:catAx>
      <c:valAx>
        <c:axId val="194048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86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PM'!$X$3</c:f>
              <c:strCache>
                <c:ptCount val="1"/>
                <c:pt idx="0">
                  <c:v>Mass of Prop Spent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PM'!$X$4:$X$9</c:f>
              <c:numCache>
                <c:formatCode>General</c:formatCode>
                <c:ptCount val="6"/>
                <c:pt idx="1">
                  <c:v>424.24989004711591</c:v>
                </c:pt>
                <c:pt idx="2">
                  <c:v>1116.6329663488325</c:v>
                </c:pt>
                <c:pt idx="3">
                  <c:v>309.77411707892264</c:v>
                </c:pt>
                <c:pt idx="4">
                  <c:v>456.29006718557497</c:v>
                </c:pt>
                <c:pt idx="5">
                  <c:v>591.28865523028378</c:v>
                </c:pt>
              </c:numCache>
            </c:numRef>
          </c:val>
          <c:smooth val="0"/>
          <c:extLst>
            <c:ext xmlns:c16="http://schemas.microsoft.com/office/drawing/2014/chart" uri="{C3380CC4-5D6E-409C-BE32-E72D297353CC}">
              <c16:uniqueId val="{00000002-60F3-4A30-B613-309C7015930A}"/>
            </c:ext>
          </c:extLst>
        </c:ser>
        <c:ser>
          <c:idx val="1"/>
          <c:order val="1"/>
          <c:tx>
            <c:strRef>
              <c:f>'Inclination Change Isp 500 PM'!$Y$3</c:f>
              <c:strCache>
                <c:ptCount val="1"/>
                <c:pt idx="0">
                  <c:v>Mass of Prop Spent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PM'!$Y$4:$Y$9</c:f>
              <c:numCache>
                <c:formatCode>General</c:formatCode>
                <c:ptCount val="6"/>
                <c:pt idx="1">
                  <c:v>397.85036153897261</c:v>
                </c:pt>
                <c:pt idx="2">
                  <c:v>1047.1489558167737</c:v>
                </c:pt>
                <c:pt idx="3">
                  <c:v>290.49799980284808</c:v>
                </c:pt>
                <c:pt idx="4">
                  <c:v>427.89679492023527</c:v>
                </c:pt>
                <c:pt idx="5">
                  <c:v>554.49491155115163</c:v>
                </c:pt>
              </c:numCache>
            </c:numRef>
          </c:val>
          <c:smooth val="0"/>
          <c:extLst>
            <c:ext xmlns:c16="http://schemas.microsoft.com/office/drawing/2014/chart" uri="{C3380CC4-5D6E-409C-BE32-E72D297353CC}">
              <c16:uniqueId val="{00000004-60F3-4A30-B613-309C7015930A}"/>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and Weighted Avg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'Small SD'!$AS$4</c:f>
              <c:strCache>
                <c:ptCount val="1"/>
                <c:pt idx="0">
                  <c:v>Avg Score</c:v>
                </c:pt>
              </c:strCache>
            </c:strRef>
          </c:tx>
          <c:spPr>
            <a:ln w="28575" cap="rnd">
              <a:solidFill>
                <a:srgbClr val="FFFF00"/>
              </a:solidFill>
              <a:prstDash val="solid"/>
              <a:round/>
            </a:ln>
            <a:effectLst/>
          </c:spPr>
          <c:marker>
            <c:symbol val="diamond"/>
            <c:size val="12"/>
            <c:spPr>
              <a:solidFill>
                <a:schemeClr val="accent6"/>
              </a:solidFill>
              <a:ln w="9525">
                <a:solidFill>
                  <a:srgbClr val="0D0D0D"/>
                </a:solidFill>
                <a:prstDash val="solid"/>
              </a:ln>
              <a:effectLst/>
            </c:spPr>
          </c:marker>
          <c:dLbls>
            <c:spPr>
              <a:solidFill>
                <a:srgbClr val="FFC000"/>
              </a:solidFill>
              <a:ln>
                <a:solidFill>
                  <a:srgbClr val="404040"/>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SD'!$AS$5:$AS$17</c:f>
              <c:numCache>
                <c:formatCode>General</c:formatCode>
                <c:ptCount val="13"/>
                <c:pt idx="0">
                  <c:v>6.9450000000000003</c:v>
                </c:pt>
                <c:pt idx="1">
                  <c:v>6.25</c:v>
                </c:pt>
                <c:pt idx="2">
                  <c:v>5.8339999999999996</c:v>
                </c:pt>
                <c:pt idx="3">
                  <c:v>4.5839999999999996</c:v>
                </c:pt>
                <c:pt idx="4">
                  <c:v>5.2779999999999996</c:v>
                </c:pt>
                <c:pt idx="5">
                  <c:v>3.194</c:v>
                </c:pt>
                <c:pt idx="6">
                  <c:v>5</c:v>
                </c:pt>
                <c:pt idx="7">
                  <c:v>7.5</c:v>
                </c:pt>
                <c:pt idx="8">
                  <c:v>2.9169999999999998</c:v>
                </c:pt>
                <c:pt idx="9">
                  <c:v>4.5830000000000002</c:v>
                </c:pt>
                <c:pt idx="10">
                  <c:v>3.8889999999999998</c:v>
                </c:pt>
                <c:pt idx="11">
                  <c:v>3.6110000000000002</c:v>
                </c:pt>
                <c:pt idx="12">
                  <c:v>5.4169999999999998</c:v>
                </c:pt>
              </c:numCache>
            </c:numRef>
          </c:val>
          <c:smooth val="0"/>
          <c:extLst>
            <c:ext xmlns:c16="http://schemas.microsoft.com/office/drawing/2014/chart" uri="{C3380CC4-5D6E-409C-BE32-E72D297353CC}">
              <c16:uniqueId val="{0000001A-6205-4FEB-917A-3DD5C0ECC08A}"/>
            </c:ext>
          </c:extLst>
        </c:ser>
        <c:ser>
          <c:idx val="6"/>
          <c:order val="1"/>
          <c:tx>
            <c:strRef>
              <c:f>'Small SD'!$AT$4</c:f>
              <c:strCache>
                <c:ptCount val="1"/>
                <c:pt idx="0">
                  <c:v>W. Avg Score</c:v>
                </c:pt>
              </c:strCache>
            </c:strRef>
          </c:tx>
          <c:spPr>
            <a:ln w="28575" cap="rnd">
              <a:solidFill>
                <a:srgbClr val="FF0000"/>
              </a:solidFill>
              <a:prstDash val="solid"/>
              <a:round/>
            </a:ln>
            <a:effectLst/>
          </c:spPr>
          <c:marker>
            <c:symbol val="triangle"/>
            <c:size val="12"/>
            <c:spPr>
              <a:solidFill>
                <a:srgbClr val="00B0F0"/>
              </a:solidFill>
              <a:ln w="9525">
                <a:solidFill>
                  <a:schemeClr val="accent1">
                    <a:lumMod val="60000"/>
                  </a:schemeClr>
                </a:solidFill>
              </a:ln>
              <a:effectLst/>
            </c:spPr>
          </c:marker>
          <c:dLbls>
            <c:spPr>
              <a:solidFill>
                <a:srgbClr val="C0F1C8"/>
              </a:solidFill>
              <a:ln>
                <a:solidFill>
                  <a:srgbClr val="0D0D0D"/>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SD'!$AT$5:$AT$17</c:f>
              <c:numCache>
                <c:formatCode>General</c:formatCode>
                <c:ptCount val="13"/>
                <c:pt idx="0">
                  <c:v>6.9050000000000002</c:v>
                </c:pt>
                <c:pt idx="1">
                  <c:v>5.3970000000000002</c:v>
                </c:pt>
                <c:pt idx="2">
                  <c:v>4.9210000000000003</c:v>
                </c:pt>
                <c:pt idx="3">
                  <c:v>5.3570000000000002</c:v>
                </c:pt>
                <c:pt idx="4">
                  <c:v>5.6749999999999998</c:v>
                </c:pt>
                <c:pt idx="5">
                  <c:v>3.2930000000000001</c:v>
                </c:pt>
                <c:pt idx="6">
                  <c:v>4.7619999999999996</c:v>
                </c:pt>
                <c:pt idx="7">
                  <c:v>7.5</c:v>
                </c:pt>
                <c:pt idx="8">
                  <c:v>3.4129999999999998</c:v>
                </c:pt>
                <c:pt idx="9">
                  <c:v>5</c:v>
                </c:pt>
                <c:pt idx="10">
                  <c:v>3.77</c:v>
                </c:pt>
                <c:pt idx="11">
                  <c:v>3.6509999999999998</c:v>
                </c:pt>
                <c:pt idx="12">
                  <c:v>5.3570000000000002</c:v>
                </c:pt>
              </c:numCache>
            </c:numRef>
          </c:val>
          <c:smooth val="0"/>
          <c:extLst>
            <c:ext xmlns:c16="http://schemas.microsoft.com/office/drawing/2014/chart" uri="{C3380CC4-5D6E-409C-BE32-E72D297353CC}">
              <c16:uniqueId val="{0000001C-6205-4FEB-917A-3DD5C0ECC08A}"/>
            </c:ext>
          </c:extLst>
        </c:ser>
        <c:dLbls>
          <c:dLblPos val="r"/>
          <c:showLegendKey val="0"/>
          <c:showVal val="1"/>
          <c:showCatName val="0"/>
          <c:showSerName val="0"/>
          <c:showPercent val="0"/>
          <c:showBubbleSize val="0"/>
        </c:dLbls>
        <c:marker val="1"/>
        <c:smooth val="0"/>
        <c:axId val="1205241352"/>
        <c:axId val="1205243400"/>
      </c:lineChart>
      <c:catAx>
        <c:axId val="1205241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3400"/>
        <c:crosses val="autoZero"/>
        <c:auto val="1"/>
        <c:lblAlgn val="ctr"/>
        <c:lblOffset val="100"/>
        <c:noMultiLvlLbl val="0"/>
      </c:catAx>
      <c:valAx>
        <c:axId val="1205243400"/>
        <c:scaling>
          <c:orientation val="minMax"/>
          <c:max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Weighted Avg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1352"/>
        <c:crosses val="autoZero"/>
        <c:crossBetween val="between"/>
        <c:minorUnit val="0.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PM'!$T$3</c:f>
              <c:strCache>
                <c:ptCount val="1"/>
                <c:pt idx="0">
                  <c:v>Dry Mass frac  w SD</c:v>
                </c:pt>
              </c:strCache>
            </c:strRef>
          </c:tx>
          <c:spPr>
            <a:ln w="28575" cap="rnd">
              <a:solidFill>
                <a:schemeClr val="accent1"/>
              </a:solidFill>
              <a:round/>
            </a:ln>
            <a:effectLst/>
          </c:spPr>
          <c:marker>
            <c:symbol val="x"/>
            <c:size val="9"/>
            <c:spPr>
              <a:noFill/>
              <a:ln w="9525">
                <a:solidFill>
                  <a:schemeClr val="accent1"/>
                </a:solid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PM'!$T$4:$T$9</c:f>
              <c:numCache>
                <c:formatCode>General</c:formatCode>
                <c:ptCount val="6"/>
                <c:pt idx="1">
                  <c:v>0.26966832058188744</c:v>
                </c:pt>
                <c:pt idx="2">
                  <c:v>0.34670604019980333</c:v>
                </c:pt>
                <c:pt idx="3">
                  <c:v>0.26011244932053951</c:v>
                </c:pt>
                <c:pt idx="4">
                  <c:v>0.27246993956117183</c:v>
                </c:pt>
                <c:pt idx="5">
                  <c:v>0.28494295265778902</c:v>
                </c:pt>
              </c:numCache>
            </c:numRef>
          </c:val>
          <c:smooth val="0"/>
          <c:extLst>
            <c:ext xmlns:c16="http://schemas.microsoft.com/office/drawing/2014/chart" uri="{C3380CC4-5D6E-409C-BE32-E72D297353CC}">
              <c16:uniqueId val="{0000000C-9EB1-485F-98E0-B6B04984F763}"/>
            </c:ext>
          </c:extLst>
        </c:ser>
        <c:ser>
          <c:idx val="1"/>
          <c:order val="1"/>
          <c:tx>
            <c:strRef>
              <c:f>'Inclination Change Isp 500 PM'!$Z$3</c:f>
              <c:strCache>
                <c:ptCount val="1"/>
                <c:pt idx="0">
                  <c:v>(after travelling) Fuel Frac w SD </c:v>
                </c:pt>
              </c:strCache>
            </c:strRef>
          </c:tx>
          <c:spPr>
            <a:ln w="28575" cap="rnd">
              <a:solidFill>
                <a:srgbClr val="153D64"/>
              </a:solidFill>
              <a:prstDash val="solid"/>
              <a:round/>
            </a:ln>
            <a:effectLst/>
          </c:spPr>
          <c:marker>
            <c:symbol val="circle"/>
            <c:size val="9"/>
            <c:spPr>
              <a:solidFill>
                <a:srgbClr val="002060"/>
              </a:solidFill>
              <a:ln w="25400">
                <a:no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PM'!$Z$4:$Z$9</c:f>
              <c:numCache>
                <c:formatCode>General</c:formatCode>
                <c:ptCount val="6"/>
                <c:pt idx="1">
                  <c:v>0.73033167941811261</c:v>
                </c:pt>
                <c:pt idx="2">
                  <c:v>0.65329395980019656</c:v>
                </c:pt>
                <c:pt idx="3">
                  <c:v>0.73988755067946055</c:v>
                </c:pt>
                <c:pt idx="4">
                  <c:v>0.72753006043882806</c:v>
                </c:pt>
                <c:pt idx="5">
                  <c:v>0.71505704734221098</c:v>
                </c:pt>
              </c:numCache>
            </c:numRef>
          </c:val>
          <c:smooth val="0"/>
          <c:extLst>
            <c:ext xmlns:c16="http://schemas.microsoft.com/office/drawing/2014/chart" uri="{C3380CC4-5D6E-409C-BE32-E72D297353CC}">
              <c16:uniqueId val="{0000000E-9EB1-485F-98E0-B6B04984F763}"/>
            </c:ext>
          </c:extLst>
        </c:ser>
        <c:ser>
          <c:idx val="2"/>
          <c:order val="2"/>
          <c:tx>
            <c:strRef>
              <c:f>'Inclination Change Isp 500 PM'!$AA$3</c:f>
              <c:strCache>
                <c:ptCount val="1"/>
                <c:pt idx="0">
                  <c:v>(after travelling) Fuel Frac w/o SD</c:v>
                </c:pt>
              </c:strCache>
            </c:strRef>
          </c:tx>
          <c:spPr>
            <a:ln w="28575" cap="rnd">
              <a:solidFill>
                <a:srgbClr val="F5C6AB"/>
              </a:solidFill>
              <a:prstDash val="solid"/>
              <a:round/>
            </a:ln>
            <a:effectLst/>
          </c:spPr>
          <c:marker>
            <c:symbol val="x"/>
            <c:size val="9"/>
            <c:spPr>
              <a:noFill/>
              <a:ln w="9525">
                <a:solidFill>
                  <a:srgbClr val="F5C6AB"/>
                </a:solidFill>
                <a:prstDash val="solid"/>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PM'!$AA$4:$AA$9</c:f>
              <c:numCache>
                <c:formatCode>General</c:formatCode>
                <c:ptCount val="6"/>
                <c:pt idx="1">
                  <c:v>0.78782742956088736</c:v>
                </c:pt>
                <c:pt idx="2">
                  <c:v>0.72721485572636646</c:v>
                </c:pt>
                <c:pt idx="3">
                  <c:v>0.79534590174898312</c:v>
                </c:pt>
                <c:pt idx="4">
                  <c:v>0.78562314134882327</c:v>
                </c:pt>
                <c:pt idx="5">
                  <c:v>0.77580948862120758</c:v>
                </c:pt>
              </c:numCache>
            </c:numRef>
          </c:val>
          <c:smooth val="0"/>
          <c:extLst>
            <c:ext xmlns:c16="http://schemas.microsoft.com/office/drawing/2014/chart" uri="{C3380CC4-5D6E-409C-BE32-E72D297353CC}">
              <c16:uniqueId val="{00000010-9EB1-485F-98E0-B6B04984F763}"/>
            </c:ext>
          </c:extLst>
        </c:ser>
        <c:ser>
          <c:idx val="3"/>
          <c:order val="3"/>
          <c:tx>
            <c:strRef>
              <c:f>'Inclination Change Isp 500 PM'!$AC$3</c:f>
              <c:strCache>
                <c:ptCount val="1"/>
                <c:pt idx="0">
                  <c:v>Dry Mass Frac w/o SD</c:v>
                </c:pt>
              </c:strCache>
            </c:strRef>
          </c:tx>
          <c:spPr>
            <a:ln w="28575" cap="rnd">
              <a:solidFill>
                <a:srgbClr val="F5C6AB"/>
              </a:solidFill>
              <a:prstDash val="solid"/>
              <a:round/>
            </a:ln>
            <a:effectLst/>
          </c:spPr>
          <c:marker>
            <c:symbol val="circle"/>
            <c:size val="9"/>
            <c:spPr>
              <a:solidFill>
                <a:srgbClr val="F5C6AB"/>
              </a:solidFill>
              <a:ln w="25400">
                <a:no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PM'!$AC$4:$AC$9</c:f>
              <c:numCache>
                <c:formatCode>General</c:formatCode>
                <c:ptCount val="6"/>
                <c:pt idx="1">
                  <c:v>0.2121725704391127</c:v>
                </c:pt>
                <c:pt idx="2">
                  <c:v>0.27278514427363354</c:v>
                </c:pt>
                <c:pt idx="3">
                  <c:v>0.20465409825101685</c:v>
                </c:pt>
                <c:pt idx="4">
                  <c:v>0.21437685865117675</c:v>
                </c:pt>
                <c:pt idx="5">
                  <c:v>0.22419051137879248</c:v>
                </c:pt>
              </c:numCache>
            </c:numRef>
          </c:val>
          <c:smooth val="0"/>
          <c:extLst>
            <c:ext xmlns:c16="http://schemas.microsoft.com/office/drawing/2014/chart" uri="{C3380CC4-5D6E-409C-BE32-E72D297353CC}">
              <c16:uniqueId val="{00000012-9EB1-485F-98E0-B6B04984F763}"/>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PM'!$AE$3</c:f>
              <c:strCache>
                <c:ptCount val="1"/>
                <c:pt idx="0">
                  <c:v>Total system Mass when arriving at dest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PM'!$AE$4:$AE$9</c:f>
              <c:numCache>
                <c:formatCode>General</c:formatCode>
                <c:ptCount val="6"/>
                <c:pt idx="1">
                  <c:v>3116.0501099528838</c:v>
                </c:pt>
                <c:pt idx="2">
                  <c:v>2423.6670336511675</c:v>
                </c:pt>
                <c:pt idx="3">
                  <c:v>3230.525882921077</c:v>
                </c:pt>
                <c:pt idx="4">
                  <c:v>3084.0099328144252</c:v>
                </c:pt>
                <c:pt idx="5">
                  <c:v>2949.0113447697158</c:v>
                </c:pt>
              </c:numCache>
            </c:numRef>
          </c:val>
          <c:smooth val="0"/>
          <c:extLst>
            <c:ext xmlns:c16="http://schemas.microsoft.com/office/drawing/2014/chart" uri="{C3380CC4-5D6E-409C-BE32-E72D297353CC}">
              <c16:uniqueId val="{00000002-7DC5-4C60-83D2-AA76DA8C08EF}"/>
            </c:ext>
          </c:extLst>
        </c:ser>
        <c:ser>
          <c:idx val="1"/>
          <c:order val="1"/>
          <c:tx>
            <c:strRef>
              <c:f>'Inclination Change Isp 500 PM'!$AF$3</c:f>
              <c:strCache>
                <c:ptCount val="1"/>
                <c:pt idx="0">
                  <c:v>Initial Total System Mass when arriving at dest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'Inclination Change Isp 500 PM'!R4:R9</c:f>
              <c:strCache>
                <c:ptCount val="6"/>
                <c:pt idx="1">
                  <c:v>+5 deg</c:v>
                </c:pt>
                <c:pt idx="2">
                  <c:v>+15 deg</c:v>
                </c:pt>
                <c:pt idx="3">
                  <c:v>-5 deg</c:v>
                </c:pt>
                <c:pt idx="4">
                  <c:v>-10 deg</c:v>
                </c:pt>
                <c:pt idx="5">
                  <c:v>-20 deg</c:v>
                </c:pt>
              </c:strCache>
            </c:strRef>
          </c:cat>
          <c:val>
            <c:numRef>
              <c:f>'Inclination Change Isp 500 PM'!$AF$4:$AF$9</c:f>
              <c:numCache>
                <c:formatCode>General</c:formatCode>
                <c:ptCount val="6"/>
                <c:pt idx="1">
                  <c:v>2922.1496384610273</c:v>
                </c:pt>
                <c:pt idx="2">
                  <c:v>2272.8510441832263</c:v>
                </c:pt>
                <c:pt idx="3">
                  <c:v>3029.502000197152</c:v>
                </c:pt>
                <c:pt idx="4">
                  <c:v>2892.1032050797648</c:v>
                </c:pt>
                <c:pt idx="5">
                  <c:v>2765.5050884488483</c:v>
                </c:pt>
              </c:numCache>
            </c:numRef>
          </c:val>
          <c:smooth val="0"/>
          <c:extLst>
            <c:ext xmlns:c16="http://schemas.microsoft.com/office/drawing/2014/chart" uri="{C3380CC4-5D6E-409C-BE32-E72D297353CC}">
              <c16:uniqueId val="{00000004-7DC5-4C60-83D2-AA76DA8C08EF}"/>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RB'!$X$3</c:f>
              <c:strCache>
                <c:ptCount val="1"/>
                <c:pt idx="0">
                  <c:v>Mass of Prop Spent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RB'!$X$4:$X$9</c:f>
              <c:numCache>
                <c:formatCode>General</c:formatCode>
                <c:ptCount val="6"/>
                <c:pt idx="1">
                  <c:v>596.96032702457126</c:v>
                </c:pt>
                <c:pt idx="2">
                  <c:v>1571.2097902582534</c:v>
                </c:pt>
                <c:pt idx="3">
                  <c:v>435.88192377526485</c:v>
                </c:pt>
                <c:pt idx="4">
                  <c:v>642.04393239775243</c:v>
                </c:pt>
                <c:pt idx="5">
                  <c:v>831.99990683082717</c:v>
                </c:pt>
              </c:numCache>
            </c:numRef>
          </c:val>
          <c:smooth val="0"/>
          <c:extLst>
            <c:ext xmlns:c16="http://schemas.microsoft.com/office/drawing/2014/chart" uri="{C3380CC4-5D6E-409C-BE32-E72D297353CC}">
              <c16:uniqueId val="{00000000-D6ED-4114-BA2D-D401299DF2B3}"/>
            </c:ext>
          </c:extLst>
        </c:ser>
        <c:ser>
          <c:idx val="1"/>
          <c:order val="1"/>
          <c:tx>
            <c:strRef>
              <c:f>'Inclination Change Isp 500 RB'!$Y$3</c:f>
              <c:strCache>
                <c:ptCount val="1"/>
                <c:pt idx="0">
                  <c:v>Mass of Prop Spent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RB'!$Y$4:$Y$9</c:f>
              <c:numCache>
                <c:formatCode>General</c:formatCode>
                <c:ptCount val="6"/>
                <c:pt idx="1">
                  <c:v>397.85036153897261</c:v>
                </c:pt>
                <c:pt idx="2">
                  <c:v>1047.1489558167737</c:v>
                </c:pt>
                <c:pt idx="3">
                  <c:v>290.49799980284808</c:v>
                </c:pt>
                <c:pt idx="4">
                  <c:v>427.89679492023527</c:v>
                </c:pt>
                <c:pt idx="5">
                  <c:v>554.49491155115163</c:v>
                </c:pt>
              </c:numCache>
            </c:numRef>
          </c:val>
          <c:smooth val="0"/>
          <c:extLst>
            <c:ext xmlns:c16="http://schemas.microsoft.com/office/drawing/2014/chart" uri="{C3380CC4-5D6E-409C-BE32-E72D297353CC}">
              <c16:uniqueId val="{00000001-D6ED-4114-BA2D-D401299DF2B3}"/>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RB'!$T$3</c:f>
              <c:strCache>
                <c:ptCount val="1"/>
                <c:pt idx="0">
                  <c:v>Dry Mass frac  w SD</c:v>
                </c:pt>
              </c:strCache>
            </c:strRef>
          </c:tx>
          <c:spPr>
            <a:ln w="28575" cap="rnd">
              <a:solidFill>
                <a:schemeClr val="accent1"/>
              </a:solidFill>
              <a:round/>
            </a:ln>
            <a:effectLst/>
          </c:spPr>
          <c:marker>
            <c:symbol val="x"/>
            <c:size val="9"/>
            <c:spPr>
              <a:noFill/>
              <a:ln w="9525">
                <a:solidFill>
                  <a:schemeClr val="accent1"/>
                </a:solid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RB'!$T$4:$T$9</c:f>
              <c:numCache>
                <c:formatCode>General</c:formatCode>
                <c:ptCount val="6"/>
                <c:pt idx="1">
                  <c:v>0.52035568502746565</c:v>
                </c:pt>
                <c:pt idx="2">
                  <c:v>0.66900872398374767</c:v>
                </c:pt>
                <c:pt idx="3">
                  <c:v>0.5019165449553078</c:v>
                </c:pt>
                <c:pt idx="4">
                  <c:v>0.52576172738351901</c:v>
                </c:pt>
                <c:pt idx="5">
                  <c:v>0.54982982429694893</c:v>
                </c:pt>
              </c:numCache>
            </c:numRef>
          </c:val>
          <c:smooth val="0"/>
          <c:extLst>
            <c:ext xmlns:c16="http://schemas.microsoft.com/office/drawing/2014/chart" uri="{C3380CC4-5D6E-409C-BE32-E72D297353CC}">
              <c16:uniqueId val="{00000000-9DF1-402D-9544-C1004FB30BF4}"/>
            </c:ext>
          </c:extLst>
        </c:ser>
        <c:ser>
          <c:idx val="1"/>
          <c:order val="1"/>
          <c:tx>
            <c:strRef>
              <c:f>'Inclination Change Isp 500 RB'!$Z$3</c:f>
              <c:strCache>
                <c:ptCount val="1"/>
                <c:pt idx="0">
                  <c:v>(after travelling) Fuel Frac w SD </c:v>
                </c:pt>
              </c:strCache>
            </c:strRef>
          </c:tx>
          <c:spPr>
            <a:ln w="28575" cap="rnd">
              <a:solidFill>
                <a:srgbClr val="153D64"/>
              </a:solidFill>
              <a:prstDash val="solid"/>
              <a:round/>
            </a:ln>
            <a:effectLst/>
          </c:spPr>
          <c:marker>
            <c:symbol val="circle"/>
            <c:size val="9"/>
            <c:spPr>
              <a:solidFill>
                <a:srgbClr val="002060"/>
              </a:solidFill>
              <a:ln w="25400">
                <a:no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RB'!$Z$4:$Z$9</c:f>
              <c:numCache>
                <c:formatCode>General</c:formatCode>
                <c:ptCount val="6"/>
                <c:pt idx="1">
                  <c:v>0.47964431497253451</c:v>
                </c:pt>
                <c:pt idx="2">
                  <c:v>0.33099127601625244</c:v>
                </c:pt>
                <c:pt idx="3">
                  <c:v>0.49808345504469226</c:v>
                </c:pt>
                <c:pt idx="4">
                  <c:v>0.47423827261648105</c:v>
                </c:pt>
                <c:pt idx="5">
                  <c:v>0.45017017570305107</c:v>
                </c:pt>
              </c:numCache>
            </c:numRef>
          </c:val>
          <c:smooth val="0"/>
          <c:extLst>
            <c:ext xmlns:c16="http://schemas.microsoft.com/office/drawing/2014/chart" uri="{C3380CC4-5D6E-409C-BE32-E72D297353CC}">
              <c16:uniqueId val="{00000001-9DF1-402D-9544-C1004FB30BF4}"/>
            </c:ext>
          </c:extLst>
        </c:ser>
        <c:ser>
          <c:idx val="2"/>
          <c:order val="2"/>
          <c:tx>
            <c:strRef>
              <c:f>'Inclination Change Isp 500 RB'!$AA$3</c:f>
              <c:strCache>
                <c:ptCount val="1"/>
                <c:pt idx="0">
                  <c:v>(after travelling) Fuel Frac w/o SD</c:v>
                </c:pt>
              </c:strCache>
            </c:strRef>
          </c:tx>
          <c:spPr>
            <a:ln w="28575" cap="rnd">
              <a:solidFill>
                <a:srgbClr val="F5C6AB"/>
              </a:solidFill>
              <a:prstDash val="solid"/>
              <a:round/>
            </a:ln>
            <a:effectLst/>
          </c:spPr>
          <c:marker>
            <c:symbol val="x"/>
            <c:size val="9"/>
            <c:spPr>
              <a:noFill/>
              <a:ln w="9525">
                <a:solidFill>
                  <a:srgbClr val="F5C6AB"/>
                </a:solidFill>
                <a:prstDash val="solid"/>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RB'!$AA$4:$AA$9</c:f>
              <c:numCache>
                <c:formatCode>General</c:formatCode>
                <c:ptCount val="6"/>
                <c:pt idx="1">
                  <c:v>0.78782742956088736</c:v>
                </c:pt>
                <c:pt idx="2">
                  <c:v>0.72721485572636646</c:v>
                </c:pt>
                <c:pt idx="3">
                  <c:v>0.79534590174898312</c:v>
                </c:pt>
                <c:pt idx="4">
                  <c:v>0.78562314134882327</c:v>
                </c:pt>
                <c:pt idx="5">
                  <c:v>0.77580948862120758</c:v>
                </c:pt>
              </c:numCache>
            </c:numRef>
          </c:val>
          <c:smooth val="0"/>
          <c:extLst>
            <c:ext xmlns:c16="http://schemas.microsoft.com/office/drawing/2014/chart" uri="{C3380CC4-5D6E-409C-BE32-E72D297353CC}">
              <c16:uniqueId val="{00000002-9DF1-402D-9544-C1004FB30BF4}"/>
            </c:ext>
          </c:extLst>
        </c:ser>
        <c:ser>
          <c:idx val="3"/>
          <c:order val="3"/>
          <c:tx>
            <c:strRef>
              <c:f>'Inclination Change Isp 500 RB'!$AC$3</c:f>
              <c:strCache>
                <c:ptCount val="1"/>
                <c:pt idx="0">
                  <c:v>Dry Mass Frac w/o SD</c:v>
                </c:pt>
              </c:strCache>
            </c:strRef>
          </c:tx>
          <c:spPr>
            <a:ln w="28575" cap="rnd">
              <a:solidFill>
                <a:srgbClr val="F5C6AB"/>
              </a:solidFill>
              <a:prstDash val="solid"/>
              <a:round/>
            </a:ln>
            <a:effectLst/>
          </c:spPr>
          <c:marker>
            <c:symbol val="circle"/>
            <c:size val="9"/>
            <c:spPr>
              <a:solidFill>
                <a:srgbClr val="F5C6AB"/>
              </a:solidFill>
              <a:ln w="25400">
                <a:no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RB'!$AC$4:$AC$9</c:f>
              <c:numCache>
                <c:formatCode>General</c:formatCode>
                <c:ptCount val="6"/>
                <c:pt idx="1">
                  <c:v>0.2121725704391127</c:v>
                </c:pt>
                <c:pt idx="2">
                  <c:v>0.27278514427363354</c:v>
                </c:pt>
                <c:pt idx="3">
                  <c:v>0.20465409825101685</c:v>
                </c:pt>
                <c:pt idx="4">
                  <c:v>0.21437685865117675</c:v>
                </c:pt>
                <c:pt idx="5">
                  <c:v>0.22419051137879248</c:v>
                </c:pt>
              </c:numCache>
            </c:numRef>
          </c:val>
          <c:smooth val="0"/>
          <c:extLst>
            <c:ext xmlns:c16="http://schemas.microsoft.com/office/drawing/2014/chart" uri="{C3380CC4-5D6E-409C-BE32-E72D297353CC}">
              <c16:uniqueId val="{00000003-9DF1-402D-9544-C1004FB30BF4}"/>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'Inclination Change Isp 500 RB'!$AE$3</c:f>
              <c:strCache>
                <c:ptCount val="1"/>
                <c:pt idx="0">
                  <c:v>Total system Mass when arriving at dest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RB'!$AE$4:$AE$9</c:f>
              <c:numCache>
                <c:formatCode>General</c:formatCode>
                <c:ptCount val="6"/>
                <c:pt idx="1">
                  <c:v>4384.5816729754288</c:v>
                </c:pt>
                <c:pt idx="2">
                  <c:v>3410.3322097417467</c:v>
                </c:pt>
                <c:pt idx="3">
                  <c:v>4545.6600762247344</c:v>
                </c:pt>
                <c:pt idx="4">
                  <c:v>4339.4980676022478</c:v>
                </c:pt>
                <c:pt idx="5">
                  <c:v>4149.5420931691733</c:v>
                </c:pt>
              </c:numCache>
            </c:numRef>
          </c:val>
          <c:smooth val="0"/>
          <c:extLst>
            <c:ext xmlns:c16="http://schemas.microsoft.com/office/drawing/2014/chart" uri="{C3380CC4-5D6E-409C-BE32-E72D297353CC}">
              <c16:uniqueId val="{00000000-F612-4E5D-BF35-CA58FEEB8291}"/>
            </c:ext>
          </c:extLst>
        </c:ser>
        <c:ser>
          <c:idx val="1"/>
          <c:order val="1"/>
          <c:tx>
            <c:strRef>
              <c:f>'Inclination Change Isp 500 RB'!$AF$3</c:f>
              <c:strCache>
                <c:ptCount val="1"/>
                <c:pt idx="0">
                  <c:v>Initial Total System Mass when arriving at dest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'Inclination Change Isp 500 RB'!R4:R9</c:f>
              <c:strCache>
                <c:ptCount val="6"/>
                <c:pt idx="1">
                  <c:v>+5 deg</c:v>
                </c:pt>
                <c:pt idx="2">
                  <c:v>+15 deg</c:v>
                </c:pt>
                <c:pt idx="3">
                  <c:v>-5 deg</c:v>
                </c:pt>
                <c:pt idx="4">
                  <c:v>-10 deg</c:v>
                </c:pt>
                <c:pt idx="5">
                  <c:v>-20 deg</c:v>
                </c:pt>
              </c:strCache>
            </c:strRef>
          </c:cat>
          <c:val>
            <c:numRef>
              <c:f>'Inclination Change Isp 500 RB'!$AF$4:$AF$9</c:f>
              <c:numCache>
                <c:formatCode>General</c:formatCode>
                <c:ptCount val="6"/>
                <c:pt idx="1">
                  <c:v>2922.1496384610273</c:v>
                </c:pt>
                <c:pt idx="2">
                  <c:v>2272.8510441832263</c:v>
                </c:pt>
                <c:pt idx="3">
                  <c:v>3029.502000197152</c:v>
                </c:pt>
                <c:pt idx="4">
                  <c:v>2892.1032050797648</c:v>
                </c:pt>
                <c:pt idx="5">
                  <c:v>2765.5050884488483</c:v>
                </c:pt>
              </c:numCache>
            </c:numRef>
          </c:val>
          <c:smooth val="0"/>
          <c:extLst>
            <c:ext xmlns:c16="http://schemas.microsoft.com/office/drawing/2014/chart" uri="{C3380CC4-5D6E-409C-BE32-E72D297353CC}">
              <c16:uniqueId val="{00000001-F612-4E5D-BF35-CA58FEEB8291}"/>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'AInclination Change Isp 500 RB '!$X$3</c:f>
              <c:strCache>
                <c:ptCount val="1"/>
                <c:pt idx="0">
                  <c:v>Mass of Prop Spent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'!$X$4:$X$9</c:f>
              <c:numCache>
                <c:formatCode>General</c:formatCode>
                <c:ptCount val="6"/>
                <c:pt idx="1">
                  <c:v>596.95769066675393</c:v>
                </c:pt>
                <c:pt idx="2">
                  <c:v>1571.2028513193902</c:v>
                </c:pt>
                <c:pt idx="3">
                  <c:v>435.87999878851917</c:v>
                </c:pt>
                <c:pt idx="4">
                  <c:v>642.04109693706334</c:v>
                </c:pt>
                <c:pt idx="5">
                  <c:v>831.99623246695569</c:v>
                </c:pt>
              </c:numCache>
            </c:numRef>
          </c:val>
          <c:smooth val="0"/>
          <c:extLst>
            <c:ext xmlns:c16="http://schemas.microsoft.com/office/drawing/2014/chart" uri="{C3380CC4-5D6E-409C-BE32-E72D297353CC}">
              <c16:uniqueId val="{00000000-FD25-47DC-8FD9-88E68863F0EE}"/>
            </c:ext>
          </c:extLst>
        </c:ser>
        <c:ser>
          <c:idx val="1"/>
          <c:order val="1"/>
          <c:tx>
            <c:strRef>
              <c:f>'AInclination Change Isp 500 RB '!$Y$3</c:f>
              <c:strCache>
                <c:ptCount val="1"/>
                <c:pt idx="0">
                  <c:v>Mass of Prop Spent w/o SD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'!$Y$4:$Y$9</c:f>
              <c:numCache>
                <c:formatCode>General</c:formatCode>
                <c:ptCount val="6"/>
                <c:pt idx="1">
                  <c:v>397.85036153897261</c:v>
                </c:pt>
                <c:pt idx="2">
                  <c:v>1047.1489558167737</c:v>
                </c:pt>
                <c:pt idx="3">
                  <c:v>290.49799980284808</c:v>
                </c:pt>
                <c:pt idx="4">
                  <c:v>427.89679492023527</c:v>
                </c:pt>
                <c:pt idx="5">
                  <c:v>554.49491155115163</c:v>
                </c:pt>
              </c:numCache>
            </c:numRef>
          </c:val>
          <c:smooth val="0"/>
          <c:extLst>
            <c:ext xmlns:c16="http://schemas.microsoft.com/office/drawing/2014/chart" uri="{C3380CC4-5D6E-409C-BE32-E72D297353CC}">
              <c16:uniqueId val="{00000001-FD25-47DC-8FD9-88E68863F0EE}"/>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'AInclination Change Isp 500 RB '!$T$3</c:f>
              <c:strCache>
                <c:ptCount val="1"/>
                <c:pt idx="0">
                  <c:v>Dry Mass frac  w SD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'!$T$4:$T$9</c:f>
              <c:numCache>
                <c:formatCode>General</c:formatCode>
                <c:ptCount val="6"/>
                <c:pt idx="1">
                  <c:v>0.52035296548150711</c:v>
                </c:pt>
                <c:pt idx="2">
                  <c:v>0.6690052275292574</c:v>
                </c:pt>
                <c:pt idx="3">
                  <c:v>0.50191392177821847</c:v>
                </c:pt>
                <c:pt idx="4">
                  <c:v>0.52575897958384665</c:v>
                </c:pt>
                <c:pt idx="5">
                  <c:v>0.54982695070967114</c:v>
                </c:pt>
              </c:numCache>
            </c:numRef>
          </c:val>
          <c:smooth val="0"/>
          <c:extLst>
            <c:ext xmlns:c16="http://schemas.microsoft.com/office/drawing/2014/chart" uri="{C3380CC4-5D6E-409C-BE32-E72D297353CC}">
              <c16:uniqueId val="{00000000-9052-48D3-BBA5-084D84316508}"/>
            </c:ext>
          </c:extLst>
        </c:ser>
        <c:ser>
          <c:idx val="1"/>
          <c:order val="1"/>
          <c:tx>
            <c:strRef>
              <c:f>'AInclination Change Isp 500 RB '!$Z$3</c:f>
              <c:strCache>
                <c:ptCount val="1"/>
                <c:pt idx="0">
                  <c:v>(after travelling) Fuel Frac w SD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'!$Z$4:$Z$9</c:f>
              <c:numCache>
                <c:formatCode>General</c:formatCode>
                <c:ptCount val="6"/>
                <c:pt idx="1">
                  <c:v>0.47964703451849283</c:v>
                </c:pt>
                <c:pt idx="2">
                  <c:v>0.33099477247074255</c:v>
                </c:pt>
                <c:pt idx="3">
                  <c:v>0.49808607822178158</c:v>
                </c:pt>
                <c:pt idx="4">
                  <c:v>0.47424102041615335</c:v>
                </c:pt>
                <c:pt idx="5">
                  <c:v>0.45017304929032886</c:v>
                </c:pt>
              </c:numCache>
            </c:numRef>
          </c:val>
          <c:smooth val="0"/>
          <c:extLst>
            <c:ext xmlns:c16="http://schemas.microsoft.com/office/drawing/2014/chart" uri="{C3380CC4-5D6E-409C-BE32-E72D297353CC}">
              <c16:uniqueId val="{00000001-9052-48D3-BBA5-084D84316508}"/>
            </c:ext>
          </c:extLst>
        </c:ser>
        <c:ser>
          <c:idx val="2"/>
          <c:order val="2"/>
          <c:tx>
            <c:strRef>
              <c:f>'AInclination Change Isp 500 RB '!$AA$3</c:f>
              <c:strCache>
                <c:ptCount val="1"/>
                <c:pt idx="0">
                  <c:v>(after travelling) Fuel Frac w/o SD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'!$AA$4:$AA$9</c:f>
              <c:numCache>
                <c:formatCode>General</c:formatCode>
                <c:ptCount val="6"/>
                <c:pt idx="1">
                  <c:v>0.78782742956088736</c:v>
                </c:pt>
                <c:pt idx="2">
                  <c:v>0.72721485572636646</c:v>
                </c:pt>
                <c:pt idx="3">
                  <c:v>0.79534590174898312</c:v>
                </c:pt>
                <c:pt idx="4">
                  <c:v>0.78562314134882327</c:v>
                </c:pt>
                <c:pt idx="5">
                  <c:v>0.77580948862120758</c:v>
                </c:pt>
              </c:numCache>
            </c:numRef>
          </c:val>
          <c:smooth val="0"/>
          <c:extLst>
            <c:ext xmlns:c16="http://schemas.microsoft.com/office/drawing/2014/chart" uri="{C3380CC4-5D6E-409C-BE32-E72D297353CC}">
              <c16:uniqueId val="{00000002-9052-48D3-BBA5-084D84316508}"/>
            </c:ext>
          </c:extLst>
        </c:ser>
        <c:ser>
          <c:idx val="3"/>
          <c:order val="3"/>
          <c:tx>
            <c:strRef>
              <c:f>'AInclination Change Isp 500 RB '!$AC$3</c:f>
              <c:strCache>
                <c:ptCount val="1"/>
                <c:pt idx="0">
                  <c:v>Dry Mass Frac w/o SD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'!$AC$4:$AC$9</c:f>
              <c:numCache>
                <c:formatCode>General</c:formatCode>
                <c:ptCount val="6"/>
                <c:pt idx="1">
                  <c:v>0.2121725704391127</c:v>
                </c:pt>
                <c:pt idx="2">
                  <c:v>0.27278514427363354</c:v>
                </c:pt>
                <c:pt idx="3">
                  <c:v>0.20465409825101685</c:v>
                </c:pt>
                <c:pt idx="4">
                  <c:v>0.21437685865117675</c:v>
                </c:pt>
                <c:pt idx="5">
                  <c:v>0.22419051137879248</c:v>
                </c:pt>
              </c:numCache>
            </c:numRef>
          </c:val>
          <c:smooth val="0"/>
          <c:extLst>
            <c:ext xmlns:c16="http://schemas.microsoft.com/office/drawing/2014/chart" uri="{C3380CC4-5D6E-409C-BE32-E72D297353CC}">
              <c16:uniqueId val="{00000003-9052-48D3-BBA5-084D84316508}"/>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'AInclination Change Isp 500 RB '!$AE$3</c:f>
              <c:strCache>
                <c:ptCount val="1"/>
                <c:pt idx="0">
                  <c:v>Total system Mass when arriving at dest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'!$AE$4:$AE$9</c:f>
              <c:numCache>
                <c:formatCode>General</c:formatCode>
                <c:ptCount val="6"/>
                <c:pt idx="1">
                  <c:v>4384.562309333246</c:v>
                </c:pt>
                <c:pt idx="2">
                  <c:v>3410.3171486806095</c:v>
                </c:pt>
                <c:pt idx="3">
                  <c:v>4545.6400012114809</c:v>
                </c:pt>
                <c:pt idx="4">
                  <c:v>4339.4789030629363</c:v>
                </c:pt>
                <c:pt idx="5">
                  <c:v>4149.5237675330445</c:v>
                </c:pt>
              </c:numCache>
            </c:numRef>
          </c:val>
          <c:smooth val="0"/>
          <c:extLst>
            <c:ext xmlns:c16="http://schemas.microsoft.com/office/drawing/2014/chart" uri="{C3380CC4-5D6E-409C-BE32-E72D297353CC}">
              <c16:uniqueId val="{00000004-199E-402A-BD30-ACA53944B6AE}"/>
            </c:ext>
          </c:extLst>
        </c:ser>
        <c:ser>
          <c:idx val="1"/>
          <c:order val="1"/>
          <c:tx>
            <c:strRef>
              <c:f>'AInclination Change Isp 500 RB '!$AF$3</c:f>
              <c:strCache>
                <c:ptCount val="1"/>
                <c:pt idx="0">
                  <c:v>Initial Total System Mass when arriving at dest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'AInclination Change Isp 500 RB '!R4:R9</c:f>
              <c:strCache>
                <c:ptCount val="6"/>
                <c:pt idx="1">
                  <c:v>+5 deg</c:v>
                </c:pt>
                <c:pt idx="2">
                  <c:v>+15 deg</c:v>
                </c:pt>
                <c:pt idx="3">
                  <c:v>-5 deg</c:v>
                </c:pt>
                <c:pt idx="4">
                  <c:v>-10 deg</c:v>
                </c:pt>
                <c:pt idx="5">
                  <c:v>-20 deg</c:v>
                </c:pt>
              </c:strCache>
            </c:strRef>
          </c:cat>
          <c:val>
            <c:numRef>
              <c:f>'AInclination Change Isp 500 RB '!$AF$4:$AF$9</c:f>
              <c:numCache>
                <c:formatCode>General</c:formatCode>
                <c:ptCount val="6"/>
                <c:pt idx="1">
                  <c:v>2922.1496384610273</c:v>
                </c:pt>
                <c:pt idx="2">
                  <c:v>2272.8510441832263</c:v>
                </c:pt>
                <c:pt idx="3">
                  <c:v>3029.502000197152</c:v>
                </c:pt>
                <c:pt idx="4">
                  <c:v>2892.1032050797648</c:v>
                </c:pt>
                <c:pt idx="5">
                  <c:v>2765.5050884488483</c:v>
                </c:pt>
              </c:numCache>
            </c:numRef>
          </c:val>
          <c:smooth val="0"/>
          <c:extLst>
            <c:ext xmlns:c16="http://schemas.microsoft.com/office/drawing/2014/chart" uri="{C3380CC4-5D6E-409C-BE32-E72D297353CC}">
              <c16:uniqueId val="{00000006-199E-402A-BD30-ACA53944B6AE}"/>
            </c:ext>
          </c:extLst>
        </c:ser>
        <c:dLbls>
          <c:showLegendKey val="0"/>
          <c:showVal val="0"/>
          <c:showCatName val="0"/>
          <c:showSerName val="0"/>
          <c:showPercent val="0"/>
          <c:showBubbleSize val="0"/>
        </c:dLbls>
        <c:marker val="1"/>
        <c:smooth val="0"/>
        <c:axId val="494477831"/>
        <c:axId val="494479879"/>
      </c:lineChart>
      <c:catAx>
        <c:axId val="494477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9879"/>
        <c:crosses val="autoZero"/>
        <c:auto val="1"/>
        <c:lblAlgn val="ctr"/>
        <c:lblOffset val="100"/>
        <c:noMultiLvlLbl val="0"/>
      </c:catAx>
      <c:valAx>
        <c:axId val="494479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4778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Scoring (Ranking of 1 to 13 mapped to Scoring of 10 to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'Small SD'!$AM$4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SD'!$AM$5:$AM$17</c:f>
              <c:numCache>
                <c:formatCode>General</c:formatCode>
                <c:ptCount val="13"/>
                <c:pt idx="0">
                  <c:v>7.5</c:v>
                </c:pt>
                <c:pt idx="1">
                  <c:v>10</c:v>
                </c:pt>
                <c:pt idx="2">
                  <c:v>9.1669999999999998</c:v>
                </c:pt>
                <c:pt idx="3">
                  <c:v>4.1669999999999998</c:v>
                </c:pt>
                <c:pt idx="4">
                  <c:v>8.3330000000000002</c:v>
                </c:pt>
                <c:pt idx="5">
                  <c:v>3.3330000000000002</c:v>
                </c:pt>
                <c:pt idx="6">
                  <c:v>5.8330000000000002</c:v>
                </c:pt>
                <c:pt idx="7">
                  <c:v>6.6669999999999998</c:v>
                </c:pt>
                <c:pt idx="8">
                  <c:v>5</c:v>
                </c:pt>
                <c:pt idx="9">
                  <c:v>2.5</c:v>
                </c:pt>
                <c:pt idx="10">
                  <c:v>0</c:v>
                </c:pt>
                <c:pt idx="11">
                  <c:v>1.667</c:v>
                </c:pt>
                <c:pt idx="12">
                  <c:v>0.83299999999999996</c:v>
                </c:pt>
              </c:numCache>
            </c:numRef>
          </c:val>
          <c:extLst>
            <c:ext xmlns:c16="http://schemas.microsoft.com/office/drawing/2014/chart" uri="{C3380CC4-5D6E-409C-BE32-E72D297353CC}">
              <c16:uniqueId val="{00000002-DD77-43A1-A0C9-CA6F68FFC997}"/>
            </c:ext>
          </c:extLst>
        </c:ser>
        <c:ser>
          <c:idx val="1"/>
          <c:order val="1"/>
          <c:tx>
            <c:strRef>
              <c:f>'Small SD'!$AN$4</c:f>
              <c:strCache>
                <c:ptCount val="1"/>
                <c:pt idx="0">
                  <c:v>TRL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SD'!$AN$5:$AN$17</c:f>
              <c:numCache>
                <c:formatCode>General</c:formatCode>
                <c:ptCount val="13"/>
                <c:pt idx="0">
                  <c:v>7.5</c:v>
                </c:pt>
                <c:pt idx="1">
                  <c:v>0.83299999999999996</c:v>
                </c:pt>
                <c:pt idx="2">
                  <c:v>0</c:v>
                </c:pt>
                <c:pt idx="3">
                  <c:v>9.1669999999999998</c:v>
                </c:pt>
                <c:pt idx="4">
                  <c:v>6.6669999999999998</c:v>
                </c:pt>
                <c:pt idx="5">
                  <c:v>5.8330000000000002</c:v>
                </c:pt>
                <c:pt idx="6">
                  <c:v>1.667</c:v>
                </c:pt>
                <c:pt idx="7">
                  <c:v>8.3330000000000002</c:v>
                </c:pt>
                <c:pt idx="8">
                  <c:v>2.5</c:v>
                </c:pt>
                <c:pt idx="9">
                  <c:v>10</c:v>
                </c:pt>
                <c:pt idx="10">
                  <c:v>4.1669999999999998</c:v>
                </c:pt>
                <c:pt idx="11">
                  <c:v>3.3330000000000002</c:v>
                </c:pt>
                <c:pt idx="12">
                  <c:v>5</c:v>
                </c:pt>
              </c:numCache>
            </c:numRef>
          </c:val>
          <c:extLst>
            <c:ext xmlns:c16="http://schemas.microsoft.com/office/drawing/2014/chart" uri="{C3380CC4-5D6E-409C-BE32-E72D297353CC}">
              <c16:uniqueId val="{00000004-DD77-43A1-A0C9-CA6F68FFC997}"/>
            </c:ext>
          </c:extLst>
        </c:ser>
        <c:ser>
          <c:idx val="2"/>
          <c:order val="2"/>
          <c:tx>
            <c:strRef>
              <c:f>'Small SD'!$AO$4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SD'!$AO$5:$AO$17</c:f>
              <c:numCache>
                <c:formatCode>General</c:formatCode>
                <c:ptCount val="13"/>
                <c:pt idx="0">
                  <c:v>5</c:v>
                </c:pt>
                <c:pt idx="1">
                  <c:v>5.8330000000000002</c:v>
                </c:pt>
                <c:pt idx="2">
                  <c:v>6.6669999999999998</c:v>
                </c:pt>
                <c:pt idx="3">
                  <c:v>8.3330000000000002</c:v>
                </c:pt>
                <c:pt idx="4">
                  <c:v>9.1669999999999998</c:v>
                </c:pt>
                <c:pt idx="5">
                  <c:v>1.667</c:v>
                </c:pt>
                <c:pt idx="6">
                  <c:v>0</c:v>
                </c:pt>
                <c:pt idx="7">
                  <c:v>4.1669999999999998</c:v>
                </c:pt>
                <c:pt idx="8">
                  <c:v>2.5</c:v>
                </c:pt>
                <c:pt idx="9">
                  <c:v>7.5</c:v>
                </c:pt>
                <c:pt idx="10">
                  <c:v>0.83299999999999996</c:v>
                </c:pt>
                <c:pt idx="11">
                  <c:v>10</c:v>
                </c:pt>
                <c:pt idx="12">
                  <c:v>3.3330000000000002</c:v>
                </c:pt>
              </c:numCache>
            </c:numRef>
          </c:val>
          <c:extLst>
            <c:ext xmlns:c16="http://schemas.microsoft.com/office/drawing/2014/chart" uri="{C3380CC4-5D6E-409C-BE32-E72D297353CC}">
              <c16:uniqueId val="{00000006-DD77-43A1-A0C9-CA6F68FFC997}"/>
            </c:ext>
          </c:extLst>
        </c:ser>
        <c:ser>
          <c:idx val="3"/>
          <c:order val="3"/>
          <c:tx>
            <c:strRef>
              <c:f>'Small SD'!$AP$4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SD'!$AP$5:$AP$17</c:f>
              <c:numCache>
                <c:formatCode>General</c:formatCode>
                <c:ptCount val="13"/>
                <c:pt idx="0">
                  <c:v>1.667</c:v>
                </c:pt>
                <c:pt idx="1">
                  <c:v>5.8330000000000002</c:v>
                </c:pt>
                <c:pt idx="2">
                  <c:v>6.6669999999999998</c:v>
                </c:pt>
                <c:pt idx="3">
                  <c:v>4.1669999999999998</c:v>
                </c:pt>
                <c:pt idx="4">
                  <c:v>3.3330000000000002</c:v>
                </c:pt>
                <c:pt idx="5">
                  <c:v>0.83299999999999996</c:v>
                </c:pt>
                <c:pt idx="6">
                  <c:v>7.5</c:v>
                </c:pt>
                <c:pt idx="7">
                  <c:v>10</c:v>
                </c:pt>
                <c:pt idx="8">
                  <c:v>0</c:v>
                </c:pt>
                <c:pt idx="9">
                  <c:v>5</c:v>
                </c:pt>
                <c:pt idx="10">
                  <c:v>8.3330000000000002</c:v>
                </c:pt>
                <c:pt idx="11">
                  <c:v>2.5</c:v>
                </c:pt>
                <c:pt idx="12">
                  <c:v>9.1669999999999998</c:v>
                </c:pt>
              </c:numCache>
            </c:numRef>
          </c:val>
          <c:extLst>
            <c:ext xmlns:c16="http://schemas.microsoft.com/office/drawing/2014/chart" uri="{C3380CC4-5D6E-409C-BE32-E72D297353CC}">
              <c16:uniqueId val="{00000008-DD77-43A1-A0C9-CA6F68FFC997}"/>
            </c:ext>
          </c:extLst>
        </c:ser>
        <c:ser>
          <c:idx val="4"/>
          <c:order val="4"/>
          <c:tx>
            <c:strRef>
              <c:f>'Small SD'!$AQ$4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SD'!$AQ$5:$AQ$17</c:f>
              <c:numCache>
                <c:formatCode>General</c:formatCode>
                <c:ptCount val="13"/>
                <c:pt idx="0">
                  <c:v>10</c:v>
                </c:pt>
                <c:pt idx="1">
                  <c:v>9.1669999999999998</c:v>
                </c:pt>
                <c:pt idx="2">
                  <c:v>8.3330000000000002</c:v>
                </c:pt>
                <c:pt idx="3">
                  <c:v>0</c:v>
                </c:pt>
                <c:pt idx="4">
                  <c:v>1.667</c:v>
                </c:pt>
                <c:pt idx="5">
                  <c:v>4.1669999999999998</c:v>
                </c:pt>
                <c:pt idx="6">
                  <c:v>5.8330000000000002</c:v>
                </c:pt>
                <c:pt idx="7">
                  <c:v>7.5</c:v>
                </c:pt>
                <c:pt idx="8">
                  <c:v>0.83299999999999996</c:v>
                </c:pt>
                <c:pt idx="9">
                  <c:v>2.5</c:v>
                </c:pt>
                <c:pt idx="10">
                  <c:v>5</c:v>
                </c:pt>
                <c:pt idx="11">
                  <c:v>3.3330000000000002</c:v>
                </c:pt>
                <c:pt idx="12">
                  <c:v>6.6669999999999998</c:v>
                </c:pt>
              </c:numCache>
            </c:numRef>
          </c:val>
          <c:extLst>
            <c:ext xmlns:c16="http://schemas.microsoft.com/office/drawing/2014/chart" uri="{C3380CC4-5D6E-409C-BE32-E72D297353CC}">
              <c16:uniqueId val="{0000000A-DD77-43A1-A0C9-CA6F68FFC997}"/>
            </c:ext>
          </c:extLst>
        </c:ser>
        <c:ser>
          <c:idx val="5"/>
          <c:order val="5"/>
          <c:tx>
            <c:strRef>
              <c:f>'Small SD'!$AR$4</c:f>
              <c:strCache>
                <c:ptCount val="1"/>
                <c:pt idx="0">
                  <c:v>Suitability</c:v>
                </c:pt>
              </c:strCache>
            </c:strRef>
          </c:tx>
          <c:spPr>
            <a:ln w="28575" cap="rnd">
              <a:solidFill>
                <a:srgbClr val="FFFF00"/>
              </a:solidFill>
              <a:prstDash val="solid"/>
              <a:round/>
            </a:ln>
            <a:effectLst/>
          </c:spPr>
          <c:marker>
            <c:symbol val="circle"/>
            <c:size val="5"/>
            <c:spPr>
              <a:solidFill>
                <a:schemeClr val="accent6"/>
              </a:solidFill>
              <a:ln w="9525">
                <a:solidFill>
                  <a:schemeClr val="accent6"/>
                </a:solidFill>
              </a:ln>
              <a:effectLst/>
            </c:spPr>
          </c:marker>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SD'!$AR$5:$AR$17</c:f>
              <c:numCache>
                <c:formatCode>General</c:formatCode>
                <c:ptCount val="13"/>
                <c:pt idx="0">
                  <c:v>10</c:v>
                </c:pt>
                <c:pt idx="1">
                  <c:v>5.8330000000000002</c:v>
                </c:pt>
                <c:pt idx="2">
                  <c:v>4.1669999999999998</c:v>
                </c:pt>
                <c:pt idx="3">
                  <c:v>1.667</c:v>
                </c:pt>
                <c:pt idx="4">
                  <c:v>2.5</c:v>
                </c:pt>
                <c:pt idx="5">
                  <c:v>3.3330000000000002</c:v>
                </c:pt>
                <c:pt idx="6">
                  <c:v>9.1669999999999998</c:v>
                </c:pt>
                <c:pt idx="7">
                  <c:v>8.3330000000000002</c:v>
                </c:pt>
                <c:pt idx="8">
                  <c:v>6.6669999999999998</c:v>
                </c:pt>
                <c:pt idx="9">
                  <c:v>0</c:v>
                </c:pt>
                <c:pt idx="10">
                  <c:v>5</c:v>
                </c:pt>
                <c:pt idx="11">
                  <c:v>0.83299999999999996</c:v>
                </c:pt>
                <c:pt idx="12">
                  <c:v>7.5</c:v>
                </c:pt>
              </c:numCache>
            </c:numRef>
          </c:val>
          <c:extLst>
            <c:ext xmlns:c16="http://schemas.microsoft.com/office/drawing/2014/chart" uri="{C3380CC4-5D6E-409C-BE32-E72D297353CC}">
              <c16:uniqueId val="{0000000C-DD77-43A1-A0C9-CA6F68FFC997}"/>
            </c:ext>
          </c:extLst>
        </c:ser>
        <c:ser>
          <c:idx val="6"/>
          <c:order val="6"/>
          <c:tx>
            <c:strRef>
              <c:f>'Small SD'!$AS$4</c:f>
              <c:strCache>
                <c:ptCount val="1"/>
                <c:pt idx="0">
                  <c:v>Avg Score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solidFill>
                <a:srgbClr val="FFC000"/>
              </a:solidFill>
              <a:ln>
                <a:solidFill>
                  <a:srgbClr val="161616"/>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'Small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'Small SD'!$AS$5:$AS$17</c:f>
              <c:numCache>
                <c:formatCode>General</c:formatCode>
                <c:ptCount val="13"/>
                <c:pt idx="0">
                  <c:v>6.9450000000000003</c:v>
                </c:pt>
                <c:pt idx="1">
                  <c:v>6.25</c:v>
                </c:pt>
                <c:pt idx="2">
                  <c:v>5.8339999999999996</c:v>
                </c:pt>
                <c:pt idx="3">
                  <c:v>4.5839999999999996</c:v>
                </c:pt>
                <c:pt idx="4">
                  <c:v>5.2779999999999996</c:v>
                </c:pt>
                <c:pt idx="5">
                  <c:v>3.194</c:v>
                </c:pt>
                <c:pt idx="6">
                  <c:v>5</c:v>
                </c:pt>
                <c:pt idx="7">
                  <c:v>7.5</c:v>
                </c:pt>
                <c:pt idx="8">
                  <c:v>2.9169999999999998</c:v>
                </c:pt>
                <c:pt idx="9">
                  <c:v>4.5830000000000002</c:v>
                </c:pt>
                <c:pt idx="10">
                  <c:v>3.8889999999999998</c:v>
                </c:pt>
                <c:pt idx="11">
                  <c:v>3.6110000000000002</c:v>
                </c:pt>
                <c:pt idx="12">
                  <c:v>5.4169999999999998</c:v>
                </c:pt>
              </c:numCache>
            </c:numRef>
          </c:val>
          <c:extLst>
            <c:ext xmlns:c16="http://schemas.microsoft.com/office/drawing/2014/chart" uri="{C3380CC4-5D6E-409C-BE32-E72D297353CC}">
              <c16:uniqueId val="{0000000E-DD77-43A1-A0C9-CA6F68FFC997}"/>
            </c:ext>
          </c:extLst>
        </c:ser>
        <c:dLbls>
          <c:showLegendKey val="0"/>
          <c:showVal val="0"/>
          <c:showCatName val="0"/>
          <c:showSerName val="0"/>
          <c:showPercent val="0"/>
          <c:showBubbleSize val="0"/>
        </c:dLbls>
        <c:axId val="100944392"/>
        <c:axId val="100972040"/>
      </c:radarChart>
      <c:catAx>
        <c:axId val="100944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040"/>
        <c:crosses val="autoZero"/>
        <c:auto val="1"/>
        <c:lblAlgn val="ctr"/>
        <c:lblOffset val="100"/>
        <c:noMultiLvlLbl val="0"/>
      </c:catAx>
      <c:valAx>
        <c:axId val="100972040"/>
        <c:scaling>
          <c:orientation val="minMax"/>
          <c:max val="1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3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'Medium SD'!$AF$4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SD'!$AF$5:$AF$17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0-1EBE-40D6-AC86-CE1BB6E36B34}"/>
            </c:ext>
          </c:extLst>
        </c:ser>
        <c:ser>
          <c:idx val="1"/>
          <c:order val="1"/>
          <c:tx>
            <c:strRef>
              <c:f>'Medium SD'!$AG$4</c:f>
              <c:strCache>
                <c:ptCount val="1"/>
                <c:pt idx="0">
                  <c:v>TLR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SD'!$AG$5:$AG$17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1EBE-40D6-AC86-CE1BB6E36B34}"/>
            </c:ext>
          </c:extLst>
        </c:ser>
        <c:ser>
          <c:idx val="2"/>
          <c:order val="2"/>
          <c:tx>
            <c:strRef>
              <c:f>'Medium SD'!$AH$4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SD'!$AH$5:$AH$17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1EBE-40D6-AC86-CE1BB6E36B34}"/>
            </c:ext>
          </c:extLst>
        </c:ser>
        <c:ser>
          <c:idx val="3"/>
          <c:order val="3"/>
          <c:tx>
            <c:strRef>
              <c:f>'Medium SD'!$AI$4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SD'!$AI$5:$AI$17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3-1EBE-40D6-AC86-CE1BB6E36B34}"/>
            </c:ext>
          </c:extLst>
        </c:ser>
        <c:ser>
          <c:idx val="4"/>
          <c:order val="4"/>
          <c:tx>
            <c:strRef>
              <c:f>'Medium SD'!$AJ$4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SD'!$AJ$5:$AJ$17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4-1EBE-40D6-AC86-CE1BB6E36B34}"/>
            </c:ext>
          </c:extLst>
        </c:ser>
        <c:ser>
          <c:idx val="5"/>
          <c:order val="5"/>
          <c:tx>
            <c:strRef>
              <c:f>'Medium SD'!$AK$4</c:f>
              <c:strCache>
                <c:ptCount val="1"/>
                <c:pt idx="0">
                  <c:v>Suitability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SD'!$AK$5:$AK$17</c:f>
              <c:numCache>
                <c:formatCode>General</c:formatCode>
                <c:ptCount val="13"/>
                <c:pt idx="0">
                  <c:v>1</c:v>
                </c:pt>
                <c:pt idx="1">
                  <c:v>8</c:v>
                </c:pt>
                <c:pt idx="2">
                  <c:v>9</c:v>
                </c:pt>
                <c:pt idx="3">
                  <c:v>10</c:v>
                </c:pt>
                <c:pt idx="4">
                  <c:v>6</c:v>
                </c:pt>
                <c:pt idx="5">
                  <c:v>7</c:v>
                </c:pt>
                <c:pt idx="6">
                  <c:v>2</c:v>
                </c:pt>
                <c:pt idx="7">
                  <c:v>3</c:v>
                </c:pt>
                <c:pt idx="8">
                  <c:v>5</c:v>
                </c:pt>
                <c:pt idx="9">
                  <c:v>12</c:v>
                </c:pt>
                <c:pt idx="10">
                  <c:v>13</c:v>
                </c:pt>
                <c:pt idx="11">
                  <c:v>11</c:v>
                </c:pt>
                <c:pt idx="12">
                  <c:v>4</c:v>
                </c:pt>
              </c:numCache>
            </c:numRef>
          </c:val>
          <c:smooth val="0"/>
          <c:extLst>
            <c:ext xmlns:c16="http://schemas.microsoft.com/office/drawing/2014/chart" uri="{C3380CC4-5D6E-409C-BE32-E72D297353CC}">
              <c16:uniqueId val="{00000005-1EBE-40D6-AC86-CE1BB6E36B34}"/>
            </c:ext>
          </c:extLst>
        </c:ser>
        <c:dLbls>
          <c:dLblPos val="b"/>
          <c:showLegendKey val="0"/>
          <c:showVal val="1"/>
          <c:showCatName val="0"/>
          <c:showSerName val="0"/>
          <c:showPercent val="0"/>
          <c:showBubbleSize val="0"/>
        </c:dLbls>
        <c:marker val="1"/>
        <c:smooth val="0"/>
        <c:axId val="102221320"/>
        <c:axId val="1205219336"/>
      </c:lineChart>
      <c:catAx>
        <c:axId val="102221320"/>
        <c:scaling>
          <c:orientation val="minMax"/>
        </c:scaling>
        <c:delete val="0"/>
        <c:axPos val="t"/>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19336"/>
        <c:crosses val="autoZero"/>
        <c:auto val="1"/>
        <c:lblAlgn val="ctr"/>
        <c:lblOffset val="100"/>
        <c:noMultiLvlLbl val="0"/>
      </c:catAx>
      <c:valAx>
        <c:axId val="1205219336"/>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1320"/>
        <c:crosses val="autoZero"/>
        <c:crossBetween val="between"/>
        <c:majorUnit val="1"/>
        <c:minorUnit val="0.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and Weighted Avg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'Medium SD'!$AS$4</c:f>
              <c:strCache>
                <c:ptCount val="1"/>
                <c:pt idx="0">
                  <c:v>Avg Score</c:v>
                </c:pt>
              </c:strCache>
            </c:strRef>
          </c:tx>
          <c:spPr>
            <a:ln w="28575" cap="rnd">
              <a:solidFill>
                <a:srgbClr val="FFFF00"/>
              </a:solidFill>
              <a:prstDash val="solid"/>
              <a:round/>
            </a:ln>
            <a:effectLst/>
          </c:spPr>
          <c:marker>
            <c:symbol val="diamond"/>
            <c:size val="12"/>
            <c:spPr>
              <a:solidFill>
                <a:schemeClr val="accent6"/>
              </a:solidFill>
              <a:ln w="9525">
                <a:solidFill>
                  <a:srgbClr val="0D0D0D"/>
                </a:solidFill>
                <a:prstDash val="solid"/>
              </a:ln>
              <a:effectLst/>
            </c:spPr>
          </c:marker>
          <c:dLbls>
            <c:spPr>
              <a:solidFill>
                <a:srgbClr val="FFC000"/>
              </a:solidFill>
              <a:ln>
                <a:solidFill>
                  <a:srgbClr val="404040"/>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SD'!$AS$5:$AS$17</c:f>
              <c:numCache>
                <c:formatCode>General</c:formatCode>
                <c:ptCount val="13"/>
                <c:pt idx="0">
                  <c:v>10.694000000000001</c:v>
                </c:pt>
                <c:pt idx="1">
                  <c:v>9.7219999999999995</c:v>
                </c:pt>
                <c:pt idx="2">
                  <c:v>9.5830000000000002</c:v>
                </c:pt>
                <c:pt idx="3">
                  <c:v>9.4440000000000008</c:v>
                </c:pt>
                <c:pt idx="4">
                  <c:v>10</c:v>
                </c:pt>
                <c:pt idx="5">
                  <c:v>9.8610000000000007</c:v>
                </c:pt>
                <c:pt idx="6">
                  <c:v>10.555</c:v>
                </c:pt>
                <c:pt idx="7">
                  <c:v>10.416</c:v>
                </c:pt>
                <c:pt idx="8">
                  <c:v>10.138999999999999</c:v>
                </c:pt>
                <c:pt idx="9">
                  <c:v>9.1660000000000004</c:v>
                </c:pt>
                <c:pt idx="10">
                  <c:v>9.0280000000000005</c:v>
                </c:pt>
                <c:pt idx="11">
                  <c:v>9.3049999999999997</c:v>
                </c:pt>
                <c:pt idx="12">
                  <c:v>10.278</c:v>
                </c:pt>
              </c:numCache>
            </c:numRef>
          </c:val>
          <c:smooth val="0"/>
          <c:extLst>
            <c:ext xmlns:c16="http://schemas.microsoft.com/office/drawing/2014/chart" uri="{C3380CC4-5D6E-409C-BE32-E72D297353CC}">
              <c16:uniqueId val="{00000000-101E-403B-B85A-763E6000FBF7}"/>
            </c:ext>
          </c:extLst>
        </c:ser>
        <c:ser>
          <c:idx val="6"/>
          <c:order val="1"/>
          <c:tx>
            <c:strRef>
              <c:f>'Medium SD'!$AT$4</c:f>
              <c:strCache>
                <c:ptCount val="1"/>
                <c:pt idx="0">
                  <c:v>W. Avg Score</c:v>
                </c:pt>
              </c:strCache>
            </c:strRef>
          </c:tx>
          <c:spPr>
            <a:ln w="28575" cap="rnd">
              <a:solidFill>
                <a:srgbClr val="FF0000"/>
              </a:solidFill>
              <a:prstDash val="solid"/>
              <a:round/>
            </a:ln>
            <a:effectLst/>
          </c:spPr>
          <c:marker>
            <c:symbol val="triangle"/>
            <c:size val="12"/>
            <c:spPr>
              <a:solidFill>
                <a:srgbClr val="00B0F0"/>
              </a:solidFill>
              <a:ln w="9525">
                <a:solidFill>
                  <a:schemeClr val="accent1">
                    <a:lumMod val="60000"/>
                  </a:schemeClr>
                </a:solidFill>
              </a:ln>
              <a:effectLst/>
            </c:spPr>
          </c:marker>
          <c:dLbls>
            <c:spPr>
              <a:solidFill>
                <a:srgbClr val="C0F1C8"/>
              </a:solidFill>
              <a:ln>
                <a:solidFill>
                  <a:srgbClr val="0D0D0D"/>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SD'!$AT$5:$AT$17</c:f>
              <c:numCache>
                <c:formatCode>General</c:formatCode>
                <c:ptCount val="13"/>
                <c:pt idx="0">
                  <c:v>10.666</c:v>
                </c:pt>
                <c:pt idx="1">
                  <c:v>9.5</c:v>
                </c:pt>
                <c:pt idx="2">
                  <c:v>9.3330000000000002</c:v>
                </c:pt>
                <c:pt idx="3">
                  <c:v>9.1660000000000004</c:v>
                </c:pt>
                <c:pt idx="4">
                  <c:v>9.8330000000000002</c:v>
                </c:pt>
                <c:pt idx="5">
                  <c:v>9.6660000000000004</c:v>
                </c:pt>
                <c:pt idx="6">
                  <c:v>10.5</c:v>
                </c:pt>
                <c:pt idx="7">
                  <c:v>10.333</c:v>
                </c:pt>
                <c:pt idx="8">
                  <c:v>10</c:v>
                </c:pt>
                <c:pt idx="9">
                  <c:v>8.8330000000000002</c:v>
                </c:pt>
                <c:pt idx="10">
                  <c:v>8.6660000000000004</c:v>
                </c:pt>
                <c:pt idx="11">
                  <c:v>9</c:v>
                </c:pt>
                <c:pt idx="12">
                  <c:v>10.166</c:v>
                </c:pt>
              </c:numCache>
            </c:numRef>
          </c:val>
          <c:smooth val="0"/>
          <c:extLst>
            <c:ext xmlns:c16="http://schemas.microsoft.com/office/drawing/2014/chart" uri="{C3380CC4-5D6E-409C-BE32-E72D297353CC}">
              <c16:uniqueId val="{00000001-101E-403B-B85A-763E6000FBF7}"/>
            </c:ext>
          </c:extLst>
        </c:ser>
        <c:dLbls>
          <c:dLblPos val="r"/>
          <c:showLegendKey val="0"/>
          <c:showVal val="1"/>
          <c:showCatName val="0"/>
          <c:showSerName val="0"/>
          <c:showPercent val="0"/>
          <c:showBubbleSize val="0"/>
        </c:dLbls>
        <c:marker val="1"/>
        <c:smooth val="0"/>
        <c:axId val="1205241352"/>
        <c:axId val="1205243400"/>
      </c:lineChart>
      <c:catAx>
        <c:axId val="1205241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3400"/>
        <c:crosses val="autoZero"/>
        <c:auto val="1"/>
        <c:lblAlgn val="ctr"/>
        <c:lblOffset val="100"/>
        <c:noMultiLvlLbl val="0"/>
      </c:catAx>
      <c:valAx>
        <c:axId val="1205243400"/>
        <c:scaling>
          <c:orientation val="minMax"/>
          <c:max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Weighted Avg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1352"/>
        <c:crosses val="autoZero"/>
        <c:crossBetween val="between"/>
        <c:minorUnit val="0.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Scoring (Ranking of 1 to 13 mapped to Scoring of 10 to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'Medium SD'!$AM$4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SD'!$AM$5:$AM$17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0-F002-4B7C-9AD4-8315391CCC7F}"/>
            </c:ext>
          </c:extLst>
        </c:ser>
        <c:ser>
          <c:idx val="1"/>
          <c:order val="1"/>
          <c:tx>
            <c:strRef>
              <c:f>'Medium SD'!$AN$4</c:f>
              <c:strCache>
                <c:ptCount val="1"/>
                <c:pt idx="0">
                  <c:v>TLR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SD'!$AN$5:$AN$17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1-F002-4B7C-9AD4-8315391CCC7F}"/>
            </c:ext>
          </c:extLst>
        </c:ser>
        <c:ser>
          <c:idx val="2"/>
          <c:order val="2"/>
          <c:tx>
            <c:strRef>
              <c:f>'Medium SD'!$AO$4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SD'!$AO$5:$AO$17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2-F002-4B7C-9AD4-8315391CCC7F}"/>
            </c:ext>
          </c:extLst>
        </c:ser>
        <c:ser>
          <c:idx val="3"/>
          <c:order val="3"/>
          <c:tx>
            <c:strRef>
              <c:f>'Medium SD'!$AP$4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SD'!$AP$5:$AP$17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3-F002-4B7C-9AD4-8315391CCC7F}"/>
            </c:ext>
          </c:extLst>
        </c:ser>
        <c:ser>
          <c:idx val="4"/>
          <c:order val="4"/>
          <c:tx>
            <c:strRef>
              <c:f>'Medium SD'!$AQ$4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SD'!$AQ$5:$AQ$17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4-F002-4B7C-9AD4-8315391CCC7F}"/>
            </c:ext>
          </c:extLst>
        </c:ser>
        <c:ser>
          <c:idx val="5"/>
          <c:order val="5"/>
          <c:tx>
            <c:strRef>
              <c:f>'Medium SD'!$AR$4</c:f>
              <c:strCache>
                <c:ptCount val="1"/>
                <c:pt idx="0">
                  <c:v>Suitability</c:v>
                </c:pt>
              </c:strCache>
            </c:strRef>
          </c:tx>
          <c:spPr>
            <a:ln w="28575" cap="rnd">
              <a:solidFill>
                <a:srgbClr val="FFFF00"/>
              </a:solidFill>
              <a:prstDash val="solid"/>
              <a:round/>
            </a:ln>
            <a:effectLst/>
          </c:spPr>
          <c:marker>
            <c:symbol val="circle"/>
            <c:size val="5"/>
            <c:spPr>
              <a:solidFill>
                <a:schemeClr val="accent6"/>
              </a:solidFill>
              <a:ln w="9525">
                <a:solidFill>
                  <a:schemeClr val="accent6"/>
                </a:solidFill>
              </a:ln>
              <a:effectLst/>
            </c:spPr>
          </c:marker>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SD'!$AR$5:$AR$17</c:f>
              <c:numCache>
                <c:formatCode>General</c:formatCode>
                <c:ptCount val="13"/>
                <c:pt idx="0">
                  <c:v>10</c:v>
                </c:pt>
                <c:pt idx="1">
                  <c:v>4.1669999999999998</c:v>
                </c:pt>
                <c:pt idx="2">
                  <c:v>3.3330000000000002</c:v>
                </c:pt>
                <c:pt idx="3">
                  <c:v>2.5</c:v>
                </c:pt>
                <c:pt idx="4">
                  <c:v>5.8330000000000002</c:v>
                </c:pt>
                <c:pt idx="5">
                  <c:v>5</c:v>
                </c:pt>
                <c:pt idx="6">
                  <c:v>9.1669999999999998</c:v>
                </c:pt>
                <c:pt idx="7">
                  <c:v>8.3330000000000002</c:v>
                </c:pt>
                <c:pt idx="8">
                  <c:v>6.6669999999999998</c:v>
                </c:pt>
                <c:pt idx="9">
                  <c:v>0.83299999999999996</c:v>
                </c:pt>
                <c:pt idx="10">
                  <c:v>0</c:v>
                </c:pt>
                <c:pt idx="11">
                  <c:v>1.667</c:v>
                </c:pt>
                <c:pt idx="12">
                  <c:v>7.5</c:v>
                </c:pt>
              </c:numCache>
            </c:numRef>
          </c:val>
          <c:extLst>
            <c:ext xmlns:c16="http://schemas.microsoft.com/office/drawing/2014/chart" uri="{C3380CC4-5D6E-409C-BE32-E72D297353CC}">
              <c16:uniqueId val="{00000005-F002-4B7C-9AD4-8315391CCC7F}"/>
            </c:ext>
          </c:extLst>
        </c:ser>
        <c:ser>
          <c:idx val="6"/>
          <c:order val="6"/>
          <c:tx>
            <c:strRef>
              <c:f>'Medium SD'!$AS$4</c:f>
              <c:strCache>
                <c:ptCount val="1"/>
                <c:pt idx="0">
                  <c:v>Avg Score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solidFill>
                <a:srgbClr val="FFC000"/>
              </a:solidFill>
              <a:ln>
                <a:solidFill>
                  <a:srgbClr val="161616"/>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'Medium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'Medium SD'!$AS$5:$AS$17</c:f>
              <c:numCache>
                <c:formatCode>General</c:formatCode>
                <c:ptCount val="13"/>
                <c:pt idx="0">
                  <c:v>10.694000000000001</c:v>
                </c:pt>
                <c:pt idx="1">
                  <c:v>9.7219999999999995</c:v>
                </c:pt>
                <c:pt idx="2">
                  <c:v>9.5830000000000002</c:v>
                </c:pt>
                <c:pt idx="3">
                  <c:v>9.4440000000000008</c:v>
                </c:pt>
                <c:pt idx="4">
                  <c:v>10</c:v>
                </c:pt>
                <c:pt idx="5">
                  <c:v>9.8610000000000007</c:v>
                </c:pt>
                <c:pt idx="6">
                  <c:v>10.555</c:v>
                </c:pt>
                <c:pt idx="7">
                  <c:v>10.416</c:v>
                </c:pt>
                <c:pt idx="8">
                  <c:v>10.138999999999999</c:v>
                </c:pt>
                <c:pt idx="9">
                  <c:v>9.1660000000000004</c:v>
                </c:pt>
                <c:pt idx="10">
                  <c:v>9.0280000000000005</c:v>
                </c:pt>
                <c:pt idx="11">
                  <c:v>9.3049999999999997</c:v>
                </c:pt>
                <c:pt idx="12">
                  <c:v>10.278</c:v>
                </c:pt>
              </c:numCache>
            </c:numRef>
          </c:val>
          <c:extLst>
            <c:ext xmlns:c16="http://schemas.microsoft.com/office/drawing/2014/chart" uri="{C3380CC4-5D6E-409C-BE32-E72D297353CC}">
              <c16:uniqueId val="{00000006-F002-4B7C-9AD4-8315391CCC7F}"/>
            </c:ext>
          </c:extLst>
        </c:ser>
        <c:dLbls>
          <c:showLegendKey val="0"/>
          <c:showVal val="0"/>
          <c:showCatName val="0"/>
          <c:showSerName val="0"/>
          <c:showPercent val="0"/>
          <c:showBubbleSize val="0"/>
        </c:dLbls>
        <c:axId val="100944392"/>
        <c:axId val="100972040"/>
      </c:radarChart>
      <c:catAx>
        <c:axId val="100944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040"/>
        <c:crosses val="autoZero"/>
        <c:auto val="1"/>
        <c:lblAlgn val="ctr"/>
        <c:lblOffset val="100"/>
        <c:noMultiLvlLbl val="0"/>
      </c:catAx>
      <c:valAx>
        <c:axId val="100972040"/>
        <c:scaling>
          <c:orientation val="minMax"/>
          <c:max val="1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3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'Large SD'!$AF$4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SD'!$AF$5:$AF$17</c:f>
              <c:numCache>
                <c:formatCode>General</c:formatCode>
                <c:ptCount val="13"/>
                <c:pt idx="0">
                  <c:v>1</c:v>
                </c:pt>
                <c:pt idx="1">
                  <c:v>13</c:v>
                </c:pt>
                <c:pt idx="2">
                  <c:v>8</c:v>
                </c:pt>
                <c:pt idx="3">
                  <c:v>7</c:v>
                </c:pt>
                <c:pt idx="4">
                  <c:v>2</c:v>
                </c:pt>
                <c:pt idx="5">
                  <c:v>6</c:v>
                </c:pt>
                <c:pt idx="6">
                  <c:v>9</c:v>
                </c:pt>
                <c:pt idx="7">
                  <c:v>3</c:v>
                </c:pt>
                <c:pt idx="8">
                  <c:v>10</c:v>
                </c:pt>
                <c:pt idx="9">
                  <c:v>5</c:v>
                </c:pt>
                <c:pt idx="10">
                  <c:v>11</c:v>
                </c:pt>
                <c:pt idx="11">
                  <c:v>12</c:v>
                </c:pt>
                <c:pt idx="12">
                  <c:v>4</c:v>
                </c:pt>
              </c:numCache>
            </c:numRef>
          </c:val>
          <c:smooth val="0"/>
          <c:extLst>
            <c:ext xmlns:c16="http://schemas.microsoft.com/office/drawing/2014/chart" uri="{C3380CC4-5D6E-409C-BE32-E72D297353CC}">
              <c16:uniqueId val="{00000000-799D-4435-90D6-AD654D392192}"/>
            </c:ext>
          </c:extLst>
        </c:ser>
        <c:ser>
          <c:idx val="1"/>
          <c:order val="1"/>
          <c:tx>
            <c:strRef>
              <c:f>'Large SD'!$AG$4</c:f>
              <c:strCache>
                <c:ptCount val="1"/>
                <c:pt idx="0">
                  <c:v>TLR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SD'!$AG$5:$AG$17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799D-4435-90D6-AD654D392192}"/>
            </c:ext>
          </c:extLst>
        </c:ser>
        <c:ser>
          <c:idx val="2"/>
          <c:order val="2"/>
          <c:tx>
            <c:strRef>
              <c:f>'Large SD'!$AH$4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SD'!$AH$5:$AH$17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799D-4435-90D6-AD654D392192}"/>
            </c:ext>
          </c:extLst>
        </c:ser>
        <c:ser>
          <c:idx val="3"/>
          <c:order val="3"/>
          <c:tx>
            <c:strRef>
              <c:f>'Large SD'!$AI$4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SD'!$AI$5:$AI$17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3-799D-4435-90D6-AD654D392192}"/>
            </c:ext>
          </c:extLst>
        </c:ser>
        <c:ser>
          <c:idx val="4"/>
          <c:order val="4"/>
          <c:tx>
            <c:strRef>
              <c:f>'Large SD'!$AJ$4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SD'!$AJ$5:$AJ$17</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4-799D-4435-90D6-AD654D392192}"/>
            </c:ext>
          </c:extLst>
        </c:ser>
        <c:ser>
          <c:idx val="5"/>
          <c:order val="5"/>
          <c:tx>
            <c:strRef>
              <c:f>'Large SD'!$AK$4</c:f>
              <c:strCache>
                <c:ptCount val="1"/>
                <c:pt idx="0">
                  <c:v>Suitability</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SD'!$AE$5:$AE$17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SD'!$AK$5:$AK$17</c:f>
              <c:numCache>
                <c:formatCode>General</c:formatCode>
                <c:ptCount val="13"/>
                <c:pt idx="0">
                  <c:v>4</c:v>
                </c:pt>
                <c:pt idx="1">
                  <c:v>8</c:v>
                </c:pt>
                <c:pt idx="2">
                  <c:v>9</c:v>
                </c:pt>
                <c:pt idx="3">
                  <c:v>3</c:v>
                </c:pt>
                <c:pt idx="4">
                  <c:v>2</c:v>
                </c:pt>
                <c:pt idx="5">
                  <c:v>7</c:v>
                </c:pt>
                <c:pt idx="6">
                  <c:v>11</c:v>
                </c:pt>
                <c:pt idx="7">
                  <c:v>5</c:v>
                </c:pt>
                <c:pt idx="8">
                  <c:v>12</c:v>
                </c:pt>
                <c:pt idx="9">
                  <c:v>1</c:v>
                </c:pt>
                <c:pt idx="10">
                  <c:v>13</c:v>
                </c:pt>
                <c:pt idx="11">
                  <c:v>10</c:v>
                </c:pt>
                <c:pt idx="12">
                  <c:v>6</c:v>
                </c:pt>
              </c:numCache>
            </c:numRef>
          </c:val>
          <c:smooth val="0"/>
          <c:extLst>
            <c:ext xmlns:c16="http://schemas.microsoft.com/office/drawing/2014/chart" uri="{C3380CC4-5D6E-409C-BE32-E72D297353CC}">
              <c16:uniqueId val="{00000005-799D-4435-90D6-AD654D392192}"/>
            </c:ext>
          </c:extLst>
        </c:ser>
        <c:dLbls>
          <c:dLblPos val="b"/>
          <c:showLegendKey val="0"/>
          <c:showVal val="1"/>
          <c:showCatName val="0"/>
          <c:showSerName val="0"/>
          <c:showPercent val="0"/>
          <c:showBubbleSize val="0"/>
        </c:dLbls>
        <c:marker val="1"/>
        <c:smooth val="0"/>
        <c:axId val="102221320"/>
        <c:axId val="1205219336"/>
      </c:lineChart>
      <c:catAx>
        <c:axId val="102221320"/>
        <c:scaling>
          <c:orientation val="minMax"/>
        </c:scaling>
        <c:delete val="0"/>
        <c:axPos val="t"/>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19336"/>
        <c:crosses val="autoZero"/>
        <c:auto val="1"/>
        <c:lblAlgn val="ctr"/>
        <c:lblOffset val="100"/>
        <c:noMultiLvlLbl val="0"/>
      </c:catAx>
      <c:valAx>
        <c:axId val="1205219336"/>
        <c:scaling>
          <c:orientation val="maxMin"/>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Rank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21320"/>
        <c:crosses val="autoZero"/>
        <c:crossBetween val="between"/>
        <c:majorUnit val="1"/>
        <c:minorUnit val="0.5"/>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and Weighted Avg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'Large SD'!$AS$4</c:f>
              <c:strCache>
                <c:ptCount val="1"/>
                <c:pt idx="0">
                  <c:v>Avg Score</c:v>
                </c:pt>
              </c:strCache>
            </c:strRef>
          </c:tx>
          <c:spPr>
            <a:ln w="28575" cap="rnd">
              <a:solidFill>
                <a:srgbClr val="FFFF00"/>
              </a:solidFill>
              <a:prstDash val="solid"/>
              <a:round/>
            </a:ln>
            <a:effectLst/>
          </c:spPr>
          <c:marker>
            <c:symbol val="diamond"/>
            <c:size val="12"/>
            <c:spPr>
              <a:solidFill>
                <a:schemeClr val="accent6"/>
              </a:solidFill>
              <a:ln w="9525">
                <a:solidFill>
                  <a:srgbClr val="0D0D0D"/>
                </a:solidFill>
                <a:prstDash val="solid"/>
              </a:ln>
              <a:effectLst/>
            </c:spPr>
          </c:marker>
          <c:dLbls>
            <c:spPr>
              <a:solidFill>
                <a:srgbClr val="FFC000"/>
              </a:solidFill>
              <a:ln>
                <a:solidFill>
                  <a:srgbClr val="404040"/>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SD'!$AS$5:$AS$17</c:f>
              <c:numCache>
                <c:formatCode>General</c:formatCode>
                <c:ptCount val="13"/>
                <c:pt idx="0">
                  <c:v>10.138999999999999</c:v>
                </c:pt>
                <c:pt idx="1">
                  <c:v>7.9169999999999998</c:v>
                </c:pt>
                <c:pt idx="2">
                  <c:v>8.4719999999999995</c:v>
                </c:pt>
                <c:pt idx="3">
                  <c:v>9.4440000000000008</c:v>
                </c:pt>
                <c:pt idx="4">
                  <c:v>10.278</c:v>
                </c:pt>
                <c:pt idx="5">
                  <c:v>9.0280000000000005</c:v>
                </c:pt>
                <c:pt idx="6">
                  <c:v>8.0549999999999997</c:v>
                </c:pt>
                <c:pt idx="7">
                  <c:v>9.7219999999999995</c:v>
                </c:pt>
                <c:pt idx="8">
                  <c:v>7.7779999999999996</c:v>
                </c:pt>
                <c:pt idx="9">
                  <c:v>10</c:v>
                </c:pt>
                <c:pt idx="10">
                  <c:v>7.5</c:v>
                </c:pt>
                <c:pt idx="11">
                  <c:v>7.7779999999999996</c:v>
                </c:pt>
                <c:pt idx="12">
                  <c:v>9.4440000000000008</c:v>
                </c:pt>
              </c:numCache>
            </c:numRef>
          </c:val>
          <c:smooth val="0"/>
          <c:extLst>
            <c:ext xmlns:c16="http://schemas.microsoft.com/office/drawing/2014/chart" uri="{C3380CC4-5D6E-409C-BE32-E72D297353CC}">
              <c16:uniqueId val="{00000000-B206-4CAC-B25C-DC5AC208899E}"/>
            </c:ext>
          </c:extLst>
        </c:ser>
        <c:ser>
          <c:idx val="6"/>
          <c:order val="1"/>
          <c:tx>
            <c:strRef>
              <c:f>'Large SD'!$AT$4</c:f>
              <c:strCache>
                <c:ptCount val="1"/>
                <c:pt idx="0">
                  <c:v>W. Avg Score</c:v>
                </c:pt>
              </c:strCache>
            </c:strRef>
          </c:tx>
          <c:spPr>
            <a:ln w="28575" cap="rnd">
              <a:solidFill>
                <a:srgbClr val="FF0000"/>
              </a:solidFill>
              <a:prstDash val="solid"/>
              <a:round/>
            </a:ln>
            <a:effectLst/>
          </c:spPr>
          <c:marker>
            <c:symbol val="triangle"/>
            <c:size val="12"/>
            <c:spPr>
              <a:solidFill>
                <a:srgbClr val="00B0F0"/>
              </a:solidFill>
              <a:ln w="9525">
                <a:solidFill>
                  <a:schemeClr val="accent1">
                    <a:lumMod val="60000"/>
                  </a:schemeClr>
                </a:solidFill>
              </a:ln>
              <a:effectLst/>
            </c:spPr>
          </c:marker>
          <c:dLbls>
            <c:spPr>
              <a:solidFill>
                <a:srgbClr val="C0F1C8"/>
              </a:solidFill>
              <a:ln>
                <a:solidFill>
                  <a:srgbClr val="0D0D0D"/>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SD'!$AT$5:$AT$17</c:f>
              <c:numCache>
                <c:formatCode>General</c:formatCode>
                <c:ptCount val="13"/>
                <c:pt idx="0">
                  <c:v>9.9329999999999998</c:v>
                </c:pt>
                <c:pt idx="1">
                  <c:v>6.4669999999999996</c:v>
                </c:pt>
                <c:pt idx="2">
                  <c:v>7.4669999999999996</c:v>
                </c:pt>
                <c:pt idx="3">
                  <c:v>8.6999999999999993</c:v>
                </c:pt>
                <c:pt idx="4">
                  <c:v>10.032999999999999</c:v>
                </c:pt>
                <c:pt idx="5">
                  <c:v>8.266</c:v>
                </c:pt>
                <c:pt idx="6">
                  <c:v>6.9</c:v>
                </c:pt>
                <c:pt idx="7">
                  <c:v>9.3000000000000007</c:v>
                </c:pt>
                <c:pt idx="8">
                  <c:v>6.5</c:v>
                </c:pt>
                <c:pt idx="9">
                  <c:v>9.5</c:v>
                </c:pt>
                <c:pt idx="10">
                  <c:v>6.1</c:v>
                </c:pt>
                <c:pt idx="11">
                  <c:v>6.3659999999999997</c:v>
                </c:pt>
                <c:pt idx="12">
                  <c:v>8.9</c:v>
                </c:pt>
              </c:numCache>
            </c:numRef>
          </c:val>
          <c:smooth val="0"/>
          <c:extLst>
            <c:ext xmlns:c16="http://schemas.microsoft.com/office/drawing/2014/chart" uri="{C3380CC4-5D6E-409C-BE32-E72D297353CC}">
              <c16:uniqueId val="{00000001-B206-4CAC-B25C-DC5AC208899E}"/>
            </c:ext>
          </c:extLst>
        </c:ser>
        <c:dLbls>
          <c:dLblPos val="r"/>
          <c:showLegendKey val="0"/>
          <c:showVal val="1"/>
          <c:showCatName val="0"/>
          <c:showSerName val="0"/>
          <c:showPercent val="0"/>
          <c:showBubbleSize val="0"/>
        </c:dLbls>
        <c:marker val="1"/>
        <c:smooth val="0"/>
        <c:axId val="1205241352"/>
        <c:axId val="1205243400"/>
      </c:lineChart>
      <c:catAx>
        <c:axId val="1205241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3400"/>
        <c:crosses val="autoZero"/>
        <c:auto val="1"/>
        <c:lblAlgn val="ctr"/>
        <c:lblOffset val="100"/>
        <c:noMultiLvlLbl val="0"/>
      </c:catAx>
      <c:valAx>
        <c:axId val="1205243400"/>
        <c:scaling>
          <c:orientation val="minMax"/>
          <c:max val="1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Weighted Avg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241352"/>
        <c:crosses val="autoZero"/>
        <c:crossBetween val="between"/>
        <c:minorUnit val="0.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Scoring (Ranking of 1 to 13 mapped to Scoring of 10 to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'Large SD'!$AM$4</c:f>
              <c:strCache>
                <c:ptCount val="1"/>
                <c:pt idx="0">
                  <c:v>Stickiness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SD'!$AM$5:$AM$17</c:f>
              <c:numCache>
                <c:formatCode>General</c:formatCode>
                <c:ptCount val="13"/>
                <c:pt idx="0">
                  <c:v>10</c:v>
                </c:pt>
                <c:pt idx="1">
                  <c:v>0</c:v>
                </c:pt>
                <c:pt idx="2">
                  <c:v>4.1669999999999998</c:v>
                </c:pt>
                <c:pt idx="3">
                  <c:v>5</c:v>
                </c:pt>
                <c:pt idx="4">
                  <c:v>9.1669999999999998</c:v>
                </c:pt>
                <c:pt idx="5">
                  <c:v>5.8330000000000002</c:v>
                </c:pt>
                <c:pt idx="6">
                  <c:v>3.3330000000000002</c:v>
                </c:pt>
                <c:pt idx="7">
                  <c:v>8.3330000000000002</c:v>
                </c:pt>
                <c:pt idx="8">
                  <c:v>2.5</c:v>
                </c:pt>
                <c:pt idx="9">
                  <c:v>6.6669999999999998</c:v>
                </c:pt>
                <c:pt idx="10">
                  <c:v>1.667</c:v>
                </c:pt>
                <c:pt idx="11">
                  <c:v>0.83299999999999996</c:v>
                </c:pt>
                <c:pt idx="12">
                  <c:v>7.5</c:v>
                </c:pt>
              </c:numCache>
            </c:numRef>
          </c:val>
          <c:extLst>
            <c:ext xmlns:c16="http://schemas.microsoft.com/office/drawing/2014/chart" uri="{C3380CC4-5D6E-409C-BE32-E72D297353CC}">
              <c16:uniqueId val="{00000000-724E-49D7-A662-1906D79C3ED6}"/>
            </c:ext>
          </c:extLst>
        </c:ser>
        <c:ser>
          <c:idx val="1"/>
          <c:order val="1"/>
          <c:tx>
            <c:strRef>
              <c:f>'Large SD'!$AN$4</c:f>
              <c:strCache>
                <c:ptCount val="1"/>
                <c:pt idx="0">
                  <c:v>TLR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SD'!$AN$5:$AN$17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1-724E-49D7-A662-1906D79C3ED6}"/>
            </c:ext>
          </c:extLst>
        </c:ser>
        <c:ser>
          <c:idx val="2"/>
          <c:order val="2"/>
          <c:tx>
            <c:strRef>
              <c:f>'Large SD'!$AO$4</c:f>
              <c:strCache>
                <c:ptCount val="1"/>
                <c:pt idx="0">
                  <c:v>E/C</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SD'!$AO$5:$AO$17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2-724E-49D7-A662-1906D79C3ED6}"/>
            </c:ext>
          </c:extLst>
        </c:ser>
        <c:ser>
          <c:idx val="3"/>
          <c:order val="3"/>
          <c:tx>
            <c:strRef>
              <c:f>'Large SD'!$AP$4</c:f>
              <c:strCache>
                <c:ptCount val="1"/>
                <c:pt idx="0">
                  <c:v>Risk</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SD'!$AP$5:$AP$17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3-724E-49D7-A662-1906D79C3ED6}"/>
            </c:ext>
          </c:extLst>
        </c:ser>
        <c:ser>
          <c:idx val="4"/>
          <c:order val="4"/>
          <c:tx>
            <c:strRef>
              <c:f>'Large SD'!$AQ$4</c:f>
              <c:strCache>
                <c:ptCount val="1"/>
                <c:pt idx="0">
                  <c:v>Mp/Mc</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SD'!$AQ$5:$AQ$17</c:f>
              <c:numCache>
                <c:formatCode>General</c:formatCode>
                <c:ptCount val="13"/>
                <c:pt idx="0">
                  <c:v>10.833</c:v>
                </c:pt>
                <c:pt idx="1">
                  <c:v>10.833</c:v>
                </c:pt>
                <c:pt idx="2">
                  <c:v>10.833</c:v>
                </c:pt>
                <c:pt idx="3">
                  <c:v>10.833</c:v>
                </c:pt>
                <c:pt idx="4">
                  <c:v>10.833</c:v>
                </c:pt>
                <c:pt idx="5">
                  <c:v>10.833</c:v>
                </c:pt>
                <c:pt idx="6">
                  <c:v>10.833</c:v>
                </c:pt>
                <c:pt idx="7">
                  <c:v>10.833</c:v>
                </c:pt>
                <c:pt idx="8">
                  <c:v>10.833</c:v>
                </c:pt>
                <c:pt idx="9">
                  <c:v>10.833</c:v>
                </c:pt>
                <c:pt idx="10">
                  <c:v>10.833</c:v>
                </c:pt>
                <c:pt idx="11">
                  <c:v>10.833</c:v>
                </c:pt>
                <c:pt idx="12">
                  <c:v>10.833</c:v>
                </c:pt>
              </c:numCache>
            </c:numRef>
          </c:val>
          <c:extLst>
            <c:ext xmlns:c16="http://schemas.microsoft.com/office/drawing/2014/chart" uri="{C3380CC4-5D6E-409C-BE32-E72D297353CC}">
              <c16:uniqueId val="{00000004-724E-49D7-A662-1906D79C3ED6}"/>
            </c:ext>
          </c:extLst>
        </c:ser>
        <c:ser>
          <c:idx val="5"/>
          <c:order val="5"/>
          <c:tx>
            <c:strRef>
              <c:f>'Large SD'!$AR$4</c:f>
              <c:strCache>
                <c:ptCount val="1"/>
                <c:pt idx="0">
                  <c:v>Suitability</c:v>
                </c:pt>
              </c:strCache>
            </c:strRef>
          </c:tx>
          <c:spPr>
            <a:ln w="28575" cap="rnd">
              <a:solidFill>
                <a:srgbClr val="FFFF00"/>
              </a:solidFill>
              <a:prstDash val="solid"/>
              <a:round/>
            </a:ln>
            <a:effectLst/>
          </c:spPr>
          <c:marker>
            <c:symbol val="circle"/>
            <c:size val="5"/>
            <c:spPr>
              <a:solidFill>
                <a:schemeClr val="accent6"/>
              </a:solidFill>
              <a:ln w="9525">
                <a:solidFill>
                  <a:schemeClr val="accent6"/>
                </a:solidFill>
              </a:ln>
              <a:effectLst/>
            </c:spPr>
          </c:marker>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SD'!$AR$5:$AR$17</c:f>
              <c:numCache>
                <c:formatCode>General</c:formatCode>
                <c:ptCount val="13"/>
                <c:pt idx="0">
                  <c:v>7.5</c:v>
                </c:pt>
                <c:pt idx="1">
                  <c:v>4.1669999999999998</c:v>
                </c:pt>
                <c:pt idx="2">
                  <c:v>3.3330000000000002</c:v>
                </c:pt>
                <c:pt idx="3">
                  <c:v>8.3330000000000002</c:v>
                </c:pt>
                <c:pt idx="4">
                  <c:v>9.1669999999999998</c:v>
                </c:pt>
                <c:pt idx="5">
                  <c:v>5</c:v>
                </c:pt>
                <c:pt idx="6">
                  <c:v>1.667</c:v>
                </c:pt>
                <c:pt idx="7">
                  <c:v>6.6669999999999998</c:v>
                </c:pt>
                <c:pt idx="8">
                  <c:v>0.83299999999999996</c:v>
                </c:pt>
                <c:pt idx="9">
                  <c:v>10</c:v>
                </c:pt>
                <c:pt idx="10">
                  <c:v>0</c:v>
                </c:pt>
                <c:pt idx="11">
                  <c:v>2.5</c:v>
                </c:pt>
                <c:pt idx="12">
                  <c:v>5.8330000000000002</c:v>
                </c:pt>
              </c:numCache>
            </c:numRef>
          </c:val>
          <c:extLst>
            <c:ext xmlns:c16="http://schemas.microsoft.com/office/drawing/2014/chart" uri="{C3380CC4-5D6E-409C-BE32-E72D297353CC}">
              <c16:uniqueId val="{00000005-724E-49D7-A662-1906D79C3ED6}"/>
            </c:ext>
          </c:extLst>
        </c:ser>
        <c:ser>
          <c:idx val="6"/>
          <c:order val="6"/>
          <c:tx>
            <c:strRef>
              <c:f>'Large SD'!$AS$4</c:f>
              <c:strCache>
                <c:ptCount val="1"/>
                <c:pt idx="0">
                  <c:v>Avg Score</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dLbls>
            <c:spPr>
              <a:solidFill>
                <a:srgbClr val="FFC000"/>
              </a:solidFill>
              <a:ln>
                <a:solidFill>
                  <a:srgbClr val="161616"/>
                </a:solidFill>
                <a:prstDash val="solid"/>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'Large SD'!$AL$5:$AL$17</c:f>
              <c:strCache>
                <c:ptCount val="13"/>
                <c:pt idx="0">
                  <c:v>Controlled Net</c:v>
                </c:pt>
                <c:pt idx="1">
                  <c:v>Inflated Method</c:v>
                </c:pt>
                <c:pt idx="2">
                  <c:v>Foam Method</c:v>
                </c:pt>
                <c:pt idx="3">
                  <c:v>"Adhesive" Method</c:v>
                </c:pt>
                <c:pt idx="4">
                  <c:v>Tether + Adhesive Thread + Damper</c:v>
                </c:pt>
                <c:pt idx="5">
                  <c:v>Slingshot and Catch</c:v>
                </c:pt>
                <c:pt idx="6">
                  <c:v>Magnetic</c:v>
                </c:pt>
                <c:pt idx="7">
                  <c:v>Ion Beam Shepherd</c:v>
                </c:pt>
                <c:pt idx="8">
                  <c:v>Cold Welding</c:v>
                </c:pt>
                <c:pt idx="9">
                  <c:v>Robotic Arms (multiple on one system)</c:v>
                </c:pt>
                <c:pt idx="10">
                  <c:v>Electrostatic charge induced capture</c:v>
                </c:pt>
                <c:pt idx="11">
                  <c:v>Solar Sails</c:v>
                </c:pt>
                <c:pt idx="12">
                  <c:v>Lasers</c:v>
                </c:pt>
              </c:strCache>
            </c:strRef>
          </c:cat>
          <c:val>
            <c:numRef>
              <c:f>'Large SD'!$AS$5:$AS$17</c:f>
              <c:numCache>
                <c:formatCode>General</c:formatCode>
                <c:ptCount val="13"/>
                <c:pt idx="0">
                  <c:v>10.138999999999999</c:v>
                </c:pt>
                <c:pt idx="1">
                  <c:v>7.9169999999999998</c:v>
                </c:pt>
                <c:pt idx="2">
                  <c:v>8.4719999999999995</c:v>
                </c:pt>
                <c:pt idx="3">
                  <c:v>9.4440000000000008</c:v>
                </c:pt>
                <c:pt idx="4">
                  <c:v>10.278</c:v>
                </c:pt>
                <c:pt idx="5">
                  <c:v>9.0280000000000005</c:v>
                </c:pt>
                <c:pt idx="6">
                  <c:v>8.0549999999999997</c:v>
                </c:pt>
                <c:pt idx="7">
                  <c:v>9.7219999999999995</c:v>
                </c:pt>
                <c:pt idx="8">
                  <c:v>7.7779999999999996</c:v>
                </c:pt>
                <c:pt idx="9">
                  <c:v>10</c:v>
                </c:pt>
                <c:pt idx="10">
                  <c:v>7.5</c:v>
                </c:pt>
                <c:pt idx="11">
                  <c:v>7.7779999999999996</c:v>
                </c:pt>
                <c:pt idx="12">
                  <c:v>9.4440000000000008</c:v>
                </c:pt>
              </c:numCache>
            </c:numRef>
          </c:val>
          <c:extLst>
            <c:ext xmlns:c16="http://schemas.microsoft.com/office/drawing/2014/chart" uri="{C3380CC4-5D6E-409C-BE32-E72D297353CC}">
              <c16:uniqueId val="{00000006-724E-49D7-A662-1906D79C3ED6}"/>
            </c:ext>
          </c:extLst>
        </c:ser>
        <c:dLbls>
          <c:showLegendKey val="0"/>
          <c:showVal val="0"/>
          <c:showCatName val="0"/>
          <c:showSerName val="0"/>
          <c:showPercent val="0"/>
          <c:showBubbleSize val="0"/>
        </c:dLbls>
        <c:axId val="100944392"/>
        <c:axId val="100972040"/>
      </c:radarChart>
      <c:catAx>
        <c:axId val="10094439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72040"/>
        <c:crosses val="autoZero"/>
        <c:auto val="1"/>
        <c:lblAlgn val="ctr"/>
        <c:lblOffset val="100"/>
        <c:noMultiLvlLbl val="0"/>
      </c:catAx>
      <c:valAx>
        <c:axId val="100972040"/>
        <c:scaling>
          <c:orientation val="minMax"/>
          <c:max val="11"/>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44392"/>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s>
</file>

<file path=xl/drawings/_rels/drawing10.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18.xml"/><Relationship Id="rId2" Type="http://schemas.openxmlformats.org/officeDocument/2006/relationships/image" Target="../media/image14.png"/><Relationship Id="rId1" Type="http://schemas.openxmlformats.org/officeDocument/2006/relationships/image" Target="../media/image13.tmp"/><Relationship Id="rId6" Type="http://schemas.openxmlformats.org/officeDocument/2006/relationships/chart" Target="../charts/chart17.xml"/><Relationship Id="rId5" Type="http://schemas.openxmlformats.org/officeDocument/2006/relationships/image" Target="../media/image16.png"/><Relationship Id="rId4" Type="http://schemas.openxmlformats.org/officeDocument/2006/relationships/image" Target="../media/image1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chart" Target="../charts/chart19.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chart" Target="../charts/chart22.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image" Target="../media/image19.png"/></Relationships>
</file>

<file path=xl/drawings/_rels/drawing1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chart" Target="../charts/chart25.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image" Target="../media/image19.png"/></Relationships>
</file>

<file path=xl/drawings/_rels/drawing14.xml.rels><?xml version="1.0" encoding="UTF-8" standalone="yes"?>
<Relationships xmlns="http://schemas.openxmlformats.org/package/2006/relationships"><Relationship Id="rId8" Type="http://schemas.openxmlformats.org/officeDocument/2006/relationships/image" Target="../media/image27.png"/><Relationship Id="rId13" Type="http://schemas.openxmlformats.org/officeDocument/2006/relationships/image" Target="../media/image32.png"/><Relationship Id="rId3" Type="http://schemas.openxmlformats.org/officeDocument/2006/relationships/image" Target="../media/image22.png"/><Relationship Id="rId7" Type="http://schemas.openxmlformats.org/officeDocument/2006/relationships/image" Target="../media/image26.png"/><Relationship Id="rId12" Type="http://schemas.openxmlformats.org/officeDocument/2006/relationships/image" Target="../media/image31.png"/><Relationship Id="rId2" Type="http://schemas.openxmlformats.org/officeDocument/2006/relationships/image" Target="../media/image21.png"/><Relationship Id="rId16" Type="http://schemas.openxmlformats.org/officeDocument/2006/relationships/image" Target="../media/image35.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30.png"/><Relationship Id="rId5" Type="http://schemas.openxmlformats.org/officeDocument/2006/relationships/image" Target="../media/image24.png"/><Relationship Id="rId15" Type="http://schemas.openxmlformats.org/officeDocument/2006/relationships/image" Target="../media/image34.png"/><Relationship Id="rId10" Type="http://schemas.openxmlformats.org/officeDocument/2006/relationships/image" Target="../media/image29.png"/><Relationship Id="rId4" Type="http://schemas.openxmlformats.org/officeDocument/2006/relationships/image" Target="../media/image23.png"/><Relationship Id="rId9" Type="http://schemas.openxmlformats.org/officeDocument/2006/relationships/image" Target="../media/image28.png"/><Relationship Id="rId14"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12.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2.xml"/><Relationship Id="rId2" Type="http://schemas.openxmlformats.org/officeDocument/2006/relationships/image" Target="../media/image14.png"/><Relationship Id="rId1" Type="http://schemas.openxmlformats.org/officeDocument/2006/relationships/image" Target="../media/image13.tmp"/><Relationship Id="rId6" Type="http://schemas.openxmlformats.org/officeDocument/2006/relationships/chart" Target="../charts/chart11.xml"/><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14.png"/><Relationship Id="rId1" Type="http://schemas.openxmlformats.org/officeDocument/2006/relationships/image" Target="../media/image13.tmp"/></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image" Target="../media/image14.png"/><Relationship Id="rId1" Type="http://schemas.openxmlformats.org/officeDocument/2006/relationships/image" Target="../media/image13.tmp"/></Relationships>
</file>

<file path=xl/drawings/_rels/drawing9.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14.png"/><Relationship Id="rId1" Type="http://schemas.openxmlformats.org/officeDocument/2006/relationships/image" Target="../media/image13.tmp"/></Relationships>
</file>

<file path=xl/drawings/drawing1.xml><?xml version="1.0" encoding="utf-8"?>
<xdr:wsDr xmlns:xdr="http://schemas.openxmlformats.org/drawingml/2006/spreadsheetDrawing" xmlns:a="http://schemas.openxmlformats.org/drawingml/2006/main">
  <xdr:twoCellAnchor editAs="oneCell">
    <xdr:from>
      <xdr:col>7</xdr:col>
      <xdr:colOff>9525</xdr:colOff>
      <xdr:row>1</xdr:row>
      <xdr:rowOff>114300</xdr:rowOff>
    </xdr:from>
    <xdr:to>
      <xdr:col>10</xdr:col>
      <xdr:colOff>400050</xdr:colOff>
      <xdr:row>8</xdr:row>
      <xdr:rowOff>133350</xdr:rowOff>
    </xdr:to>
    <xdr:pic>
      <xdr:nvPicPr>
        <xdr:cNvPr id="2" name="Picture 1">
          <a:extLst>
            <a:ext uri="{FF2B5EF4-FFF2-40B4-BE49-F238E27FC236}">
              <a16:creationId xmlns:a16="http://schemas.microsoft.com/office/drawing/2014/main" id="{0BAE03ED-64FA-2E00-0DF4-AB0B96C5E3D0}"/>
            </a:ext>
          </a:extLst>
        </xdr:cNvPr>
        <xdr:cNvPicPr>
          <a:picLocks noChangeAspect="1"/>
        </xdr:cNvPicPr>
      </xdr:nvPicPr>
      <xdr:blipFill>
        <a:blip xmlns:r="http://schemas.openxmlformats.org/officeDocument/2006/relationships" r:embed="rId1"/>
        <a:stretch>
          <a:fillRect/>
        </a:stretch>
      </xdr:blipFill>
      <xdr:spPr>
        <a:xfrm>
          <a:off x="5124450" y="304800"/>
          <a:ext cx="2219325" cy="1352550"/>
        </a:xfrm>
        <a:prstGeom prst="rect">
          <a:avLst/>
        </a:prstGeom>
      </xdr:spPr>
    </xdr:pic>
    <xdr:clientData/>
  </xdr:twoCellAnchor>
  <xdr:twoCellAnchor editAs="oneCell">
    <xdr:from>
      <xdr:col>7</xdr:col>
      <xdr:colOff>152400</xdr:colOff>
      <xdr:row>23</xdr:row>
      <xdr:rowOff>66675</xdr:rowOff>
    </xdr:from>
    <xdr:to>
      <xdr:col>10</xdr:col>
      <xdr:colOff>371475</xdr:colOff>
      <xdr:row>27</xdr:row>
      <xdr:rowOff>114300</xdr:rowOff>
    </xdr:to>
    <xdr:pic>
      <xdr:nvPicPr>
        <xdr:cNvPr id="3" name="Picture 2">
          <a:extLst>
            <a:ext uri="{FF2B5EF4-FFF2-40B4-BE49-F238E27FC236}">
              <a16:creationId xmlns:a16="http://schemas.microsoft.com/office/drawing/2014/main" id="{122E71FA-D556-2FF8-BC23-CCE690971DE8}"/>
            </a:ext>
            <a:ext uri="{147F2762-F138-4A5C-976F-8EAC2B608ADB}">
              <a16:predDERef xmlns:a16="http://schemas.microsoft.com/office/drawing/2014/main" pred="{0BAE03ED-64FA-2E00-0DF4-AB0B96C5E3D0}"/>
            </a:ext>
          </a:extLst>
        </xdr:cNvPr>
        <xdr:cNvPicPr>
          <a:picLocks noChangeAspect="1"/>
        </xdr:cNvPicPr>
      </xdr:nvPicPr>
      <xdr:blipFill>
        <a:blip xmlns:r="http://schemas.openxmlformats.org/officeDocument/2006/relationships" r:embed="rId2"/>
        <a:stretch>
          <a:fillRect/>
        </a:stretch>
      </xdr:blipFill>
      <xdr:spPr>
        <a:xfrm>
          <a:off x="5267325" y="4448175"/>
          <a:ext cx="2047875" cy="809625"/>
        </a:xfrm>
        <a:prstGeom prst="rect">
          <a:avLst/>
        </a:prstGeom>
      </xdr:spPr>
    </xdr:pic>
    <xdr:clientData/>
  </xdr:twoCellAnchor>
  <xdr:twoCellAnchor editAs="oneCell">
    <xdr:from>
      <xdr:col>7</xdr:col>
      <xdr:colOff>85725</xdr:colOff>
      <xdr:row>11</xdr:row>
      <xdr:rowOff>66675</xdr:rowOff>
    </xdr:from>
    <xdr:to>
      <xdr:col>10</xdr:col>
      <xdr:colOff>514350</xdr:colOff>
      <xdr:row>17</xdr:row>
      <xdr:rowOff>314325</xdr:rowOff>
    </xdr:to>
    <xdr:pic>
      <xdr:nvPicPr>
        <xdr:cNvPr id="4" name="Picture 3">
          <a:extLst>
            <a:ext uri="{FF2B5EF4-FFF2-40B4-BE49-F238E27FC236}">
              <a16:creationId xmlns:a16="http://schemas.microsoft.com/office/drawing/2014/main" id="{08FA0C48-1618-9DC7-7CEF-65094C9FEABD}"/>
            </a:ext>
            <a:ext uri="{147F2762-F138-4A5C-976F-8EAC2B608ADB}">
              <a16:predDERef xmlns:a16="http://schemas.microsoft.com/office/drawing/2014/main" pred="{122E71FA-D556-2FF8-BC23-CCE690971DE8}"/>
            </a:ext>
          </a:extLst>
        </xdr:cNvPr>
        <xdr:cNvPicPr>
          <a:picLocks noChangeAspect="1"/>
        </xdr:cNvPicPr>
      </xdr:nvPicPr>
      <xdr:blipFill>
        <a:blip xmlns:r="http://schemas.openxmlformats.org/officeDocument/2006/relationships" r:embed="rId3"/>
        <a:stretch>
          <a:fillRect/>
        </a:stretch>
      </xdr:blipFill>
      <xdr:spPr>
        <a:xfrm>
          <a:off x="5200650" y="2162175"/>
          <a:ext cx="2257425" cy="1390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447675</xdr:colOff>
      <xdr:row>33</xdr:row>
      <xdr:rowOff>57150</xdr:rowOff>
    </xdr:from>
    <xdr:to>
      <xdr:col>27</xdr:col>
      <xdr:colOff>133350</xdr:colOff>
      <xdr:row>47</xdr:row>
      <xdr:rowOff>9525</xdr:rowOff>
    </xdr:to>
    <xdr:pic>
      <xdr:nvPicPr>
        <xdr:cNvPr id="2" name="Picture 1" descr="A math equations on a graph paper&#10;&#10;Description automatically generated">
          <a:extLst>
            <a:ext uri="{FF2B5EF4-FFF2-40B4-BE49-F238E27FC236}">
              <a16:creationId xmlns:a16="http://schemas.microsoft.com/office/drawing/2014/main" id="{2295F8E9-A203-4906-BA34-8C8AE823E529}"/>
            </a:ext>
          </a:extLst>
        </xdr:cNvPr>
        <xdr:cNvPicPr>
          <a:picLocks noChangeAspect="1"/>
        </xdr:cNvPicPr>
      </xdr:nvPicPr>
      <xdr:blipFill>
        <a:blip xmlns:r="http://schemas.openxmlformats.org/officeDocument/2006/relationships" r:embed="rId1"/>
        <a:stretch>
          <a:fillRect/>
        </a:stretch>
      </xdr:blipFill>
      <xdr:spPr>
        <a:xfrm>
          <a:off x="10210800" y="6943725"/>
          <a:ext cx="5791200" cy="2619375"/>
        </a:xfrm>
        <a:prstGeom prst="rect">
          <a:avLst/>
        </a:prstGeom>
      </xdr:spPr>
    </xdr:pic>
    <xdr:clientData/>
  </xdr:twoCellAnchor>
  <xdr:twoCellAnchor editAs="oneCell">
    <xdr:from>
      <xdr:col>9</xdr:col>
      <xdr:colOff>114300</xdr:colOff>
      <xdr:row>33</xdr:row>
      <xdr:rowOff>123825</xdr:rowOff>
    </xdr:from>
    <xdr:to>
      <xdr:col>16</xdr:col>
      <xdr:colOff>419100</xdr:colOff>
      <xdr:row>42</xdr:row>
      <xdr:rowOff>133350</xdr:rowOff>
    </xdr:to>
    <xdr:pic>
      <xdr:nvPicPr>
        <xdr:cNvPr id="3" name="Picture 2">
          <a:extLst>
            <a:ext uri="{FF2B5EF4-FFF2-40B4-BE49-F238E27FC236}">
              <a16:creationId xmlns:a16="http://schemas.microsoft.com/office/drawing/2014/main" id="{BCE34AF2-87E2-48AF-8981-C92DD802B888}"/>
            </a:ext>
            <a:ext uri="{147F2762-F138-4A5C-976F-8EAC2B608ADB}">
              <a16:predDERef xmlns:a16="http://schemas.microsoft.com/office/drawing/2014/main" pred="{2295F8E9-A203-4906-BA34-8C8AE823E529}"/>
            </a:ext>
          </a:extLst>
        </xdr:cNvPr>
        <xdr:cNvPicPr>
          <a:picLocks noChangeAspect="1"/>
        </xdr:cNvPicPr>
      </xdr:nvPicPr>
      <xdr:blipFill>
        <a:blip xmlns:r="http://schemas.openxmlformats.org/officeDocument/2006/relationships" r:embed="rId2"/>
        <a:stretch>
          <a:fillRect/>
        </a:stretch>
      </xdr:blipFill>
      <xdr:spPr>
        <a:xfrm>
          <a:off x="5610225" y="7010400"/>
          <a:ext cx="4572000" cy="1724025"/>
        </a:xfrm>
        <a:prstGeom prst="rect">
          <a:avLst/>
        </a:prstGeom>
      </xdr:spPr>
    </xdr:pic>
    <xdr:clientData/>
  </xdr:twoCellAnchor>
  <xdr:twoCellAnchor>
    <xdr:from>
      <xdr:col>19</xdr:col>
      <xdr:colOff>104775</xdr:colOff>
      <xdr:row>13</xdr:row>
      <xdr:rowOff>9525</xdr:rowOff>
    </xdr:from>
    <xdr:to>
      <xdr:col>25</xdr:col>
      <xdr:colOff>409575</xdr:colOff>
      <xdr:row>27</xdr:row>
      <xdr:rowOff>85725</xdr:rowOff>
    </xdr:to>
    <xdr:graphicFrame macro="">
      <xdr:nvGraphicFramePr>
        <xdr:cNvPr id="4" name="Chart 3">
          <a:extLst>
            <a:ext uri="{FF2B5EF4-FFF2-40B4-BE49-F238E27FC236}">
              <a16:creationId xmlns:a16="http://schemas.microsoft.com/office/drawing/2014/main" id="{FD7612AD-BB91-4A0E-8EAB-DBCE403BFE7C}"/>
            </a:ext>
            <a:ext uri="{147F2762-F138-4A5C-976F-8EAC2B608ADB}">
              <a16:predDERef xmlns:a16="http://schemas.microsoft.com/office/drawing/2014/main" pred="{BCE34AF2-87E2-48AF-8981-C92DD802B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10</xdr:row>
      <xdr:rowOff>9525</xdr:rowOff>
    </xdr:from>
    <xdr:to>
      <xdr:col>17</xdr:col>
      <xdr:colOff>0</xdr:colOff>
      <xdr:row>32</xdr:row>
      <xdr:rowOff>76200</xdr:rowOff>
    </xdr:to>
    <xdr:pic>
      <xdr:nvPicPr>
        <xdr:cNvPr id="5" name="Picture 4">
          <a:extLst>
            <a:ext uri="{FF2B5EF4-FFF2-40B4-BE49-F238E27FC236}">
              <a16:creationId xmlns:a16="http://schemas.microsoft.com/office/drawing/2014/main" id="{6C2614A6-8372-4818-BC36-CF8DC1CCE7EB}"/>
            </a:ext>
            <a:ext uri="{147F2762-F138-4A5C-976F-8EAC2B608ADB}">
              <a16:predDERef xmlns:a16="http://schemas.microsoft.com/office/drawing/2014/main" pred="{FD7612AD-BB91-4A0E-8EAB-DBCE403BFE7C}"/>
            </a:ext>
          </a:extLst>
        </xdr:cNvPr>
        <xdr:cNvPicPr>
          <a:picLocks noChangeAspect="1"/>
        </xdr:cNvPicPr>
      </xdr:nvPicPr>
      <xdr:blipFill>
        <a:blip xmlns:r="http://schemas.openxmlformats.org/officeDocument/2006/relationships" r:embed="rId4"/>
        <a:stretch>
          <a:fillRect/>
        </a:stretch>
      </xdr:blipFill>
      <xdr:spPr>
        <a:xfrm>
          <a:off x="133350" y="2486025"/>
          <a:ext cx="10239375" cy="4286250"/>
        </a:xfrm>
        <a:prstGeom prst="rect">
          <a:avLst/>
        </a:prstGeom>
      </xdr:spPr>
    </xdr:pic>
    <xdr:clientData/>
  </xdr:twoCellAnchor>
  <xdr:twoCellAnchor editAs="oneCell">
    <xdr:from>
      <xdr:col>2</xdr:col>
      <xdr:colOff>152400</xdr:colOff>
      <xdr:row>13</xdr:row>
      <xdr:rowOff>152400</xdr:rowOff>
    </xdr:from>
    <xdr:to>
      <xdr:col>4</xdr:col>
      <xdr:colOff>76200</xdr:colOff>
      <xdr:row>37</xdr:row>
      <xdr:rowOff>152400</xdr:rowOff>
    </xdr:to>
    <xdr:pic>
      <xdr:nvPicPr>
        <xdr:cNvPr id="6" name="Picture 5">
          <a:extLst>
            <a:ext uri="{FF2B5EF4-FFF2-40B4-BE49-F238E27FC236}">
              <a16:creationId xmlns:a16="http://schemas.microsoft.com/office/drawing/2014/main" id="{4BF21E1D-6519-46C2-BED1-4654E5986578}"/>
            </a:ext>
            <a:ext uri="{147F2762-F138-4A5C-976F-8EAC2B608ADB}">
              <a16:predDERef xmlns:a16="http://schemas.microsoft.com/office/drawing/2014/main" pred="{6C2614A6-8372-4818-BC36-CF8DC1CCE7EB}"/>
            </a:ext>
          </a:extLst>
        </xdr:cNvPr>
        <xdr:cNvPicPr>
          <a:picLocks noChangeAspect="1"/>
        </xdr:cNvPicPr>
      </xdr:nvPicPr>
      <xdr:blipFill>
        <a:blip xmlns:r="http://schemas.openxmlformats.org/officeDocument/2006/relationships" r:embed="rId5"/>
        <a:stretch>
          <a:fillRect/>
        </a:stretch>
      </xdr:blipFill>
      <xdr:spPr>
        <a:xfrm>
          <a:off x="1371600" y="3228975"/>
          <a:ext cx="1143000" cy="4572000"/>
        </a:xfrm>
        <a:prstGeom prst="rect">
          <a:avLst/>
        </a:prstGeom>
      </xdr:spPr>
    </xdr:pic>
    <xdr:clientData/>
  </xdr:twoCellAnchor>
  <xdr:twoCellAnchor>
    <xdr:from>
      <xdr:col>25</xdr:col>
      <xdr:colOff>476250</xdr:colOff>
      <xdr:row>12</xdr:row>
      <xdr:rowOff>209550</xdr:rowOff>
    </xdr:from>
    <xdr:to>
      <xdr:col>33</xdr:col>
      <xdr:colOff>171450</xdr:colOff>
      <xdr:row>27</xdr:row>
      <xdr:rowOff>66675</xdr:rowOff>
    </xdr:to>
    <xdr:graphicFrame macro="">
      <xdr:nvGraphicFramePr>
        <xdr:cNvPr id="7" name="Chart 5">
          <a:extLst>
            <a:ext uri="{FF2B5EF4-FFF2-40B4-BE49-F238E27FC236}">
              <a16:creationId xmlns:a16="http://schemas.microsoft.com/office/drawing/2014/main" id="{514E2DEB-9538-477D-BCE8-4274F6D87C90}"/>
            </a:ext>
            <a:ext uri="{147F2762-F138-4A5C-976F-8EAC2B608ADB}">
              <a16:predDERef xmlns:a16="http://schemas.microsoft.com/office/drawing/2014/main" pred="{4BF21E1D-6519-46C2-BED1-4654E5986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209550</xdr:colOff>
      <xdr:row>12</xdr:row>
      <xdr:rowOff>209550</xdr:rowOff>
    </xdr:from>
    <xdr:to>
      <xdr:col>40</xdr:col>
      <xdr:colOff>514350</xdr:colOff>
      <xdr:row>27</xdr:row>
      <xdr:rowOff>66675</xdr:rowOff>
    </xdr:to>
    <xdr:graphicFrame macro="">
      <xdr:nvGraphicFramePr>
        <xdr:cNvPr id="8" name="Chart 7">
          <a:extLst>
            <a:ext uri="{FF2B5EF4-FFF2-40B4-BE49-F238E27FC236}">
              <a16:creationId xmlns:a16="http://schemas.microsoft.com/office/drawing/2014/main" id="{83DBCA32-F612-47B5-AF58-0038E7CDF08A}"/>
            </a:ext>
            <a:ext uri="{147F2762-F138-4A5C-976F-8EAC2B608ADB}">
              <a16:predDERef xmlns:a16="http://schemas.microsoft.com/office/drawing/2014/main" pred="{514E2DEB-9538-477D-BCE8-4274F6D87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20</xdr:col>
      <xdr:colOff>247650</xdr:colOff>
      <xdr:row>10</xdr:row>
      <xdr:rowOff>19050</xdr:rowOff>
    </xdr:from>
    <xdr:to>
      <xdr:col>27</xdr:col>
      <xdr:colOff>457200</xdr:colOff>
      <xdr:row>25</xdr:row>
      <xdr:rowOff>76200</xdr:rowOff>
    </xdr:to>
    <xdr:graphicFrame macro="">
      <xdr:nvGraphicFramePr>
        <xdr:cNvPr id="5" name="Chart 4">
          <a:extLst>
            <a:ext uri="{FF2B5EF4-FFF2-40B4-BE49-F238E27FC236}">
              <a16:creationId xmlns:a16="http://schemas.microsoft.com/office/drawing/2014/main" id="{C0C296B5-346C-1F36-B3F3-9F48A46CC6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295275</xdr:colOff>
      <xdr:row>17</xdr:row>
      <xdr:rowOff>180975</xdr:rowOff>
    </xdr:from>
    <xdr:to>
      <xdr:col>12</xdr:col>
      <xdr:colOff>304800</xdr:colOff>
      <xdr:row>33</xdr:row>
      <xdr:rowOff>47625</xdr:rowOff>
    </xdr:to>
    <xdr:pic>
      <xdr:nvPicPr>
        <xdr:cNvPr id="7" name="Picture 6">
          <a:extLst>
            <a:ext uri="{FF2B5EF4-FFF2-40B4-BE49-F238E27FC236}">
              <a16:creationId xmlns:a16="http://schemas.microsoft.com/office/drawing/2014/main" id="{0F3A3CD4-887E-252F-0AAD-4457BBFB5496}"/>
            </a:ext>
            <a:ext uri="{147F2762-F138-4A5C-976F-8EAC2B608ADB}">
              <a16:predDERef xmlns:a16="http://schemas.microsoft.com/office/drawing/2014/main" pred="{C0C296B5-346C-1F36-B3F3-9F48A46CC6EB}"/>
            </a:ext>
          </a:extLst>
        </xdr:cNvPr>
        <xdr:cNvPicPr>
          <a:picLocks noChangeAspect="1"/>
        </xdr:cNvPicPr>
      </xdr:nvPicPr>
      <xdr:blipFill>
        <a:blip xmlns:r="http://schemas.openxmlformats.org/officeDocument/2006/relationships" r:embed="rId2"/>
        <a:stretch>
          <a:fillRect/>
        </a:stretch>
      </xdr:blipFill>
      <xdr:spPr>
        <a:xfrm>
          <a:off x="2124075" y="3514725"/>
          <a:ext cx="4286250" cy="2914650"/>
        </a:xfrm>
        <a:prstGeom prst="rect">
          <a:avLst/>
        </a:prstGeom>
      </xdr:spPr>
    </xdr:pic>
    <xdr:clientData/>
  </xdr:twoCellAnchor>
  <xdr:twoCellAnchor editAs="oneCell">
    <xdr:from>
      <xdr:col>12</xdr:col>
      <xdr:colOff>304800</xdr:colOff>
      <xdr:row>17</xdr:row>
      <xdr:rowOff>180975</xdr:rowOff>
    </xdr:from>
    <xdr:to>
      <xdr:col>21</xdr:col>
      <xdr:colOff>0</xdr:colOff>
      <xdr:row>33</xdr:row>
      <xdr:rowOff>47625</xdr:rowOff>
    </xdr:to>
    <xdr:pic>
      <xdr:nvPicPr>
        <xdr:cNvPr id="8" name="Picture 7">
          <a:extLst>
            <a:ext uri="{FF2B5EF4-FFF2-40B4-BE49-F238E27FC236}">
              <a16:creationId xmlns:a16="http://schemas.microsoft.com/office/drawing/2014/main" id="{C8315B07-12D6-7D68-4FB0-E0306E9373FB}"/>
            </a:ext>
            <a:ext uri="{147F2762-F138-4A5C-976F-8EAC2B608ADB}">
              <a16:predDERef xmlns:a16="http://schemas.microsoft.com/office/drawing/2014/main" pred="{0F3A3CD4-887E-252F-0AAD-4457BBFB5496}"/>
            </a:ext>
          </a:extLst>
        </xdr:cNvPr>
        <xdr:cNvPicPr>
          <a:picLocks noChangeAspect="1"/>
        </xdr:cNvPicPr>
      </xdr:nvPicPr>
      <xdr:blipFill>
        <a:blip xmlns:r="http://schemas.openxmlformats.org/officeDocument/2006/relationships" r:embed="rId3"/>
        <a:stretch>
          <a:fillRect/>
        </a:stretch>
      </xdr:blipFill>
      <xdr:spPr>
        <a:xfrm>
          <a:off x="6410325" y="3514725"/>
          <a:ext cx="4572000" cy="2914650"/>
        </a:xfrm>
        <a:prstGeom prst="rect">
          <a:avLst/>
        </a:prstGeom>
      </xdr:spPr>
    </xdr:pic>
    <xdr:clientData/>
  </xdr:twoCellAnchor>
  <xdr:twoCellAnchor editAs="oneCell">
    <xdr:from>
      <xdr:col>0</xdr:col>
      <xdr:colOff>352425</xdr:colOff>
      <xdr:row>17</xdr:row>
      <xdr:rowOff>171450</xdr:rowOff>
    </xdr:from>
    <xdr:to>
      <xdr:col>5</xdr:col>
      <xdr:colOff>276225</xdr:colOff>
      <xdr:row>33</xdr:row>
      <xdr:rowOff>28575</xdr:rowOff>
    </xdr:to>
    <xdr:pic>
      <xdr:nvPicPr>
        <xdr:cNvPr id="3" name="Picture 1">
          <a:extLst>
            <a:ext uri="{FF2B5EF4-FFF2-40B4-BE49-F238E27FC236}">
              <a16:creationId xmlns:a16="http://schemas.microsoft.com/office/drawing/2014/main" id="{985E7C2B-5AC7-5BB2-C466-A7615880EBB4}"/>
            </a:ext>
            <a:ext uri="{147F2762-F138-4A5C-976F-8EAC2B608ADB}">
              <a16:predDERef xmlns:a16="http://schemas.microsoft.com/office/drawing/2014/main" pred="{C8315B07-12D6-7D68-4FB0-E0306E9373FB}"/>
            </a:ext>
          </a:extLst>
        </xdr:cNvPr>
        <xdr:cNvPicPr>
          <a:picLocks noChangeAspect="1"/>
        </xdr:cNvPicPr>
      </xdr:nvPicPr>
      <xdr:blipFill>
        <a:blip xmlns:r="http://schemas.openxmlformats.org/officeDocument/2006/relationships" r:embed="rId4"/>
        <a:stretch>
          <a:fillRect/>
        </a:stretch>
      </xdr:blipFill>
      <xdr:spPr>
        <a:xfrm>
          <a:off x="352425" y="3505200"/>
          <a:ext cx="1752600" cy="2905125"/>
        </a:xfrm>
        <a:prstGeom prst="rect">
          <a:avLst/>
        </a:prstGeom>
      </xdr:spPr>
    </xdr:pic>
    <xdr:clientData/>
  </xdr:twoCellAnchor>
  <xdr:twoCellAnchor>
    <xdr:from>
      <xdr:col>27</xdr:col>
      <xdr:colOff>466725</xdr:colOff>
      <xdr:row>10</xdr:row>
      <xdr:rowOff>19050</xdr:rowOff>
    </xdr:from>
    <xdr:to>
      <xdr:col>36</xdr:col>
      <xdr:colOff>104775</xdr:colOff>
      <xdr:row>25</xdr:row>
      <xdr:rowOff>76200</xdr:rowOff>
    </xdr:to>
    <xdr:graphicFrame macro="">
      <xdr:nvGraphicFramePr>
        <xdr:cNvPr id="10" name="Chart 9">
          <a:extLst>
            <a:ext uri="{FF2B5EF4-FFF2-40B4-BE49-F238E27FC236}">
              <a16:creationId xmlns:a16="http://schemas.microsoft.com/office/drawing/2014/main" id="{8C22AD41-C8F5-486F-A77C-3CF27C14641D}"/>
            </a:ext>
            <a:ext uri="{147F2762-F138-4A5C-976F-8EAC2B608ADB}">
              <a16:predDERef xmlns:a16="http://schemas.microsoft.com/office/drawing/2014/main" pred="{985E7C2B-5AC7-5BB2-C466-A7615880E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0</xdr:colOff>
      <xdr:row>10</xdr:row>
      <xdr:rowOff>0</xdr:rowOff>
    </xdr:from>
    <xdr:to>
      <xdr:col>44</xdr:col>
      <xdr:colOff>247650</xdr:colOff>
      <xdr:row>25</xdr:row>
      <xdr:rowOff>57150</xdr:rowOff>
    </xdr:to>
    <xdr:graphicFrame macro="">
      <xdr:nvGraphicFramePr>
        <xdr:cNvPr id="2" name="Chart 1">
          <a:extLst>
            <a:ext uri="{FF2B5EF4-FFF2-40B4-BE49-F238E27FC236}">
              <a16:creationId xmlns:a16="http://schemas.microsoft.com/office/drawing/2014/main" id="{B7F76261-017A-4E89-A46E-1A3240058EC7}"/>
            </a:ext>
            <a:ext uri="{147F2762-F138-4A5C-976F-8EAC2B608ADB}">
              <a16:predDERef xmlns:a16="http://schemas.microsoft.com/office/drawing/2014/main" pred="{8C22AD41-C8F5-486F-A77C-3CF27C146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20</xdr:col>
      <xdr:colOff>247650</xdr:colOff>
      <xdr:row>10</xdr:row>
      <xdr:rowOff>19050</xdr:rowOff>
    </xdr:from>
    <xdr:to>
      <xdr:col>27</xdr:col>
      <xdr:colOff>457200</xdr:colOff>
      <xdr:row>25</xdr:row>
      <xdr:rowOff>76200</xdr:rowOff>
    </xdr:to>
    <xdr:graphicFrame macro="">
      <xdr:nvGraphicFramePr>
        <xdr:cNvPr id="2" name="Chart 4">
          <a:extLst>
            <a:ext uri="{FF2B5EF4-FFF2-40B4-BE49-F238E27FC236}">
              <a16:creationId xmlns:a16="http://schemas.microsoft.com/office/drawing/2014/main" id="{EA28AEBB-3156-4007-B5AE-F92353228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295275</xdr:colOff>
      <xdr:row>17</xdr:row>
      <xdr:rowOff>180975</xdr:rowOff>
    </xdr:from>
    <xdr:to>
      <xdr:col>12</xdr:col>
      <xdr:colOff>304800</xdr:colOff>
      <xdr:row>33</xdr:row>
      <xdr:rowOff>47625</xdr:rowOff>
    </xdr:to>
    <xdr:pic>
      <xdr:nvPicPr>
        <xdr:cNvPr id="3" name="Picture 6">
          <a:extLst>
            <a:ext uri="{FF2B5EF4-FFF2-40B4-BE49-F238E27FC236}">
              <a16:creationId xmlns:a16="http://schemas.microsoft.com/office/drawing/2014/main" id="{4B84D72C-4216-4248-8B83-5D0A15099E89}"/>
            </a:ext>
            <a:ext uri="{147F2762-F138-4A5C-976F-8EAC2B608ADB}">
              <a16:predDERef xmlns:a16="http://schemas.microsoft.com/office/drawing/2014/main" pred="{EA28AEBB-3156-4007-B5AE-F9235322816F}"/>
            </a:ext>
          </a:extLst>
        </xdr:cNvPr>
        <xdr:cNvPicPr>
          <a:picLocks noChangeAspect="1"/>
        </xdr:cNvPicPr>
      </xdr:nvPicPr>
      <xdr:blipFill>
        <a:blip xmlns:r="http://schemas.openxmlformats.org/officeDocument/2006/relationships" r:embed="rId2"/>
        <a:stretch>
          <a:fillRect/>
        </a:stretch>
      </xdr:blipFill>
      <xdr:spPr>
        <a:xfrm>
          <a:off x="2124075" y="4057650"/>
          <a:ext cx="4286250" cy="2914650"/>
        </a:xfrm>
        <a:prstGeom prst="rect">
          <a:avLst/>
        </a:prstGeom>
      </xdr:spPr>
    </xdr:pic>
    <xdr:clientData/>
  </xdr:twoCellAnchor>
  <xdr:twoCellAnchor editAs="oneCell">
    <xdr:from>
      <xdr:col>12</xdr:col>
      <xdr:colOff>304800</xdr:colOff>
      <xdr:row>17</xdr:row>
      <xdr:rowOff>180975</xdr:rowOff>
    </xdr:from>
    <xdr:to>
      <xdr:col>20</xdr:col>
      <xdr:colOff>0</xdr:colOff>
      <xdr:row>33</xdr:row>
      <xdr:rowOff>47625</xdr:rowOff>
    </xdr:to>
    <xdr:pic>
      <xdr:nvPicPr>
        <xdr:cNvPr id="4" name="Picture 7">
          <a:extLst>
            <a:ext uri="{FF2B5EF4-FFF2-40B4-BE49-F238E27FC236}">
              <a16:creationId xmlns:a16="http://schemas.microsoft.com/office/drawing/2014/main" id="{3253454E-AA24-4F88-A300-CBE06838A40E}"/>
            </a:ext>
            <a:ext uri="{147F2762-F138-4A5C-976F-8EAC2B608ADB}">
              <a16:predDERef xmlns:a16="http://schemas.microsoft.com/office/drawing/2014/main" pred="{4B84D72C-4216-4248-8B83-5D0A15099E89}"/>
            </a:ext>
          </a:extLst>
        </xdr:cNvPr>
        <xdr:cNvPicPr>
          <a:picLocks noChangeAspect="1"/>
        </xdr:cNvPicPr>
      </xdr:nvPicPr>
      <xdr:blipFill>
        <a:blip xmlns:r="http://schemas.openxmlformats.org/officeDocument/2006/relationships" r:embed="rId3"/>
        <a:stretch>
          <a:fillRect/>
        </a:stretch>
      </xdr:blipFill>
      <xdr:spPr>
        <a:xfrm>
          <a:off x="6410325" y="4057650"/>
          <a:ext cx="4572000" cy="2914650"/>
        </a:xfrm>
        <a:prstGeom prst="rect">
          <a:avLst/>
        </a:prstGeom>
      </xdr:spPr>
    </xdr:pic>
    <xdr:clientData/>
  </xdr:twoCellAnchor>
  <xdr:twoCellAnchor editAs="oneCell">
    <xdr:from>
      <xdr:col>0</xdr:col>
      <xdr:colOff>352425</xdr:colOff>
      <xdr:row>17</xdr:row>
      <xdr:rowOff>171450</xdr:rowOff>
    </xdr:from>
    <xdr:to>
      <xdr:col>5</xdr:col>
      <xdr:colOff>276225</xdr:colOff>
      <xdr:row>33</xdr:row>
      <xdr:rowOff>28575</xdr:rowOff>
    </xdr:to>
    <xdr:pic>
      <xdr:nvPicPr>
        <xdr:cNvPr id="5" name="Picture 1">
          <a:extLst>
            <a:ext uri="{FF2B5EF4-FFF2-40B4-BE49-F238E27FC236}">
              <a16:creationId xmlns:a16="http://schemas.microsoft.com/office/drawing/2014/main" id="{B9FEF903-3A52-4564-9777-BAB67F56AE7E}"/>
            </a:ext>
            <a:ext uri="{147F2762-F138-4A5C-976F-8EAC2B608ADB}">
              <a16:predDERef xmlns:a16="http://schemas.microsoft.com/office/drawing/2014/main" pred="{3253454E-AA24-4F88-A300-CBE06838A40E}"/>
            </a:ext>
          </a:extLst>
        </xdr:cNvPr>
        <xdr:cNvPicPr>
          <a:picLocks noChangeAspect="1"/>
        </xdr:cNvPicPr>
      </xdr:nvPicPr>
      <xdr:blipFill>
        <a:blip xmlns:r="http://schemas.openxmlformats.org/officeDocument/2006/relationships" r:embed="rId4"/>
        <a:stretch>
          <a:fillRect/>
        </a:stretch>
      </xdr:blipFill>
      <xdr:spPr>
        <a:xfrm>
          <a:off x="352425" y="4048125"/>
          <a:ext cx="1752600" cy="2905125"/>
        </a:xfrm>
        <a:prstGeom prst="rect">
          <a:avLst/>
        </a:prstGeom>
      </xdr:spPr>
    </xdr:pic>
    <xdr:clientData/>
  </xdr:twoCellAnchor>
  <xdr:twoCellAnchor>
    <xdr:from>
      <xdr:col>27</xdr:col>
      <xdr:colOff>466725</xdr:colOff>
      <xdr:row>10</xdr:row>
      <xdr:rowOff>19050</xdr:rowOff>
    </xdr:from>
    <xdr:to>
      <xdr:col>36</xdr:col>
      <xdr:colOff>104775</xdr:colOff>
      <xdr:row>25</xdr:row>
      <xdr:rowOff>76200</xdr:rowOff>
    </xdr:to>
    <xdr:graphicFrame macro="">
      <xdr:nvGraphicFramePr>
        <xdr:cNvPr id="6" name="Chart 9">
          <a:extLst>
            <a:ext uri="{FF2B5EF4-FFF2-40B4-BE49-F238E27FC236}">
              <a16:creationId xmlns:a16="http://schemas.microsoft.com/office/drawing/2014/main" id="{6B32487E-A764-47AB-9EE1-B05D41C82A7F}"/>
            </a:ext>
            <a:ext uri="{147F2762-F138-4A5C-976F-8EAC2B608ADB}">
              <a16:predDERef xmlns:a16="http://schemas.microsoft.com/office/drawing/2014/main" pred="{B9FEF903-3A52-4564-9777-BAB67F56AE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0</xdr:colOff>
      <xdr:row>10</xdr:row>
      <xdr:rowOff>0</xdr:rowOff>
    </xdr:from>
    <xdr:to>
      <xdr:col>44</xdr:col>
      <xdr:colOff>247650</xdr:colOff>
      <xdr:row>25</xdr:row>
      <xdr:rowOff>57150</xdr:rowOff>
    </xdr:to>
    <xdr:graphicFrame macro="">
      <xdr:nvGraphicFramePr>
        <xdr:cNvPr id="7" name="Chart 1">
          <a:extLst>
            <a:ext uri="{FF2B5EF4-FFF2-40B4-BE49-F238E27FC236}">
              <a16:creationId xmlns:a16="http://schemas.microsoft.com/office/drawing/2014/main" id="{49FBFF10-B527-4384-8218-78208D803A35}"/>
            </a:ext>
            <a:ext uri="{147F2762-F138-4A5C-976F-8EAC2B608ADB}">
              <a16:predDERef xmlns:a16="http://schemas.microsoft.com/office/drawing/2014/main" pred="{6B32487E-A764-47AB-9EE1-B05D41C82A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20</xdr:col>
      <xdr:colOff>247650</xdr:colOff>
      <xdr:row>10</xdr:row>
      <xdr:rowOff>19050</xdr:rowOff>
    </xdr:from>
    <xdr:to>
      <xdr:col>27</xdr:col>
      <xdr:colOff>457200</xdr:colOff>
      <xdr:row>25</xdr:row>
      <xdr:rowOff>76200</xdr:rowOff>
    </xdr:to>
    <xdr:graphicFrame macro="">
      <xdr:nvGraphicFramePr>
        <xdr:cNvPr id="2" name="Chart 4">
          <a:extLst>
            <a:ext uri="{FF2B5EF4-FFF2-40B4-BE49-F238E27FC236}">
              <a16:creationId xmlns:a16="http://schemas.microsoft.com/office/drawing/2014/main" id="{DB5B9FDD-9B54-4302-B82D-CA19173E1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295275</xdr:colOff>
      <xdr:row>17</xdr:row>
      <xdr:rowOff>180975</xdr:rowOff>
    </xdr:from>
    <xdr:to>
      <xdr:col>12</xdr:col>
      <xdr:colOff>304800</xdr:colOff>
      <xdr:row>33</xdr:row>
      <xdr:rowOff>47625</xdr:rowOff>
    </xdr:to>
    <xdr:pic>
      <xdr:nvPicPr>
        <xdr:cNvPr id="3" name="Picture 6">
          <a:extLst>
            <a:ext uri="{FF2B5EF4-FFF2-40B4-BE49-F238E27FC236}">
              <a16:creationId xmlns:a16="http://schemas.microsoft.com/office/drawing/2014/main" id="{C31F39F8-EFBD-4893-B0BC-1B541FC4DB35}"/>
            </a:ext>
            <a:ext uri="{147F2762-F138-4A5C-976F-8EAC2B608ADB}">
              <a16:predDERef xmlns:a16="http://schemas.microsoft.com/office/drawing/2014/main" pred="{DB5B9FDD-9B54-4302-B82D-CA19173E1A7B}"/>
            </a:ext>
          </a:extLst>
        </xdr:cNvPr>
        <xdr:cNvPicPr>
          <a:picLocks noChangeAspect="1"/>
        </xdr:cNvPicPr>
      </xdr:nvPicPr>
      <xdr:blipFill>
        <a:blip xmlns:r="http://schemas.openxmlformats.org/officeDocument/2006/relationships" r:embed="rId2"/>
        <a:stretch>
          <a:fillRect/>
        </a:stretch>
      </xdr:blipFill>
      <xdr:spPr>
        <a:xfrm>
          <a:off x="2124075" y="4057650"/>
          <a:ext cx="4286250" cy="2914650"/>
        </a:xfrm>
        <a:prstGeom prst="rect">
          <a:avLst/>
        </a:prstGeom>
      </xdr:spPr>
    </xdr:pic>
    <xdr:clientData/>
  </xdr:twoCellAnchor>
  <xdr:twoCellAnchor editAs="oneCell">
    <xdr:from>
      <xdr:col>12</xdr:col>
      <xdr:colOff>304800</xdr:colOff>
      <xdr:row>17</xdr:row>
      <xdr:rowOff>180975</xdr:rowOff>
    </xdr:from>
    <xdr:to>
      <xdr:col>21</xdr:col>
      <xdr:colOff>0</xdr:colOff>
      <xdr:row>33</xdr:row>
      <xdr:rowOff>47625</xdr:rowOff>
    </xdr:to>
    <xdr:pic>
      <xdr:nvPicPr>
        <xdr:cNvPr id="4" name="Picture 7">
          <a:extLst>
            <a:ext uri="{FF2B5EF4-FFF2-40B4-BE49-F238E27FC236}">
              <a16:creationId xmlns:a16="http://schemas.microsoft.com/office/drawing/2014/main" id="{38087B58-76B3-47CA-AAB8-F74CFE7B349D}"/>
            </a:ext>
            <a:ext uri="{147F2762-F138-4A5C-976F-8EAC2B608ADB}">
              <a16:predDERef xmlns:a16="http://schemas.microsoft.com/office/drawing/2014/main" pred="{C31F39F8-EFBD-4893-B0BC-1B541FC4DB35}"/>
            </a:ext>
          </a:extLst>
        </xdr:cNvPr>
        <xdr:cNvPicPr>
          <a:picLocks noChangeAspect="1"/>
        </xdr:cNvPicPr>
      </xdr:nvPicPr>
      <xdr:blipFill>
        <a:blip xmlns:r="http://schemas.openxmlformats.org/officeDocument/2006/relationships" r:embed="rId3"/>
        <a:stretch>
          <a:fillRect/>
        </a:stretch>
      </xdr:blipFill>
      <xdr:spPr>
        <a:xfrm>
          <a:off x="6410325" y="4057650"/>
          <a:ext cx="4572000" cy="2914650"/>
        </a:xfrm>
        <a:prstGeom prst="rect">
          <a:avLst/>
        </a:prstGeom>
      </xdr:spPr>
    </xdr:pic>
    <xdr:clientData/>
  </xdr:twoCellAnchor>
  <xdr:twoCellAnchor editAs="oneCell">
    <xdr:from>
      <xdr:col>0</xdr:col>
      <xdr:colOff>352425</xdr:colOff>
      <xdr:row>17</xdr:row>
      <xdr:rowOff>171450</xdr:rowOff>
    </xdr:from>
    <xdr:to>
      <xdr:col>5</xdr:col>
      <xdr:colOff>276225</xdr:colOff>
      <xdr:row>33</xdr:row>
      <xdr:rowOff>28575</xdr:rowOff>
    </xdr:to>
    <xdr:pic>
      <xdr:nvPicPr>
        <xdr:cNvPr id="5" name="Picture 1">
          <a:extLst>
            <a:ext uri="{FF2B5EF4-FFF2-40B4-BE49-F238E27FC236}">
              <a16:creationId xmlns:a16="http://schemas.microsoft.com/office/drawing/2014/main" id="{67F58672-8B54-4141-8F4E-7EDAA6B0F641}"/>
            </a:ext>
            <a:ext uri="{147F2762-F138-4A5C-976F-8EAC2B608ADB}">
              <a16:predDERef xmlns:a16="http://schemas.microsoft.com/office/drawing/2014/main" pred="{38087B58-76B3-47CA-AAB8-F74CFE7B349D}"/>
            </a:ext>
          </a:extLst>
        </xdr:cNvPr>
        <xdr:cNvPicPr>
          <a:picLocks noChangeAspect="1"/>
        </xdr:cNvPicPr>
      </xdr:nvPicPr>
      <xdr:blipFill>
        <a:blip xmlns:r="http://schemas.openxmlformats.org/officeDocument/2006/relationships" r:embed="rId4"/>
        <a:stretch>
          <a:fillRect/>
        </a:stretch>
      </xdr:blipFill>
      <xdr:spPr>
        <a:xfrm>
          <a:off x="352425" y="4048125"/>
          <a:ext cx="1752600" cy="2905125"/>
        </a:xfrm>
        <a:prstGeom prst="rect">
          <a:avLst/>
        </a:prstGeom>
      </xdr:spPr>
    </xdr:pic>
    <xdr:clientData/>
  </xdr:twoCellAnchor>
  <xdr:twoCellAnchor>
    <xdr:from>
      <xdr:col>27</xdr:col>
      <xdr:colOff>466725</xdr:colOff>
      <xdr:row>10</xdr:row>
      <xdr:rowOff>19050</xdr:rowOff>
    </xdr:from>
    <xdr:to>
      <xdr:col>36</xdr:col>
      <xdr:colOff>104775</xdr:colOff>
      <xdr:row>25</xdr:row>
      <xdr:rowOff>76200</xdr:rowOff>
    </xdr:to>
    <xdr:graphicFrame macro="">
      <xdr:nvGraphicFramePr>
        <xdr:cNvPr id="6" name="Chart 9">
          <a:extLst>
            <a:ext uri="{FF2B5EF4-FFF2-40B4-BE49-F238E27FC236}">
              <a16:creationId xmlns:a16="http://schemas.microsoft.com/office/drawing/2014/main" id="{427588D5-8C18-4A1B-BDA6-9A4E1749EB8F}"/>
            </a:ext>
            <a:ext uri="{147F2762-F138-4A5C-976F-8EAC2B608ADB}">
              <a16:predDERef xmlns:a16="http://schemas.microsoft.com/office/drawing/2014/main" pred="{67F58672-8B54-4141-8F4E-7EDAA6B0F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133350</xdr:colOff>
      <xdr:row>10</xdr:row>
      <xdr:rowOff>19050</xdr:rowOff>
    </xdr:from>
    <xdr:to>
      <xdr:col>44</xdr:col>
      <xdr:colOff>381000</xdr:colOff>
      <xdr:row>25</xdr:row>
      <xdr:rowOff>76200</xdr:rowOff>
    </xdr:to>
    <xdr:graphicFrame macro="">
      <xdr:nvGraphicFramePr>
        <xdr:cNvPr id="7" name="Chart 6">
          <a:extLst>
            <a:ext uri="{FF2B5EF4-FFF2-40B4-BE49-F238E27FC236}">
              <a16:creationId xmlns:a16="http://schemas.microsoft.com/office/drawing/2014/main" id="{5045577F-9CE7-4D6B-9EEB-A152AF2C8DB0}"/>
            </a:ext>
            <a:ext uri="{147F2762-F138-4A5C-976F-8EAC2B608ADB}">
              <a16:predDERef xmlns:a16="http://schemas.microsoft.com/office/drawing/2014/main" pred="{427588D5-8C18-4A1B-BDA6-9A4E1749EB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24</xdr:col>
      <xdr:colOff>561975</xdr:colOff>
      <xdr:row>0</xdr:row>
      <xdr:rowOff>114300</xdr:rowOff>
    </xdr:from>
    <xdr:to>
      <xdr:col>32</xdr:col>
      <xdr:colOff>257175</xdr:colOff>
      <xdr:row>8</xdr:row>
      <xdr:rowOff>104775</xdr:rowOff>
    </xdr:to>
    <xdr:pic>
      <xdr:nvPicPr>
        <xdr:cNvPr id="2" name="Picture 1">
          <a:extLst>
            <a:ext uri="{FF2B5EF4-FFF2-40B4-BE49-F238E27FC236}">
              <a16:creationId xmlns:a16="http://schemas.microsoft.com/office/drawing/2014/main" id="{011B7D70-8C6B-865D-4A50-B10E9F691EA3}"/>
            </a:ext>
          </a:extLst>
        </xdr:cNvPr>
        <xdr:cNvPicPr>
          <a:picLocks noChangeAspect="1"/>
        </xdr:cNvPicPr>
      </xdr:nvPicPr>
      <xdr:blipFill>
        <a:blip xmlns:r="http://schemas.openxmlformats.org/officeDocument/2006/relationships" r:embed="rId1"/>
        <a:stretch>
          <a:fillRect/>
        </a:stretch>
      </xdr:blipFill>
      <xdr:spPr>
        <a:xfrm>
          <a:off x="15192375" y="114300"/>
          <a:ext cx="4572000" cy="1562100"/>
        </a:xfrm>
        <a:prstGeom prst="rect">
          <a:avLst/>
        </a:prstGeom>
      </xdr:spPr>
    </xdr:pic>
    <xdr:clientData/>
  </xdr:twoCellAnchor>
  <xdr:twoCellAnchor editAs="oneCell">
    <xdr:from>
      <xdr:col>32</xdr:col>
      <xdr:colOff>200025</xdr:colOff>
      <xdr:row>0</xdr:row>
      <xdr:rowOff>142875</xdr:rowOff>
    </xdr:from>
    <xdr:to>
      <xdr:col>35</xdr:col>
      <xdr:colOff>152400</xdr:colOff>
      <xdr:row>15</xdr:row>
      <xdr:rowOff>209550</xdr:rowOff>
    </xdr:to>
    <xdr:pic>
      <xdr:nvPicPr>
        <xdr:cNvPr id="3" name="Picture 2">
          <a:extLst>
            <a:ext uri="{FF2B5EF4-FFF2-40B4-BE49-F238E27FC236}">
              <a16:creationId xmlns:a16="http://schemas.microsoft.com/office/drawing/2014/main" id="{9DBC1CD8-0694-1ADE-369A-E1937026CB59}"/>
            </a:ext>
            <a:ext uri="{147F2762-F138-4A5C-976F-8EAC2B608ADB}">
              <a16:predDERef xmlns:a16="http://schemas.microsoft.com/office/drawing/2014/main" pred="{011B7D70-8C6B-865D-4A50-B10E9F691EA3}"/>
            </a:ext>
          </a:extLst>
        </xdr:cNvPr>
        <xdr:cNvPicPr>
          <a:picLocks noChangeAspect="1"/>
        </xdr:cNvPicPr>
      </xdr:nvPicPr>
      <xdr:blipFill>
        <a:blip xmlns:r="http://schemas.openxmlformats.org/officeDocument/2006/relationships" r:embed="rId2"/>
        <a:stretch>
          <a:fillRect/>
        </a:stretch>
      </xdr:blipFill>
      <xdr:spPr>
        <a:xfrm>
          <a:off x="19707225" y="142875"/>
          <a:ext cx="1781175" cy="3114675"/>
        </a:xfrm>
        <a:prstGeom prst="rect">
          <a:avLst/>
        </a:prstGeom>
      </xdr:spPr>
    </xdr:pic>
    <xdr:clientData/>
  </xdr:twoCellAnchor>
  <xdr:twoCellAnchor editAs="oneCell">
    <xdr:from>
      <xdr:col>11</xdr:col>
      <xdr:colOff>257175</xdr:colOff>
      <xdr:row>23</xdr:row>
      <xdr:rowOff>0</xdr:rowOff>
    </xdr:from>
    <xdr:to>
      <xdr:col>29</xdr:col>
      <xdr:colOff>161925</xdr:colOff>
      <xdr:row>25</xdr:row>
      <xdr:rowOff>95250</xdr:rowOff>
    </xdr:to>
    <xdr:pic>
      <xdr:nvPicPr>
        <xdr:cNvPr id="4" name="Picture 3">
          <a:extLst>
            <a:ext uri="{FF2B5EF4-FFF2-40B4-BE49-F238E27FC236}">
              <a16:creationId xmlns:a16="http://schemas.microsoft.com/office/drawing/2014/main" id="{FEA04B97-0C98-E08A-0912-220C0AB3C9E9}"/>
            </a:ext>
            <a:ext uri="{147F2762-F138-4A5C-976F-8EAC2B608ADB}">
              <a16:predDERef xmlns:a16="http://schemas.microsoft.com/office/drawing/2014/main" pred="{9DBC1CD8-0694-1ADE-369A-E1937026CB59}"/>
            </a:ext>
          </a:extLst>
        </xdr:cNvPr>
        <xdr:cNvPicPr>
          <a:picLocks noChangeAspect="1"/>
        </xdr:cNvPicPr>
      </xdr:nvPicPr>
      <xdr:blipFill>
        <a:blip xmlns:r="http://schemas.openxmlformats.org/officeDocument/2006/relationships" r:embed="rId3"/>
        <a:stretch>
          <a:fillRect/>
        </a:stretch>
      </xdr:blipFill>
      <xdr:spPr>
        <a:xfrm>
          <a:off x="6962775" y="4619625"/>
          <a:ext cx="10877550" cy="476250"/>
        </a:xfrm>
        <a:prstGeom prst="rect">
          <a:avLst/>
        </a:prstGeom>
      </xdr:spPr>
    </xdr:pic>
    <xdr:clientData/>
  </xdr:twoCellAnchor>
  <xdr:twoCellAnchor editAs="oneCell">
    <xdr:from>
      <xdr:col>11</xdr:col>
      <xdr:colOff>152400</xdr:colOff>
      <xdr:row>18</xdr:row>
      <xdr:rowOff>152400</xdr:rowOff>
    </xdr:from>
    <xdr:to>
      <xdr:col>16</xdr:col>
      <xdr:colOff>533400</xdr:colOff>
      <xdr:row>22</xdr:row>
      <xdr:rowOff>66675</xdr:rowOff>
    </xdr:to>
    <xdr:pic>
      <xdr:nvPicPr>
        <xdr:cNvPr id="5" name="Picture 4">
          <a:extLst>
            <a:ext uri="{FF2B5EF4-FFF2-40B4-BE49-F238E27FC236}">
              <a16:creationId xmlns:a16="http://schemas.microsoft.com/office/drawing/2014/main" id="{632B5774-4394-5009-7BC4-3FDEB871F0D9}"/>
            </a:ext>
            <a:ext uri="{147F2762-F138-4A5C-976F-8EAC2B608ADB}">
              <a16:predDERef xmlns:a16="http://schemas.microsoft.com/office/drawing/2014/main" pred="{FEA04B97-0C98-E08A-0912-220C0AB3C9E9}"/>
            </a:ext>
          </a:extLst>
        </xdr:cNvPr>
        <xdr:cNvPicPr>
          <a:picLocks noChangeAspect="1"/>
        </xdr:cNvPicPr>
      </xdr:nvPicPr>
      <xdr:blipFill>
        <a:blip xmlns:r="http://schemas.openxmlformats.org/officeDocument/2006/relationships" r:embed="rId4"/>
        <a:stretch>
          <a:fillRect/>
        </a:stretch>
      </xdr:blipFill>
      <xdr:spPr>
        <a:xfrm>
          <a:off x="6858000" y="3819525"/>
          <a:ext cx="3429000" cy="676275"/>
        </a:xfrm>
        <a:prstGeom prst="rect">
          <a:avLst/>
        </a:prstGeom>
      </xdr:spPr>
    </xdr:pic>
    <xdr:clientData/>
  </xdr:twoCellAnchor>
  <xdr:twoCellAnchor editAs="oneCell">
    <xdr:from>
      <xdr:col>17</xdr:col>
      <xdr:colOff>161925</xdr:colOff>
      <xdr:row>26</xdr:row>
      <xdr:rowOff>0</xdr:rowOff>
    </xdr:from>
    <xdr:to>
      <xdr:col>24</xdr:col>
      <xdr:colOff>209550</xdr:colOff>
      <xdr:row>34</xdr:row>
      <xdr:rowOff>28575</xdr:rowOff>
    </xdr:to>
    <xdr:pic>
      <xdr:nvPicPr>
        <xdr:cNvPr id="6" name="Picture 5">
          <a:extLst>
            <a:ext uri="{FF2B5EF4-FFF2-40B4-BE49-F238E27FC236}">
              <a16:creationId xmlns:a16="http://schemas.microsoft.com/office/drawing/2014/main" id="{717D25AC-CA99-A746-8CF1-C99C156AB544}"/>
            </a:ext>
            <a:ext uri="{147F2762-F138-4A5C-976F-8EAC2B608ADB}">
              <a16:predDERef xmlns:a16="http://schemas.microsoft.com/office/drawing/2014/main" pred="{632B5774-4394-5009-7BC4-3FDEB871F0D9}"/>
            </a:ext>
          </a:extLst>
        </xdr:cNvPr>
        <xdr:cNvPicPr>
          <a:picLocks noChangeAspect="1"/>
        </xdr:cNvPicPr>
      </xdr:nvPicPr>
      <xdr:blipFill>
        <a:blip xmlns:r="http://schemas.openxmlformats.org/officeDocument/2006/relationships" r:embed="rId5"/>
        <a:stretch>
          <a:fillRect/>
        </a:stretch>
      </xdr:blipFill>
      <xdr:spPr>
        <a:xfrm>
          <a:off x="10525125" y="5191125"/>
          <a:ext cx="4314825" cy="1552575"/>
        </a:xfrm>
        <a:prstGeom prst="rect">
          <a:avLst/>
        </a:prstGeom>
      </xdr:spPr>
    </xdr:pic>
    <xdr:clientData/>
  </xdr:twoCellAnchor>
  <xdr:twoCellAnchor editAs="oneCell">
    <xdr:from>
      <xdr:col>11</xdr:col>
      <xdr:colOff>123825</xdr:colOff>
      <xdr:row>26</xdr:row>
      <xdr:rowOff>9525</xdr:rowOff>
    </xdr:from>
    <xdr:to>
      <xdr:col>17</xdr:col>
      <xdr:colOff>66675</xdr:colOff>
      <xdr:row>31</xdr:row>
      <xdr:rowOff>38100</xdr:rowOff>
    </xdr:to>
    <xdr:pic>
      <xdr:nvPicPr>
        <xdr:cNvPr id="7" name="Picture 6">
          <a:extLst>
            <a:ext uri="{FF2B5EF4-FFF2-40B4-BE49-F238E27FC236}">
              <a16:creationId xmlns:a16="http://schemas.microsoft.com/office/drawing/2014/main" id="{DC2926F9-457C-712E-3473-D09BA4619002}"/>
            </a:ext>
            <a:ext uri="{147F2762-F138-4A5C-976F-8EAC2B608ADB}">
              <a16:predDERef xmlns:a16="http://schemas.microsoft.com/office/drawing/2014/main" pred="{717D25AC-CA99-A746-8CF1-C99C156AB544}"/>
            </a:ext>
          </a:extLst>
        </xdr:cNvPr>
        <xdr:cNvPicPr>
          <a:picLocks noChangeAspect="1"/>
        </xdr:cNvPicPr>
      </xdr:nvPicPr>
      <xdr:blipFill>
        <a:blip xmlns:r="http://schemas.openxmlformats.org/officeDocument/2006/relationships" r:embed="rId6"/>
        <a:stretch>
          <a:fillRect/>
        </a:stretch>
      </xdr:blipFill>
      <xdr:spPr>
        <a:xfrm>
          <a:off x="6829425" y="5200650"/>
          <a:ext cx="3600450" cy="981075"/>
        </a:xfrm>
        <a:prstGeom prst="rect">
          <a:avLst/>
        </a:prstGeom>
      </xdr:spPr>
    </xdr:pic>
    <xdr:clientData/>
  </xdr:twoCellAnchor>
  <xdr:twoCellAnchor editAs="oneCell">
    <xdr:from>
      <xdr:col>17</xdr:col>
      <xdr:colOff>171450</xdr:colOff>
      <xdr:row>35</xdr:row>
      <xdr:rowOff>19050</xdr:rowOff>
    </xdr:from>
    <xdr:to>
      <xdr:col>31</xdr:col>
      <xdr:colOff>514350</xdr:colOff>
      <xdr:row>46</xdr:row>
      <xdr:rowOff>180975</xdr:rowOff>
    </xdr:to>
    <xdr:pic>
      <xdr:nvPicPr>
        <xdr:cNvPr id="8" name="Picture 7">
          <a:extLst>
            <a:ext uri="{FF2B5EF4-FFF2-40B4-BE49-F238E27FC236}">
              <a16:creationId xmlns:a16="http://schemas.microsoft.com/office/drawing/2014/main" id="{53F1F67A-9D07-268E-48DE-E530D5204856}"/>
            </a:ext>
            <a:ext uri="{147F2762-F138-4A5C-976F-8EAC2B608ADB}">
              <a16:predDERef xmlns:a16="http://schemas.microsoft.com/office/drawing/2014/main" pred="{DC2926F9-457C-712E-3473-D09BA4619002}"/>
            </a:ext>
          </a:extLst>
        </xdr:cNvPr>
        <xdr:cNvPicPr>
          <a:picLocks noChangeAspect="1"/>
        </xdr:cNvPicPr>
      </xdr:nvPicPr>
      <xdr:blipFill>
        <a:blip xmlns:r="http://schemas.openxmlformats.org/officeDocument/2006/relationships" r:embed="rId7"/>
        <a:stretch>
          <a:fillRect/>
        </a:stretch>
      </xdr:blipFill>
      <xdr:spPr>
        <a:xfrm>
          <a:off x="10534650" y="6924675"/>
          <a:ext cx="8877300" cy="2257425"/>
        </a:xfrm>
        <a:prstGeom prst="rect">
          <a:avLst/>
        </a:prstGeom>
      </xdr:spPr>
    </xdr:pic>
    <xdr:clientData/>
  </xdr:twoCellAnchor>
  <xdr:twoCellAnchor editAs="oneCell">
    <xdr:from>
      <xdr:col>11</xdr:col>
      <xdr:colOff>28575</xdr:colOff>
      <xdr:row>35</xdr:row>
      <xdr:rowOff>38100</xdr:rowOff>
    </xdr:from>
    <xdr:to>
      <xdr:col>17</xdr:col>
      <xdr:colOff>47625</xdr:colOff>
      <xdr:row>39</xdr:row>
      <xdr:rowOff>9525</xdr:rowOff>
    </xdr:to>
    <xdr:pic>
      <xdr:nvPicPr>
        <xdr:cNvPr id="9" name="Picture 8">
          <a:extLst>
            <a:ext uri="{FF2B5EF4-FFF2-40B4-BE49-F238E27FC236}">
              <a16:creationId xmlns:a16="http://schemas.microsoft.com/office/drawing/2014/main" id="{06CAD99E-ECE1-BD4E-5564-EBB080D28580}"/>
            </a:ext>
            <a:ext uri="{147F2762-F138-4A5C-976F-8EAC2B608ADB}">
              <a16:predDERef xmlns:a16="http://schemas.microsoft.com/office/drawing/2014/main" pred="{53F1F67A-9D07-268E-48DE-E530D5204856}"/>
            </a:ext>
          </a:extLst>
        </xdr:cNvPr>
        <xdr:cNvPicPr>
          <a:picLocks noChangeAspect="1"/>
        </xdr:cNvPicPr>
      </xdr:nvPicPr>
      <xdr:blipFill>
        <a:blip xmlns:r="http://schemas.openxmlformats.org/officeDocument/2006/relationships" r:embed="rId8"/>
        <a:stretch>
          <a:fillRect/>
        </a:stretch>
      </xdr:blipFill>
      <xdr:spPr>
        <a:xfrm>
          <a:off x="6734175" y="6943725"/>
          <a:ext cx="3676650" cy="733425"/>
        </a:xfrm>
        <a:prstGeom prst="rect">
          <a:avLst/>
        </a:prstGeom>
      </xdr:spPr>
    </xdr:pic>
    <xdr:clientData/>
  </xdr:twoCellAnchor>
  <xdr:twoCellAnchor editAs="oneCell">
    <xdr:from>
      <xdr:col>11</xdr:col>
      <xdr:colOff>304800</xdr:colOff>
      <xdr:row>47</xdr:row>
      <xdr:rowOff>104775</xdr:rowOff>
    </xdr:from>
    <xdr:to>
      <xdr:col>17</xdr:col>
      <xdr:colOff>85725</xdr:colOff>
      <xdr:row>50</xdr:row>
      <xdr:rowOff>180975</xdr:rowOff>
    </xdr:to>
    <xdr:pic>
      <xdr:nvPicPr>
        <xdr:cNvPr id="10" name="Picture 9">
          <a:extLst>
            <a:ext uri="{FF2B5EF4-FFF2-40B4-BE49-F238E27FC236}">
              <a16:creationId xmlns:a16="http://schemas.microsoft.com/office/drawing/2014/main" id="{B5F9DCFE-C32A-9252-87CA-1391BB18C532}"/>
            </a:ext>
            <a:ext uri="{147F2762-F138-4A5C-976F-8EAC2B608ADB}">
              <a16:predDERef xmlns:a16="http://schemas.microsoft.com/office/drawing/2014/main" pred="{06CAD99E-ECE1-BD4E-5564-EBB080D28580}"/>
            </a:ext>
          </a:extLst>
        </xdr:cNvPr>
        <xdr:cNvPicPr>
          <a:picLocks noChangeAspect="1"/>
        </xdr:cNvPicPr>
      </xdr:nvPicPr>
      <xdr:blipFill>
        <a:blip xmlns:r="http://schemas.openxmlformats.org/officeDocument/2006/relationships" r:embed="rId9"/>
        <a:stretch>
          <a:fillRect/>
        </a:stretch>
      </xdr:blipFill>
      <xdr:spPr>
        <a:xfrm>
          <a:off x="7010400" y="9296400"/>
          <a:ext cx="3438525" cy="647700"/>
        </a:xfrm>
        <a:prstGeom prst="rect">
          <a:avLst/>
        </a:prstGeom>
      </xdr:spPr>
    </xdr:pic>
    <xdr:clientData/>
  </xdr:twoCellAnchor>
  <xdr:twoCellAnchor editAs="oneCell">
    <xdr:from>
      <xdr:col>17</xdr:col>
      <xdr:colOff>209550</xdr:colOff>
      <xdr:row>47</xdr:row>
      <xdr:rowOff>57150</xdr:rowOff>
    </xdr:from>
    <xdr:to>
      <xdr:col>31</xdr:col>
      <xdr:colOff>581025</xdr:colOff>
      <xdr:row>59</xdr:row>
      <xdr:rowOff>19050</xdr:rowOff>
    </xdr:to>
    <xdr:pic>
      <xdr:nvPicPr>
        <xdr:cNvPr id="11" name="Picture 10">
          <a:extLst>
            <a:ext uri="{FF2B5EF4-FFF2-40B4-BE49-F238E27FC236}">
              <a16:creationId xmlns:a16="http://schemas.microsoft.com/office/drawing/2014/main" id="{FF890A65-3A10-6D76-B850-E39DD3D54557}"/>
            </a:ext>
            <a:ext uri="{147F2762-F138-4A5C-976F-8EAC2B608ADB}">
              <a16:predDERef xmlns:a16="http://schemas.microsoft.com/office/drawing/2014/main" pred="{B5F9DCFE-C32A-9252-87CA-1391BB18C532}"/>
            </a:ext>
          </a:extLst>
        </xdr:cNvPr>
        <xdr:cNvPicPr>
          <a:picLocks noChangeAspect="1"/>
        </xdr:cNvPicPr>
      </xdr:nvPicPr>
      <xdr:blipFill>
        <a:blip xmlns:r="http://schemas.openxmlformats.org/officeDocument/2006/relationships" r:embed="rId10"/>
        <a:stretch>
          <a:fillRect/>
        </a:stretch>
      </xdr:blipFill>
      <xdr:spPr>
        <a:xfrm>
          <a:off x="10572750" y="9248775"/>
          <a:ext cx="8905875" cy="2247900"/>
        </a:xfrm>
        <a:prstGeom prst="rect">
          <a:avLst/>
        </a:prstGeom>
      </xdr:spPr>
    </xdr:pic>
    <xdr:clientData/>
  </xdr:twoCellAnchor>
  <xdr:twoCellAnchor editAs="oneCell">
    <xdr:from>
      <xdr:col>32</xdr:col>
      <xdr:colOff>0</xdr:colOff>
      <xdr:row>48</xdr:row>
      <xdr:rowOff>0</xdr:rowOff>
    </xdr:from>
    <xdr:to>
      <xdr:col>39</xdr:col>
      <xdr:colOff>304800</xdr:colOff>
      <xdr:row>60</xdr:row>
      <xdr:rowOff>0</xdr:rowOff>
    </xdr:to>
    <xdr:pic>
      <xdr:nvPicPr>
        <xdr:cNvPr id="12" name="Picture 11">
          <a:extLst>
            <a:ext uri="{FF2B5EF4-FFF2-40B4-BE49-F238E27FC236}">
              <a16:creationId xmlns:a16="http://schemas.microsoft.com/office/drawing/2014/main" id="{ABD6C18D-D68A-A4C9-D641-9F03820D40B9}"/>
            </a:ext>
            <a:ext uri="{147F2762-F138-4A5C-976F-8EAC2B608ADB}">
              <a16:predDERef xmlns:a16="http://schemas.microsoft.com/office/drawing/2014/main" pred="{FF890A65-3A10-6D76-B850-E39DD3D54557}"/>
            </a:ext>
          </a:extLst>
        </xdr:cNvPr>
        <xdr:cNvPicPr>
          <a:picLocks noChangeAspect="1"/>
        </xdr:cNvPicPr>
      </xdr:nvPicPr>
      <xdr:blipFill>
        <a:blip xmlns:r="http://schemas.openxmlformats.org/officeDocument/2006/relationships" r:embed="rId11"/>
        <a:stretch>
          <a:fillRect/>
        </a:stretch>
      </xdr:blipFill>
      <xdr:spPr>
        <a:xfrm>
          <a:off x="19507200" y="9382125"/>
          <a:ext cx="4572000" cy="2286000"/>
        </a:xfrm>
        <a:prstGeom prst="rect">
          <a:avLst/>
        </a:prstGeom>
      </xdr:spPr>
    </xdr:pic>
    <xdr:clientData/>
  </xdr:twoCellAnchor>
  <xdr:twoCellAnchor editAs="oneCell">
    <xdr:from>
      <xdr:col>32</xdr:col>
      <xdr:colOff>0</xdr:colOff>
      <xdr:row>35</xdr:row>
      <xdr:rowOff>0</xdr:rowOff>
    </xdr:from>
    <xdr:to>
      <xdr:col>39</xdr:col>
      <xdr:colOff>304800</xdr:colOff>
      <xdr:row>47</xdr:row>
      <xdr:rowOff>0</xdr:rowOff>
    </xdr:to>
    <xdr:pic>
      <xdr:nvPicPr>
        <xdr:cNvPr id="13" name="Picture 12">
          <a:extLst>
            <a:ext uri="{FF2B5EF4-FFF2-40B4-BE49-F238E27FC236}">
              <a16:creationId xmlns:a16="http://schemas.microsoft.com/office/drawing/2014/main" id="{A96ABCAA-FC30-B499-819D-0ACB9C609926}"/>
            </a:ext>
            <a:ext uri="{147F2762-F138-4A5C-976F-8EAC2B608ADB}">
              <a16:predDERef xmlns:a16="http://schemas.microsoft.com/office/drawing/2014/main" pred="{ABD6C18D-D68A-A4C9-D641-9F03820D40B9}"/>
            </a:ext>
          </a:extLst>
        </xdr:cNvPr>
        <xdr:cNvPicPr>
          <a:picLocks noChangeAspect="1"/>
        </xdr:cNvPicPr>
      </xdr:nvPicPr>
      <xdr:blipFill>
        <a:blip xmlns:r="http://schemas.openxmlformats.org/officeDocument/2006/relationships" r:embed="rId12"/>
        <a:stretch>
          <a:fillRect/>
        </a:stretch>
      </xdr:blipFill>
      <xdr:spPr>
        <a:xfrm>
          <a:off x="19507200" y="6905625"/>
          <a:ext cx="4572000" cy="2286000"/>
        </a:xfrm>
        <a:prstGeom prst="rect">
          <a:avLst/>
        </a:prstGeom>
      </xdr:spPr>
    </xdr:pic>
    <xdr:clientData/>
  </xdr:twoCellAnchor>
  <xdr:twoCellAnchor editAs="oneCell">
    <xdr:from>
      <xdr:col>24</xdr:col>
      <xdr:colOff>400050</xdr:colOff>
      <xdr:row>25</xdr:row>
      <xdr:rowOff>161925</xdr:rowOff>
    </xdr:from>
    <xdr:to>
      <xdr:col>32</xdr:col>
      <xdr:colOff>95250</xdr:colOff>
      <xdr:row>37</xdr:row>
      <xdr:rowOff>161925</xdr:rowOff>
    </xdr:to>
    <xdr:pic>
      <xdr:nvPicPr>
        <xdr:cNvPr id="14" name="Picture 13">
          <a:extLst>
            <a:ext uri="{FF2B5EF4-FFF2-40B4-BE49-F238E27FC236}">
              <a16:creationId xmlns:a16="http://schemas.microsoft.com/office/drawing/2014/main" id="{86A9EECD-0103-8A23-48F7-9CEC06BFBD41}"/>
            </a:ext>
            <a:ext uri="{147F2762-F138-4A5C-976F-8EAC2B608ADB}">
              <a16:predDERef xmlns:a16="http://schemas.microsoft.com/office/drawing/2014/main" pred="{A96ABCAA-FC30-B499-819D-0ACB9C609926}"/>
            </a:ext>
          </a:extLst>
        </xdr:cNvPr>
        <xdr:cNvPicPr>
          <a:picLocks noChangeAspect="1"/>
        </xdr:cNvPicPr>
      </xdr:nvPicPr>
      <xdr:blipFill>
        <a:blip xmlns:r="http://schemas.openxmlformats.org/officeDocument/2006/relationships" r:embed="rId13"/>
        <a:stretch>
          <a:fillRect/>
        </a:stretch>
      </xdr:blipFill>
      <xdr:spPr>
        <a:xfrm>
          <a:off x="15030450" y="5162550"/>
          <a:ext cx="4572000" cy="2286000"/>
        </a:xfrm>
        <a:prstGeom prst="rect">
          <a:avLst/>
        </a:prstGeom>
      </xdr:spPr>
    </xdr:pic>
    <xdr:clientData/>
  </xdr:twoCellAnchor>
  <xdr:twoCellAnchor editAs="oneCell">
    <xdr:from>
      <xdr:col>17</xdr:col>
      <xdr:colOff>523875</xdr:colOff>
      <xdr:row>15</xdr:row>
      <xdr:rowOff>57150</xdr:rowOff>
    </xdr:from>
    <xdr:to>
      <xdr:col>24</xdr:col>
      <xdr:colOff>352425</xdr:colOff>
      <xdr:row>25</xdr:row>
      <xdr:rowOff>152400</xdr:rowOff>
    </xdr:to>
    <xdr:pic>
      <xdr:nvPicPr>
        <xdr:cNvPr id="15" name="Picture 14">
          <a:extLst>
            <a:ext uri="{FF2B5EF4-FFF2-40B4-BE49-F238E27FC236}">
              <a16:creationId xmlns:a16="http://schemas.microsoft.com/office/drawing/2014/main" id="{06D7095F-3D1E-F7B2-0280-DE0CD80B1E08}"/>
            </a:ext>
            <a:ext uri="{147F2762-F138-4A5C-976F-8EAC2B608ADB}">
              <a16:predDERef xmlns:a16="http://schemas.microsoft.com/office/drawing/2014/main" pred="{86A9EECD-0103-8A23-48F7-9CEC06BFBD41}"/>
            </a:ext>
          </a:extLst>
        </xdr:cNvPr>
        <xdr:cNvPicPr>
          <a:picLocks noChangeAspect="1"/>
        </xdr:cNvPicPr>
      </xdr:nvPicPr>
      <xdr:blipFill>
        <a:blip xmlns:r="http://schemas.openxmlformats.org/officeDocument/2006/relationships" r:embed="rId14"/>
        <a:stretch>
          <a:fillRect/>
        </a:stretch>
      </xdr:blipFill>
      <xdr:spPr>
        <a:xfrm>
          <a:off x="10887075" y="3105150"/>
          <a:ext cx="4095750" cy="2047875"/>
        </a:xfrm>
        <a:prstGeom prst="rect">
          <a:avLst/>
        </a:prstGeom>
      </xdr:spPr>
    </xdr:pic>
    <xdr:clientData/>
  </xdr:twoCellAnchor>
  <xdr:twoCellAnchor editAs="oneCell">
    <xdr:from>
      <xdr:col>23</xdr:col>
      <xdr:colOff>381000</xdr:colOff>
      <xdr:row>9</xdr:row>
      <xdr:rowOff>95250</xdr:rowOff>
    </xdr:from>
    <xdr:to>
      <xdr:col>30</xdr:col>
      <xdr:colOff>257175</xdr:colOff>
      <xdr:row>16</xdr:row>
      <xdr:rowOff>0</xdr:rowOff>
    </xdr:to>
    <xdr:pic>
      <xdr:nvPicPr>
        <xdr:cNvPr id="16" name="Picture 15">
          <a:extLst>
            <a:ext uri="{FF2B5EF4-FFF2-40B4-BE49-F238E27FC236}">
              <a16:creationId xmlns:a16="http://schemas.microsoft.com/office/drawing/2014/main" id="{54777AB9-50E1-3A5D-470D-F16693DAC7B0}"/>
            </a:ext>
            <a:ext uri="{147F2762-F138-4A5C-976F-8EAC2B608ADB}">
              <a16:predDERef xmlns:a16="http://schemas.microsoft.com/office/drawing/2014/main" pred="{06D7095F-3D1E-F7B2-0280-DE0CD80B1E08}"/>
            </a:ext>
          </a:extLst>
        </xdr:cNvPr>
        <xdr:cNvPicPr>
          <a:picLocks noChangeAspect="1"/>
        </xdr:cNvPicPr>
      </xdr:nvPicPr>
      <xdr:blipFill>
        <a:blip xmlns:r="http://schemas.openxmlformats.org/officeDocument/2006/relationships" r:embed="rId15"/>
        <a:srcRect l="9333" t="9846" b="13128"/>
        <a:stretch/>
      </xdr:blipFill>
      <xdr:spPr>
        <a:xfrm>
          <a:off x="14401800" y="1857375"/>
          <a:ext cx="4143375" cy="1428750"/>
        </a:xfrm>
        <a:prstGeom prst="rect">
          <a:avLst/>
        </a:prstGeom>
      </xdr:spPr>
    </xdr:pic>
    <xdr:clientData/>
  </xdr:twoCellAnchor>
  <xdr:twoCellAnchor editAs="oneCell">
    <xdr:from>
      <xdr:col>18</xdr:col>
      <xdr:colOff>523875</xdr:colOff>
      <xdr:row>2</xdr:row>
      <xdr:rowOff>114300</xdr:rowOff>
    </xdr:from>
    <xdr:to>
      <xdr:col>23</xdr:col>
      <xdr:colOff>57150</xdr:colOff>
      <xdr:row>5</xdr:row>
      <xdr:rowOff>104775</xdr:rowOff>
    </xdr:to>
    <xdr:pic>
      <xdr:nvPicPr>
        <xdr:cNvPr id="17" name="Picture 16">
          <a:extLst>
            <a:ext uri="{FF2B5EF4-FFF2-40B4-BE49-F238E27FC236}">
              <a16:creationId xmlns:a16="http://schemas.microsoft.com/office/drawing/2014/main" id="{12CF320E-69FB-9983-1DBE-2517388AC15F}"/>
            </a:ext>
            <a:ext uri="{147F2762-F138-4A5C-976F-8EAC2B608ADB}">
              <a16:predDERef xmlns:a16="http://schemas.microsoft.com/office/drawing/2014/main" pred="{54777AB9-50E1-3A5D-470D-F16693DAC7B0}"/>
            </a:ext>
          </a:extLst>
        </xdr:cNvPr>
        <xdr:cNvPicPr>
          <a:picLocks noChangeAspect="1"/>
        </xdr:cNvPicPr>
      </xdr:nvPicPr>
      <xdr:blipFill>
        <a:blip xmlns:r="http://schemas.openxmlformats.org/officeDocument/2006/relationships" r:embed="rId16"/>
        <a:stretch>
          <a:fillRect/>
        </a:stretch>
      </xdr:blipFill>
      <xdr:spPr>
        <a:xfrm>
          <a:off x="11496675" y="495300"/>
          <a:ext cx="2581275" cy="561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29</xdr:col>
      <xdr:colOff>438150</xdr:colOff>
      <xdr:row>19</xdr:row>
      <xdr:rowOff>161925</xdr:rowOff>
    </xdr:from>
    <xdr:to>
      <xdr:col>50</xdr:col>
      <xdr:colOff>447675</xdr:colOff>
      <xdr:row>54</xdr:row>
      <xdr:rowOff>9525</xdr:rowOff>
    </xdr:to>
    <xdr:graphicFrame macro="">
      <xdr:nvGraphicFramePr>
        <xdr:cNvPr id="4" name="Chart 3">
          <a:extLst>
            <a:ext uri="{FF2B5EF4-FFF2-40B4-BE49-F238E27FC236}">
              <a16:creationId xmlns:a16="http://schemas.microsoft.com/office/drawing/2014/main" id="{94E79F32-17ED-B47E-6519-B06301F2B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54</xdr:col>
      <xdr:colOff>314325</xdr:colOff>
      <xdr:row>54</xdr:row>
      <xdr:rowOff>0</xdr:rowOff>
    </xdr:from>
    <xdr:to>
      <xdr:col>76</xdr:col>
      <xdr:colOff>314325</xdr:colOff>
      <xdr:row>90</xdr:row>
      <xdr:rowOff>9525</xdr:rowOff>
    </xdr:to>
    <xdr:graphicFrame macro="">
      <xdr:nvGraphicFramePr>
        <xdr:cNvPr id="8" name="Chart 7">
          <a:extLst>
            <a:ext uri="{FF2B5EF4-FFF2-40B4-BE49-F238E27FC236}">
              <a16:creationId xmlns:a16="http://schemas.microsoft.com/office/drawing/2014/main" id="{D763220B-F1CF-094B-6EBD-3A68896DCF8E}"/>
            </a:ext>
            <a:ext uri="{147F2762-F138-4A5C-976F-8EAC2B608ADB}">
              <a16:predDERef xmlns:a16="http://schemas.microsoft.com/office/drawing/2014/main" pred="{94E79F32-17ED-B47E-6519-B06301F2B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257175</xdr:colOff>
      <xdr:row>82</xdr:row>
      <xdr:rowOff>0</xdr:rowOff>
    </xdr:from>
    <xdr:to>
      <xdr:col>75</xdr:col>
      <xdr:colOff>285750</xdr:colOff>
      <xdr:row>118</xdr:row>
      <xdr:rowOff>123825</xdr:rowOff>
    </xdr:to>
    <xdr:graphicFrame macro="">
      <xdr:nvGraphicFramePr>
        <xdr:cNvPr id="9" name="Chart 8">
          <a:extLst>
            <a:ext uri="{FF2B5EF4-FFF2-40B4-BE49-F238E27FC236}">
              <a16:creationId xmlns:a16="http://schemas.microsoft.com/office/drawing/2014/main" id="{FA146621-98C2-B43F-602C-F0AEB72F045D}"/>
            </a:ext>
            <a:ext uri="{147F2762-F138-4A5C-976F-8EAC2B608ADB}">
              <a16:predDERef xmlns:a16="http://schemas.microsoft.com/office/drawing/2014/main" pred="{D763220B-F1CF-094B-6EBD-3A68896DC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xdr:colOff>
      <xdr:row>69</xdr:row>
      <xdr:rowOff>9525</xdr:rowOff>
    </xdr:from>
    <xdr:to>
      <xdr:col>27</xdr:col>
      <xdr:colOff>1076325</xdr:colOff>
      <xdr:row>72</xdr:row>
      <xdr:rowOff>38100</xdr:rowOff>
    </xdr:to>
    <xdr:sp macro="" textlink="">
      <xdr:nvSpPr>
        <xdr:cNvPr id="5" name="Bent Arrow 4">
          <a:extLst>
            <a:ext uri="{FF2B5EF4-FFF2-40B4-BE49-F238E27FC236}">
              <a16:creationId xmlns:a16="http://schemas.microsoft.com/office/drawing/2014/main" id="{1F78E743-16A2-6FDF-E916-45A5083D8D93}"/>
            </a:ext>
            <a:ext uri="{147F2762-F138-4A5C-976F-8EAC2B608ADB}">
              <a16:predDERef xmlns:a16="http://schemas.microsoft.com/office/drawing/2014/main" pred="{FA146621-98C2-B43F-602C-F0AEB72F045D}"/>
            </a:ext>
          </a:extLst>
        </xdr:cNvPr>
        <xdr:cNvSpPr/>
      </xdr:nvSpPr>
      <xdr:spPr>
        <a:xfrm rot="10817018">
          <a:off x="27774900" y="14087475"/>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27</xdr:col>
      <xdr:colOff>47625</xdr:colOff>
      <xdr:row>83</xdr:row>
      <xdr:rowOff>19050</xdr:rowOff>
    </xdr:from>
    <xdr:to>
      <xdr:col>27</xdr:col>
      <xdr:colOff>1066800</xdr:colOff>
      <xdr:row>86</xdr:row>
      <xdr:rowOff>47625</xdr:rowOff>
    </xdr:to>
    <xdr:sp macro="" textlink="">
      <xdr:nvSpPr>
        <xdr:cNvPr id="6" name="Bent Arrow 5">
          <a:extLst>
            <a:ext uri="{FF2B5EF4-FFF2-40B4-BE49-F238E27FC236}">
              <a16:creationId xmlns:a16="http://schemas.microsoft.com/office/drawing/2014/main" id="{6DFBFCC5-34F5-4CC5-A49F-00E74E51ACB6}"/>
            </a:ext>
            <a:ext uri="{147F2762-F138-4A5C-976F-8EAC2B608ADB}">
              <a16:predDERef xmlns:a16="http://schemas.microsoft.com/office/drawing/2014/main" pred="{1F78E743-16A2-6FDF-E916-45A5083D8D93}"/>
            </a:ext>
          </a:extLst>
        </xdr:cNvPr>
        <xdr:cNvSpPr/>
      </xdr:nvSpPr>
      <xdr:spPr>
        <a:xfrm rot="10817018">
          <a:off x="27765375" y="16764000"/>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219075</xdr:colOff>
      <xdr:row>69</xdr:row>
      <xdr:rowOff>0</xdr:rowOff>
    </xdr:from>
    <xdr:to>
      <xdr:col>20</xdr:col>
      <xdr:colOff>504825</xdr:colOff>
      <xdr:row>71</xdr:row>
      <xdr:rowOff>57150</xdr:rowOff>
    </xdr:to>
    <xdr:sp macro="" textlink="">
      <xdr:nvSpPr>
        <xdr:cNvPr id="7" name="Bent Arrow 6">
          <a:extLst>
            <a:ext uri="{FF2B5EF4-FFF2-40B4-BE49-F238E27FC236}">
              <a16:creationId xmlns:a16="http://schemas.microsoft.com/office/drawing/2014/main" id="{2EA87FB8-0291-4D13-A2CF-C93D175F761A}"/>
            </a:ext>
            <a:ext uri="{147F2762-F138-4A5C-976F-8EAC2B608ADB}">
              <a16:predDERef xmlns:a16="http://schemas.microsoft.com/office/drawing/2014/main" pred="{6DFBFCC5-34F5-4CC5-A49F-00E74E51ACB6}"/>
            </a:ext>
          </a:extLst>
        </xdr:cNvPr>
        <xdr:cNvSpPr/>
      </xdr:nvSpPr>
      <xdr:spPr>
        <a:xfrm rot="10817018" flipH="1">
          <a:off x="21355050" y="14077950"/>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142875</xdr:colOff>
      <xdr:row>83</xdr:row>
      <xdr:rowOff>0</xdr:rowOff>
    </xdr:from>
    <xdr:to>
      <xdr:col>20</xdr:col>
      <xdr:colOff>428625</xdr:colOff>
      <xdr:row>85</xdr:row>
      <xdr:rowOff>57150</xdr:rowOff>
    </xdr:to>
    <xdr:sp macro="" textlink="">
      <xdr:nvSpPr>
        <xdr:cNvPr id="10" name="Bent Arrow 9">
          <a:extLst>
            <a:ext uri="{FF2B5EF4-FFF2-40B4-BE49-F238E27FC236}">
              <a16:creationId xmlns:a16="http://schemas.microsoft.com/office/drawing/2014/main" id="{BBF1F597-3E60-4D41-BA3C-B49A4A3E2714}"/>
            </a:ext>
            <a:ext uri="{147F2762-F138-4A5C-976F-8EAC2B608ADB}">
              <a16:predDERef xmlns:a16="http://schemas.microsoft.com/office/drawing/2014/main" pred="{2EA87FB8-0291-4D13-A2CF-C93D175F761A}"/>
            </a:ext>
          </a:extLst>
        </xdr:cNvPr>
        <xdr:cNvSpPr/>
      </xdr:nvSpPr>
      <xdr:spPr>
        <a:xfrm rot="10817018" flipH="1">
          <a:off x="21278850" y="16744950"/>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28</xdr:col>
      <xdr:colOff>180975</xdr:colOff>
      <xdr:row>0</xdr:row>
      <xdr:rowOff>0</xdr:rowOff>
    </xdr:from>
    <xdr:to>
      <xdr:col>49</xdr:col>
      <xdr:colOff>190500</xdr:colOff>
      <xdr:row>30</xdr:row>
      <xdr:rowOff>9525</xdr:rowOff>
    </xdr:to>
    <xdr:graphicFrame macro="">
      <xdr:nvGraphicFramePr>
        <xdr:cNvPr id="2" name="Chart 3">
          <a:extLst>
            <a:ext uri="{FF2B5EF4-FFF2-40B4-BE49-F238E27FC236}">
              <a16:creationId xmlns:a16="http://schemas.microsoft.com/office/drawing/2014/main" id="{AE40B9A3-EC93-4BE5-8392-B8505395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485775</xdr:colOff>
      <xdr:row>30</xdr:row>
      <xdr:rowOff>95250</xdr:rowOff>
    </xdr:from>
    <xdr:to>
      <xdr:col>51</xdr:col>
      <xdr:colOff>485775</xdr:colOff>
      <xdr:row>66</xdr:row>
      <xdr:rowOff>104775</xdr:rowOff>
    </xdr:to>
    <xdr:graphicFrame macro="">
      <xdr:nvGraphicFramePr>
        <xdr:cNvPr id="3" name="Chart 7">
          <a:extLst>
            <a:ext uri="{FF2B5EF4-FFF2-40B4-BE49-F238E27FC236}">
              <a16:creationId xmlns:a16="http://schemas.microsoft.com/office/drawing/2014/main" id="{04C44068-3A2C-4669-9E05-96169953A9E6}"/>
            </a:ext>
            <a:ext uri="{147F2762-F138-4A5C-976F-8EAC2B608ADB}">
              <a16:predDERef xmlns:a16="http://schemas.microsoft.com/office/drawing/2014/main" pred="{AE40B9A3-EC93-4BE5-8392-B85053951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476250</xdr:colOff>
      <xdr:row>66</xdr:row>
      <xdr:rowOff>142875</xdr:rowOff>
    </xdr:from>
    <xdr:to>
      <xdr:col>51</xdr:col>
      <xdr:colOff>504825</xdr:colOff>
      <xdr:row>103</xdr:row>
      <xdr:rowOff>76200</xdr:rowOff>
    </xdr:to>
    <xdr:graphicFrame macro="">
      <xdr:nvGraphicFramePr>
        <xdr:cNvPr id="4" name="Chart 8">
          <a:extLst>
            <a:ext uri="{FF2B5EF4-FFF2-40B4-BE49-F238E27FC236}">
              <a16:creationId xmlns:a16="http://schemas.microsoft.com/office/drawing/2014/main" id="{F2119392-CA62-4954-96D2-95C37A693E6E}"/>
            </a:ext>
            <a:ext uri="{147F2762-F138-4A5C-976F-8EAC2B608ADB}">
              <a16:predDERef xmlns:a16="http://schemas.microsoft.com/office/drawing/2014/main" pred="{04C44068-3A2C-4669-9E05-96169953A9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xdr:colOff>
      <xdr:row>69</xdr:row>
      <xdr:rowOff>9525</xdr:rowOff>
    </xdr:from>
    <xdr:to>
      <xdr:col>27</xdr:col>
      <xdr:colOff>1076325</xdr:colOff>
      <xdr:row>72</xdr:row>
      <xdr:rowOff>38100</xdr:rowOff>
    </xdr:to>
    <xdr:sp macro="" textlink="">
      <xdr:nvSpPr>
        <xdr:cNvPr id="5" name="Bent Arrow 4">
          <a:extLst>
            <a:ext uri="{FF2B5EF4-FFF2-40B4-BE49-F238E27FC236}">
              <a16:creationId xmlns:a16="http://schemas.microsoft.com/office/drawing/2014/main" id="{766768F8-D379-4E82-9623-D14AA0348B94}"/>
            </a:ext>
            <a:ext uri="{147F2762-F138-4A5C-976F-8EAC2B608ADB}">
              <a16:predDERef xmlns:a16="http://schemas.microsoft.com/office/drawing/2014/main" pred="{F2119392-CA62-4954-96D2-95C37A693E6E}"/>
            </a:ext>
          </a:extLst>
        </xdr:cNvPr>
        <xdr:cNvSpPr/>
      </xdr:nvSpPr>
      <xdr:spPr>
        <a:xfrm rot="10817018">
          <a:off x="28632150" y="14087475"/>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27</xdr:col>
      <xdr:colOff>47625</xdr:colOff>
      <xdr:row>83</xdr:row>
      <xdr:rowOff>19050</xdr:rowOff>
    </xdr:from>
    <xdr:to>
      <xdr:col>27</xdr:col>
      <xdr:colOff>1066800</xdr:colOff>
      <xdr:row>86</xdr:row>
      <xdr:rowOff>47625</xdr:rowOff>
    </xdr:to>
    <xdr:sp macro="" textlink="">
      <xdr:nvSpPr>
        <xdr:cNvPr id="6" name="Bent Arrow 5">
          <a:extLst>
            <a:ext uri="{FF2B5EF4-FFF2-40B4-BE49-F238E27FC236}">
              <a16:creationId xmlns:a16="http://schemas.microsoft.com/office/drawing/2014/main" id="{688ABE66-A9AC-4B95-949F-62451F1B9F40}"/>
            </a:ext>
            <a:ext uri="{147F2762-F138-4A5C-976F-8EAC2B608ADB}">
              <a16:predDERef xmlns:a16="http://schemas.microsoft.com/office/drawing/2014/main" pred="{766768F8-D379-4E82-9623-D14AA0348B94}"/>
            </a:ext>
          </a:extLst>
        </xdr:cNvPr>
        <xdr:cNvSpPr/>
      </xdr:nvSpPr>
      <xdr:spPr>
        <a:xfrm rot="10817018">
          <a:off x="28622625" y="16764000"/>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219075</xdr:colOff>
      <xdr:row>69</xdr:row>
      <xdr:rowOff>0</xdr:rowOff>
    </xdr:from>
    <xdr:to>
      <xdr:col>20</xdr:col>
      <xdr:colOff>504825</xdr:colOff>
      <xdr:row>71</xdr:row>
      <xdr:rowOff>57150</xdr:rowOff>
    </xdr:to>
    <xdr:sp macro="" textlink="">
      <xdr:nvSpPr>
        <xdr:cNvPr id="7" name="Bent Arrow 6">
          <a:extLst>
            <a:ext uri="{FF2B5EF4-FFF2-40B4-BE49-F238E27FC236}">
              <a16:creationId xmlns:a16="http://schemas.microsoft.com/office/drawing/2014/main" id="{2894B65C-858B-4E98-AACD-C88E94F4F1C9}"/>
            </a:ext>
            <a:ext uri="{147F2762-F138-4A5C-976F-8EAC2B608ADB}">
              <a16:predDERef xmlns:a16="http://schemas.microsoft.com/office/drawing/2014/main" pred="{688ABE66-A9AC-4B95-949F-62451F1B9F40}"/>
            </a:ext>
          </a:extLst>
        </xdr:cNvPr>
        <xdr:cNvSpPr/>
      </xdr:nvSpPr>
      <xdr:spPr>
        <a:xfrm rot="10817018" flipH="1">
          <a:off x="21355050" y="14077950"/>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142875</xdr:colOff>
      <xdr:row>83</xdr:row>
      <xdr:rowOff>0</xdr:rowOff>
    </xdr:from>
    <xdr:to>
      <xdr:col>20</xdr:col>
      <xdr:colOff>428625</xdr:colOff>
      <xdr:row>85</xdr:row>
      <xdr:rowOff>57150</xdr:rowOff>
    </xdr:to>
    <xdr:sp macro="" textlink="">
      <xdr:nvSpPr>
        <xdr:cNvPr id="8" name="Bent Arrow 9">
          <a:extLst>
            <a:ext uri="{FF2B5EF4-FFF2-40B4-BE49-F238E27FC236}">
              <a16:creationId xmlns:a16="http://schemas.microsoft.com/office/drawing/2014/main" id="{EFCC6F81-DD53-46EC-8217-7FD1EF17CF33}"/>
            </a:ext>
            <a:ext uri="{147F2762-F138-4A5C-976F-8EAC2B608ADB}">
              <a16:predDERef xmlns:a16="http://schemas.microsoft.com/office/drawing/2014/main" pred="{2894B65C-858B-4E98-AACD-C88E94F4F1C9}"/>
            </a:ext>
          </a:extLst>
        </xdr:cNvPr>
        <xdr:cNvSpPr/>
      </xdr:nvSpPr>
      <xdr:spPr>
        <a:xfrm rot="10817018" flipH="1">
          <a:off x="21278850" y="16744950"/>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180975</xdr:colOff>
      <xdr:row>0</xdr:row>
      <xdr:rowOff>0</xdr:rowOff>
    </xdr:from>
    <xdr:to>
      <xdr:col>49</xdr:col>
      <xdr:colOff>190500</xdr:colOff>
      <xdr:row>30</xdr:row>
      <xdr:rowOff>9525</xdr:rowOff>
    </xdr:to>
    <xdr:graphicFrame macro="">
      <xdr:nvGraphicFramePr>
        <xdr:cNvPr id="2" name="Chart 3">
          <a:extLst>
            <a:ext uri="{FF2B5EF4-FFF2-40B4-BE49-F238E27FC236}">
              <a16:creationId xmlns:a16="http://schemas.microsoft.com/office/drawing/2014/main" id="{DEA71F2D-6ACA-410C-B4EB-1EA38DF33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485775</xdr:colOff>
      <xdr:row>30</xdr:row>
      <xdr:rowOff>95250</xdr:rowOff>
    </xdr:from>
    <xdr:to>
      <xdr:col>51</xdr:col>
      <xdr:colOff>485775</xdr:colOff>
      <xdr:row>66</xdr:row>
      <xdr:rowOff>104775</xdr:rowOff>
    </xdr:to>
    <xdr:graphicFrame macro="">
      <xdr:nvGraphicFramePr>
        <xdr:cNvPr id="3" name="Chart 7">
          <a:extLst>
            <a:ext uri="{FF2B5EF4-FFF2-40B4-BE49-F238E27FC236}">
              <a16:creationId xmlns:a16="http://schemas.microsoft.com/office/drawing/2014/main" id="{2D3110C4-D4F4-4AC1-9918-6A101B74C96C}"/>
            </a:ext>
            <a:ext uri="{147F2762-F138-4A5C-976F-8EAC2B608ADB}">
              <a16:predDERef xmlns:a16="http://schemas.microsoft.com/office/drawing/2014/main" pred="{DEA71F2D-6ACA-410C-B4EB-1EA38DF33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476250</xdr:colOff>
      <xdr:row>66</xdr:row>
      <xdr:rowOff>142875</xdr:rowOff>
    </xdr:from>
    <xdr:to>
      <xdr:col>51</xdr:col>
      <xdr:colOff>504825</xdr:colOff>
      <xdr:row>103</xdr:row>
      <xdr:rowOff>76200</xdr:rowOff>
    </xdr:to>
    <xdr:graphicFrame macro="">
      <xdr:nvGraphicFramePr>
        <xdr:cNvPr id="4" name="Chart 8">
          <a:extLst>
            <a:ext uri="{FF2B5EF4-FFF2-40B4-BE49-F238E27FC236}">
              <a16:creationId xmlns:a16="http://schemas.microsoft.com/office/drawing/2014/main" id="{E1117114-2B3E-426B-829F-06E107B92AC1}"/>
            </a:ext>
            <a:ext uri="{147F2762-F138-4A5C-976F-8EAC2B608ADB}">
              <a16:predDERef xmlns:a16="http://schemas.microsoft.com/office/drawing/2014/main" pred="{2D3110C4-D4F4-4AC1-9918-6A101B74C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57150</xdr:colOff>
      <xdr:row>69</xdr:row>
      <xdr:rowOff>9525</xdr:rowOff>
    </xdr:from>
    <xdr:to>
      <xdr:col>27</xdr:col>
      <xdr:colOff>1076325</xdr:colOff>
      <xdr:row>72</xdr:row>
      <xdr:rowOff>38100</xdr:rowOff>
    </xdr:to>
    <xdr:sp macro="" textlink="">
      <xdr:nvSpPr>
        <xdr:cNvPr id="5" name="Bent Arrow 4">
          <a:extLst>
            <a:ext uri="{FF2B5EF4-FFF2-40B4-BE49-F238E27FC236}">
              <a16:creationId xmlns:a16="http://schemas.microsoft.com/office/drawing/2014/main" id="{1D9F75BB-31D1-4DCE-9310-BF19DB8E04D1}"/>
            </a:ext>
            <a:ext uri="{147F2762-F138-4A5C-976F-8EAC2B608ADB}">
              <a16:predDERef xmlns:a16="http://schemas.microsoft.com/office/drawing/2014/main" pred="{E1117114-2B3E-426B-829F-06E107B92AC1}"/>
            </a:ext>
          </a:extLst>
        </xdr:cNvPr>
        <xdr:cNvSpPr/>
      </xdr:nvSpPr>
      <xdr:spPr>
        <a:xfrm rot="10817018">
          <a:off x="27774900" y="13944600"/>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solidFill>
              <a:schemeClr val="tx1"/>
            </a:solidFill>
          </a:endParaRPr>
        </a:p>
      </xdr:txBody>
    </xdr:sp>
    <xdr:clientData/>
  </xdr:twoCellAnchor>
  <xdr:twoCellAnchor>
    <xdr:from>
      <xdr:col>27</xdr:col>
      <xdr:colOff>47625</xdr:colOff>
      <xdr:row>83</xdr:row>
      <xdr:rowOff>19050</xdr:rowOff>
    </xdr:from>
    <xdr:to>
      <xdr:col>27</xdr:col>
      <xdr:colOff>1066800</xdr:colOff>
      <xdr:row>86</xdr:row>
      <xdr:rowOff>47625</xdr:rowOff>
    </xdr:to>
    <xdr:sp macro="" textlink="">
      <xdr:nvSpPr>
        <xdr:cNvPr id="6" name="Bent Arrow 5">
          <a:extLst>
            <a:ext uri="{FF2B5EF4-FFF2-40B4-BE49-F238E27FC236}">
              <a16:creationId xmlns:a16="http://schemas.microsoft.com/office/drawing/2014/main" id="{02E1311B-8858-4C18-880C-B393FF682751}"/>
            </a:ext>
            <a:ext uri="{147F2762-F138-4A5C-976F-8EAC2B608ADB}">
              <a16:predDERef xmlns:a16="http://schemas.microsoft.com/office/drawing/2014/main" pred="{1D9F75BB-31D1-4DCE-9310-BF19DB8E04D1}"/>
            </a:ext>
          </a:extLst>
        </xdr:cNvPr>
        <xdr:cNvSpPr/>
      </xdr:nvSpPr>
      <xdr:spPr>
        <a:xfrm rot="10817018">
          <a:off x="27765375" y="16621125"/>
          <a:ext cx="1019175" cy="600075"/>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219075</xdr:colOff>
      <xdr:row>69</xdr:row>
      <xdr:rowOff>0</xdr:rowOff>
    </xdr:from>
    <xdr:to>
      <xdr:col>20</xdr:col>
      <xdr:colOff>504825</xdr:colOff>
      <xdr:row>71</xdr:row>
      <xdr:rowOff>57150</xdr:rowOff>
    </xdr:to>
    <xdr:sp macro="" textlink="">
      <xdr:nvSpPr>
        <xdr:cNvPr id="7" name="Bent Arrow 6">
          <a:extLst>
            <a:ext uri="{FF2B5EF4-FFF2-40B4-BE49-F238E27FC236}">
              <a16:creationId xmlns:a16="http://schemas.microsoft.com/office/drawing/2014/main" id="{4A0B0482-076B-4277-AD80-41D068E4CB88}"/>
            </a:ext>
            <a:ext uri="{147F2762-F138-4A5C-976F-8EAC2B608ADB}">
              <a16:predDERef xmlns:a16="http://schemas.microsoft.com/office/drawing/2014/main" pred="{02E1311B-8858-4C18-880C-B393FF682751}"/>
            </a:ext>
          </a:extLst>
        </xdr:cNvPr>
        <xdr:cNvSpPr/>
      </xdr:nvSpPr>
      <xdr:spPr>
        <a:xfrm rot="10817018" flipH="1">
          <a:off x="21355050" y="13935075"/>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twoCellAnchor>
    <xdr:from>
      <xdr:col>19</xdr:col>
      <xdr:colOff>142875</xdr:colOff>
      <xdr:row>83</xdr:row>
      <xdr:rowOff>0</xdr:rowOff>
    </xdr:from>
    <xdr:to>
      <xdr:col>20</xdr:col>
      <xdr:colOff>428625</xdr:colOff>
      <xdr:row>85</xdr:row>
      <xdr:rowOff>57150</xdr:rowOff>
    </xdr:to>
    <xdr:sp macro="" textlink="">
      <xdr:nvSpPr>
        <xdr:cNvPr id="8" name="Bent Arrow 9">
          <a:extLst>
            <a:ext uri="{FF2B5EF4-FFF2-40B4-BE49-F238E27FC236}">
              <a16:creationId xmlns:a16="http://schemas.microsoft.com/office/drawing/2014/main" id="{C66534FA-3017-46E6-9A6F-6203515DF66A}"/>
            </a:ext>
            <a:ext uri="{147F2762-F138-4A5C-976F-8EAC2B608ADB}">
              <a16:predDERef xmlns:a16="http://schemas.microsoft.com/office/drawing/2014/main" pred="{4A0B0482-076B-4277-AD80-41D068E4CB88}"/>
            </a:ext>
          </a:extLst>
        </xdr:cNvPr>
        <xdr:cNvSpPr/>
      </xdr:nvSpPr>
      <xdr:spPr>
        <a:xfrm rot="10817018" flipH="1">
          <a:off x="21278850" y="16602075"/>
          <a:ext cx="895350" cy="438150"/>
        </a:xfrm>
        <a:prstGeom prst="ben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85725</xdr:colOff>
      <xdr:row>0</xdr:row>
      <xdr:rowOff>28575</xdr:rowOff>
    </xdr:from>
    <xdr:to>
      <xdr:col>18</xdr:col>
      <xdr:colOff>381000</xdr:colOff>
      <xdr:row>17</xdr:row>
      <xdr:rowOff>152400</xdr:rowOff>
    </xdr:to>
    <xdr:pic>
      <xdr:nvPicPr>
        <xdr:cNvPr id="2" name="Picture 1">
          <a:extLst>
            <a:ext uri="{FF2B5EF4-FFF2-40B4-BE49-F238E27FC236}">
              <a16:creationId xmlns:a16="http://schemas.microsoft.com/office/drawing/2014/main" id="{262EA1BE-6784-6FF0-7DAE-DB88EFEA574C}"/>
            </a:ext>
          </a:extLst>
        </xdr:cNvPr>
        <xdr:cNvPicPr>
          <a:picLocks noChangeAspect="1"/>
        </xdr:cNvPicPr>
      </xdr:nvPicPr>
      <xdr:blipFill>
        <a:blip xmlns:r="http://schemas.openxmlformats.org/officeDocument/2006/relationships" r:embed="rId1"/>
        <a:stretch>
          <a:fillRect/>
        </a:stretch>
      </xdr:blipFill>
      <xdr:spPr>
        <a:xfrm>
          <a:off x="6791325" y="28575"/>
          <a:ext cx="4562475" cy="3362325"/>
        </a:xfrm>
        <a:prstGeom prst="rect">
          <a:avLst/>
        </a:prstGeom>
      </xdr:spPr>
    </xdr:pic>
    <xdr:clientData/>
  </xdr:twoCellAnchor>
  <xdr:twoCellAnchor editAs="oneCell">
    <xdr:from>
      <xdr:col>11</xdr:col>
      <xdr:colOff>104775</xdr:colOff>
      <xdr:row>17</xdr:row>
      <xdr:rowOff>161925</xdr:rowOff>
    </xdr:from>
    <xdr:to>
      <xdr:col>18</xdr:col>
      <xdr:colOff>333375</xdr:colOff>
      <xdr:row>22</xdr:row>
      <xdr:rowOff>104775</xdr:rowOff>
    </xdr:to>
    <xdr:pic>
      <xdr:nvPicPr>
        <xdr:cNvPr id="3" name="Picture 2">
          <a:extLst>
            <a:ext uri="{FF2B5EF4-FFF2-40B4-BE49-F238E27FC236}">
              <a16:creationId xmlns:a16="http://schemas.microsoft.com/office/drawing/2014/main" id="{826E76E1-EEB2-055B-CE65-56806E2BEC9E}"/>
            </a:ext>
            <a:ext uri="{147F2762-F138-4A5C-976F-8EAC2B608ADB}">
              <a16:predDERef xmlns:a16="http://schemas.microsoft.com/office/drawing/2014/main" pred="{262EA1BE-6784-6FF0-7DAE-DB88EFEA574C}"/>
            </a:ext>
          </a:extLst>
        </xdr:cNvPr>
        <xdr:cNvPicPr>
          <a:picLocks noChangeAspect="1"/>
        </xdr:cNvPicPr>
      </xdr:nvPicPr>
      <xdr:blipFill>
        <a:blip xmlns:r="http://schemas.openxmlformats.org/officeDocument/2006/relationships" r:embed="rId2"/>
        <a:stretch>
          <a:fillRect/>
        </a:stretch>
      </xdr:blipFill>
      <xdr:spPr>
        <a:xfrm>
          <a:off x="6810375" y="3400425"/>
          <a:ext cx="4495800" cy="895350"/>
        </a:xfrm>
        <a:prstGeom prst="rect">
          <a:avLst/>
        </a:prstGeom>
      </xdr:spPr>
    </xdr:pic>
    <xdr:clientData/>
  </xdr:twoCellAnchor>
  <xdr:twoCellAnchor editAs="oneCell">
    <xdr:from>
      <xdr:col>10</xdr:col>
      <xdr:colOff>962025</xdr:colOff>
      <xdr:row>0</xdr:row>
      <xdr:rowOff>0</xdr:rowOff>
    </xdr:from>
    <xdr:to>
      <xdr:col>24</xdr:col>
      <xdr:colOff>514350</xdr:colOff>
      <xdr:row>20</xdr:row>
      <xdr:rowOff>152400</xdr:rowOff>
    </xdr:to>
    <xdr:pic>
      <xdr:nvPicPr>
        <xdr:cNvPr id="4" name="Picture 3">
          <a:extLst>
            <a:ext uri="{FF2B5EF4-FFF2-40B4-BE49-F238E27FC236}">
              <a16:creationId xmlns:a16="http://schemas.microsoft.com/office/drawing/2014/main" id="{7D0402E4-A36E-38D2-B1CC-5CDF72D7B170}"/>
            </a:ext>
            <a:ext uri="{147F2762-F138-4A5C-976F-8EAC2B608ADB}">
              <a16:predDERef xmlns:a16="http://schemas.microsoft.com/office/drawing/2014/main" pred="{826E76E1-EEB2-055B-CE65-56806E2BEC9E}"/>
            </a:ext>
          </a:extLst>
        </xdr:cNvPr>
        <xdr:cNvPicPr>
          <a:picLocks noChangeAspect="1"/>
        </xdr:cNvPicPr>
      </xdr:nvPicPr>
      <xdr:blipFill>
        <a:blip xmlns:r="http://schemas.openxmlformats.org/officeDocument/2006/relationships" r:embed="rId3"/>
        <a:stretch>
          <a:fillRect/>
        </a:stretch>
      </xdr:blipFill>
      <xdr:spPr>
        <a:xfrm>
          <a:off x="7324725" y="0"/>
          <a:ext cx="8553450" cy="3962400"/>
        </a:xfrm>
        <a:prstGeom prst="rect">
          <a:avLst/>
        </a:prstGeom>
      </xdr:spPr>
    </xdr:pic>
    <xdr:clientData/>
  </xdr:twoCellAnchor>
  <xdr:twoCellAnchor editAs="oneCell">
    <xdr:from>
      <xdr:col>11</xdr:col>
      <xdr:colOff>257175</xdr:colOff>
      <xdr:row>20</xdr:row>
      <xdr:rowOff>104775</xdr:rowOff>
    </xdr:from>
    <xdr:to>
      <xdr:col>22</xdr:col>
      <xdr:colOff>314325</xdr:colOff>
      <xdr:row>38</xdr:row>
      <xdr:rowOff>47625</xdr:rowOff>
    </xdr:to>
    <xdr:pic>
      <xdr:nvPicPr>
        <xdr:cNvPr id="5" name="Picture 4">
          <a:extLst>
            <a:ext uri="{FF2B5EF4-FFF2-40B4-BE49-F238E27FC236}">
              <a16:creationId xmlns:a16="http://schemas.microsoft.com/office/drawing/2014/main" id="{25FB865A-8C3E-B00A-9366-42071B0599A3}"/>
            </a:ext>
            <a:ext uri="{147F2762-F138-4A5C-976F-8EAC2B608ADB}">
              <a16:predDERef xmlns:a16="http://schemas.microsoft.com/office/drawing/2014/main" pred="{7D0402E4-A36E-38D2-B1CC-5CDF72D7B170}"/>
            </a:ext>
          </a:extLst>
        </xdr:cNvPr>
        <xdr:cNvPicPr>
          <a:picLocks noChangeAspect="1"/>
        </xdr:cNvPicPr>
      </xdr:nvPicPr>
      <xdr:blipFill>
        <a:blip xmlns:r="http://schemas.openxmlformats.org/officeDocument/2006/relationships" r:embed="rId4"/>
        <a:stretch>
          <a:fillRect/>
        </a:stretch>
      </xdr:blipFill>
      <xdr:spPr>
        <a:xfrm>
          <a:off x="6962775" y="3914775"/>
          <a:ext cx="6762750" cy="3371850"/>
        </a:xfrm>
        <a:prstGeom prst="rect">
          <a:avLst/>
        </a:prstGeom>
      </xdr:spPr>
    </xdr:pic>
    <xdr:clientData/>
  </xdr:twoCellAnchor>
  <xdr:twoCellAnchor editAs="oneCell">
    <xdr:from>
      <xdr:col>22</xdr:col>
      <xdr:colOff>161925</xdr:colOff>
      <xdr:row>19</xdr:row>
      <xdr:rowOff>142875</xdr:rowOff>
    </xdr:from>
    <xdr:to>
      <xdr:col>28</xdr:col>
      <xdr:colOff>400050</xdr:colOff>
      <xdr:row>43</xdr:row>
      <xdr:rowOff>142875</xdr:rowOff>
    </xdr:to>
    <xdr:pic>
      <xdr:nvPicPr>
        <xdr:cNvPr id="6" name="Picture 5">
          <a:extLst>
            <a:ext uri="{FF2B5EF4-FFF2-40B4-BE49-F238E27FC236}">
              <a16:creationId xmlns:a16="http://schemas.microsoft.com/office/drawing/2014/main" id="{8F2565D3-383C-F7BC-BEEA-05321B42EF2A}"/>
            </a:ext>
            <a:ext uri="{147F2762-F138-4A5C-976F-8EAC2B608ADB}">
              <a16:predDERef xmlns:a16="http://schemas.microsoft.com/office/drawing/2014/main" pred="{25FB865A-8C3E-B00A-9366-42071B0599A3}"/>
            </a:ext>
          </a:extLst>
        </xdr:cNvPr>
        <xdr:cNvPicPr>
          <a:picLocks noChangeAspect="1"/>
        </xdr:cNvPicPr>
      </xdr:nvPicPr>
      <xdr:blipFill>
        <a:blip xmlns:r="http://schemas.openxmlformats.org/officeDocument/2006/relationships" r:embed="rId5"/>
        <a:stretch>
          <a:fillRect/>
        </a:stretch>
      </xdr:blipFill>
      <xdr:spPr>
        <a:xfrm>
          <a:off x="13573125" y="3762375"/>
          <a:ext cx="3895725" cy="4572000"/>
        </a:xfrm>
        <a:prstGeom prst="rect">
          <a:avLst/>
        </a:prstGeom>
      </xdr:spPr>
    </xdr:pic>
    <xdr:clientData/>
  </xdr:twoCellAnchor>
  <xdr:twoCellAnchor editAs="oneCell">
    <xdr:from>
      <xdr:col>16</xdr:col>
      <xdr:colOff>133350</xdr:colOff>
      <xdr:row>38</xdr:row>
      <xdr:rowOff>47625</xdr:rowOff>
    </xdr:from>
    <xdr:to>
      <xdr:col>23</xdr:col>
      <xdr:colOff>438150</xdr:colOff>
      <xdr:row>51</xdr:row>
      <xdr:rowOff>85725</xdr:rowOff>
    </xdr:to>
    <xdr:pic>
      <xdr:nvPicPr>
        <xdr:cNvPr id="7" name="Picture 6">
          <a:extLst>
            <a:ext uri="{FF2B5EF4-FFF2-40B4-BE49-F238E27FC236}">
              <a16:creationId xmlns:a16="http://schemas.microsoft.com/office/drawing/2014/main" id="{116C8A51-6489-9916-E58E-2BC757806598}"/>
            </a:ext>
            <a:ext uri="{147F2762-F138-4A5C-976F-8EAC2B608ADB}">
              <a16:predDERef xmlns:a16="http://schemas.microsoft.com/office/drawing/2014/main" pred="{8F2565D3-383C-F7BC-BEEA-05321B42EF2A}"/>
            </a:ext>
          </a:extLst>
        </xdr:cNvPr>
        <xdr:cNvPicPr>
          <a:picLocks noChangeAspect="1"/>
        </xdr:cNvPicPr>
      </xdr:nvPicPr>
      <xdr:blipFill>
        <a:blip xmlns:r="http://schemas.openxmlformats.org/officeDocument/2006/relationships" r:embed="rId6"/>
        <a:stretch>
          <a:fillRect/>
        </a:stretch>
      </xdr:blipFill>
      <xdr:spPr>
        <a:xfrm>
          <a:off x="9886950" y="7286625"/>
          <a:ext cx="4572000" cy="2752725"/>
        </a:xfrm>
        <a:prstGeom prst="rect">
          <a:avLst/>
        </a:prstGeom>
      </xdr:spPr>
    </xdr:pic>
    <xdr:clientData/>
  </xdr:twoCellAnchor>
  <xdr:twoCellAnchor editAs="oneCell">
    <xdr:from>
      <xdr:col>19</xdr:col>
      <xdr:colOff>38100</xdr:colOff>
      <xdr:row>32</xdr:row>
      <xdr:rowOff>123825</xdr:rowOff>
    </xdr:from>
    <xdr:to>
      <xdr:col>29</xdr:col>
      <xdr:colOff>371475</xdr:colOff>
      <xdr:row>55</xdr:row>
      <xdr:rowOff>47625</xdr:rowOff>
    </xdr:to>
    <xdr:pic>
      <xdr:nvPicPr>
        <xdr:cNvPr id="8" name="Picture 7">
          <a:extLst>
            <a:ext uri="{FF2B5EF4-FFF2-40B4-BE49-F238E27FC236}">
              <a16:creationId xmlns:a16="http://schemas.microsoft.com/office/drawing/2014/main" id="{D00938E1-33C9-E1A9-A540-EB07343D9780}"/>
            </a:ext>
            <a:ext uri="{147F2762-F138-4A5C-976F-8EAC2B608ADB}">
              <a16:predDERef xmlns:a16="http://schemas.microsoft.com/office/drawing/2014/main" pred="{116C8A51-6489-9916-E58E-2BC757806598}"/>
            </a:ext>
          </a:extLst>
        </xdr:cNvPr>
        <xdr:cNvPicPr>
          <a:picLocks noChangeAspect="1"/>
        </xdr:cNvPicPr>
      </xdr:nvPicPr>
      <xdr:blipFill>
        <a:blip xmlns:r="http://schemas.openxmlformats.org/officeDocument/2006/relationships" r:embed="rId7"/>
        <a:stretch>
          <a:fillRect/>
        </a:stretch>
      </xdr:blipFill>
      <xdr:spPr>
        <a:xfrm>
          <a:off x="11620500" y="6219825"/>
          <a:ext cx="6429375" cy="4638675"/>
        </a:xfrm>
        <a:prstGeom prst="rect">
          <a:avLst/>
        </a:prstGeom>
      </xdr:spPr>
    </xdr:pic>
    <xdr:clientData/>
  </xdr:twoCellAnchor>
  <xdr:twoCellAnchor editAs="oneCell">
    <xdr:from>
      <xdr:col>15</xdr:col>
      <xdr:colOff>361950</xdr:colOff>
      <xdr:row>54</xdr:row>
      <xdr:rowOff>114300</xdr:rowOff>
    </xdr:from>
    <xdr:to>
      <xdr:col>30</xdr:col>
      <xdr:colOff>361950</xdr:colOff>
      <xdr:row>74</xdr:row>
      <xdr:rowOff>19050</xdr:rowOff>
    </xdr:to>
    <xdr:pic>
      <xdr:nvPicPr>
        <xdr:cNvPr id="9" name="Picture 8">
          <a:extLst>
            <a:ext uri="{FF2B5EF4-FFF2-40B4-BE49-F238E27FC236}">
              <a16:creationId xmlns:a16="http://schemas.microsoft.com/office/drawing/2014/main" id="{33217F1C-0F5D-BF00-EAD7-8022E1906966}"/>
            </a:ext>
            <a:ext uri="{147F2762-F138-4A5C-976F-8EAC2B608ADB}">
              <a16:predDERef xmlns:a16="http://schemas.microsoft.com/office/drawing/2014/main" pred="{D00938E1-33C9-E1A9-A540-EB07343D9780}"/>
            </a:ext>
          </a:extLst>
        </xdr:cNvPr>
        <xdr:cNvPicPr>
          <a:picLocks noChangeAspect="1"/>
        </xdr:cNvPicPr>
      </xdr:nvPicPr>
      <xdr:blipFill>
        <a:blip xmlns:r="http://schemas.openxmlformats.org/officeDocument/2006/relationships" r:embed="rId8"/>
        <a:stretch>
          <a:fillRect/>
        </a:stretch>
      </xdr:blipFill>
      <xdr:spPr>
        <a:xfrm>
          <a:off x="10239375" y="10687050"/>
          <a:ext cx="9144000" cy="4191000"/>
        </a:xfrm>
        <a:prstGeom prst="rect">
          <a:avLst/>
        </a:prstGeom>
      </xdr:spPr>
    </xdr:pic>
    <xdr:clientData/>
  </xdr:twoCellAnchor>
  <xdr:twoCellAnchor editAs="oneCell">
    <xdr:from>
      <xdr:col>11</xdr:col>
      <xdr:colOff>561975</xdr:colOff>
      <xdr:row>36</xdr:row>
      <xdr:rowOff>152400</xdr:rowOff>
    </xdr:from>
    <xdr:to>
      <xdr:col>25</xdr:col>
      <xdr:colOff>581025</xdr:colOff>
      <xdr:row>58</xdr:row>
      <xdr:rowOff>57150</xdr:rowOff>
    </xdr:to>
    <xdr:pic>
      <xdr:nvPicPr>
        <xdr:cNvPr id="10" name="Picture 9">
          <a:extLst>
            <a:ext uri="{FF2B5EF4-FFF2-40B4-BE49-F238E27FC236}">
              <a16:creationId xmlns:a16="http://schemas.microsoft.com/office/drawing/2014/main" id="{54B366DF-37DE-6D6C-7D69-771C1DF866E9}"/>
            </a:ext>
            <a:ext uri="{147F2762-F138-4A5C-976F-8EAC2B608ADB}">
              <a16:predDERef xmlns:a16="http://schemas.microsoft.com/office/drawing/2014/main" pred="{33217F1C-0F5D-BF00-EAD7-8022E1906966}"/>
            </a:ext>
          </a:extLst>
        </xdr:cNvPr>
        <xdr:cNvPicPr>
          <a:picLocks noChangeAspect="1"/>
        </xdr:cNvPicPr>
      </xdr:nvPicPr>
      <xdr:blipFill>
        <a:blip xmlns:r="http://schemas.openxmlformats.org/officeDocument/2006/relationships" r:embed="rId9"/>
        <a:stretch>
          <a:fillRect/>
        </a:stretch>
      </xdr:blipFill>
      <xdr:spPr>
        <a:xfrm>
          <a:off x="8001000" y="7010400"/>
          <a:ext cx="8553450" cy="447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228600</xdr:colOff>
      <xdr:row>36</xdr:row>
      <xdr:rowOff>38100</xdr:rowOff>
    </xdr:from>
    <xdr:to>
      <xdr:col>27</xdr:col>
      <xdr:colOff>533400</xdr:colOff>
      <xdr:row>49</xdr:row>
      <xdr:rowOff>180975</xdr:rowOff>
    </xdr:to>
    <xdr:pic>
      <xdr:nvPicPr>
        <xdr:cNvPr id="2" name="Picture 1" descr="A math equations on a graph paper&#10;&#10;Description automatically generated">
          <a:extLst>
            <a:ext uri="{FF2B5EF4-FFF2-40B4-BE49-F238E27FC236}">
              <a16:creationId xmlns:a16="http://schemas.microsoft.com/office/drawing/2014/main" id="{C148C3CD-DB71-CFCD-E341-D5266D94D17B}"/>
            </a:ext>
          </a:extLst>
        </xdr:cNvPr>
        <xdr:cNvPicPr>
          <a:picLocks noChangeAspect="1"/>
        </xdr:cNvPicPr>
      </xdr:nvPicPr>
      <xdr:blipFill>
        <a:blip xmlns:r="http://schemas.openxmlformats.org/officeDocument/2006/relationships" r:embed="rId1"/>
        <a:stretch>
          <a:fillRect/>
        </a:stretch>
      </xdr:blipFill>
      <xdr:spPr>
        <a:xfrm>
          <a:off x="11210925" y="7496175"/>
          <a:ext cx="5791200" cy="2619375"/>
        </a:xfrm>
        <a:prstGeom prst="rect">
          <a:avLst/>
        </a:prstGeom>
      </xdr:spPr>
    </xdr:pic>
    <xdr:clientData/>
  </xdr:twoCellAnchor>
  <xdr:twoCellAnchor editAs="oneCell">
    <xdr:from>
      <xdr:col>9</xdr:col>
      <xdr:colOff>114300</xdr:colOff>
      <xdr:row>33</xdr:row>
      <xdr:rowOff>123825</xdr:rowOff>
    </xdr:from>
    <xdr:to>
      <xdr:col>16</xdr:col>
      <xdr:colOff>419100</xdr:colOff>
      <xdr:row>42</xdr:row>
      <xdr:rowOff>133350</xdr:rowOff>
    </xdr:to>
    <xdr:pic>
      <xdr:nvPicPr>
        <xdr:cNvPr id="3" name="Picture 2">
          <a:extLst>
            <a:ext uri="{FF2B5EF4-FFF2-40B4-BE49-F238E27FC236}">
              <a16:creationId xmlns:a16="http://schemas.microsoft.com/office/drawing/2014/main" id="{96D17B52-880F-5BCE-8E1A-810732BEA3D5}"/>
            </a:ext>
            <a:ext uri="{147F2762-F138-4A5C-976F-8EAC2B608ADB}">
              <a16:predDERef xmlns:a16="http://schemas.microsoft.com/office/drawing/2014/main" pred="{C148C3CD-DB71-CFCD-E341-D5266D94D17B}"/>
            </a:ext>
          </a:extLst>
        </xdr:cNvPr>
        <xdr:cNvPicPr>
          <a:picLocks noChangeAspect="1"/>
        </xdr:cNvPicPr>
      </xdr:nvPicPr>
      <xdr:blipFill>
        <a:blip xmlns:r="http://schemas.openxmlformats.org/officeDocument/2006/relationships" r:embed="rId2"/>
        <a:stretch>
          <a:fillRect/>
        </a:stretch>
      </xdr:blipFill>
      <xdr:spPr>
        <a:xfrm>
          <a:off x="5610225" y="6486525"/>
          <a:ext cx="4572000" cy="1724025"/>
        </a:xfrm>
        <a:prstGeom prst="rect">
          <a:avLst/>
        </a:prstGeom>
      </xdr:spPr>
    </xdr:pic>
    <xdr:clientData/>
  </xdr:twoCellAnchor>
  <xdr:twoCellAnchor>
    <xdr:from>
      <xdr:col>19</xdr:col>
      <xdr:colOff>104775</xdr:colOff>
      <xdr:row>13</xdr:row>
      <xdr:rowOff>9525</xdr:rowOff>
    </xdr:from>
    <xdr:to>
      <xdr:col>25</xdr:col>
      <xdr:colOff>409575</xdr:colOff>
      <xdr:row>27</xdr:row>
      <xdr:rowOff>85725</xdr:rowOff>
    </xdr:to>
    <xdr:graphicFrame macro="">
      <xdr:nvGraphicFramePr>
        <xdr:cNvPr id="4" name="Chart 3">
          <a:extLst>
            <a:ext uri="{FF2B5EF4-FFF2-40B4-BE49-F238E27FC236}">
              <a16:creationId xmlns:a16="http://schemas.microsoft.com/office/drawing/2014/main" id="{723B5D6B-BB0C-5730-DE65-059C50C1B541}"/>
            </a:ext>
            <a:ext uri="{147F2762-F138-4A5C-976F-8EAC2B608ADB}">
              <a16:predDERef xmlns:a16="http://schemas.microsoft.com/office/drawing/2014/main" pred="{96D17B52-880F-5BCE-8E1A-810732BEA3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133350</xdr:colOff>
      <xdr:row>10</xdr:row>
      <xdr:rowOff>9525</xdr:rowOff>
    </xdr:from>
    <xdr:to>
      <xdr:col>17</xdr:col>
      <xdr:colOff>0</xdr:colOff>
      <xdr:row>32</xdr:row>
      <xdr:rowOff>76200</xdr:rowOff>
    </xdr:to>
    <xdr:pic>
      <xdr:nvPicPr>
        <xdr:cNvPr id="5" name="Picture 4">
          <a:extLst>
            <a:ext uri="{FF2B5EF4-FFF2-40B4-BE49-F238E27FC236}">
              <a16:creationId xmlns:a16="http://schemas.microsoft.com/office/drawing/2014/main" id="{5C0BE11B-B73E-D7FC-CAA1-95322ED4A811}"/>
            </a:ext>
            <a:ext uri="{147F2762-F138-4A5C-976F-8EAC2B608ADB}">
              <a16:predDERef xmlns:a16="http://schemas.microsoft.com/office/drawing/2014/main" pred="{723B5D6B-BB0C-5730-DE65-059C50C1B541}"/>
            </a:ext>
          </a:extLst>
        </xdr:cNvPr>
        <xdr:cNvPicPr>
          <a:picLocks noChangeAspect="1"/>
        </xdr:cNvPicPr>
      </xdr:nvPicPr>
      <xdr:blipFill>
        <a:blip xmlns:r="http://schemas.openxmlformats.org/officeDocument/2006/relationships" r:embed="rId4"/>
        <a:stretch>
          <a:fillRect/>
        </a:stretch>
      </xdr:blipFill>
      <xdr:spPr>
        <a:xfrm>
          <a:off x="133350" y="2486025"/>
          <a:ext cx="10239375" cy="4286250"/>
        </a:xfrm>
        <a:prstGeom prst="rect">
          <a:avLst/>
        </a:prstGeom>
      </xdr:spPr>
    </xdr:pic>
    <xdr:clientData/>
  </xdr:twoCellAnchor>
  <xdr:twoCellAnchor editAs="oneCell">
    <xdr:from>
      <xdr:col>2</xdr:col>
      <xdr:colOff>152400</xdr:colOff>
      <xdr:row>13</xdr:row>
      <xdr:rowOff>152400</xdr:rowOff>
    </xdr:from>
    <xdr:to>
      <xdr:col>4</xdr:col>
      <xdr:colOff>76200</xdr:colOff>
      <xdr:row>37</xdr:row>
      <xdr:rowOff>152400</xdr:rowOff>
    </xdr:to>
    <xdr:pic>
      <xdr:nvPicPr>
        <xdr:cNvPr id="7" name="Picture 5">
          <a:extLst>
            <a:ext uri="{FF2B5EF4-FFF2-40B4-BE49-F238E27FC236}">
              <a16:creationId xmlns:a16="http://schemas.microsoft.com/office/drawing/2014/main" id="{632439D4-C333-9BA3-8508-FB43062290F0}"/>
            </a:ext>
            <a:ext uri="{147F2762-F138-4A5C-976F-8EAC2B608ADB}">
              <a16:predDERef xmlns:a16="http://schemas.microsoft.com/office/drawing/2014/main" pred="{5C0BE11B-B73E-D7FC-CAA1-95322ED4A811}"/>
            </a:ext>
          </a:extLst>
        </xdr:cNvPr>
        <xdr:cNvPicPr>
          <a:picLocks noChangeAspect="1"/>
        </xdr:cNvPicPr>
      </xdr:nvPicPr>
      <xdr:blipFill>
        <a:blip xmlns:r="http://schemas.openxmlformats.org/officeDocument/2006/relationships" r:embed="rId5"/>
        <a:stretch>
          <a:fillRect/>
        </a:stretch>
      </xdr:blipFill>
      <xdr:spPr>
        <a:xfrm>
          <a:off x="1371600" y="3228975"/>
          <a:ext cx="1143000" cy="4572000"/>
        </a:xfrm>
        <a:prstGeom prst="rect">
          <a:avLst/>
        </a:prstGeom>
      </xdr:spPr>
    </xdr:pic>
    <xdr:clientData/>
  </xdr:twoCellAnchor>
  <xdr:twoCellAnchor>
    <xdr:from>
      <xdr:col>25</xdr:col>
      <xdr:colOff>476250</xdr:colOff>
      <xdr:row>12</xdr:row>
      <xdr:rowOff>209550</xdr:rowOff>
    </xdr:from>
    <xdr:to>
      <xdr:col>33</xdr:col>
      <xdr:colOff>171450</xdr:colOff>
      <xdr:row>27</xdr:row>
      <xdr:rowOff>66675</xdr:rowOff>
    </xdr:to>
    <xdr:graphicFrame macro="">
      <xdr:nvGraphicFramePr>
        <xdr:cNvPr id="6" name="Chart 5">
          <a:extLst>
            <a:ext uri="{FF2B5EF4-FFF2-40B4-BE49-F238E27FC236}">
              <a16:creationId xmlns:a16="http://schemas.microsoft.com/office/drawing/2014/main" id="{6B5A98D4-7E54-494F-A5A2-4E6555A6383A}"/>
            </a:ext>
            <a:ext uri="{147F2762-F138-4A5C-976F-8EAC2B608ADB}">
              <a16:predDERef xmlns:a16="http://schemas.microsoft.com/office/drawing/2014/main" pred="{632439D4-C333-9BA3-8508-FB4306229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209550</xdr:colOff>
      <xdr:row>12</xdr:row>
      <xdr:rowOff>209550</xdr:rowOff>
    </xdr:from>
    <xdr:to>
      <xdr:col>40</xdr:col>
      <xdr:colOff>514350</xdr:colOff>
      <xdr:row>27</xdr:row>
      <xdr:rowOff>66675</xdr:rowOff>
    </xdr:to>
    <xdr:graphicFrame macro="">
      <xdr:nvGraphicFramePr>
        <xdr:cNvPr id="8" name="Chart 7">
          <a:extLst>
            <a:ext uri="{FF2B5EF4-FFF2-40B4-BE49-F238E27FC236}">
              <a16:creationId xmlns:a16="http://schemas.microsoft.com/office/drawing/2014/main" id="{89351902-473E-474A-9BD4-F5673687FB5B}"/>
            </a:ext>
            <a:ext uri="{147F2762-F138-4A5C-976F-8EAC2B608ADB}">
              <a16:predDERef xmlns:a16="http://schemas.microsoft.com/office/drawing/2014/main" pred="{6B5A98D4-7E54-494F-A5A2-4E6555A638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133350</xdr:colOff>
      <xdr:row>10</xdr:row>
      <xdr:rowOff>57150</xdr:rowOff>
    </xdr:from>
    <xdr:to>
      <xdr:col>19</xdr:col>
      <xdr:colOff>438150</xdr:colOff>
      <xdr:row>23</xdr:row>
      <xdr:rowOff>171450</xdr:rowOff>
    </xdr:to>
    <xdr:pic>
      <xdr:nvPicPr>
        <xdr:cNvPr id="2" name="Picture 1" descr="A math equations on a graph paper&#10;&#10;Description automatically generated">
          <a:extLst>
            <a:ext uri="{FF2B5EF4-FFF2-40B4-BE49-F238E27FC236}">
              <a16:creationId xmlns:a16="http://schemas.microsoft.com/office/drawing/2014/main" id="{ED85CE2F-F45D-4519-B94B-075DBD7EF491}"/>
            </a:ext>
          </a:extLst>
        </xdr:cNvPr>
        <xdr:cNvPicPr>
          <a:picLocks noChangeAspect="1"/>
        </xdr:cNvPicPr>
      </xdr:nvPicPr>
      <xdr:blipFill>
        <a:blip xmlns:r="http://schemas.openxmlformats.org/officeDocument/2006/relationships" r:embed="rId1"/>
        <a:stretch>
          <a:fillRect/>
        </a:stretch>
      </xdr:blipFill>
      <xdr:spPr>
        <a:xfrm>
          <a:off x="5019675" y="2009775"/>
          <a:ext cx="5791200" cy="2619375"/>
        </a:xfrm>
        <a:prstGeom prst="rect">
          <a:avLst/>
        </a:prstGeom>
      </xdr:spPr>
    </xdr:pic>
    <xdr:clientData/>
  </xdr:twoCellAnchor>
  <xdr:twoCellAnchor editAs="oneCell">
    <xdr:from>
      <xdr:col>0</xdr:col>
      <xdr:colOff>266700</xdr:colOff>
      <xdr:row>10</xdr:row>
      <xdr:rowOff>19050</xdr:rowOff>
    </xdr:from>
    <xdr:to>
      <xdr:col>9</xdr:col>
      <xdr:colOff>561975</xdr:colOff>
      <xdr:row>19</xdr:row>
      <xdr:rowOff>0</xdr:rowOff>
    </xdr:to>
    <xdr:pic>
      <xdr:nvPicPr>
        <xdr:cNvPr id="3" name="Picture 2">
          <a:extLst>
            <a:ext uri="{FF2B5EF4-FFF2-40B4-BE49-F238E27FC236}">
              <a16:creationId xmlns:a16="http://schemas.microsoft.com/office/drawing/2014/main" id="{F9307672-974A-4085-AFBE-650E50AE4B51}"/>
            </a:ext>
            <a:ext uri="{147F2762-F138-4A5C-976F-8EAC2B608ADB}">
              <a16:predDERef xmlns:a16="http://schemas.microsoft.com/office/drawing/2014/main" pred="{ED85CE2F-F45D-4519-B94B-075DBD7EF491}"/>
            </a:ext>
          </a:extLst>
        </xdr:cNvPr>
        <xdr:cNvPicPr>
          <a:picLocks noChangeAspect="1"/>
        </xdr:cNvPicPr>
      </xdr:nvPicPr>
      <xdr:blipFill>
        <a:blip xmlns:r="http://schemas.openxmlformats.org/officeDocument/2006/relationships" r:embed="rId2"/>
        <a:stretch>
          <a:fillRect/>
        </a:stretch>
      </xdr:blipFill>
      <xdr:spPr>
        <a:xfrm>
          <a:off x="266700" y="1971675"/>
          <a:ext cx="4572000" cy="1724025"/>
        </a:xfrm>
        <a:prstGeom prst="rect">
          <a:avLst/>
        </a:prstGeom>
      </xdr:spPr>
    </xdr:pic>
    <xdr:clientData/>
  </xdr:twoCellAnchor>
  <xdr:twoCellAnchor>
    <xdr:from>
      <xdr:col>20</xdr:col>
      <xdr:colOff>161925</xdr:colOff>
      <xdr:row>8</xdr:row>
      <xdr:rowOff>152400</xdr:rowOff>
    </xdr:from>
    <xdr:to>
      <xdr:col>27</xdr:col>
      <xdr:colOff>466725</xdr:colOff>
      <xdr:row>23</xdr:row>
      <xdr:rowOff>9525</xdr:rowOff>
    </xdr:to>
    <xdr:graphicFrame macro="">
      <xdr:nvGraphicFramePr>
        <xdr:cNvPr id="4" name="Chart 3">
          <a:extLst>
            <a:ext uri="{FF2B5EF4-FFF2-40B4-BE49-F238E27FC236}">
              <a16:creationId xmlns:a16="http://schemas.microsoft.com/office/drawing/2014/main" id="{0BDD65AA-E587-4CA2-9891-52C541DB3409}"/>
            </a:ext>
            <a:ext uri="{147F2762-F138-4A5C-976F-8EAC2B608ADB}">
              <a16:predDERef xmlns:a16="http://schemas.microsoft.com/office/drawing/2014/main" pred="{F9307672-974A-4085-AFBE-650E50AE4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133350</xdr:colOff>
      <xdr:row>10</xdr:row>
      <xdr:rowOff>57150</xdr:rowOff>
    </xdr:from>
    <xdr:to>
      <xdr:col>19</xdr:col>
      <xdr:colOff>438150</xdr:colOff>
      <xdr:row>23</xdr:row>
      <xdr:rowOff>171450</xdr:rowOff>
    </xdr:to>
    <xdr:pic>
      <xdr:nvPicPr>
        <xdr:cNvPr id="2" name="Picture 1" descr="A math equations on a graph paper&#10;&#10;Description automatically generated">
          <a:extLst>
            <a:ext uri="{FF2B5EF4-FFF2-40B4-BE49-F238E27FC236}">
              <a16:creationId xmlns:a16="http://schemas.microsoft.com/office/drawing/2014/main" id="{83E5BC75-567D-489D-AC63-BC452C2AB663}"/>
            </a:ext>
          </a:extLst>
        </xdr:cNvPr>
        <xdr:cNvPicPr>
          <a:picLocks noChangeAspect="1"/>
        </xdr:cNvPicPr>
      </xdr:nvPicPr>
      <xdr:blipFill>
        <a:blip xmlns:r="http://schemas.openxmlformats.org/officeDocument/2006/relationships" r:embed="rId1"/>
        <a:stretch>
          <a:fillRect/>
        </a:stretch>
      </xdr:blipFill>
      <xdr:spPr>
        <a:xfrm>
          <a:off x="5019675" y="2009775"/>
          <a:ext cx="5791200" cy="2619375"/>
        </a:xfrm>
        <a:prstGeom prst="rect">
          <a:avLst/>
        </a:prstGeom>
      </xdr:spPr>
    </xdr:pic>
    <xdr:clientData/>
  </xdr:twoCellAnchor>
  <xdr:twoCellAnchor editAs="oneCell">
    <xdr:from>
      <xdr:col>0</xdr:col>
      <xdr:colOff>266700</xdr:colOff>
      <xdr:row>10</xdr:row>
      <xdr:rowOff>19050</xdr:rowOff>
    </xdr:from>
    <xdr:to>
      <xdr:col>9</xdr:col>
      <xdr:colOff>561975</xdr:colOff>
      <xdr:row>19</xdr:row>
      <xdr:rowOff>0</xdr:rowOff>
    </xdr:to>
    <xdr:pic>
      <xdr:nvPicPr>
        <xdr:cNvPr id="3" name="Picture 2">
          <a:extLst>
            <a:ext uri="{FF2B5EF4-FFF2-40B4-BE49-F238E27FC236}">
              <a16:creationId xmlns:a16="http://schemas.microsoft.com/office/drawing/2014/main" id="{29000C22-DDC3-42DA-92E2-629E0EDB1E1E}"/>
            </a:ext>
            <a:ext uri="{147F2762-F138-4A5C-976F-8EAC2B608ADB}">
              <a16:predDERef xmlns:a16="http://schemas.microsoft.com/office/drawing/2014/main" pred="{83E5BC75-567D-489D-AC63-BC452C2AB663}"/>
            </a:ext>
          </a:extLst>
        </xdr:cNvPr>
        <xdr:cNvPicPr>
          <a:picLocks noChangeAspect="1"/>
        </xdr:cNvPicPr>
      </xdr:nvPicPr>
      <xdr:blipFill>
        <a:blip xmlns:r="http://schemas.openxmlformats.org/officeDocument/2006/relationships" r:embed="rId2"/>
        <a:stretch>
          <a:fillRect/>
        </a:stretch>
      </xdr:blipFill>
      <xdr:spPr>
        <a:xfrm>
          <a:off x="266700" y="1971675"/>
          <a:ext cx="4572000" cy="1724025"/>
        </a:xfrm>
        <a:prstGeom prst="rect">
          <a:avLst/>
        </a:prstGeom>
      </xdr:spPr>
    </xdr:pic>
    <xdr:clientData/>
  </xdr:twoCellAnchor>
  <xdr:twoCellAnchor>
    <xdr:from>
      <xdr:col>20</xdr:col>
      <xdr:colOff>161925</xdr:colOff>
      <xdr:row>8</xdr:row>
      <xdr:rowOff>152400</xdr:rowOff>
    </xdr:from>
    <xdr:to>
      <xdr:col>27</xdr:col>
      <xdr:colOff>466725</xdr:colOff>
      <xdr:row>23</xdr:row>
      <xdr:rowOff>9525</xdr:rowOff>
    </xdr:to>
    <xdr:graphicFrame macro="">
      <xdr:nvGraphicFramePr>
        <xdr:cNvPr id="4" name="Chart 3">
          <a:extLst>
            <a:ext uri="{FF2B5EF4-FFF2-40B4-BE49-F238E27FC236}">
              <a16:creationId xmlns:a16="http://schemas.microsoft.com/office/drawing/2014/main" id="{A4B98E73-27F5-48AE-83D4-27335DCE36E7}"/>
            </a:ext>
            <a:ext uri="{147F2762-F138-4A5C-976F-8EAC2B608ADB}">
              <a16:predDERef xmlns:a16="http://schemas.microsoft.com/office/drawing/2014/main" pred="{29000C22-DDC3-42DA-92E2-629E0EDB1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133350</xdr:colOff>
      <xdr:row>10</xdr:row>
      <xdr:rowOff>57150</xdr:rowOff>
    </xdr:from>
    <xdr:to>
      <xdr:col>19</xdr:col>
      <xdr:colOff>438150</xdr:colOff>
      <xdr:row>23</xdr:row>
      <xdr:rowOff>171450</xdr:rowOff>
    </xdr:to>
    <xdr:pic>
      <xdr:nvPicPr>
        <xdr:cNvPr id="2" name="Picture 1" descr="A math equations on a graph paper&#10;&#10;Description automatically generated">
          <a:extLst>
            <a:ext uri="{FF2B5EF4-FFF2-40B4-BE49-F238E27FC236}">
              <a16:creationId xmlns:a16="http://schemas.microsoft.com/office/drawing/2014/main" id="{34433F2F-8F0F-4DC4-998A-423BFFEB223A}"/>
            </a:ext>
          </a:extLst>
        </xdr:cNvPr>
        <xdr:cNvPicPr>
          <a:picLocks noChangeAspect="1"/>
        </xdr:cNvPicPr>
      </xdr:nvPicPr>
      <xdr:blipFill>
        <a:blip xmlns:r="http://schemas.openxmlformats.org/officeDocument/2006/relationships" r:embed="rId1"/>
        <a:stretch>
          <a:fillRect/>
        </a:stretch>
      </xdr:blipFill>
      <xdr:spPr>
        <a:xfrm>
          <a:off x="5019675" y="2009775"/>
          <a:ext cx="5791200" cy="2619375"/>
        </a:xfrm>
        <a:prstGeom prst="rect">
          <a:avLst/>
        </a:prstGeom>
      </xdr:spPr>
    </xdr:pic>
    <xdr:clientData/>
  </xdr:twoCellAnchor>
  <xdr:twoCellAnchor editAs="oneCell">
    <xdr:from>
      <xdr:col>0</xdr:col>
      <xdr:colOff>266700</xdr:colOff>
      <xdr:row>10</xdr:row>
      <xdr:rowOff>19050</xdr:rowOff>
    </xdr:from>
    <xdr:to>
      <xdr:col>9</xdr:col>
      <xdr:colOff>561975</xdr:colOff>
      <xdr:row>19</xdr:row>
      <xdr:rowOff>0</xdr:rowOff>
    </xdr:to>
    <xdr:pic>
      <xdr:nvPicPr>
        <xdr:cNvPr id="3" name="Picture 2">
          <a:extLst>
            <a:ext uri="{FF2B5EF4-FFF2-40B4-BE49-F238E27FC236}">
              <a16:creationId xmlns:a16="http://schemas.microsoft.com/office/drawing/2014/main" id="{E55826DD-E695-4031-BFCB-9E4B2B2C6E0F}"/>
            </a:ext>
            <a:ext uri="{147F2762-F138-4A5C-976F-8EAC2B608ADB}">
              <a16:predDERef xmlns:a16="http://schemas.microsoft.com/office/drawing/2014/main" pred="{34433F2F-8F0F-4DC4-998A-423BFFEB223A}"/>
            </a:ext>
          </a:extLst>
        </xdr:cNvPr>
        <xdr:cNvPicPr>
          <a:picLocks noChangeAspect="1"/>
        </xdr:cNvPicPr>
      </xdr:nvPicPr>
      <xdr:blipFill>
        <a:blip xmlns:r="http://schemas.openxmlformats.org/officeDocument/2006/relationships" r:embed="rId2"/>
        <a:stretch>
          <a:fillRect/>
        </a:stretch>
      </xdr:blipFill>
      <xdr:spPr>
        <a:xfrm>
          <a:off x="266700" y="1971675"/>
          <a:ext cx="4572000" cy="1724025"/>
        </a:xfrm>
        <a:prstGeom prst="rect">
          <a:avLst/>
        </a:prstGeom>
      </xdr:spPr>
    </xdr:pic>
    <xdr:clientData/>
  </xdr:twoCellAnchor>
  <xdr:twoCellAnchor>
    <xdr:from>
      <xdr:col>20</xdr:col>
      <xdr:colOff>161925</xdr:colOff>
      <xdr:row>8</xdr:row>
      <xdr:rowOff>152400</xdr:rowOff>
    </xdr:from>
    <xdr:to>
      <xdr:col>27</xdr:col>
      <xdr:colOff>466725</xdr:colOff>
      <xdr:row>23</xdr:row>
      <xdr:rowOff>9525</xdr:rowOff>
    </xdr:to>
    <xdr:graphicFrame macro="">
      <xdr:nvGraphicFramePr>
        <xdr:cNvPr id="4" name="Chart 3">
          <a:extLst>
            <a:ext uri="{FF2B5EF4-FFF2-40B4-BE49-F238E27FC236}">
              <a16:creationId xmlns:a16="http://schemas.microsoft.com/office/drawing/2014/main" id="{F1963A26-1213-4177-A148-A17968F9AF28}"/>
            </a:ext>
            <a:ext uri="{147F2762-F138-4A5C-976F-8EAC2B608ADB}">
              <a16:predDERef xmlns:a16="http://schemas.microsoft.com/office/drawing/2014/main" pred="{E55826DD-E695-4031-BFCB-9E4B2B2C6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s://www.google.com/search?q=phase+changing+manuever+in+GMAT&amp;rlz=1C1SQJL_enIN963IN963&amp;oq=phase+changing+manuever+in+GMAT&amp;gs_lcrp=EgZjaHJvbWUyBggAEEUYOdIBCTU1MjY1ajBqN6gCALACAA&amp;sourceid=chrome&amp;ie=UTF-8"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www.google.com/search?q=phase+changing+manuever+in+GMAT&amp;rlz=1C1SQJL_enIN963IN963&amp;oq=phase+changing+manuever+in+GMAT&amp;gs_lcrp=EgZjaHJvbWUyBggAEEUYOdIBCTU1MjY1ajBqN6gCALACAA&amp;sourceid=chrome&amp;ie=UTF-8"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www.google.com/search?q=phase+changing+manuever+in+GMAT&amp;rlz=1C1SQJL_enIN963IN963&amp;oq=phase+changing+manuever+in+GMAT&amp;gs_lcrp=EgZjaHJvbWUyBggAEEUYOdIBCTU1MjY1ajBqN6gCALACAA&amp;sourceid=chrome&amp;ie=UTF-8"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sdup.esoc.esa.int/discosweb/statistics/"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30"/>
  <sheetViews>
    <sheetView workbookViewId="0">
      <pane xSplit="2" topLeftCell="O136" activePane="topRight" state="frozen"/>
      <selection pane="topRight" activeCell="O137" sqref="O137"/>
    </sheetView>
  </sheetViews>
  <sheetFormatPr defaultColWidth="9.140625" defaultRowHeight="15"/>
  <cols>
    <col min="1" max="1" width="9.140625" style="3"/>
    <col min="2" max="2" width="31" style="2" bestFit="1" customWidth="1"/>
    <col min="3" max="6" width="9.140625" style="1"/>
    <col min="7" max="7" width="23" style="1" customWidth="1"/>
    <col min="8" max="14" width="9.140625" style="1"/>
    <col min="15" max="15" width="45.5703125" style="1" customWidth="1"/>
    <col min="16" max="20" width="9.140625" style="1"/>
    <col min="21" max="21" width="9.85546875" style="1" customWidth="1"/>
    <col min="22" max="22" width="9.140625" style="1"/>
    <col min="23" max="23" width="12.85546875" style="1" customWidth="1"/>
    <col min="24" max="16384" width="9.140625" style="1"/>
  </cols>
  <sheetData>
    <row r="1" spans="1:31">
      <c r="A1" s="4" t="s">
        <v>0</v>
      </c>
      <c r="B1" s="4" t="s">
        <v>1</v>
      </c>
      <c r="C1" s="90" t="s">
        <v>2</v>
      </c>
      <c r="D1" s="90"/>
      <c r="E1" s="90"/>
      <c r="F1" s="90"/>
      <c r="G1" s="90"/>
      <c r="H1" s="90" t="s">
        <v>3</v>
      </c>
      <c r="I1" s="90"/>
      <c r="J1" s="90"/>
      <c r="K1" s="90"/>
      <c r="L1" s="90" t="s">
        <v>4</v>
      </c>
      <c r="M1" s="90"/>
      <c r="N1" s="90"/>
      <c r="O1" s="90"/>
      <c r="P1" s="93" t="s">
        <v>5</v>
      </c>
      <c r="Q1" s="93"/>
      <c r="R1" s="93"/>
      <c r="S1" s="93"/>
      <c r="T1" s="90" t="s">
        <v>6</v>
      </c>
      <c r="U1" s="90"/>
      <c r="V1" s="90"/>
      <c r="W1" s="90"/>
      <c r="X1" s="96"/>
      <c r="Y1" s="97"/>
      <c r="Z1" s="97"/>
      <c r="AA1" s="98"/>
      <c r="AB1" s="90" t="s">
        <v>7</v>
      </c>
      <c r="AC1" s="90"/>
      <c r="AD1" s="90"/>
      <c r="AE1" s="90"/>
    </row>
    <row r="2" spans="1:31" ht="15" customHeight="1">
      <c r="A2" s="87">
        <v>1</v>
      </c>
      <c r="B2" s="88" t="s">
        <v>8</v>
      </c>
      <c r="C2" s="86" t="s">
        <v>9</v>
      </c>
      <c r="D2" s="91"/>
      <c r="E2" s="91"/>
      <c r="F2" s="91"/>
      <c r="G2" s="91"/>
      <c r="H2" s="92" t="s">
        <v>10</v>
      </c>
      <c r="I2" s="89"/>
      <c r="J2" s="89"/>
      <c r="K2" s="89"/>
      <c r="L2" s="85" t="s">
        <v>11</v>
      </c>
      <c r="M2" s="85"/>
      <c r="N2" s="85"/>
      <c r="O2" s="85"/>
      <c r="P2" s="85" t="s">
        <v>12</v>
      </c>
      <c r="Q2" s="85"/>
      <c r="R2" s="85"/>
      <c r="S2" s="85"/>
      <c r="T2" s="88" t="s">
        <v>13</v>
      </c>
      <c r="U2" s="88"/>
      <c r="V2" s="88"/>
      <c r="W2" s="88"/>
      <c r="X2" s="95" t="s">
        <v>14</v>
      </c>
      <c r="Y2" s="95"/>
      <c r="Z2" s="95"/>
      <c r="AA2" s="95"/>
      <c r="AB2" s="95" t="s">
        <v>15</v>
      </c>
      <c r="AC2" s="95"/>
      <c r="AD2" s="95"/>
      <c r="AE2" s="95"/>
    </row>
    <row r="3" spans="1:31">
      <c r="A3" s="87"/>
      <c r="B3" s="88"/>
      <c r="C3" s="91"/>
      <c r="D3" s="91"/>
      <c r="E3" s="91"/>
      <c r="F3" s="91"/>
      <c r="G3" s="91"/>
      <c r="H3" s="89"/>
      <c r="I3" s="89"/>
      <c r="J3" s="89"/>
      <c r="K3" s="89"/>
      <c r="L3" s="85"/>
      <c r="M3" s="85"/>
      <c r="N3" s="85"/>
      <c r="O3" s="85"/>
      <c r="P3" s="85"/>
      <c r="Q3" s="85"/>
      <c r="R3" s="85"/>
      <c r="S3" s="85"/>
      <c r="T3" s="88"/>
      <c r="U3" s="88"/>
      <c r="V3" s="88"/>
      <c r="W3" s="88"/>
      <c r="X3" s="95"/>
      <c r="Y3" s="95"/>
      <c r="Z3" s="95"/>
      <c r="AA3" s="95"/>
      <c r="AB3" s="95"/>
      <c r="AC3" s="95"/>
      <c r="AD3" s="95"/>
      <c r="AE3" s="95"/>
    </row>
    <row r="4" spans="1:31">
      <c r="A4" s="87"/>
      <c r="B4" s="88"/>
      <c r="C4" s="91"/>
      <c r="D4" s="91"/>
      <c r="E4" s="91"/>
      <c r="F4" s="91"/>
      <c r="G4" s="91"/>
      <c r="H4" s="89"/>
      <c r="I4" s="89"/>
      <c r="J4" s="89"/>
      <c r="K4" s="89"/>
      <c r="L4" s="85"/>
      <c r="M4" s="85"/>
      <c r="N4" s="85"/>
      <c r="O4" s="85"/>
      <c r="P4" s="85"/>
      <c r="Q4" s="85"/>
      <c r="R4" s="85"/>
      <c r="S4" s="85"/>
      <c r="T4" s="88"/>
      <c r="U4" s="88"/>
      <c r="V4" s="88"/>
      <c r="W4" s="88"/>
      <c r="X4" s="95"/>
      <c r="Y4" s="95"/>
      <c r="Z4" s="95"/>
      <c r="AA4" s="95"/>
      <c r="AB4" s="95"/>
      <c r="AC4" s="95"/>
      <c r="AD4" s="95"/>
      <c r="AE4" s="95"/>
    </row>
    <row r="5" spans="1:31">
      <c r="A5" s="87"/>
      <c r="B5" s="88"/>
      <c r="C5" s="91"/>
      <c r="D5" s="91"/>
      <c r="E5" s="91"/>
      <c r="F5" s="91"/>
      <c r="G5" s="91"/>
      <c r="H5" s="89"/>
      <c r="I5" s="89"/>
      <c r="J5" s="89"/>
      <c r="K5" s="89"/>
      <c r="L5" s="85"/>
      <c r="M5" s="85"/>
      <c r="N5" s="85"/>
      <c r="O5" s="85"/>
      <c r="P5" s="85"/>
      <c r="Q5" s="85"/>
      <c r="R5" s="85"/>
      <c r="S5" s="85"/>
      <c r="T5" s="88"/>
      <c r="U5" s="88"/>
      <c r="V5" s="88"/>
      <c r="W5" s="88"/>
      <c r="X5" s="95"/>
      <c r="Y5" s="95"/>
      <c r="Z5" s="95"/>
      <c r="AA5" s="95"/>
      <c r="AB5" s="95"/>
      <c r="AC5" s="95"/>
      <c r="AD5" s="95"/>
      <c r="AE5" s="95"/>
    </row>
    <row r="6" spans="1:31">
      <c r="A6" s="87"/>
      <c r="B6" s="88"/>
      <c r="C6" s="91"/>
      <c r="D6" s="91"/>
      <c r="E6" s="91"/>
      <c r="F6" s="91"/>
      <c r="G6" s="91"/>
      <c r="H6" s="89"/>
      <c r="I6" s="89"/>
      <c r="J6" s="89"/>
      <c r="K6" s="89"/>
      <c r="L6" s="85"/>
      <c r="M6" s="85"/>
      <c r="N6" s="85"/>
      <c r="O6" s="85"/>
      <c r="P6" s="85"/>
      <c r="Q6" s="85"/>
      <c r="R6" s="85"/>
      <c r="S6" s="85"/>
      <c r="T6" s="88"/>
      <c r="U6" s="88"/>
      <c r="V6" s="88"/>
      <c r="W6" s="88"/>
      <c r="X6" s="95"/>
      <c r="Y6" s="95"/>
      <c r="Z6" s="95"/>
      <c r="AA6" s="95"/>
      <c r="AB6" s="95"/>
      <c r="AC6" s="95"/>
      <c r="AD6" s="95"/>
      <c r="AE6" s="95"/>
    </row>
    <row r="7" spans="1:31">
      <c r="A7" s="87"/>
      <c r="B7" s="88"/>
      <c r="C7" s="91"/>
      <c r="D7" s="91"/>
      <c r="E7" s="91"/>
      <c r="F7" s="91"/>
      <c r="G7" s="91"/>
      <c r="H7" s="89"/>
      <c r="I7" s="89"/>
      <c r="J7" s="89"/>
      <c r="K7" s="89"/>
      <c r="L7" s="85"/>
      <c r="M7" s="85"/>
      <c r="N7" s="85"/>
      <c r="O7" s="85"/>
      <c r="P7" s="85"/>
      <c r="Q7" s="85"/>
      <c r="R7" s="85"/>
      <c r="S7" s="85"/>
      <c r="T7" s="88"/>
      <c r="U7" s="88"/>
      <c r="V7" s="88"/>
      <c r="W7" s="88"/>
      <c r="X7" s="95"/>
      <c r="Y7" s="95"/>
      <c r="Z7" s="95"/>
      <c r="AA7" s="95"/>
      <c r="AB7" s="95"/>
      <c r="AC7" s="95"/>
      <c r="AD7" s="95"/>
      <c r="AE7" s="95"/>
    </row>
    <row r="8" spans="1:31">
      <c r="A8" s="87"/>
      <c r="B8" s="88"/>
      <c r="C8" s="91"/>
      <c r="D8" s="91"/>
      <c r="E8" s="91"/>
      <c r="F8" s="91"/>
      <c r="G8" s="91"/>
      <c r="H8" s="89"/>
      <c r="I8" s="89"/>
      <c r="J8" s="89"/>
      <c r="K8" s="89"/>
      <c r="L8" s="85"/>
      <c r="M8" s="85"/>
      <c r="N8" s="85"/>
      <c r="O8" s="85"/>
      <c r="P8" s="85"/>
      <c r="Q8" s="85"/>
      <c r="R8" s="85"/>
      <c r="S8" s="85"/>
      <c r="T8" s="88"/>
      <c r="U8" s="88"/>
      <c r="V8" s="88"/>
      <c r="W8" s="88"/>
      <c r="X8" s="95"/>
      <c r="Y8" s="95"/>
      <c r="Z8" s="95"/>
      <c r="AA8" s="95"/>
      <c r="AB8" s="95"/>
      <c r="AC8" s="95"/>
      <c r="AD8" s="95"/>
      <c r="AE8" s="95"/>
    </row>
    <row r="9" spans="1:31">
      <c r="A9" s="87"/>
      <c r="B9" s="88"/>
      <c r="C9" s="91"/>
      <c r="D9" s="91"/>
      <c r="E9" s="91"/>
      <c r="F9" s="91"/>
      <c r="G9" s="91"/>
      <c r="H9" s="89"/>
      <c r="I9" s="89"/>
      <c r="J9" s="89"/>
      <c r="K9" s="89"/>
      <c r="L9" s="85"/>
      <c r="M9" s="85"/>
      <c r="N9" s="85"/>
      <c r="O9" s="85"/>
      <c r="P9" s="85"/>
      <c r="Q9" s="85"/>
      <c r="R9" s="85"/>
      <c r="S9" s="85"/>
      <c r="T9" s="88"/>
      <c r="U9" s="88"/>
      <c r="V9" s="88"/>
      <c r="W9" s="88"/>
      <c r="X9" s="95"/>
      <c r="Y9" s="95"/>
      <c r="Z9" s="95"/>
      <c r="AA9" s="95"/>
      <c r="AB9" s="95"/>
      <c r="AC9" s="95"/>
      <c r="AD9" s="95"/>
      <c r="AE9" s="95"/>
    </row>
    <row r="10" spans="1:31">
      <c r="A10" s="87"/>
      <c r="B10" s="88"/>
      <c r="C10" s="91"/>
      <c r="D10" s="91"/>
      <c r="E10" s="91"/>
      <c r="F10" s="91"/>
      <c r="G10" s="91"/>
      <c r="H10" s="89"/>
      <c r="I10" s="89"/>
      <c r="J10" s="89"/>
      <c r="K10" s="89"/>
      <c r="L10" s="85"/>
      <c r="M10" s="85"/>
      <c r="N10" s="85"/>
      <c r="O10" s="85"/>
      <c r="P10" s="85"/>
      <c r="Q10" s="85"/>
      <c r="R10" s="85"/>
      <c r="S10" s="85"/>
      <c r="T10" s="88"/>
      <c r="U10" s="88"/>
      <c r="V10" s="88"/>
      <c r="W10" s="88"/>
      <c r="X10" s="95"/>
      <c r="Y10" s="95"/>
      <c r="Z10" s="95"/>
      <c r="AA10" s="95"/>
      <c r="AB10" s="95"/>
      <c r="AC10" s="95"/>
      <c r="AD10" s="95"/>
      <c r="AE10" s="95"/>
    </row>
    <row r="11" spans="1:31">
      <c r="A11" s="87">
        <v>2</v>
      </c>
      <c r="B11" s="88" t="s">
        <v>16</v>
      </c>
      <c r="C11" s="85" t="s">
        <v>17</v>
      </c>
      <c r="D11" s="85"/>
      <c r="E11" s="85"/>
      <c r="F11" s="85"/>
      <c r="G11" s="85"/>
      <c r="H11" s="92" t="s">
        <v>10</v>
      </c>
      <c r="I11" s="89"/>
      <c r="J11" s="89"/>
      <c r="K11" s="89"/>
      <c r="L11" s="85" t="s">
        <v>18</v>
      </c>
      <c r="M11" s="85"/>
      <c r="N11" s="85"/>
      <c r="O11" s="85"/>
      <c r="P11" s="85" t="s">
        <v>19</v>
      </c>
      <c r="Q11" s="85"/>
      <c r="R11" s="85"/>
      <c r="S11" s="85"/>
      <c r="T11" s="88" t="s">
        <v>20</v>
      </c>
      <c r="U11" s="88"/>
      <c r="V11" s="88"/>
      <c r="W11" s="88"/>
      <c r="X11" s="95"/>
      <c r="Y11" s="95"/>
      <c r="Z11" s="95"/>
      <c r="AA11" s="95"/>
      <c r="AB11" s="95" t="s">
        <v>21</v>
      </c>
      <c r="AC11" s="95"/>
      <c r="AD11" s="95"/>
      <c r="AE11" s="95"/>
    </row>
    <row r="12" spans="1:31">
      <c r="A12" s="87"/>
      <c r="B12" s="88"/>
      <c r="C12" s="85"/>
      <c r="D12" s="85"/>
      <c r="E12" s="85"/>
      <c r="F12" s="85"/>
      <c r="G12" s="85"/>
      <c r="H12" s="89"/>
      <c r="I12" s="89"/>
      <c r="J12" s="89"/>
      <c r="K12" s="89"/>
      <c r="L12" s="85"/>
      <c r="M12" s="85"/>
      <c r="N12" s="85"/>
      <c r="O12" s="85"/>
      <c r="P12" s="85"/>
      <c r="Q12" s="85"/>
      <c r="R12" s="85"/>
      <c r="S12" s="85"/>
      <c r="T12" s="88"/>
      <c r="U12" s="88"/>
      <c r="V12" s="88"/>
      <c r="W12" s="88"/>
      <c r="X12" s="95"/>
      <c r="Y12" s="95"/>
      <c r="Z12" s="95"/>
      <c r="AA12" s="95"/>
      <c r="AB12" s="95"/>
      <c r="AC12" s="95"/>
      <c r="AD12" s="95"/>
      <c r="AE12" s="95"/>
    </row>
    <row r="13" spans="1:31">
      <c r="A13" s="87"/>
      <c r="B13" s="88"/>
      <c r="C13" s="85"/>
      <c r="D13" s="85"/>
      <c r="E13" s="85"/>
      <c r="F13" s="85"/>
      <c r="G13" s="85"/>
      <c r="H13" s="89"/>
      <c r="I13" s="89"/>
      <c r="J13" s="89"/>
      <c r="K13" s="89"/>
      <c r="L13" s="85"/>
      <c r="M13" s="85"/>
      <c r="N13" s="85"/>
      <c r="O13" s="85"/>
      <c r="P13" s="85"/>
      <c r="Q13" s="85"/>
      <c r="R13" s="85"/>
      <c r="S13" s="85"/>
      <c r="T13" s="88"/>
      <c r="U13" s="88"/>
      <c r="V13" s="88"/>
      <c r="W13" s="88"/>
      <c r="X13" s="95"/>
      <c r="Y13" s="95"/>
      <c r="Z13" s="95"/>
      <c r="AA13" s="95"/>
      <c r="AB13" s="95"/>
      <c r="AC13" s="95"/>
      <c r="AD13" s="95"/>
      <c r="AE13" s="95"/>
    </row>
    <row r="14" spans="1:31">
      <c r="A14" s="87"/>
      <c r="B14" s="88"/>
      <c r="C14" s="85"/>
      <c r="D14" s="85"/>
      <c r="E14" s="85"/>
      <c r="F14" s="85"/>
      <c r="G14" s="85"/>
      <c r="H14" s="89"/>
      <c r="I14" s="89"/>
      <c r="J14" s="89"/>
      <c r="K14" s="89"/>
      <c r="L14" s="85"/>
      <c r="M14" s="85"/>
      <c r="N14" s="85"/>
      <c r="O14" s="85"/>
      <c r="P14" s="85"/>
      <c r="Q14" s="85"/>
      <c r="R14" s="85"/>
      <c r="S14" s="85"/>
      <c r="T14" s="88"/>
      <c r="U14" s="88"/>
      <c r="V14" s="88"/>
      <c r="W14" s="88"/>
      <c r="X14" s="95"/>
      <c r="Y14" s="95"/>
      <c r="Z14" s="95"/>
      <c r="AA14" s="95"/>
      <c r="AB14" s="95"/>
      <c r="AC14" s="95"/>
      <c r="AD14" s="95"/>
      <c r="AE14" s="95"/>
    </row>
    <row r="15" spans="1:31">
      <c r="A15" s="87"/>
      <c r="B15" s="88"/>
      <c r="C15" s="85"/>
      <c r="D15" s="85"/>
      <c r="E15" s="85"/>
      <c r="F15" s="85"/>
      <c r="G15" s="85"/>
      <c r="H15" s="89"/>
      <c r="I15" s="89"/>
      <c r="J15" s="89"/>
      <c r="K15" s="89"/>
      <c r="L15" s="85"/>
      <c r="M15" s="85"/>
      <c r="N15" s="85"/>
      <c r="O15" s="85"/>
      <c r="P15" s="85"/>
      <c r="Q15" s="85"/>
      <c r="R15" s="85"/>
      <c r="S15" s="85"/>
      <c r="T15" s="88"/>
      <c r="U15" s="88"/>
      <c r="V15" s="88"/>
      <c r="W15" s="88"/>
      <c r="X15" s="95"/>
      <c r="Y15" s="95"/>
      <c r="Z15" s="95"/>
      <c r="AA15" s="95"/>
      <c r="AB15" s="95"/>
      <c r="AC15" s="95"/>
      <c r="AD15" s="95"/>
      <c r="AE15" s="95"/>
    </row>
    <row r="16" spans="1:31">
      <c r="A16" s="87"/>
      <c r="B16" s="88"/>
      <c r="C16" s="85"/>
      <c r="D16" s="85"/>
      <c r="E16" s="85"/>
      <c r="F16" s="85"/>
      <c r="G16" s="85"/>
      <c r="H16" s="89"/>
      <c r="I16" s="89"/>
      <c r="J16" s="89"/>
      <c r="K16" s="89"/>
      <c r="L16" s="85"/>
      <c r="M16" s="85"/>
      <c r="N16" s="85"/>
      <c r="O16" s="85"/>
      <c r="P16" s="85"/>
      <c r="Q16" s="85"/>
      <c r="R16" s="85"/>
      <c r="S16" s="85"/>
      <c r="T16" s="88"/>
      <c r="U16" s="88"/>
      <c r="V16" s="88"/>
      <c r="W16" s="88"/>
      <c r="X16" s="95"/>
      <c r="Y16" s="95"/>
      <c r="Z16" s="95"/>
      <c r="AA16" s="95"/>
      <c r="AB16" s="95"/>
      <c r="AC16" s="95"/>
      <c r="AD16" s="95"/>
      <c r="AE16" s="95"/>
    </row>
    <row r="17" spans="1:33">
      <c r="A17" s="87"/>
      <c r="B17" s="88"/>
      <c r="C17" s="85"/>
      <c r="D17" s="85"/>
      <c r="E17" s="85"/>
      <c r="F17" s="85"/>
      <c r="G17" s="85"/>
      <c r="H17" s="89"/>
      <c r="I17" s="89"/>
      <c r="J17" s="89"/>
      <c r="K17" s="89"/>
      <c r="L17" s="85"/>
      <c r="M17" s="85"/>
      <c r="N17" s="85"/>
      <c r="O17" s="85"/>
      <c r="P17" s="85"/>
      <c r="Q17" s="85"/>
      <c r="R17" s="85"/>
      <c r="S17" s="85"/>
      <c r="T17" s="88"/>
      <c r="U17" s="88"/>
      <c r="V17" s="88"/>
      <c r="W17" s="88"/>
      <c r="X17" s="95"/>
      <c r="Y17" s="95"/>
      <c r="Z17" s="95"/>
      <c r="AA17" s="95"/>
      <c r="AB17" s="95"/>
      <c r="AC17" s="95"/>
      <c r="AD17" s="95"/>
      <c r="AE17" s="95"/>
    </row>
    <row r="18" spans="1:33" ht="54.75">
      <c r="A18" s="87"/>
      <c r="B18" s="88"/>
      <c r="C18" s="85"/>
      <c r="D18" s="85"/>
      <c r="E18" s="85"/>
      <c r="F18" s="85"/>
      <c r="G18" s="85"/>
      <c r="H18" s="89"/>
      <c r="I18" s="89"/>
      <c r="J18" s="89"/>
      <c r="K18" s="89"/>
      <c r="L18" s="85"/>
      <c r="M18" s="85"/>
      <c r="N18" s="85"/>
      <c r="O18" s="85"/>
      <c r="P18" s="85"/>
      <c r="Q18" s="85"/>
      <c r="R18" s="85"/>
      <c r="S18" s="85"/>
      <c r="T18" s="88"/>
      <c r="U18" s="88"/>
      <c r="V18" s="88"/>
      <c r="W18" s="88"/>
      <c r="X18" s="95"/>
      <c r="Y18" s="95"/>
      <c r="Z18" s="95"/>
      <c r="AA18" s="95"/>
      <c r="AB18" s="95"/>
      <c r="AC18" s="95"/>
      <c r="AD18" s="95"/>
      <c r="AE18" s="95"/>
      <c r="AG18" s="1" t="s">
        <v>22</v>
      </c>
    </row>
    <row r="19" spans="1:33">
      <c r="A19" s="87"/>
      <c r="B19" s="88"/>
      <c r="C19" s="85"/>
      <c r="D19" s="85"/>
      <c r="E19" s="85"/>
      <c r="F19" s="85"/>
      <c r="G19" s="85"/>
      <c r="H19" s="89"/>
      <c r="I19" s="89"/>
      <c r="J19" s="89"/>
      <c r="K19" s="89"/>
      <c r="L19" s="85"/>
      <c r="M19" s="85"/>
      <c r="N19" s="85"/>
      <c r="O19" s="85"/>
      <c r="P19" s="85"/>
      <c r="Q19" s="85"/>
      <c r="R19" s="85"/>
      <c r="S19" s="85"/>
      <c r="T19" s="88"/>
      <c r="U19" s="88"/>
      <c r="V19" s="88"/>
      <c r="W19" s="88"/>
      <c r="X19" s="95"/>
      <c r="Y19" s="95"/>
      <c r="Z19" s="95"/>
      <c r="AA19" s="95"/>
      <c r="AB19" s="95"/>
      <c r="AC19" s="95"/>
      <c r="AD19" s="95"/>
      <c r="AE19" s="95"/>
    </row>
    <row r="20" spans="1:33">
      <c r="A20" s="87"/>
      <c r="B20" s="88"/>
      <c r="C20" s="85"/>
      <c r="D20" s="85"/>
      <c r="E20" s="85"/>
      <c r="F20" s="85"/>
      <c r="G20" s="85"/>
      <c r="H20" s="89"/>
      <c r="I20" s="89"/>
      <c r="J20" s="89"/>
      <c r="K20" s="89"/>
      <c r="L20" s="85"/>
      <c r="M20" s="85"/>
      <c r="N20" s="85"/>
      <c r="O20" s="85"/>
      <c r="P20" s="85"/>
      <c r="Q20" s="85"/>
      <c r="R20" s="85"/>
      <c r="S20" s="85"/>
      <c r="T20" s="88"/>
      <c r="U20" s="88"/>
      <c r="V20" s="88"/>
      <c r="W20" s="88"/>
      <c r="X20" s="95"/>
      <c r="Y20" s="95"/>
      <c r="Z20" s="95"/>
      <c r="AA20" s="95"/>
      <c r="AB20" s="95"/>
      <c r="AC20" s="95"/>
      <c r="AD20" s="95"/>
      <c r="AE20" s="95"/>
    </row>
    <row r="21" spans="1:33" ht="27.75">
      <c r="A21" s="87">
        <v>3</v>
      </c>
      <c r="B21" s="88" t="s">
        <v>23</v>
      </c>
      <c r="C21" s="85" t="s">
        <v>24</v>
      </c>
      <c r="D21" s="85"/>
      <c r="E21" s="85"/>
      <c r="F21" s="85"/>
      <c r="G21" s="85"/>
      <c r="H21" s="89"/>
      <c r="I21" s="89"/>
      <c r="J21" s="89"/>
      <c r="K21" s="89"/>
      <c r="L21" s="85" t="s">
        <v>25</v>
      </c>
      <c r="M21" s="85"/>
      <c r="N21" s="85"/>
      <c r="O21" s="85"/>
      <c r="P21" s="86" t="s">
        <v>26</v>
      </c>
      <c r="Q21" s="85"/>
      <c r="R21" s="85"/>
      <c r="S21" s="85"/>
      <c r="T21" s="88" t="s">
        <v>27</v>
      </c>
      <c r="U21" s="88"/>
      <c r="V21" s="88"/>
      <c r="W21" s="88"/>
      <c r="X21" s="95"/>
      <c r="Y21" s="95"/>
      <c r="Z21" s="95"/>
      <c r="AA21" s="95"/>
      <c r="AB21" s="95" t="s">
        <v>28</v>
      </c>
      <c r="AC21" s="95"/>
      <c r="AD21" s="95"/>
      <c r="AE21" s="95"/>
      <c r="AF21" s="1" t="s">
        <v>29</v>
      </c>
    </row>
    <row r="22" spans="1:33">
      <c r="A22" s="87"/>
      <c r="B22" s="88"/>
      <c r="C22" s="85"/>
      <c r="D22" s="85"/>
      <c r="E22" s="85"/>
      <c r="F22" s="85"/>
      <c r="G22" s="85"/>
      <c r="H22" s="89"/>
      <c r="I22" s="89"/>
      <c r="J22" s="89"/>
      <c r="K22" s="89"/>
      <c r="L22" s="85"/>
      <c r="M22" s="85"/>
      <c r="N22" s="85"/>
      <c r="O22" s="85"/>
      <c r="P22" s="85"/>
      <c r="Q22" s="85"/>
      <c r="R22" s="85"/>
      <c r="S22" s="85"/>
      <c r="T22" s="88"/>
      <c r="U22" s="88"/>
      <c r="V22" s="88"/>
      <c r="W22" s="88"/>
      <c r="X22" s="95"/>
      <c r="Y22" s="95"/>
      <c r="Z22" s="95"/>
      <c r="AA22" s="95"/>
      <c r="AB22" s="95"/>
      <c r="AC22" s="95"/>
      <c r="AD22" s="95"/>
      <c r="AE22" s="95"/>
    </row>
    <row r="23" spans="1:33">
      <c r="A23" s="87"/>
      <c r="B23" s="88"/>
      <c r="C23" s="85"/>
      <c r="D23" s="85"/>
      <c r="E23" s="85"/>
      <c r="F23" s="85"/>
      <c r="G23" s="85"/>
      <c r="H23" s="89"/>
      <c r="I23" s="89"/>
      <c r="J23" s="89"/>
      <c r="K23" s="89"/>
      <c r="L23" s="85"/>
      <c r="M23" s="85"/>
      <c r="N23" s="85"/>
      <c r="O23" s="85"/>
      <c r="P23" s="85"/>
      <c r="Q23" s="85"/>
      <c r="R23" s="85"/>
      <c r="S23" s="85"/>
      <c r="T23" s="88"/>
      <c r="U23" s="88"/>
      <c r="V23" s="88"/>
      <c r="W23" s="88"/>
      <c r="X23" s="95"/>
      <c r="Y23" s="95"/>
      <c r="Z23" s="95"/>
      <c r="AA23" s="95"/>
      <c r="AB23" s="95"/>
      <c r="AC23" s="95"/>
      <c r="AD23" s="95"/>
      <c r="AE23" s="95"/>
    </row>
    <row r="24" spans="1:33">
      <c r="A24" s="87"/>
      <c r="B24" s="88"/>
      <c r="C24" s="85"/>
      <c r="D24" s="85"/>
      <c r="E24" s="85"/>
      <c r="F24" s="85"/>
      <c r="G24" s="85"/>
      <c r="H24" s="89"/>
      <c r="I24" s="89"/>
      <c r="J24" s="89"/>
      <c r="K24" s="89"/>
      <c r="L24" s="85"/>
      <c r="M24" s="85"/>
      <c r="N24" s="85"/>
      <c r="O24" s="85"/>
      <c r="P24" s="85"/>
      <c r="Q24" s="85"/>
      <c r="R24" s="85"/>
      <c r="S24" s="85"/>
      <c r="T24" s="88"/>
      <c r="U24" s="88"/>
      <c r="V24" s="88"/>
      <c r="W24" s="88"/>
      <c r="X24" s="95"/>
      <c r="Y24" s="95"/>
      <c r="Z24" s="95"/>
      <c r="AA24" s="95"/>
      <c r="AB24" s="95"/>
      <c r="AC24" s="95"/>
      <c r="AD24" s="95"/>
      <c r="AE24" s="95"/>
    </row>
    <row r="25" spans="1:33">
      <c r="A25" s="87"/>
      <c r="B25" s="88"/>
      <c r="C25" s="85"/>
      <c r="D25" s="85"/>
      <c r="E25" s="85"/>
      <c r="F25" s="85"/>
      <c r="G25" s="85"/>
      <c r="H25" s="89"/>
      <c r="I25" s="89"/>
      <c r="J25" s="89"/>
      <c r="K25" s="89"/>
      <c r="L25" s="85"/>
      <c r="M25" s="85"/>
      <c r="N25" s="85"/>
      <c r="O25" s="85"/>
      <c r="P25" s="85"/>
      <c r="Q25" s="85"/>
      <c r="R25" s="85"/>
      <c r="S25" s="85"/>
      <c r="T25" s="88"/>
      <c r="U25" s="88"/>
      <c r="V25" s="88"/>
      <c r="W25" s="88"/>
      <c r="X25" s="95"/>
      <c r="Y25" s="95"/>
      <c r="Z25" s="95"/>
      <c r="AA25" s="95"/>
      <c r="AB25" s="95"/>
      <c r="AC25" s="95"/>
      <c r="AD25" s="95"/>
      <c r="AE25" s="95"/>
    </row>
    <row r="26" spans="1:33">
      <c r="A26" s="87"/>
      <c r="B26" s="88"/>
      <c r="C26" s="85"/>
      <c r="D26" s="85"/>
      <c r="E26" s="85"/>
      <c r="F26" s="85"/>
      <c r="G26" s="85"/>
      <c r="H26" s="89"/>
      <c r="I26" s="89"/>
      <c r="J26" s="89"/>
      <c r="K26" s="89"/>
      <c r="L26" s="85"/>
      <c r="M26" s="85"/>
      <c r="N26" s="85"/>
      <c r="O26" s="85"/>
      <c r="P26" s="85"/>
      <c r="Q26" s="85"/>
      <c r="R26" s="85"/>
      <c r="S26" s="85"/>
      <c r="T26" s="88"/>
      <c r="U26" s="88"/>
      <c r="V26" s="88"/>
      <c r="W26" s="88"/>
      <c r="X26" s="95"/>
      <c r="Y26" s="95"/>
      <c r="Z26" s="95"/>
      <c r="AA26" s="95"/>
      <c r="AB26" s="95"/>
      <c r="AC26" s="95"/>
      <c r="AD26" s="95"/>
      <c r="AE26" s="95"/>
    </row>
    <row r="27" spans="1:33">
      <c r="A27" s="87"/>
      <c r="B27" s="88"/>
      <c r="C27" s="85"/>
      <c r="D27" s="85"/>
      <c r="E27" s="85"/>
      <c r="F27" s="85"/>
      <c r="G27" s="85"/>
      <c r="H27" s="89"/>
      <c r="I27" s="89"/>
      <c r="J27" s="89"/>
      <c r="K27" s="89"/>
      <c r="L27" s="85"/>
      <c r="M27" s="85"/>
      <c r="N27" s="85"/>
      <c r="O27" s="85"/>
      <c r="P27" s="85"/>
      <c r="Q27" s="85"/>
      <c r="R27" s="85"/>
      <c r="S27" s="85"/>
      <c r="T27" s="88"/>
      <c r="U27" s="88"/>
      <c r="V27" s="88"/>
      <c r="W27" s="88"/>
      <c r="X27" s="95"/>
      <c r="Y27" s="95"/>
      <c r="Z27" s="95"/>
      <c r="AA27" s="95"/>
      <c r="AB27" s="95"/>
      <c r="AC27" s="95"/>
      <c r="AD27" s="95"/>
      <c r="AE27" s="95"/>
    </row>
    <row r="28" spans="1:33">
      <c r="A28" s="87"/>
      <c r="B28" s="88"/>
      <c r="C28" s="85"/>
      <c r="D28" s="85"/>
      <c r="E28" s="85"/>
      <c r="F28" s="85"/>
      <c r="G28" s="85"/>
      <c r="H28" s="89"/>
      <c r="I28" s="89"/>
      <c r="J28" s="89"/>
      <c r="K28" s="89"/>
      <c r="L28" s="85"/>
      <c r="M28" s="85"/>
      <c r="N28" s="85"/>
      <c r="O28" s="85"/>
      <c r="P28" s="85"/>
      <c r="Q28" s="85"/>
      <c r="R28" s="85"/>
      <c r="S28" s="85"/>
      <c r="T28" s="88"/>
      <c r="U28" s="88"/>
      <c r="V28" s="88"/>
      <c r="W28" s="88"/>
      <c r="X28" s="95"/>
      <c r="Y28" s="95"/>
      <c r="Z28" s="95"/>
      <c r="AA28" s="95"/>
      <c r="AB28" s="95"/>
      <c r="AC28" s="95"/>
      <c r="AD28" s="95"/>
      <c r="AE28" s="95"/>
    </row>
    <row r="29" spans="1:33">
      <c r="A29" s="87"/>
      <c r="B29" s="88"/>
      <c r="C29" s="85"/>
      <c r="D29" s="85"/>
      <c r="E29" s="85"/>
      <c r="F29" s="85"/>
      <c r="G29" s="85"/>
      <c r="H29" s="89"/>
      <c r="I29" s="89"/>
      <c r="J29" s="89"/>
      <c r="K29" s="89"/>
      <c r="L29" s="85"/>
      <c r="M29" s="85"/>
      <c r="N29" s="85"/>
      <c r="O29" s="85"/>
      <c r="P29" s="85"/>
      <c r="Q29" s="85"/>
      <c r="R29" s="85"/>
      <c r="S29" s="85"/>
      <c r="T29" s="88"/>
      <c r="U29" s="88"/>
      <c r="V29" s="88"/>
      <c r="W29" s="88"/>
      <c r="X29" s="95"/>
      <c r="Y29" s="95"/>
      <c r="Z29" s="95"/>
      <c r="AA29" s="95"/>
      <c r="AB29" s="95"/>
      <c r="AC29" s="95"/>
      <c r="AD29" s="95"/>
      <c r="AE29" s="95"/>
    </row>
    <row r="30" spans="1:33">
      <c r="A30" s="87"/>
      <c r="B30" s="88"/>
      <c r="C30" s="85"/>
      <c r="D30" s="85"/>
      <c r="E30" s="85"/>
      <c r="F30" s="85"/>
      <c r="G30" s="85"/>
      <c r="H30" s="89"/>
      <c r="I30" s="89"/>
      <c r="J30" s="89"/>
      <c r="K30" s="89"/>
      <c r="L30" s="85"/>
      <c r="M30" s="85"/>
      <c r="N30" s="85"/>
      <c r="O30" s="85"/>
      <c r="P30" s="85"/>
      <c r="Q30" s="85"/>
      <c r="R30" s="85"/>
      <c r="S30" s="85"/>
      <c r="T30" s="88"/>
      <c r="U30" s="88"/>
      <c r="V30" s="88"/>
      <c r="W30" s="88"/>
      <c r="X30" s="95"/>
      <c r="Y30" s="95"/>
      <c r="Z30" s="95"/>
      <c r="AA30" s="95"/>
      <c r="AB30" s="95"/>
      <c r="AC30" s="95"/>
      <c r="AD30" s="95"/>
      <c r="AE30" s="95"/>
    </row>
    <row r="31" spans="1:33">
      <c r="A31" s="87">
        <v>4</v>
      </c>
      <c r="B31" s="88" t="s">
        <v>30</v>
      </c>
      <c r="C31" s="85" t="s">
        <v>31</v>
      </c>
      <c r="D31" s="85"/>
      <c r="E31" s="85"/>
      <c r="F31" s="85"/>
      <c r="G31" s="85"/>
      <c r="H31" s="89"/>
      <c r="I31" s="89"/>
      <c r="J31" s="89"/>
      <c r="K31" s="89"/>
      <c r="L31" s="85" t="s">
        <v>32</v>
      </c>
      <c r="M31" s="85"/>
      <c r="N31" s="85"/>
      <c r="O31" s="85"/>
      <c r="P31" s="85" t="s">
        <v>33</v>
      </c>
      <c r="Q31" s="85"/>
      <c r="R31" s="85"/>
      <c r="S31" s="85"/>
      <c r="T31" s="88" t="s">
        <v>34</v>
      </c>
      <c r="U31" s="88"/>
      <c r="V31" s="88"/>
      <c r="W31" s="88"/>
      <c r="X31" s="95"/>
      <c r="Y31" s="95"/>
      <c r="Z31" s="95"/>
      <c r="AA31" s="95"/>
      <c r="AB31" s="95" t="s">
        <v>35</v>
      </c>
      <c r="AC31" s="95"/>
      <c r="AD31" s="95"/>
      <c r="AE31" s="95"/>
    </row>
    <row r="32" spans="1:33">
      <c r="A32" s="87"/>
      <c r="B32" s="88"/>
      <c r="C32" s="85"/>
      <c r="D32" s="85"/>
      <c r="E32" s="85"/>
      <c r="F32" s="85"/>
      <c r="G32" s="85"/>
      <c r="H32" s="89"/>
      <c r="I32" s="89"/>
      <c r="J32" s="89"/>
      <c r="K32" s="89"/>
      <c r="L32" s="85"/>
      <c r="M32" s="85"/>
      <c r="N32" s="85"/>
      <c r="O32" s="85"/>
      <c r="P32" s="85"/>
      <c r="Q32" s="85"/>
      <c r="R32" s="85"/>
      <c r="S32" s="85"/>
      <c r="T32" s="88"/>
      <c r="U32" s="88"/>
      <c r="V32" s="88"/>
      <c r="W32" s="88"/>
      <c r="X32" s="95"/>
      <c r="Y32" s="95"/>
      <c r="Z32" s="95"/>
      <c r="AA32" s="95"/>
      <c r="AB32" s="95"/>
      <c r="AC32" s="95"/>
      <c r="AD32" s="95"/>
      <c r="AE32" s="95"/>
    </row>
    <row r="33" spans="1:32">
      <c r="A33" s="87"/>
      <c r="B33" s="88"/>
      <c r="C33" s="85"/>
      <c r="D33" s="85"/>
      <c r="E33" s="85"/>
      <c r="F33" s="85"/>
      <c r="G33" s="85"/>
      <c r="H33" s="89"/>
      <c r="I33" s="89"/>
      <c r="J33" s="89"/>
      <c r="K33" s="89"/>
      <c r="L33" s="85"/>
      <c r="M33" s="85"/>
      <c r="N33" s="85"/>
      <c r="O33" s="85"/>
      <c r="P33" s="85"/>
      <c r="Q33" s="85"/>
      <c r="R33" s="85"/>
      <c r="S33" s="85"/>
      <c r="T33" s="88"/>
      <c r="U33" s="88"/>
      <c r="V33" s="88"/>
      <c r="W33" s="88"/>
      <c r="X33" s="95"/>
      <c r="Y33" s="95"/>
      <c r="Z33" s="95"/>
      <c r="AA33" s="95"/>
      <c r="AB33" s="95"/>
      <c r="AC33" s="95"/>
      <c r="AD33" s="95"/>
      <c r="AE33" s="95"/>
    </row>
    <row r="34" spans="1:32">
      <c r="A34" s="87"/>
      <c r="B34" s="88"/>
      <c r="C34" s="85"/>
      <c r="D34" s="85"/>
      <c r="E34" s="85"/>
      <c r="F34" s="85"/>
      <c r="G34" s="85"/>
      <c r="H34" s="89"/>
      <c r="I34" s="89"/>
      <c r="J34" s="89"/>
      <c r="K34" s="89"/>
      <c r="L34" s="85"/>
      <c r="M34" s="85"/>
      <c r="N34" s="85"/>
      <c r="O34" s="85"/>
      <c r="P34" s="85"/>
      <c r="Q34" s="85"/>
      <c r="R34" s="85"/>
      <c r="S34" s="85"/>
      <c r="T34" s="88"/>
      <c r="U34" s="88"/>
      <c r="V34" s="88"/>
      <c r="W34" s="88"/>
      <c r="X34" s="95"/>
      <c r="Y34" s="95"/>
      <c r="Z34" s="95"/>
      <c r="AA34" s="95"/>
      <c r="AB34" s="95"/>
      <c r="AC34" s="95"/>
      <c r="AD34" s="95"/>
      <c r="AE34" s="95"/>
    </row>
    <row r="35" spans="1:32">
      <c r="A35" s="87"/>
      <c r="B35" s="88"/>
      <c r="C35" s="85"/>
      <c r="D35" s="85"/>
      <c r="E35" s="85"/>
      <c r="F35" s="85"/>
      <c r="G35" s="85"/>
      <c r="H35" s="89"/>
      <c r="I35" s="89"/>
      <c r="J35" s="89"/>
      <c r="K35" s="89"/>
      <c r="L35" s="85"/>
      <c r="M35" s="85"/>
      <c r="N35" s="85"/>
      <c r="O35" s="85"/>
      <c r="P35" s="85"/>
      <c r="Q35" s="85"/>
      <c r="R35" s="85"/>
      <c r="S35" s="85"/>
      <c r="T35" s="88"/>
      <c r="U35" s="88"/>
      <c r="V35" s="88"/>
      <c r="W35" s="88"/>
      <c r="X35" s="95"/>
      <c r="Y35" s="95"/>
      <c r="Z35" s="95"/>
      <c r="AA35" s="95"/>
      <c r="AB35" s="95"/>
      <c r="AC35" s="95"/>
      <c r="AD35" s="95"/>
      <c r="AE35" s="95"/>
    </row>
    <row r="36" spans="1:32">
      <c r="A36" s="87"/>
      <c r="B36" s="88"/>
      <c r="C36" s="85"/>
      <c r="D36" s="85"/>
      <c r="E36" s="85"/>
      <c r="F36" s="85"/>
      <c r="G36" s="85"/>
      <c r="H36" s="89"/>
      <c r="I36" s="89"/>
      <c r="J36" s="89"/>
      <c r="K36" s="89"/>
      <c r="L36" s="85"/>
      <c r="M36" s="85"/>
      <c r="N36" s="85"/>
      <c r="O36" s="85"/>
      <c r="P36" s="85"/>
      <c r="Q36" s="85"/>
      <c r="R36" s="85"/>
      <c r="S36" s="85"/>
      <c r="T36" s="88"/>
      <c r="U36" s="88"/>
      <c r="V36" s="88"/>
      <c r="W36" s="88"/>
      <c r="X36" s="95"/>
      <c r="Y36" s="95"/>
      <c r="Z36" s="95"/>
      <c r="AA36" s="95"/>
      <c r="AB36" s="95"/>
      <c r="AC36" s="95"/>
      <c r="AD36" s="95"/>
      <c r="AE36" s="95"/>
    </row>
    <row r="37" spans="1:32">
      <c r="A37" s="87"/>
      <c r="B37" s="88"/>
      <c r="C37" s="85"/>
      <c r="D37" s="85"/>
      <c r="E37" s="85"/>
      <c r="F37" s="85"/>
      <c r="G37" s="85"/>
      <c r="H37" s="89"/>
      <c r="I37" s="89"/>
      <c r="J37" s="89"/>
      <c r="K37" s="89"/>
      <c r="L37" s="85"/>
      <c r="M37" s="85"/>
      <c r="N37" s="85"/>
      <c r="O37" s="85"/>
      <c r="P37" s="85"/>
      <c r="Q37" s="85"/>
      <c r="R37" s="85"/>
      <c r="S37" s="85"/>
      <c r="T37" s="88"/>
      <c r="U37" s="88"/>
      <c r="V37" s="88"/>
      <c r="W37" s="88"/>
      <c r="X37" s="95"/>
      <c r="Y37" s="95"/>
      <c r="Z37" s="95"/>
      <c r="AA37" s="95"/>
      <c r="AB37" s="95"/>
      <c r="AC37" s="95"/>
      <c r="AD37" s="95"/>
      <c r="AE37" s="95"/>
    </row>
    <row r="38" spans="1:32">
      <c r="A38" s="87"/>
      <c r="B38" s="88"/>
      <c r="C38" s="85"/>
      <c r="D38" s="85"/>
      <c r="E38" s="85"/>
      <c r="F38" s="85"/>
      <c r="G38" s="85"/>
      <c r="H38" s="89"/>
      <c r="I38" s="89"/>
      <c r="J38" s="89"/>
      <c r="K38" s="89"/>
      <c r="L38" s="85"/>
      <c r="M38" s="85"/>
      <c r="N38" s="85"/>
      <c r="O38" s="85"/>
      <c r="P38" s="85"/>
      <c r="Q38" s="85"/>
      <c r="R38" s="85"/>
      <c r="S38" s="85"/>
      <c r="T38" s="88"/>
      <c r="U38" s="88"/>
      <c r="V38" s="88"/>
      <c r="W38" s="88"/>
      <c r="X38" s="95"/>
      <c r="Y38" s="95"/>
      <c r="Z38" s="95"/>
      <c r="AA38" s="95"/>
      <c r="AB38" s="95"/>
      <c r="AC38" s="95"/>
      <c r="AD38" s="95"/>
      <c r="AE38" s="95"/>
    </row>
    <row r="39" spans="1:32">
      <c r="A39" s="87"/>
      <c r="B39" s="88"/>
      <c r="C39" s="85"/>
      <c r="D39" s="85"/>
      <c r="E39" s="85"/>
      <c r="F39" s="85"/>
      <c r="G39" s="85"/>
      <c r="H39" s="89"/>
      <c r="I39" s="89"/>
      <c r="J39" s="89"/>
      <c r="K39" s="89"/>
      <c r="L39" s="85"/>
      <c r="M39" s="85"/>
      <c r="N39" s="85"/>
      <c r="O39" s="85"/>
      <c r="P39" s="85"/>
      <c r="Q39" s="85"/>
      <c r="R39" s="85"/>
      <c r="S39" s="85"/>
      <c r="T39" s="88"/>
      <c r="U39" s="88"/>
      <c r="V39" s="88"/>
      <c r="W39" s="88"/>
      <c r="X39" s="95"/>
      <c r="Y39" s="95"/>
      <c r="Z39" s="95"/>
      <c r="AA39" s="95"/>
      <c r="AB39" s="95"/>
      <c r="AC39" s="95"/>
      <c r="AD39" s="95"/>
      <c r="AE39" s="95"/>
    </row>
    <row r="40" spans="1:32">
      <c r="A40" s="87"/>
      <c r="B40" s="88"/>
      <c r="C40" s="85"/>
      <c r="D40" s="85"/>
      <c r="E40" s="85"/>
      <c r="F40" s="85"/>
      <c r="G40" s="85"/>
      <c r="H40" s="89"/>
      <c r="I40" s="89"/>
      <c r="J40" s="89"/>
      <c r="K40" s="89"/>
      <c r="L40" s="85"/>
      <c r="M40" s="85"/>
      <c r="N40" s="85"/>
      <c r="O40" s="85"/>
      <c r="P40" s="85"/>
      <c r="Q40" s="85"/>
      <c r="R40" s="85"/>
      <c r="S40" s="85"/>
      <c r="T40" s="88"/>
      <c r="U40" s="88"/>
      <c r="V40" s="88"/>
      <c r="W40" s="88"/>
      <c r="X40" s="95"/>
      <c r="Y40" s="95"/>
      <c r="Z40" s="95"/>
      <c r="AA40" s="95"/>
      <c r="AB40" s="95"/>
      <c r="AC40" s="95"/>
      <c r="AD40" s="95"/>
      <c r="AE40" s="95"/>
    </row>
    <row r="41" spans="1:32" ht="54.75">
      <c r="A41" s="87">
        <v>5</v>
      </c>
      <c r="B41" s="88" t="s">
        <v>36</v>
      </c>
      <c r="C41" s="85" t="s">
        <v>37</v>
      </c>
      <c r="D41" s="85"/>
      <c r="E41" s="85"/>
      <c r="F41" s="85"/>
      <c r="G41" s="85"/>
      <c r="H41" s="89"/>
      <c r="I41" s="89"/>
      <c r="J41" s="89"/>
      <c r="K41" s="89"/>
      <c r="L41" s="85" t="s">
        <v>38</v>
      </c>
      <c r="M41" s="85"/>
      <c r="N41" s="85"/>
      <c r="O41" s="85"/>
      <c r="P41" s="85" t="s">
        <v>39</v>
      </c>
      <c r="Q41" s="85"/>
      <c r="R41" s="85"/>
      <c r="S41" s="85"/>
      <c r="T41" s="94" t="s">
        <v>40</v>
      </c>
      <c r="U41" s="88"/>
      <c r="V41" s="88"/>
      <c r="W41" s="88"/>
      <c r="X41" s="95"/>
      <c r="Y41" s="95"/>
      <c r="Z41" s="95"/>
      <c r="AA41" s="95"/>
      <c r="AB41" s="95" t="s">
        <v>41</v>
      </c>
      <c r="AC41" s="95"/>
      <c r="AD41" s="95"/>
      <c r="AE41" s="95"/>
      <c r="AF41" s="1" t="s">
        <v>42</v>
      </c>
    </row>
    <row r="42" spans="1:32">
      <c r="A42" s="87"/>
      <c r="B42" s="88"/>
      <c r="C42" s="85"/>
      <c r="D42" s="85"/>
      <c r="E42" s="85"/>
      <c r="F42" s="85"/>
      <c r="G42" s="85"/>
      <c r="H42" s="89"/>
      <c r="I42" s="89"/>
      <c r="J42" s="89"/>
      <c r="K42" s="89"/>
      <c r="L42" s="85"/>
      <c r="M42" s="85"/>
      <c r="N42" s="85"/>
      <c r="O42" s="85"/>
      <c r="P42" s="85"/>
      <c r="Q42" s="85"/>
      <c r="R42" s="85"/>
      <c r="S42" s="85"/>
      <c r="T42" s="88"/>
      <c r="U42" s="88"/>
      <c r="V42" s="88"/>
      <c r="W42" s="88"/>
      <c r="X42" s="95"/>
      <c r="Y42" s="95"/>
      <c r="Z42" s="95"/>
      <c r="AA42" s="95"/>
      <c r="AB42" s="95"/>
      <c r="AC42" s="95"/>
      <c r="AD42" s="95"/>
      <c r="AE42" s="95"/>
    </row>
    <row r="43" spans="1:32">
      <c r="A43" s="87"/>
      <c r="B43" s="88"/>
      <c r="C43" s="85"/>
      <c r="D43" s="85"/>
      <c r="E43" s="85"/>
      <c r="F43" s="85"/>
      <c r="G43" s="85"/>
      <c r="H43" s="89"/>
      <c r="I43" s="89"/>
      <c r="J43" s="89"/>
      <c r="K43" s="89"/>
      <c r="L43" s="85"/>
      <c r="M43" s="85"/>
      <c r="N43" s="85"/>
      <c r="O43" s="85"/>
      <c r="P43" s="85"/>
      <c r="Q43" s="85"/>
      <c r="R43" s="85"/>
      <c r="S43" s="85"/>
      <c r="T43" s="88"/>
      <c r="U43" s="88"/>
      <c r="V43" s="88"/>
      <c r="W43" s="88"/>
      <c r="X43" s="95"/>
      <c r="Y43" s="95"/>
      <c r="Z43" s="95"/>
      <c r="AA43" s="95"/>
      <c r="AB43" s="95"/>
      <c r="AC43" s="95"/>
      <c r="AD43" s="95"/>
      <c r="AE43" s="95"/>
    </row>
    <row r="44" spans="1:32">
      <c r="A44" s="87"/>
      <c r="B44" s="88"/>
      <c r="C44" s="85"/>
      <c r="D44" s="85"/>
      <c r="E44" s="85"/>
      <c r="F44" s="85"/>
      <c r="G44" s="85"/>
      <c r="H44" s="89"/>
      <c r="I44" s="89"/>
      <c r="J44" s="89"/>
      <c r="K44" s="89"/>
      <c r="L44" s="85"/>
      <c r="M44" s="85"/>
      <c r="N44" s="85"/>
      <c r="O44" s="85"/>
      <c r="P44" s="85"/>
      <c r="Q44" s="85"/>
      <c r="R44" s="85"/>
      <c r="S44" s="85"/>
      <c r="T44" s="88"/>
      <c r="U44" s="88"/>
      <c r="V44" s="88"/>
      <c r="W44" s="88"/>
      <c r="X44" s="95"/>
      <c r="Y44" s="95"/>
      <c r="Z44" s="95"/>
      <c r="AA44" s="95"/>
      <c r="AB44" s="95"/>
      <c r="AC44" s="95"/>
      <c r="AD44" s="95"/>
      <c r="AE44" s="95"/>
    </row>
    <row r="45" spans="1:32">
      <c r="A45" s="87"/>
      <c r="B45" s="88"/>
      <c r="C45" s="85"/>
      <c r="D45" s="85"/>
      <c r="E45" s="85"/>
      <c r="F45" s="85"/>
      <c r="G45" s="85"/>
      <c r="H45" s="89"/>
      <c r="I45" s="89"/>
      <c r="J45" s="89"/>
      <c r="K45" s="89"/>
      <c r="L45" s="85"/>
      <c r="M45" s="85"/>
      <c r="N45" s="85"/>
      <c r="O45" s="85"/>
      <c r="P45" s="85"/>
      <c r="Q45" s="85"/>
      <c r="R45" s="85"/>
      <c r="S45" s="85"/>
      <c r="T45" s="88"/>
      <c r="U45" s="88"/>
      <c r="V45" s="88"/>
      <c r="W45" s="88"/>
      <c r="X45" s="95"/>
      <c r="Y45" s="95"/>
      <c r="Z45" s="95"/>
      <c r="AA45" s="95"/>
      <c r="AB45" s="95"/>
      <c r="AC45" s="95"/>
      <c r="AD45" s="95"/>
      <c r="AE45" s="95"/>
    </row>
    <row r="46" spans="1:32">
      <c r="A46" s="87"/>
      <c r="B46" s="88"/>
      <c r="C46" s="85"/>
      <c r="D46" s="85"/>
      <c r="E46" s="85"/>
      <c r="F46" s="85"/>
      <c r="G46" s="85"/>
      <c r="H46" s="89"/>
      <c r="I46" s="89"/>
      <c r="J46" s="89"/>
      <c r="K46" s="89"/>
      <c r="L46" s="85"/>
      <c r="M46" s="85"/>
      <c r="N46" s="85"/>
      <c r="O46" s="85"/>
      <c r="P46" s="85"/>
      <c r="Q46" s="85"/>
      <c r="R46" s="85"/>
      <c r="S46" s="85"/>
      <c r="T46" s="88"/>
      <c r="U46" s="88"/>
      <c r="V46" s="88"/>
      <c r="W46" s="88"/>
      <c r="X46" s="95"/>
      <c r="Y46" s="95"/>
      <c r="Z46" s="95"/>
      <c r="AA46" s="95"/>
      <c r="AB46" s="95"/>
      <c r="AC46" s="95"/>
      <c r="AD46" s="95"/>
      <c r="AE46" s="95"/>
    </row>
    <row r="47" spans="1:32">
      <c r="A47" s="87"/>
      <c r="B47" s="88"/>
      <c r="C47" s="85"/>
      <c r="D47" s="85"/>
      <c r="E47" s="85"/>
      <c r="F47" s="85"/>
      <c r="G47" s="85"/>
      <c r="H47" s="89"/>
      <c r="I47" s="89"/>
      <c r="J47" s="89"/>
      <c r="K47" s="89"/>
      <c r="L47" s="85"/>
      <c r="M47" s="85"/>
      <c r="N47" s="85"/>
      <c r="O47" s="85"/>
      <c r="P47" s="85"/>
      <c r="Q47" s="85"/>
      <c r="R47" s="85"/>
      <c r="S47" s="85"/>
      <c r="T47" s="88"/>
      <c r="U47" s="88"/>
      <c r="V47" s="88"/>
      <c r="W47" s="88"/>
      <c r="X47" s="95"/>
      <c r="Y47" s="95"/>
      <c r="Z47" s="95"/>
      <c r="AA47" s="95"/>
      <c r="AB47" s="95"/>
      <c r="AC47" s="95"/>
      <c r="AD47" s="95"/>
      <c r="AE47" s="95"/>
    </row>
    <row r="48" spans="1:32">
      <c r="A48" s="87"/>
      <c r="B48" s="88"/>
      <c r="C48" s="85"/>
      <c r="D48" s="85"/>
      <c r="E48" s="85"/>
      <c r="F48" s="85"/>
      <c r="G48" s="85"/>
      <c r="H48" s="89"/>
      <c r="I48" s="89"/>
      <c r="J48" s="89"/>
      <c r="K48" s="89"/>
      <c r="L48" s="85"/>
      <c r="M48" s="85"/>
      <c r="N48" s="85"/>
      <c r="O48" s="85"/>
      <c r="P48" s="85"/>
      <c r="Q48" s="85"/>
      <c r="R48" s="85"/>
      <c r="S48" s="85"/>
      <c r="T48" s="88"/>
      <c r="U48" s="88"/>
      <c r="V48" s="88"/>
      <c r="W48" s="88"/>
      <c r="X48" s="95"/>
      <c r="Y48" s="95"/>
      <c r="Z48" s="95"/>
      <c r="AA48" s="95"/>
      <c r="AB48" s="95"/>
      <c r="AC48" s="95"/>
      <c r="AD48" s="95"/>
      <c r="AE48" s="95"/>
    </row>
    <row r="49" spans="1:32">
      <c r="A49" s="87"/>
      <c r="B49" s="88"/>
      <c r="C49" s="85"/>
      <c r="D49" s="85"/>
      <c r="E49" s="85"/>
      <c r="F49" s="85"/>
      <c r="G49" s="85"/>
      <c r="H49" s="89"/>
      <c r="I49" s="89"/>
      <c r="J49" s="89"/>
      <c r="K49" s="89"/>
      <c r="L49" s="85"/>
      <c r="M49" s="85"/>
      <c r="N49" s="85"/>
      <c r="O49" s="85"/>
      <c r="P49" s="85"/>
      <c r="Q49" s="85"/>
      <c r="R49" s="85"/>
      <c r="S49" s="85"/>
      <c r="T49" s="88"/>
      <c r="U49" s="88"/>
      <c r="V49" s="88"/>
      <c r="W49" s="88"/>
      <c r="X49" s="95"/>
      <c r="Y49" s="95"/>
      <c r="Z49" s="95"/>
      <c r="AA49" s="95"/>
      <c r="AB49" s="95"/>
      <c r="AC49" s="95"/>
      <c r="AD49" s="95"/>
      <c r="AE49" s="95"/>
    </row>
    <row r="50" spans="1:32" ht="41.25" customHeight="1">
      <c r="A50" s="87"/>
      <c r="B50" s="88"/>
      <c r="C50" s="85"/>
      <c r="D50" s="85"/>
      <c r="E50" s="85"/>
      <c r="F50" s="85"/>
      <c r="G50" s="85"/>
      <c r="H50" s="89"/>
      <c r="I50" s="89"/>
      <c r="J50" s="89"/>
      <c r="K50" s="89"/>
      <c r="L50" s="85"/>
      <c r="M50" s="85"/>
      <c r="N50" s="85"/>
      <c r="O50" s="85"/>
      <c r="P50" s="85"/>
      <c r="Q50" s="85"/>
      <c r="R50" s="85"/>
      <c r="S50" s="85"/>
      <c r="T50" s="88"/>
      <c r="U50" s="88"/>
      <c r="V50" s="88"/>
      <c r="W50" s="88"/>
      <c r="X50" s="95"/>
      <c r="Y50" s="95"/>
      <c r="Z50" s="95"/>
      <c r="AA50" s="95"/>
      <c r="AB50" s="95"/>
      <c r="AC50" s="95"/>
      <c r="AD50" s="95"/>
      <c r="AE50" s="95"/>
    </row>
    <row r="51" spans="1:32" ht="68.25">
      <c r="A51" s="87">
        <v>6</v>
      </c>
      <c r="B51" s="88" t="s">
        <v>43</v>
      </c>
      <c r="C51" s="85" t="s">
        <v>44</v>
      </c>
      <c r="D51" s="85"/>
      <c r="E51" s="85"/>
      <c r="F51" s="85"/>
      <c r="G51" s="85"/>
      <c r="H51" s="89"/>
      <c r="I51" s="89"/>
      <c r="J51" s="89"/>
      <c r="K51" s="89"/>
      <c r="L51" s="85" t="s">
        <v>45</v>
      </c>
      <c r="M51" s="85"/>
      <c r="N51" s="85"/>
      <c r="O51" s="85"/>
      <c r="P51" s="85" t="s">
        <v>46</v>
      </c>
      <c r="Q51" s="85"/>
      <c r="R51" s="85"/>
      <c r="S51" s="85"/>
      <c r="T51" s="88" t="s">
        <v>47</v>
      </c>
      <c r="U51" s="88"/>
      <c r="V51" s="88"/>
      <c r="W51" s="88"/>
      <c r="X51" s="95"/>
      <c r="Y51" s="95"/>
      <c r="Z51" s="95"/>
      <c r="AA51" s="95"/>
      <c r="AB51" s="95" t="s">
        <v>48</v>
      </c>
      <c r="AC51" s="95"/>
      <c r="AD51" s="95"/>
      <c r="AE51" s="95"/>
      <c r="AF51" s="1" t="s">
        <v>49</v>
      </c>
    </row>
    <row r="52" spans="1:32">
      <c r="A52" s="87"/>
      <c r="B52" s="88"/>
      <c r="C52" s="85"/>
      <c r="D52" s="85"/>
      <c r="E52" s="85"/>
      <c r="F52" s="85"/>
      <c r="G52" s="85"/>
      <c r="H52" s="89"/>
      <c r="I52" s="89"/>
      <c r="J52" s="89"/>
      <c r="K52" s="89"/>
      <c r="L52" s="85"/>
      <c r="M52" s="85"/>
      <c r="N52" s="85"/>
      <c r="O52" s="85"/>
      <c r="P52" s="85"/>
      <c r="Q52" s="85"/>
      <c r="R52" s="85"/>
      <c r="S52" s="85"/>
      <c r="T52" s="88"/>
      <c r="U52" s="88"/>
      <c r="V52" s="88"/>
      <c r="W52" s="88"/>
      <c r="X52" s="95"/>
      <c r="Y52" s="95"/>
      <c r="Z52" s="95"/>
      <c r="AA52" s="95"/>
      <c r="AB52" s="95"/>
      <c r="AC52" s="95"/>
      <c r="AD52" s="95"/>
      <c r="AE52" s="95"/>
    </row>
    <row r="53" spans="1:32">
      <c r="A53" s="87"/>
      <c r="B53" s="88"/>
      <c r="C53" s="85"/>
      <c r="D53" s="85"/>
      <c r="E53" s="85"/>
      <c r="F53" s="85"/>
      <c r="G53" s="85"/>
      <c r="H53" s="89"/>
      <c r="I53" s="89"/>
      <c r="J53" s="89"/>
      <c r="K53" s="89"/>
      <c r="L53" s="85"/>
      <c r="M53" s="85"/>
      <c r="N53" s="85"/>
      <c r="O53" s="85"/>
      <c r="P53" s="85"/>
      <c r="Q53" s="85"/>
      <c r="R53" s="85"/>
      <c r="S53" s="85"/>
      <c r="T53" s="88"/>
      <c r="U53" s="88"/>
      <c r="V53" s="88"/>
      <c r="W53" s="88"/>
      <c r="X53" s="95"/>
      <c r="Y53" s="95"/>
      <c r="Z53" s="95"/>
      <c r="AA53" s="95"/>
      <c r="AB53" s="95"/>
      <c r="AC53" s="95"/>
      <c r="AD53" s="95"/>
      <c r="AE53" s="95"/>
    </row>
    <row r="54" spans="1:32">
      <c r="A54" s="87"/>
      <c r="B54" s="88"/>
      <c r="C54" s="85"/>
      <c r="D54" s="85"/>
      <c r="E54" s="85"/>
      <c r="F54" s="85"/>
      <c r="G54" s="85"/>
      <c r="H54" s="89"/>
      <c r="I54" s="89"/>
      <c r="J54" s="89"/>
      <c r="K54" s="89"/>
      <c r="L54" s="85"/>
      <c r="M54" s="85"/>
      <c r="N54" s="85"/>
      <c r="O54" s="85"/>
      <c r="P54" s="85"/>
      <c r="Q54" s="85"/>
      <c r="R54" s="85"/>
      <c r="S54" s="85"/>
      <c r="T54" s="88"/>
      <c r="U54" s="88"/>
      <c r="V54" s="88"/>
      <c r="W54" s="88"/>
      <c r="X54" s="95"/>
      <c r="Y54" s="95"/>
      <c r="Z54" s="95"/>
      <c r="AA54" s="95"/>
      <c r="AB54" s="95"/>
      <c r="AC54" s="95"/>
      <c r="AD54" s="95"/>
      <c r="AE54" s="95"/>
    </row>
    <row r="55" spans="1:32">
      <c r="A55" s="87"/>
      <c r="B55" s="88"/>
      <c r="C55" s="85"/>
      <c r="D55" s="85"/>
      <c r="E55" s="85"/>
      <c r="F55" s="85"/>
      <c r="G55" s="85"/>
      <c r="H55" s="89"/>
      <c r="I55" s="89"/>
      <c r="J55" s="89"/>
      <c r="K55" s="89"/>
      <c r="L55" s="85"/>
      <c r="M55" s="85"/>
      <c r="N55" s="85"/>
      <c r="O55" s="85"/>
      <c r="P55" s="85"/>
      <c r="Q55" s="85"/>
      <c r="R55" s="85"/>
      <c r="S55" s="85"/>
      <c r="T55" s="88"/>
      <c r="U55" s="88"/>
      <c r="V55" s="88"/>
      <c r="W55" s="88"/>
      <c r="X55" s="95"/>
      <c r="Y55" s="95"/>
      <c r="Z55" s="95"/>
      <c r="AA55" s="95"/>
      <c r="AB55" s="95"/>
      <c r="AC55" s="95"/>
      <c r="AD55" s="95"/>
      <c r="AE55" s="95"/>
    </row>
    <row r="56" spans="1:32">
      <c r="A56" s="87"/>
      <c r="B56" s="88"/>
      <c r="C56" s="85"/>
      <c r="D56" s="85"/>
      <c r="E56" s="85"/>
      <c r="F56" s="85"/>
      <c r="G56" s="85"/>
      <c r="H56" s="89"/>
      <c r="I56" s="89"/>
      <c r="J56" s="89"/>
      <c r="K56" s="89"/>
      <c r="L56" s="85"/>
      <c r="M56" s="85"/>
      <c r="N56" s="85"/>
      <c r="O56" s="85"/>
      <c r="P56" s="85"/>
      <c r="Q56" s="85"/>
      <c r="R56" s="85"/>
      <c r="S56" s="85"/>
      <c r="T56" s="88"/>
      <c r="U56" s="88"/>
      <c r="V56" s="88"/>
      <c r="W56" s="88"/>
      <c r="X56" s="95"/>
      <c r="Y56" s="95"/>
      <c r="Z56" s="95"/>
      <c r="AA56" s="95"/>
      <c r="AB56" s="95"/>
      <c r="AC56" s="95"/>
      <c r="AD56" s="95"/>
      <c r="AE56" s="95"/>
    </row>
    <row r="57" spans="1:32">
      <c r="A57" s="87"/>
      <c r="B57" s="88"/>
      <c r="C57" s="85"/>
      <c r="D57" s="85"/>
      <c r="E57" s="85"/>
      <c r="F57" s="85"/>
      <c r="G57" s="85"/>
      <c r="H57" s="89"/>
      <c r="I57" s="89"/>
      <c r="J57" s="89"/>
      <c r="K57" s="89"/>
      <c r="L57" s="85"/>
      <c r="M57" s="85"/>
      <c r="N57" s="85"/>
      <c r="O57" s="85"/>
      <c r="P57" s="85"/>
      <c r="Q57" s="85"/>
      <c r="R57" s="85"/>
      <c r="S57" s="85"/>
      <c r="T57" s="88"/>
      <c r="U57" s="88"/>
      <c r="V57" s="88"/>
      <c r="W57" s="88"/>
      <c r="X57" s="95"/>
      <c r="Y57" s="95"/>
      <c r="Z57" s="95"/>
      <c r="AA57" s="95"/>
      <c r="AB57" s="95"/>
      <c r="AC57" s="95"/>
      <c r="AD57" s="95"/>
      <c r="AE57" s="95"/>
    </row>
    <row r="58" spans="1:32">
      <c r="A58" s="87"/>
      <c r="B58" s="88"/>
      <c r="C58" s="85"/>
      <c r="D58" s="85"/>
      <c r="E58" s="85"/>
      <c r="F58" s="85"/>
      <c r="G58" s="85"/>
      <c r="H58" s="89"/>
      <c r="I58" s="89"/>
      <c r="J58" s="89"/>
      <c r="K58" s="89"/>
      <c r="L58" s="85"/>
      <c r="M58" s="85"/>
      <c r="N58" s="85"/>
      <c r="O58" s="85"/>
      <c r="P58" s="85"/>
      <c r="Q58" s="85"/>
      <c r="R58" s="85"/>
      <c r="S58" s="85"/>
      <c r="T58" s="88"/>
      <c r="U58" s="88"/>
      <c r="V58" s="88"/>
      <c r="W58" s="88"/>
      <c r="X58" s="95"/>
      <c r="Y58" s="95"/>
      <c r="Z58" s="95"/>
      <c r="AA58" s="95"/>
      <c r="AB58" s="95"/>
      <c r="AC58" s="95"/>
      <c r="AD58" s="95"/>
      <c r="AE58" s="95"/>
    </row>
    <row r="59" spans="1:32">
      <c r="A59" s="87"/>
      <c r="B59" s="88"/>
      <c r="C59" s="85"/>
      <c r="D59" s="85"/>
      <c r="E59" s="85"/>
      <c r="F59" s="85"/>
      <c r="G59" s="85"/>
      <c r="H59" s="89"/>
      <c r="I59" s="89"/>
      <c r="J59" s="89"/>
      <c r="K59" s="89"/>
      <c r="L59" s="85"/>
      <c r="M59" s="85"/>
      <c r="N59" s="85"/>
      <c r="O59" s="85"/>
      <c r="P59" s="85"/>
      <c r="Q59" s="85"/>
      <c r="R59" s="85"/>
      <c r="S59" s="85"/>
      <c r="T59" s="88"/>
      <c r="U59" s="88"/>
      <c r="V59" s="88"/>
      <c r="W59" s="88"/>
      <c r="X59" s="95"/>
      <c r="Y59" s="95"/>
      <c r="Z59" s="95"/>
      <c r="AA59" s="95"/>
      <c r="AB59" s="95"/>
      <c r="AC59" s="95"/>
      <c r="AD59" s="95"/>
      <c r="AE59" s="95"/>
    </row>
    <row r="60" spans="1:32">
      <c r="A60" s="87"/>
      <c r="B60" s="88"/>
      <c r="C60" s="85"/>
      <c r="D60" s="85"/>
      <c r="E60" s="85"/>
      <c r="F60" s="85"/>
      <c r="G60" s="85"/>
      <c r="H60" s="89"/>
      <c r="I60" s="89"/>
      <c r="J60" s="89"/>
      <c r="K60" s="89"/>
      <c r="L60" s="85"/>
      <c r="M60" s="85"/>
      <c r="N60" s="85"/>
      <c r="O60" s="85"/>
      <c r="P60" s="85"/>
      <c r="Q60" s="85"/>
      <c r="R60" s="85"/>
      <c r="S60" s="85"/>
      <c r="T60" s="88"/>
      <c r="U60" s="88"/>
      <c r="V60" s="88"/>
      <c r="W60" s="88"/>
      <c r="X60" s="95"/>
      <c r="Y60" s="95"/>
      <c r="Z60" s="95"/>
      <c r="AA60" s="95"/>
      <c r="AB60" s="95"/>
      <c r="AC60" s="95"/>
      <c r="AD60" s="95"/>
      <c r="AE60" s="95"/>
    </row>
    <row r="61" spans="1:32">
      <c r="A61" s="87">
        <v>7</v>
      </c>
      <c r="B61" s="88" t="s">
        <v>50</v>
      </c>
      <c r="C61" s="86" t="s">
        <v>51</v>
      </c>
      <c r="D61" s="85"/>
      <c r="E61" s="85"/>
      <c r="F61" s="85"/>
      <c r="G61" s="85"/>
      <c r="H61" s="89"/>
      <c r="I61" s="89"/>
      <c r="J61" s="89"/>
      <c r="K61" s="89"/>
      <c r="L61" s="85" t="s">
        <v>52</v>
      </c>
      <c r="M61" s="85"/>
      <c r="N61" s="85"/>
      <c r="O61" s="85"/>
      <c r="P61" s="86" t="s">
        <v>39</v>
      </c>
      <c r="Q61" s="85"/>
      <c r="R61" s="85"/>
      <c r="S61" s="85"/>
      <c r="T61" s="88" t="s">
        <v>53</v>
      </c>
      <c r="U61" s="88"/>
      <c r="V61" s="88"/>
      <c r="W61" s="88"/>
      <c r="X61" s="95"/>
      <c r="Y61" s="95"/>
      <c r="Z61" s="95"/>
      <c r="AA61" s="95"/>
      <c r="AB61" s="95"/>
      <c r="AC61" s="95"/>
      <c r="AD61" s="95"/>
      <c r="AE61" s="95"/>
    </row>
    <row r="62" spans="1:32">
      <c r="A62" s="87"/>
      <c r="B62" s="88"/>
      <c r="C62" s="85"/>
      <c r="D62" s="85"/>
      <c r="E62" s="85"/>
      <c r="F62" s="85"/>
      <c r="G62" s="85"/>
      <c r="H62" s="89"/>
      <c r="I62" s="89"/>
      <c r="J62" s="89"/>
      <c r="K62" s="89"/>
      <c r="L62" s="85"/>
      <c r="M62" s="85"/>
      <c r="N62" s="85"/>
      <c r="O62" s="85"/>
      <c r="P62" s="85"/>
      <c r="Q62" s="85"/>
      <c r="R62" s="85"/>
      <c r="S62" s="85"/>
      <c r="T62" s="88"/>
      <c r="U62" s="88"/>
      <c r="V62" s="88"/>
      <c r="W62" s="88"/>
      <c r="X62" s="95"/>
      <c r="Y62" s="95"/>
      <c r="Z62" s="95"/>
      <c r="AA62" s="95"/>
      <c r="AB62" s="95"/>
      <c r="AC62" s="95"/>
      <c r="AD62" s="95"/>
      <c r="AE62" s="95"/>
    </row>
    <row r="63" spans="1:32">
      <c r="A63" s="87"/>
      <c r="B63" s="88"/>
      <c r="C63" s="85"/>
      <c r="D63" s="85"/>
      <c r="E63" s="85"/>
      <c r="F63" s="85"/>
      <c r="G63" s="85"/>
      <c r="H63" s="89"/>
      <c r="I63" s="89"/>
      <c r="J63" s="89"/>
      <c r="K63" s="89"/>
      <c r="L63" s="85"/>
      <c r="M63" s="85"/>
      <c r="N63" s="85"/>
      <c r="O63" s="85"/>
      <c r="P63" s="85"/>
      <c r="Q63" s="85"/>
      <c r="R63" s="85"/>
      <c r="S63" s="85"/>
      <c r="T63" s="88"/>
      <c r="U63" s="88"/>
      <c r="V63" s="88"/>
      <c r="W63" s="88"/>
      <c r="X63" s="95"/>
      <c r="Y63" s="95"/>
      <c r="Z63" s="95"/>
      <c r="AA63" s="95"/>
      <c r="AB63" s="95"/>
      <c r="AC63" s="95"/>
      <c r="AD63" s="95"/>
      <c r="AE63" s="95"/>
    </row>
    <row r="64" spans="1:32">
      <c r="A64" s="87"/>
      <c r="B64" s="88"/>
      <c r="C64" s="85"/>
      <c r="D64" s="85"/>
      <c r="E64" s="85"/>
      <c r="F64" s="85"/>
      <c r="G64" s="85"/>
      <c r="H64" s="89"/>
      <c r="I64" s="89"/>
      <c r="J64" s="89"/>
      <c r="K64" s="89"/>
      <c r="L64" s="85"/>
      <c r="M64" s="85"/>
      <c r="N64" s="85"/>
      <c r="O64" s="85"/>
      <c r="P64" s="85"/>
      <c r="Q64" s="85"/>
      <c r="R64" s="85"/>
      <c r="S64" s="85"/>
      <c r="T64" s="88"/>
      <c r="U64" s="88"/>
      <c r="V64" s="88"/>
      <c r="W64" s="88"/>
      <c r="X64" s="95"/>
      <c r="Y64" s="95"/>
      <c r="Z64" s="95"/>
      <c r="AA64" s="95"/>
      <c r="AB64" s="95"/>
      <c r="AC64" s="95"/>
      <c r="AD64" s="95"/>
      <c r="AE64" s="95"/>
    </row>
    <row r="65" spans="1:31">
      <c r="A65" s="87"/>
      <c r="B65" s="88"/>
      <c r="C65" s="85"/>
      <c r="D65" s="85"/>
      <c r="E65" s="85"/>
      <c r="F65" s="85"/>
      <c r="G65" s="85"/>
      <c r="H65" s="89"/>
      <c r="I65" s="89"/>
      <c r="J65" s="89"/>
      <c r="K65" s="89"/>
      <c r="L65" s="85"/>
      <c r="M65" s="85"/>
      <c r="N65" s="85"/>
      <c r="O65" s="85"/>
      <c r="P65" s="85"/>
      <c r="Q65" s="85"/>
      <c r="R65" s="85"/>
      <c r="S65" s="85"/>
      <c r="T65" s="88"/>
      <c r="U65" s="88"/>
      <c r="V65" s="88"/>
      <c r="W65" s="88"/>
      <c r="X65" s="95"/>
      <c r="Y65" s="95"/>
      <c r="Z65" s="95"/>
      <c r="AA65" s="95"/>
      <c r="AB65" s="95"/>
      <c r="AC65" s="95"/>
      <c r="AD65" s="95"/>
      <c r="AE65" s="95"/>
    </row>
    <row r="66" spans="1:31">
      <c r="A66" s="87"/>
      <c r="B66" s="88"/>
      <c r="C66" s="85"/>
      <c r="D66" s="85"/>
      <c r="E66" s="85"/>
      <c r="F66" s="85"/>
      <c r="G66" s="85"/>
      <c r="H66" s="89"/>
      <c r="I66" s="89"/>
      <c r="J66" s="89"/>
      <c r="K66" s="89"/>
      <c r="L66" s="85"/>
      <c r="M66" s="85"/>
      <c r="N66" s="85"/>
      <c r="O66" s="85"/>
      <c r="P66" s="85"/>
      <c r="Q66" s="85"/>
      <c r="R66" s="85"/>
      <c r="S66" s="85"/>
      <c r="T66" s="88"/>
      <c r="U66" s="88"/>
      <c r="V66" s="88"/>
      <c r="W66" s="88"/>
      <c r="X66" s="95"/>
      <c r="Y66" s="95"/>
      <c r="Z66" s="95"/>
      <c r="AA66" s="95"/>
      <c r="AB66" s="95"/>
      <c r="AC66" s="95"/>
      <c r="AD66" s="95"/>
      <c r="AE66" s="95"/>
    </row>
    <row r="67" spans="1:31">
      <c r="A67" s="87"/>
      <c r="B67" s="88"/>
      <c r="C67" s="85"/>
      <c r="D67" s="85"/>
      <c r="E67" s="85"/>
      <c r="F67" s="85"/>
      <c r="G67" s="85"/>
      <c r="H67" s="89"/>
      <c r="I67" s="89"/>
      <c r="J67" s="89"/>
      <c r="K67" s="89"/>
      <c r="L67" s="85"/>
      <c r="M67" s="85"/>
      <c r="N67" s="85"/>
      <c r="O67" s="85"/>
      <c r="P67" s="85"/>
      <c r="Q67" s="85"/>
      <c r="R67" s="85"/>
      <c r="S67" s="85"/>
      <c r="T67" s="88"/>
      <c r="U67" s="88"/>
      <c r="V67" s="88"/>
      <c r="W67" s="88"/>
      <c r="X67" s="95"/>
      <c r="Y67" s="95"/>
      <c r="Z67" s="95"/>
      <c r="AA67" s="95"/>
      <c r="AB67" s="95"/>
      <c r="AC67" s="95"/>
      <c r="AD67" s="95"/>
      <c r="AE67" s="95"/>
    </row>
    <row r="68" spans="1:31">
      <c r="A68" s="87"/>
      <c r="B68" s="88"/>
      <c r="C68" s="85"/>
      <c r="D68" s="85"/>
      <c r="E68" s="85"/>
      <c r="F68" s="85"/>
      <c r="G68" s="85"/>
      <c r="H68" s="89"/>
      <c r="I68" s="89"/>
      <c r="J68" s="89"/>
      <c r="K68" s="89"/>
      <c r="L68" s="85"/>
      <c r="M68" s="85"/>
      <c r="N68" s="85"/>
      <c r="O68" s="85"/>
      <c r="P68" s="85"/>
      <c r="Q68" s="85"/>
      <c r="R68" s="85"/>
      <c r="S68" s="85"/>
      <c r="T68" s="88"/>
      <c r="U68" s="88"/>
      <c r="V68" s="88"/>
      <c r="W68" s="88"/>
      <c r="X68" s="95"/>
      <c r="Y68" s="95"/>
      <c r="Z68" s="95"/>
      <c r="AA68" s="95"/>
      <c r="AB68" s="95"/>
      <c r="AC68" s="95"/>
      <c r="AD68" s="95"/>
      <c r="AE68" s="95"/>
    </row>
    <row r="69" spans="1:31">
      <c r="A69" s="87"/>
      <c r="B69" s="88"/>
      <c r="C69" s="85"/>
      <c r="D69" s="85"/>
      <c r="E69" s="85"/>
      <c r="F69" s="85"/>
      <c r="G69" s="85"/>
      <c r="H69" s="89"/>
      <c r="I69" s="89"/>
      <c r="J69" s="89"/>
      <c r="K69" s="89"/>
      <c r="L69" s="85"/>
      <c r="M69" s="85"/>
      <c r="N69" s="85"/>
      <c r="O69" s="85"/>
      <c r="P69" s="85"/>
      <c r="Q69" s="85"/>
      <c r="R69" s="85"/>
      <c r="S69" s="85"/>
      <c r="T69" s="88"/>
      <c r="U69" s="88"/>
      <c r="V69" s="88"/>
      <c r="W69" s="88"/>
      <c r="X69" s="95"/>
      <c r="Y69" s="95"/>
      <c r="Z69" s="95"/>
      <c r="AA69" s="95"/>
      <c r="AB69" s="95"/>
      <c r="AC69" s="95"/>
      <c r="AD69" s="95"/>
      <c r="AE69" s="95"/>
    </row>
    <row r="70" spans="1:31">
      <c r="A70" s="87"/>
      <c r="B70" s="88"/>
      <c r="C70" s="85"/>
      <c r="D70" s="85"/>
      <c r="E70" s="85"/>
      <c r="F70" s="85"/>
      <c r="G70" s="85"/>
      <c r="H70" s="89"/>
      <c r="I70" s="89"/>
      <c r="J70" s="89"/>
      <c r="K70" s="89"/>
      <c r="L70" s="85"/>
      <c r="M70" s="85"/>
      <c r="N70" s="85"/>
      <c r="O70" s="85"/>
      <c r="P70" s="85"/>
      <c r="Q70" s="85"/>
      <c r="R70" s="85"/>
      <c r="S70" s="85"/>
      <c r="T70" s="88"/>
      <c r="U70" s="88"/>
      <c r="V70" s="88"/>
      <c r="W70" s="88"/>
      <c r="X70" s="95"/>
      <c r="Y70" s="95"/>
      <c r="Z70" s="95"/>
      <c r="AA70" s="95"/>
      <c r="AB70" s="95"/>
      <c r="AC70" s="95"/>
      <c r="AD70" s="95"/>
      <c r="AE70" s="95"/>
    </row>
    <row r="71" spans="1:31" ht="40.5" customHeight="1">
      <c r="A71" s="87"/>
      <c r="B71" s="88"/>
      <c r="C71" s="85"/>
      <c r="D71" s="85"/>
      <c r="E71" s="85"/>
      <c r="F71" s="85"/>
      <c r="G71" s="85"/>
      <c r="H71" s="89"/>
      <c r="I71" s="89"/>
      <c r="J71" s="89"/>
      <c r="K71" s="89"/>
      <c r="L71" s="85"/>
      <c r="M71" s="85"/>
      <c r="N71" s="85"/>
      <c r="O71" s="85"/>
      <c r="P71" s="85"/>
      <c r="Q71" s="85"/>
      <c r="R71" s="85"/>
      <c r="S71" s="85"/>
      <c r="T71" s="88"/>
      <c r="U71" s="88"/>
      <c r="V71" s="88"/>
      <c r="W71" s="88"/>
      <c r="X71" s="95"/>
      <c r="Y71" s="95"/>
      <c r="Z71" s="95"/>
      <c r="AA71" s="95"/>
      <c r="AB71" s="95"/>
      <c r="AC71" s="95"/>
      <c r="AD71" s="95"/>
      <c r="AE71" s="95"/>
    </row>
    <row r="72" spans="1:31">
      <c r="A72" s="87">
        <v>8</v>
      </c>
      <c r="B72" s="88" t="s">
        <v>54</v>
      </c>
      <c r="C72" s="85" t="s">
        <v>55</v>
      </c>
      <c r="D72" s="85"/>
      <c r="E72" s="85"/>
      <c r="F72" s="85"/>
      <c r="G72" s="85"/>
      <c r="H72" s="85"/>
      <c r="I72" s="85"/>
      <c r="J72" s="85"/>
      <c r="K72" s="85"/>
      <c r="L72" s="85" t="s">
        <v>56</v>
      </c>
      <c r="M72" s="85"/>
      <c r="N72" s="85"/>
      <c r="O72" s="85"/>
      <c r="P72" s="85" t="s">
        <v>57</v>
      </c>
      <c r="Q72" s="85"/>
      <c r="R72" s="85"/>
      <c r="S72" s="85"/>
      <c r="T72" s="88" t="s">
        <v>58</v>
      </c>
      <c r="U72" s="88"/>
      <c r="V72" s="88"/>
      <c r="W72" s="88"/>
      <c r="X72" s="95"/>
      <c r="Y72" s="95"/>
      <c r="Z72" s="95"/>
      <c r="AA72" s="95"/>
      <c r="AB72" s="95"/>
      <c r="AC72" s="95"/>
      <c r="AD72" s="95"/>
      <c r="AE72" s="95"/>
    </row>
    <row r="73" spans="1:31">
      <c r="A73" s="87"/>
      <c r="B73" s="88"/>
      <c r="C73" s="85"/>
      <c r="D73" s="85"/>
      <c r="E73" s="85"/>
      <c r="F73" s="85"/>
      <c r="G73" s="85"/>
      <c r="H73" s="85"/>
      <c r="I73" s="85"/>
      <c r="J73" s="85"/>
      <c r="K73" s="85"/>
      <c r="L73" s="85"/>
      <c r="M73" s="85"/>
      <c r="N73" s="85"/>
      <c r="O73" s="85"/>
      <c r="P73" s="85"/>
      <c r="Q73" s="85"/>
      <c r="R73" s="85"/>
      <c r="S73" s="85"/>
      <c r="T73" s="88"/>
      <c r="U73" s="88"/>
      <c r="V73" s="88"/>
      <c r="W73" s="88"/>
      <c r="X73" s="95"/>
      <c r="Y73" s="95"/>
      <c r="Z73" s="95"/>
      <c r="AA73" s="95"/>
      <c r="AB73" s="95"/>
      <c r="AC73" s="95"/>
      <c r="AD73" s="95"/>
      <c r="AE73" s="95"/>
    </row>
    <row r="74" spans="1:31">
      <c r="A74" s="87"/>
      <c r="B74" s="88"/>
      <c r="C74" s="85"/>
      <c r="D74" s="85"/>
      <c r="E74" s="85"/>
      <c r="F74" s="85"/>
      <c r="G74" s="85"/>
      <c r="H74" s="85"/>
      <c r="I74" s="85"/>
      <c r="J74" s="85"/>
      <c r="K74" s="85"/>
      <c r="L74" s="85"/>
      <c r="M74" s="85"/>
      <c r="N74" s="85"/>
      <c r="O74" s="85"/>
      <c r="P74" s="85"/>
      <c r="Q74" s="85"/>
      <c r="R74" s="85"/>
      <c r="S74" s="85"/>
      <c r="T74" s="88"/>
      <c r="U74" s="88"/>
      <c r="V74" s="88"/>
      <c r="W74" s="88"/>
      <c r="X74" s="95"/>
      <c r="Y74" s="95"/>
      <c r="Z74" s="95"/>
      <c r="AA74" s="95"/>
      <c r="AB74" s="95"/>
      <c r="AC74" s="95"/>
      <c r="AD74" s="95"/>
      <c r="AE74" s="95"/>
    </row>
    <row r="75" spans="1:31">
      <c r="A75" s="87"/>
      <c r="B75" s="88"/>
      <c r="C75" s="85"/>
      <c r="D75" s="85"/>
      <c r="E75" s="85"/>
      <c r="F75" s="85"/>
      <c r="G75" s="85"/>
      <c r="H75" s="85"/>
      <c r="I75" s="85"/>
      <c r="J75" s="85"/>
      <c r="K75" s="85"/>
      <c r="L75" s="85"/>
      <c r="M75" s="85"/>
      <c r="N75" s="85"/>
      <c r="O75" s="85"/>
      <c r="P75" s="85"/>
      <c r="Q75" s="85"/>
      <c r="R75" s="85"/>
      <c r="S75" s="85"/>
      <c r="T75" s="88"/>
      <c r="U75" s="88"/>
      <c r="V75" s="88"/>
      <c r="W75" s="88"/>
      <c r="X75" s="95"/>
      <c r="Y75" s="95"/>
      <c r="Z75" s="95"/>
      <c r="AA75" s="95"/>
      <c r="AB75" s="95"/>
      <c r="AC75" s="95"/>
      <c r="AD75" s="95"/>
      <c r="AE75" s="95"/>
    </row>
    <row r="76" spans="1:31">
      <c r="A76" s="87"/>
      <c r="B76" s="88"/>
      <c r="C76" s="85"/>
      <c r="D76" s="85"/>
      <c r="E76" s="85"/>
      <c r="F76" s="85"/>
      <c r="G76" s="85"/>
      <c r="H76" s="85"/>
      <c r="I76" s="85"/>
      <c r="J76" s="85"/>
      <c r="K76" s="85"/>
      <c r="L76" s="85"/>
      <c r="M76" s="85"/>
      <c r="N76" s="85"/>
      <c r="O76" s="85"/>
      <c r="P76" s="85"/>
      <c r="Q76" s="85"/>
      <c r="R76" s="85"/>
      <c r="S76" s="85"/>
      <c r="T76" s="88"/>
      <c r="U76" s="88"/>
      <c r="V76" s="88"/>
      <c r="W76" s="88"/>
      <c r="X76" s="95"/>
      <c r="Y76" s="95"/>
      <c r="Z76" s="95"/>
      <c r="AA76" s="95"/>
      <c r="AB76" s="95"/>
      <c r="AC76" s="95"/>
      <c r="AD76" s="95"/>
      <c r="AE76" s="95"/>
    </row>
    <row r="77" spans="1:31">
      <c r="A77" s="87"/>
      <c r="B77" s="88"/>
      <c r="C77" s="85"/>
      <c r="D77" s="85"/>
      <c r="E77" s="85"/>
      <c r="F77" s="85"/>
      <c r="G77" s="85"/>
      <c r="H77" s="85"/>
      <c r="I77" s="85"/>
      <c r="J77" s="85"/>
      <c r="K77" s="85"/>
      <c r="L77" s="85"/>
      <c r="M77" s="85"/>
      <c r="N77" s="85"/>
      <c r="O77" s="85"/>
      <c r="P77" s="85"/>
      <c r="Q77" s="85"/>
      <c r="R77" s="85"/>
      <c r="S77" s="85"/>
      <c r="T77" s="88"/>
      <c r="U77" s="88"/>
      <c r="V77" s="88"/>
      <c r="W77" s="88"/>
      <c r="X77" s="95"/>
      <c r="Y77" s="95"/>
      <c r="Z77" s="95"/>
      <c r="AA77" s="95"/>
      <c r="AB77" s="95"/>
      <c r="AC77" s="95"/>
      <c r="AD77" s="95"/>
      <c r="AE77" s="95"/>
    </row>
    <row r="78" spans="1:31">
      <c r="A78" s="87"/>
      <c r="B78" s="88"/>
      <c r="C78" s="85"/>
      <c r="D78" s="85"/>
      <c r="E78" s="85"/>
      <c r="F78" s="85"/>
      <c r="G78" s="85"/>
      <c r="H78" s="85"/>
      <c r="I78" s="85"/>
      <c r="J78" s="85"/>
      <c r="K78" s="85"/>
      <c r="L78" s="85"/>
      <c r="M78" s="85"/>
      <c r="N78" s="85"/>
      <c r="O78" s="85"/>
      <c r="P78" s="85"/>
      <c r="Q78" s="85"/>
      <c r="R78" s="85"/>
      <c r="S78" s="85"/>
      <c r="T78" s="88"/>
      <c r="U78" s="88"/>
      <c r="V78" s="88"/>
      <c r="W78" s="88"/>
      <c r="X78" s="95"/>
      <c r="Y78" s="95"/>
      <c r="Z78" s="95"/>
      <c r="AA78" s="95"/>
      <c r="AB78" s="95"/>
      <c r="AC78" s="95"/>
      <c r="AD78" s="95"/>
      <c r="AE78" s="95"/>
    </row>
    <row r="79" spans="1:31">
      <c r="A79" s="87"/>
      <c r="B79" s="88"/>
      <c r="C79" s="85"/>
      <c r="D79" s="85"/>
      <c r="E79" s="85"/>
      <c r="F79" s="85"/>
      <c r="G79" s="85"/>
      <c r="H79" s="85"/>
      <c r="I79" s="85"/>
      <c r="J79" s="85"/>
      <c r="K79" s="85"/>
      <c r="L79" s="85"/>
      <c r="M79" s="85"/>
      <c r="N79" s="85"/>
      <c r="O79" s="85"/>
      <c r="P79" s="85"/>
      <c r="Q79" s="85"/>
      <c r="R79" s="85"/>
      <c r="S79" s="85"/>
      <c r="T79" s="88"/>
      <c r="U79" s="88"/>
      <c r="V79" s="88"/>
      <c r="W79" s="88"/>
      <c r="X79" s="95"/>
      <c r="Y79" s="95"/>
      <c r="Z79" s="95"/>
      <c r="AA79" s="95"/>
      <c r="AB79" s="95"/>
      <c r="AC79" s="95"/>
      <c r="AD79" s="95"/>
      <c r="AE79" s="95"/>
    </row>
    <row r="80" spans="1:31">
      <c r="A80" s="87"/>
      <c r="B80" s="88"/>
      <c r="C80" s="85"/>
      <c r="D80" s="85"/>
      <c r="E80" s="85"/>
      <c r="F80" s="85"/>
      <c r="G80" s="85"/>
      <c r="H80" s="85"/>
      <c r="I80" s="85"/>
      <c r="J80" s="85"/>
      <c r="K80" s="85"/>
      <c r="L80" s="85"/>
      <c r="M80" s="85"/>
      <c r="N80" s="85"/>
      <c r="O80" s="85"/>
      <c r="P80" s="85"/>
      <c r="Q80" s="85"/>
      <c r="R80" s="85"/>
      <c r="S80" s="85"/>
      <c r="T80" s="88"/>
      <c r="U80" s="88"/>
      <c r="V80" s="88"/>
      <c r="W80" s="88"/>
      <c r="X80" s="95"/>
      <c r="Y80" s="95"/>
      <c r="Z80" s="95"/>
      <c r="AA80" s="95"/>
      <c r="AB80" s="95"/>
      <c r="AC80" s="95"/>
      <c r="AD80" s="95"/>
      <c r="AE80" s="95"/>
    </row>
    <row r="81" spans="1:31">
      <c r="A81" s="87"/>
      <c r="B81" s="88"/>
      <c r="C81" s="85"/>
      <c r="D81" s="85"/>
      <c r="E81" s="85"/>
      <c r="F81" s="85"/>
      <c r="G81" s="85"/>
      <c r="H81" s="85"/>
      <c r="I81" s="85"/>
      <c r="J81" s="85"/>
      <c r="K81" s="85"/>
      <c r="L81" s="85"/>
      <c r="M81" s="85"/>
      <c r="N81" s="85"/>
      <c r="O81" s="85"/>
      <c r="P81" s="85"/>
      <c r="Q81" s="85"/>
      <c r="R81" s="85"/>
      <c r="S81" s="85"/>
      <c r="T81" s="88"/>
      <c r="U81" s="88"/>
      <c r="V81" s="88"/>
      <c r="W81" s="88"/>
      <c r="X81" s="95"/>
      <c r="Y81" s="95"/>
      <c r="Z81" s="95"/>
      <c r="AA81" s="95"/>
      <c r="AB81" s="95"/>
      <c r="AC81" s="95"/>
      <c r="AD81" s="95"/>
      <c r="AE81" s="95"/>
    </row>
    <row r="82" spans="1:31">
      <c r="A82" s="87">
        <v>9</v>
      </c>
      <c r="B82" s="88" t="s">
        <v>59</v>
      </c>
      <c r="C82" s="85" t="s">
        <v>60</v>
      </c>
      <c r="D82" s="85"/>
      <c r="E82" s="85"/>
      <c r="F82" s="85"/>
      <c r="G82" s="85"/>
      <c r="H82" s="85"/>
      <c r="I82" s="85"/>
      <c r="J82" s="85"/>
      <c r="K82" s="85"/>
      <c r="L82" s="85" t="s">
        <v>61</v>
      </c>
      <c r="M82" s="85"/>
      <c r="N82" s="85"/>
      <c r="O82" s="85"/>
      <c r="P82" s="85" t="s">
        <v>62</v>
      </c>
      <c r="Q82" s="85"/>
      <c r="R82" s="85"/>
      <c r="S82" s="85"/>
      <c r="T82" s="88" t="s">
        <v>63</v>
      </c>
      <c r="U82" s="88"/>
      <c r="V82" s="88"/>
      <c r="W82" s="88"/>
      <c r="X82" s="95"/>
      <c r="Y82" s="95"/>
      <c r="Z82" s="95"/>
      <c r="AA82" s="95"/>
      <c r="AB82" s="95"/>
      <c r="AC82" s="95"/>
      <c r="AD82" s="95"/>
      <c r="AE82" s="95"/>
    </row>
    <row r="83" spans="1:31">
      <c r="A83" s="87"/>
      <c r="B83" s="88"/>
      <c r="C83" s="85"/>
      <c r="D83" s="85"/>
      <c r="E83" s="85"/>
      <c r="F83" s="85"/>
      <c r="G83" s="85"/>
      <c r="H83" s="85"/>
      <c r="I83" s="85"/>
      <c r="J83" s="85"/>
      <c r="K83" s="85"/>
      <c r="L83" s="85"/>
      <c r="M83" s="85"/>
      <c r="N83" s="85"/>
      <c r="O83" s="85"/>
      <c r="P83" s="85"/>
      <c r="Q83" s="85"/>
      <c r="R83" s="85"/>
      <c r="S83" s="85"/>
      <c r="T83" s="88"/>
      <c r="U83" s="88"/>
      <c r="V83" s="88"/>
      <c r="W83" s="88"/>
      <c r="X83" s="95"/>
      <c r="Y83" s="95"/>
      <c r="Z83" s="95"/>
      <c r="AA83" s="95"/>
      <c r="AB83" s="95"/>
      <c r="AC83" s="95"/>
      <c r="AD83" s="95"/>
      <c r="AE83" s="95"/>
    </row>
    <row r="84" spans="1:31">
      <c r="A84" s="87"/>
      <c r="B84" s="88"/>
      <c r="C84" s="85"/>
      <c r="D84" s="85"/>
      <c r="E84" s="85"/>
      <c r="F84" s="85"/>
      <c r="G84" s="85"/>
      <c r="H84" s="85"/>
      <c r="I84" s="85"/>
      <c r="J84" s="85"/>
      <c r="K84" s="85"/>
      <c r="L84" s="85"/>
      <c r="M84" s="85"/>
      <c r="N84" s="85"/>
      <c r="O84" s="85"/>
      <c r="P84" s="85"/>
      <c r="Q84" s="85"/>
      <c r="R84" s="85"/>
      <c r="S84" s="85"/>
      <c r="T84" s="88"/>
      <c r="U84" s="88"/>
      <c r="V84" s="88"/>
      <c r="W84" s="88"/>
      <c r="X84" s="95"/>
      <c r="Y84" s="95"/>
      <c r="Z84" s="95"/>
      <c r="AA84" s="95"/>
      <c r="AB84" s="95"/>
      <c r="AC84" s="95"/>
      <c r="AD84" s="95"/>
      <c r="AE84" s="95"/>
    </row>
    <row r="85" spans="1:31">
      <c r="A85" s="87"/>
      <c r="B85" s="88"/>
      <c r="C85" s="85"/>
      <c r="D85" s="85"/>
      <c r="E85" s="85"/>
      <c r="F85" s="85"/>
      <c r="G85" s="85"/>
      <c r="H85" s="85"/>
      <c r="I85" s="85"/>
      <c r="J85" s="85"/>
      <c r="K85" s="85"/>
      <c r="L85" s="85"/>
      <c r="M85" s="85"/>
      <c r="N85" s="85"/>
      <c r="O85" s="85"/>
      <c r="P85" s="85"/>
      <c r="Q85" s="85"/>
      <c r="R85" s="85"/>
      <c r="S85" s="85"/>
      <c r="T85" s="88"/>
      <c r="U85" s="88"/>
      <c r="V85" s="88"/>
      <c r="W85" s="88"/>
      <c r="X85" s="95"/>
      <c r="Y85" s="95"/>
      <c r="Z85" s="95"/>
      <c r="AA85" s="95"/>
      <c r="AB85" s="95"/>
      <c r="AC85" s="95"/>
      <c r="AD85" s="95"/>
      <c r="AE85" s="95"/>
    </row>
    <row r="86" spans="1:31">
      <c r="A86" s="87"/>
      <c r="B86" s="88"/>
      <c r="C86" s="85"/>
      <c r="D86" s="85"/>
      <c r="E86" s="85"/>
      <c r="F86" s="85"/>
      <c r="G86" s="85"/>
      <c r="H86" s="85"/>
      <c r="I86" s="85"/>
      <c r="J86" s="85"/>
      <c r="K86" s="85"/>
      <c r="L86" s="85"/>
      <c r="M86" s="85"/>
      <c r="N86" s="85"/>
      <c r="O86" s="85"/>
      <c r="P86" s="85"/>
      <c r="Q86" s="85"/>
      <c r="R86" s="85"/>
      <c r="S86" s="85"/>
      <c r="T86" s="88"/>
      <c r="U86" s="88"/>
      <c r="V86" s="88"/>
      <c r="W86" s="88"/>
      <c r="X86" s="95"/>
      <c r="Y86" s="95"/>
      <c r="Z86" s="95"/>
      <c r="AA86" s="95"/>
      <c r="AB86" s="95"/>
      <c r="AC86" s="95"/>
      <c r="AD86" s="95"/>
      <c r="AE86" s="95"/>
    </row>
    <row r="87" spans="1:31">
      <c r="A87" s="87"/>
      <c r="B87" s="88"/>
      <c r="C87" s="85"/>
      <c r="D87" s="85"/>
      <c r="E87" s="85"/>
      <c r="F87" s="85"/>
      <c r="G87" s="85"/>
      <c r="H87" s="85"/>
      <c r="I87" s="85"/>
      <c r="J87" s="85"/>
      <c r="K87" s="85"/>
      <c r="L87" s="85"/>
      <c r="M87" s="85"/>
      <c r="N87" s="85"/>
      <c r="O87" s="85"/>
      <c r="P87" s="85"/>
      <c r="Q87" s="85"/>
      <c r="R87" s="85"/>
      <c r="S87" s="85"/>
      <c r="T87" s="88"/>
      <c r="U87" s="88"/>
      <c r="V87" s="88"/>
      <c r="W87" s="88"/>
      <c r="X87" s="95"/>
      <c r="Y87" s="95"/>
      <c r="Z87" s="95"/>
      <c r="AA87" s="95"/>
      <c r="AB87" s="95"/>
      <c r="AC87" s="95"/>
      <c r="AD87" s="95"/>
      <c r="AE87" s="95"/>
    </row>
    <row r="88" spans="1:31">
      <c r="A88" s="87"/>
      <c r="B88" s="88"/>
      <c r="C88" s="85"/>
      <c r="D88" s="85"/>
      <c r="E88" s="85"/>
      <c r="F88" s="85"/>
      <c r="G88" s="85"/>
      <c r="H88" s="85"/>
      <c r="I88" s="85"/>
      <c r="J88" s="85"/>
      <c r="K88" s="85"/>
      <c r="L88" s="85"/>
      <c r="M88" s="85"/>
      <c r="N88" s="85"/>
      <c r="O88" s="85"/>
      <c r="P88" s="85"/>
      <c r="Q88" s="85"/>
      <c r="R88" s="85"/>
      <c r="S88" s="85"/>
      <c r="T88" s="88"/>
      <c r="U88" s="88"/>
      <c r="V88" s="88"/>
      <c r="W88" s="88"/>
      <c r="X88" s="95"/>
      <c r="Y88" s="95"/>
      <c r="Z88" s="95"/>
      <c r="AA88" s="95"/>
      <c r="AB88" s="95"/>
      <c r="AC88" s="95"/>
      <c r="AD88" s="95"/>
      <c r="AE88" s="95"/>
    </row>
    <row r="89" spans="1:31">
      <c r="A89" s="87"/>
      <c r="B89" s="88"/>
      <c r="C89" s="85"/>
      <c r="D89" s="85"/>
      <c r="E89" s="85"/>
      <c r="F89" s="85"/>
      <c r="G89" s="85"/>
      <c r="H89" s="85"/>
      <c r="I89" s="85"/>
      <c r="J89" s="85"/>
      <c r="K89" s="85"/>
      <c r="L89" s="85"/>
      <c r="M89" s="85"/>
      <c r="N89" s="85"/>
      <c r="O89" s="85"/>
      <c r="P89" s="85"/>
      <c r="Q89" s="85"/>
      <c r="R89" s="85"/>
      <c r="S89" s="85"/>
      <c r="T89" s="88"/>
      <c r="U89" s="88"/>
      <c r="V89" s="88"/>
      <c r="W89" s="88"/>
      <c r="X89" s="95"/>
      <c r="Y89" s="95"/>
      <c r="Z89" s="95"/>
      <c r="AA89" s="95"/>
      <c r="AB89" s="95"/>
      <c r="AC89" s="95"/>
      <c r="AD89" s="95"/>
      <c r="AE89" s="95"/>
    </row>
    <row r="90" spans="1:31">
      <c r="A90" s="87"/>
      <c r="B90" s="88"/>
      <c r="C90" s="85"/>
      <c r="D90" s="85"/>
      <c r="E90" s="85"/>
      <c r="F90" s="85"/>
      <c r="G90" s="85"/>
      <c r="H90" s="85"/>
      <c r="I90" s="85"/>
      <c r="J90" s="85"/>
      <c r="K90" s="85"/>
      <c r="L90" s="85"/>
      <c r="M90" s="85"/>
      <c r="N90" s="85"/>
      <c r="O90" s="85"/>
      <c r="P90" s="85"/>
      <c r="Q90" s="85"/>
      <c r="R90" s="85"/>
      <c r="S90" s="85"/>
      <c r="T90" s="88"/>
      <c r="U90" s="88"/>
      <c r="V90" s="88"/>
      <c r="W90" s="88"/>
      <c r="X90" s="95"/>
      <c r="Y90" s="95"/>
      <c r="Z90" s="95"/>
      <c r="AA90" s="95"/>
      <c r="AB90" s="95"/>
      <c r="AC90" s="95"/>
      <c r="AD90" s="95"/>
      <c r="AE90" s="95"/>
    </row>
    <row r="91" spans="1:31">
      <c r="A91" s="87"/>
      <c r="B91" s="88"/>
      <c r="C91" s="85"/>
      <c r="D91" s="85"/>
      <c r="E91" s="85"/>
      <c r="F91" s="85"/>
      <c r="G91" s="85"/>
      <c r="H91" s="85"/>
      <c r="I91" s="85"/>
      <c r="J91" s="85"/>
      <c r="K91" s="85"/>
      <c r="L91" s="85"/>
      <c r="M91" s="85"/>
      <c r="N91" s="85"/>
      <c r="O91" s="85"/>
      <c r="P91" s="85"/>
      <c r="Q91" s="85"/>
      <c r="R91" s="85"/>
      <c r="S91" s="85"/>
      <c r="T91" s="88"/>
      <c r="U91" s="88"/>
      <c r="V91" s="88"/>
      <c r="W91" s="88"/>
      <c r="X91" s="95"/>
      <c r="Y91" s="95"/>
      <c r="Z91" s="95"/>
      <c r="AA91" s="95"/>
      <c r="AB91" s="95"/>
      <c r="AC91" s="95"/>
      <c r="AD91" s="95"/>
      <c r="AE91" s="95"/>
    </row>
    <row r="92" spans="1:31">
      <c r="A92" s="87">
        <v>10</v>
      </c>
      <c r="B92" s="88" t="s">
        <v>64</v>
      </c>
      <c r="C92" s="85" t="s">
        <v>65</v>
      </c>
      <c r="D92" s="85"/>
      <c r="E92" s="85"/>
      <c r="F92" s="85"/>
      <c r="G92" s="85"/>
      <c r="H92" s="89"/>
      <c r="I92" s="89"/>
      <c r="J92" s="89"/>
      <c r="K92" s="89"/>
      <c r="L92" s="85" t="s">
        <v>66</v>
      </c>
      <c r="M92" s="85"/>
      <c r="N92" s="85"/>
      <c r="O92" s="85"/>
      <c r="P92" s="85" t="s">
        <v>67</v>
      </c>
      <c r="Q92" s="85"/>
      <c r="R92" s="85"/>
      <c r="S92" s="85"/>
      <c r="T92" s="88" t="s">
        <v>68</v>
      </c>
      <c r="U92" s="88"/>
      <c r="V92" s="88"/>
      <c r="W92" s="88"/>
      <c r="X92" s="95"/>
      <c r="Y92" s="95"/>
      <c r="Z92" s="95"/>
      <c r="AA92" s="95"/>
      <c r="AB92" s="95"/>
      <c r="AC92" s="95"/>
      <c r="AD92" s="95"/>
      <c r="AE92" s="95"/>
    </row>
    <row r="93" spans="1:31">
      <c r="A93" s="87"/>
      <c r="B93" s="88"/>
      <c r="C93" s="85"/>
      <c r="D93" s="85"/>
      <c r="E93" s="85"/>
      <c r="F93" s="85"/>
      <c r="G93" s="85"/>
      <c r="H93" s="89"/>
      <c r="I93" s="89"/>
      <c r="J93" s="89"/>
      <c r="K93" s="89"/>
      <c r="L93" s="85"/>
      <c r="M93" s="85"/>
      <c r="N93" s="85"/>
      <c r="O93" s="85"/>
      <c r="P93" s="85"/>
      <c r="Q93" s="85"/>
      <c r="R93" s="85"/>
      <c r="S93" s="85"/>
      <c r="T93" s="88"/>
      <c r="U93" s="88"/>
      <c r="V93" s="88"/>
      <c r="W93" s="88"/>
      <c r="X93" s="95"/>
      <c r="Y93" s="95"/>
      <c r="Z93" s="95"/>
      <c r="AA93" s="95"/>
      <c r="AB93" s="95"/>
      <c r="AC93" s="95"/>
      <c r="AD93" s="95"/>
      <c r="AE93" s="95"/>
    </row>
    <row r="94" spans="1:31">
      <c r="A94" s="87"/>
      <c r="B94" s="88"/>
      <c r="C94" s="85"/>
      <c r="D94" s="85"/>
      <c r="E94" s="85"/>
      <c r="F94" s="85"/>
      <c r="G94" s="85"/>
      <c r="H94" s="89"/>
      <c r="I94" s="89"/>
      <c r="J94" s="89"/>
      <c r="K94" s="89"/>
      <c r="L94" s="85"/>
      <c r="M94" s="85"/>
      <c r="N94" s="85"/>
      <c r="O94" s="85"/>
      <c r="P94" s="85"/>
      <c r="Q94" s="85"/>
      <c r="R94" s="85"/>
      <c r="S94" s="85"/>
      <c r="T94" s="88"/>
      <c r="U94" s="88"/>
      <c r="V94" s="88"/>
      <c r="W94" s="88"/>
      <c r="X94" s="95"/>
      <c r="Y94" s="95"/>
      <c r="Z94" s="95"/>
      <c r="AA94" s="95"/>
      <c r="AB94" s="95"/>
      <c r="AC94" s="95"/>
      <c r="AD94" s="95"/>
      <c r="AE94" s="95"/>
    </row>
    <row r="95" spans="1:31">
      <c r="A95" s="87"/>
      <c r="B95" s="88"/>
      <c r="C95" s="85"/>
      <c r="D95" s="85"/>
      <c r="E95" s="85"/>
      <c r="F95" s="85"/>
      <c r="G95" s="85"/>
      <c r="H95" s="89"/>
      <c r="I95" s="89"/>
      <c r="J95" s="89"/>
      <c r="K95" s="89"/>
      <c r="L95" s="85"/>
      <c r="M95" s="85"/>
      <c r="N95" s="85"/>
      <c r="O95" s="85"/>
      <c r="P95" s="85"/>
      <c r="Q95" s="85"/>
      <c r="R95" s="85"/>
      <c r="S95" s="85"/>
      <c r="T95" s="88"/>
      <c r="U95" s="88"/>
      <c r="V95" s="88"/>
      <c r="W95" s="88"/>
      <c r="X95" s="95"/>
      <c r="Y95" s="95"/>
      <c r="Z95" s="95"/>
      <c r="AA95" s="95"/>
      <c r="AB95" s="95"/>
      <c r="AC95" s="95"/>
      <c r="AD95" s="95"/>
      <c r="AE95" s="95"/>
    </row>
    <row r="96" spans="1:31">
      <c r="A96" s="87"/>
      <c r="B96" s="88"/>
      <c r="C96" s="85"/>
      <c r="D96" s="85"/>
      <c r="E96" s="85"/>
      <c r="F96" s="85"/>
      <c r="G96" s="85"/>
      <c r="H96" s="89"/>
      <c r="I96" s="89"/>
      <c r="J96" s="89"/>
      <c r="K96" s="89"/>
      <c r="L96" s="85"/>
      <c r="M96" s="85"/>
      <c r="N96" s="85"/>
      <c r="O96" s="85"/>
      <c r="P96" s="85"/>
      <c r="Q96" s="85"/>
      <c r="R96" s="85"/>
      <c r="S96" s="85"/>
      <c r="T96" s="88"/>
      <c r="U96" s="88"/>
      <c r="V96" s="88"/>
      <c r="W96" s="88"/>
      <c r="X96" s="95"/>
      <c r="Y96" s="95"/>
      <c r="Z96" s="95"/>
      <c r="AA96" s="95"/>
      <c r="AB96" s="95"/>
      <c r="AC96" s="95"/>
      <c r="AD96" s="95"/>
      <c r="AE96" s="95"/>
    </row>
    <row r="97" spans="1:31">
      <c r="A97" s="87"/>
      <c r="B97" s="88"/>
      <c r="C97" s="85"/>
      <c r="D97" s="85"/>
      <c r="E97" s="85"/>
      <c r="F97" s="85"/>
      <c r="G97" s="85"/>
      <c r="H97" s="89"/>
      <c r="I97" s="89"/>
      <c r="J97" s="89"/>
      <c r="K97" s="89"/>
      <c r="L97" s="85"/>
      <c r="M97" s="85"/>
      <c r="N97" s="85"/>
      <c r="O97" s="85"/>
      <c r="P97" s="85"/>
      <c r="Q97" s="85"/>
      <c r="R97" s="85"/>
      <c r="S97" s="85"/>
      <c r="T97" s="88"/>
      <c r="U97" s="88"/>
      <c r="V97" s="88"/>
      <c r="W97" s="88"/>
      <c r="X97" s="95"/>
      <c r="Y97" s="95"/>
      <c r="Z97" s="95"/>
      <c r="AA97" s="95"/>
      <c r="AB97" s="95"/>
      <c r="AC97" s="95"/>
      <c r="AD97" s="95"/>
      <c r="AE97" s="95"/>
    </row>
    <row r="98" spans="1:31">
      <c r="A98" s="87"/>
      <c r="B98" s="88"/>
      <c r="C98" s="85"/>
      <c r="D98" s="85"/>
      <c r="E98" s="85"/>
      <c r="F98" s="85"/>
      <c r="G98" s="85"/>
      <c r="H98" s="89"/>
      <c r="I98" s="89"/>
      <c r="J98" s="89"/>
      <c r="K98" s="89"/>
      <c r="L98" s="85"/>
      <c r="M98" s="85"/>
      <c r="N98" s="85"/>
      <c r="O98" s="85"/>
      <c r="P98" s="85"/>
      <c r="Q98" s="85"/>
      <c r="R98" s="85"/>
      <c r="S98" s="85"/>
      <c r="T98" s="88"/>
      <c r="U98" s="88"/>
      <c r="V98" s="88"/>
      <c r="W98" s="88"/>
      <c r="X98" s="95"/>
      <c r="Y98" s="95"/>
      <c r="Z98" s="95"/>
      <c r="AA98" s="95"/>
      <c r="AB98" s="95"/>
      <c r="AC98" s="95"/>
      <c r="AD98" s="95"/>
      <c r="AE98" s="95"/>
    </row>
    <row r="99" spans="1:31">
      <c r="A99" s="87"/>
      <c r="B99" s="88"/>
      <c r="C99" s="85"/>
      <c r="D99" s="85"/>
      <c r="E99" s="85"/>
      <c r="F99" s="85"/>
      <c r="G99" s="85"/>
      <c r="H99" s="89"/>
      <c r="I99" s="89"/>
      <c r="J99" s="89"/>
      <c r="K99" s="89"/>
      <c r="L99" s="85"/>
      <c r="M99" s="85"/>
      <c r="N99" s="85"/>
      <c r="O99" s="85"/>
      <c r="P99" s="85"/>
      <c r="Q99" s="85"/>
      <c r="R99" s="85"/>
      <c r="S99" s="85"/>
      <c r="T99" s="88"/>
      <c r="U99" s="88"/>
      <c r="V99" s="88"/>
      <c r="W99" s="88"/>
      <c r="X99" s="95"/>
      <c r="Y99" s="95"/>
      <c r="Z99" s="95"/>
      <c r="AA99" s="95"/>
      <c r="AB99" s="95"/>
      <c r="AC99" s="95"/>
      <c r="AD99" s="95"/>
      <c r="AE99" s="95"/>
    </row>
    <row r="100" spans="1:31">
      <c r="A100" s="87"/>
      <c r="B100" s="88"/>
      <c r="C100" s="85"/>
      <c r="D100" s="85"/>
      <c r="E100" s="85"/>
      <c r="F100" s="85"/>
      <c r="G100" s="85"/>
      <c r="H100" s="89"/>
      <c r="I100" s="89"/>
      <c r="J100" s="89"/>
      <c r="K100" s="89"/>
      <c r="L100" s="85"/>
      <c r="M100" s="85"/>
      <c r="N100" s="85"/>
      <c r="O100" s="85"/>
      <c r="P100" s="85"/>
      <c r="Q100" s="85"/>
      <c r="R100" s="85"/>
      <c r="S100" s="85"/>
      <c r="T100" s="88"/>
      <c r="U100" s="88"/>
      <c r="V100" s="88"/>
      <c r="W100" s="88"/>
      <c r="X100" s="95"/>
      <c r="Y100" s="95"/>
      <c r="Z100" s="95"/>
      <c r="AA100" s="95"/>
      <c r="AB100" s="95"/>
      <c r="AC100" s="95"/>
      <c r="AD100" s="95"/>
      <c r="AE100" s="95"/>
    </row>
    <row r="101" spans="1:31">
      <c r="A101" s="87"/>
      <c r="B101" s="88"/>
      <c r="C101" s="85"/>
      <c r="D101" s="85"/>
      <c r="E101" s="85"/>
      <c r="F101" s="85"/>
      <c r="G101" s="85"/>
      <c r="H101" s="89"/>
      <c r="I101" s="89"/>
      <c r="J101" s="89"/>
      <c r="K101" s="89"/>
      <c r="L101" s="85"/>
      <c r="M101" s="85"/>
      <c r="N101" s="85"/>
      <c r="O101" s="85"/>
      <c r="P101" s="85"/>
      <c r="Q101" s="85"/>
      <c r="R101" s="85"/>
      <c r="S101" s="85"/>
      <c r="T101" s="88"/>
      <c r="U101" s="88"/>
      <c r="V101" s="88"/>
      <c r="W101" s="88"/>
      <c r="X101" s="95"/>
      <c r="Y101" s="95"/>
      <c r="Z101" s="95"/>
      <c r="AA101" s="95"/>
      <c r="AB101" s="95"/>
      <c r="AC101" s="95"/>
      <c r="AD101" s="95"/>
      <c r="AE101" s="95"/>
    </row>
    <row r="102" spans="1:31">
      <c r="A102" s="87">
        <v>11</v>
      </c>
      <c r="B102" s="88" t="s">
        <v>69</v>
      </c>
      <c r="C102" s="85" t="s">
        <v>70</v>
      </c>
      <c r="D102" s="85"/>
      <c r="E102" s="85"/>
      <c r="F102" s="85"/>
      <c r="G102" s="85"/>
      <c r="H102" s="89"/>
      <c r="I102" s="89"/>
      <c r="J102" s="89"/>
      <c r="K102" s="89"/>
      <c r="L102" s="85" t="s">
        <v>71</v>
      </c>
      <c r="M102" s="85"/>
      <c r="N102" s="85"/>
      <c r="O102" s="85"/>
      <c r="P102" s="85" t="s">
        <v>72</v>
      </c>
      <c r="Q102" s="85"/>
      <c r="R102" s="85"/>
      <c r="S102" s="85"/>
      <c r="T102" s="88" t="s">
        <v>73</v>
      </c>
      <c r="U102" s="88"/>
      <c r="V102" s="88"/>
      <c r="W102" s="88"/>
      <c r="X102" s="95"/>
      <c r="Y102" s="95"/>
      <c r="Z102" s="95"/>
      <c r="AA102" s="95"/>
      <c r="AB102" s="89"/>
      <c r="AC102" s="89"/>
      <c r="AD102" s="89"/>
      <c r="AE102" s="89"/>
    </row>
    <row r="103" spans="1:31">
      <c r="A103" s="87"/>
      <c r="B103" s="88"/>
      <c r="C103" s="85"/>
      <c r="D103" s="85"/>
      <c r="E103" s="85"/>
      <c r="F103" s="85"/>
      <c r="G103" s="85"/>
      <c r="H103" s="89"/>
      <c r="I103" s="89"/>
      <c r="J103" s="89"/>
      <c r="K103" s="89"/>
      <c r="L103" s="85"/>
      <c r="M103" s="85"/>
      <c r="N103" s="85"/>
      <c r="O103" s="85"/>
      <c r="P103" s="85"/>
      <c r="Q103" s="85"/>
      <c r="R103" s="85"/>
      <c r="S103" s="85"/>
      <c r="T103" s="88"/>
      <c r="U103" s="88"/>
      <c r="V103" s="88"/>
      <c r="W103" s="88"/>
      <c r="X103" s="95"/>
      <c r="Y103" s="95"/>
      <c r="Z103" s="95"/>
      <c r="AA103" s="95"/>
      <c r="AB103" s="89"/>
      <c r="AC103" s="89"/>
      <c r="AD103" s="89"/>
      <c r="AE103" s="89"/>
    </row>
    <row r="104" spans="1:31">
      <c r="A104" s="87"/>
      <c r="B104" s="88"/>
      <c r="C104" s="85"/>
      <c r="D104" s="85"/>
      <c r="E104" s="85"/>
      <c r="F104" s="85"/>
      <c r="G104" s="85"/>
      <c r="H104" s="89"/>
      <c r="I104" s="89"/>
      <c r="J104" s="89"/>
      <c r="K104" s="89"/>
      <c r="L104" s="85"/>
      <c r="M104" s="85"/>
      <c r="N104" s="85"/>
      <c r="O104" s="85"/>
      <c r="P104" s="85"/>
      <c r="Q104" s="85"/>
      <c r="R104" s="85"/>
      <c r="S104" s="85"/>
      <c r="T104" s="88"/>
      <c r="U104" s="88"/>
      <c r="V104" s="88"/>
      <c r="W104" s="88"/>
      <c r="X104" s="95"/>
      <c r="Y104" s="95"/>
      <c r="Z104" s="95"/>
      <c r="AA104" s="95"/>
      <c r="AB104" s="89"/>
      <c r="AC104" s="89"/>
      <c r="AD104" s="89"/>
      <c r="AE104" s="89"/>
    </row>
    <row r="105" spans="1:31">
      <c r="A105" s="87"/>
      <c r="B105" s="88"/>
      <c r="C105" s="85"/>
      <c r="D105" s="85"/>
      <c r="E105" s="85"/>
      <c r="F105" s="85"/>
      <c r="G105" s="85"/>
      <c r="H105" s="89"/>
      <c r="I105" s="89"/>
      <c r="J105" s="89"/>
      <c r="K105" s="89"/>
      <c r="L105" s="85"/>
      <c r="M105" s="85"/>
      <c r="N105" s="85"/>
      <c r="O105" s="85"/>
      <c r="P105" s="85"/>
      <c r="Q105" s="85"/>
      <c r="R105" s="85"/>
      <c r="S105" s="85"/>
      <c r="T105" s="88"/>
      <c r="U105" s="88"/>
      <c r="V105" s="88"/>
      <c r="W105" s="88"/>
      <c r="X105" s="95"/>
      <c r="Y105" s="95"/>
      <c r="Z105" s="95"/>
      <c r="AA105" s="95"/>
      <c r="AB105" s="89"/>
      <c r="AC105" s="89"/>
      <c r="AD105" s="89"/>
      <c r="AE105" s="89"/>
    </row>
    <row r="106" spans="1:31">
      <c r="A106" s="87"/>
      <c r="B106" s="88"/>
      <c r="C106" s="85"/>
      <c r="D106" s="85"/>
      <c r="E106" s="85"/>
      <c r="F106" s="85"/>
      <c r="G106" s="85"/>
      <c r="H106" s="89"/>
      <c r="I106" s="89"/>
      <c r="J106" s="89"/>
      <c r="K106" s="89"/>
      <c r="L106" s="85"/>
      <c r="M106" s="85"/>
      <c r="N106" s="85"/>
      <c r="O106" s="85"/>
      <c r="P106" s="85"/>
      <c r="Q106" s="85"/>
      <c r="R106" s="85"/>
      <c r="S106" s="85"/>
      <c r="T106" s="88"/>
      <c r="U106" s="88"/>
      <c r="V106" s="88"/>
      <c r="W106" s="88"/>
      <c r="X106" s="95"/>
      <c r="Y106" s="95"/>
      <c r="Z106" s="95"/>
      <c r="AA106" s="95"/>
      <c r="AB106" s="89"/>
      <c r="AC106" s="89"/>
      <c r="AD106" s="89"/>
      <c r="AE106" s="89"/>
    </row>
    <row r="107" spans="1:31">
      <c r="A107" s="87"/>
      <c r="B107" s="88"/>
      <c r="C107" s="85"/>
      <c r="D107" s="85"/>
      <c r="E107" s="85"/>
      <c r="F107" s="85"/>
      <c r="G107" s="85"/>
      <c r="H107" s="89"/>
      <c r="I107" s="89"/>
      <c r="J107" s="89"/>
      <c r="K107" s="89"/>
      <c r="L107" s="85"/>
      <c r="M107" s="85"/>
      <c r="N107" s="85"/>
      <c r="O107" s="85"/>
      <c r="P107" s="85"/>
      <c r="Q107" s="85"/>
      <c r="R107" s="85"/>
      <c r="S107" s="85"/>
      <c r="T107" s="88"/>
      <c r="U107" s="88"/>
      <c r="V107" s="88"/>
      <c r="W107" s="88"/>
      <c r="X107" s="95"/>
      <c r="Y107" s="95"/>
      <c r="Z107" s="95"/>
      <c r="AA107" s="95"/>
      <c r="AB107" s="89"/>
      <c r="AC107" s="89"/>
      <c r="AD107" s="89"/>
      <c r="AE107" s="89"/>
    </row>
    <row r="108" spans="1:31">
      <c r="A108" s="87"/>
      <c r="B108" s="88"/>
      <c r="C108" s="85"/>
      <c r="D108" s="85"/>
      <c r="E108" s="85"/>
      <c r="F108" s="85"/>
      <c r="G108" s="85"/>
      <c r="H108" s="89"/>
      <c r="I108" s="89"/>
      <c r="J108" s="89"/>
      <c r="K108" s="89"/>
      <c r="L108" s="85"/>
      <c r="M108" s="85"/>
      <c r="N108" s="85"/>
      <c r="O108" s="85"/>
      <c r="P108" s="85"/>
      <c r="Q108" s="85"/>
      <c r="R108" s="85"/>
      <c r="S108" s="85"/>
      <c r="T108" s="88"/>
      <c r="U108" s="88"/>
      <c r="V108" s="88"/>
      <c r="W108" s="88"/>
      <c r="X108" s="95"/>
      <c r="Y108" s="95"/>
      <c r="Z108" s="95"/>
      <c r="AA108" s="95"/>
      <c r="AB108" s="89"/>
      <c r="AC108" s="89"/>
      <c r="AD108" s="89"/>
      <c r="AE108" s="89"/>
    </row>
    <row r="109" spans="1:31">
      <c r="A109" s="87"/>
      <c r="B109" s="88"/>
      <c r="C109" s="85"/>
      <c r="D109" s="85"/>
      <c r="E109" s="85"/>
      <c r="F109" s="85"/>
      <c r="G109" s="85"/>
      <c r="H109" s="89"/>
      <c r="I109" s="89"/>
      <c r="J109" s="89"/>
      <c r="K109" s="89"/>
      <c r="L109" s="85"/>
      <c r="M109" s="85"/>
      <c r="N109" s="85"/>
      <c r="O109" s="85"/>
      <c r="P109" s="85"/>
      <c r="Q109" s="85"/>
      <c r="R109" s="85"/>
      <c r="S109" s="85"/>
      <c r="T109" s="88"/>
      <c r="U109" s="88"/>
      <c r="V109" s="88"/>
      <c r="W109" s="88"/>
      <c r="X109" s="95"/>
      <c r="Y109" s="95"/>
      <c r="Z109" s="95"/>
      <c r="AA109" s="95"/>
      <c r="AB109" s="89"/>
      <c r="AC109" s="89"/>
      <c r="AD109" s="89"/>
      <c r="AE109" s="89"/>
    </row>
    <row r="110" spans="1:31">
      <c r="A110" s="87"/>
      <c r="B110" s="88"/>
      <c r="C110" s="85"/>
      <c r="D110" s="85"/>
      <c r="E110" s="85"/>
      <c r="F110" s="85"/>
      <c r="G110" s="85"/>
      <c r="H110" s="89"/>
      <c r="I110" s="89"/>
      <c r="J110" s="89"/>
      <c r="K110" s="89"/>
      <c r="L110" s="85"/>
      <c r="M110" s="85"/>
      <c r="N110" s="85"/>
      <c r="O110" s="85"/>
      <c r="P110" s="85"/>
      <c r="Q110" s="85"/>
      <c r="R110" s="85"/>
      <c r="S110" s="85"/>
      <c r="T110" s="88"/>
      <c r="U110" s="88"/>
      <c r="V110" s="88"/>
      <c r="W110" s="88"/>
      <c r="X110" s="95"/>
      <c r="Y110" s="95"/>
      <c r="Z110" s="95"/>
      <c r="AA110" s="95"/>
      <c r="AB110" s="89"/>
      <c r="AC110" s="89"/>
      <c r="AD110" s="89"/>
      <c r="AE110" s="89"/>
    </row>
    <row r="111" spans="1:31">
      <c r="A111" s="87">
        <v>12</v>
      </c>
      <c r="B111" s="88" t="s">
        <v>74</v>
      </c>
      <c r="C111" s="89"/>
      <c r="D111" s="89"/>
      <c r="E111" s="89"/>
      <c r="F111" s="89"/>
      <c r="G111" s="89"/>
      <c r="H111" s="89"/>
      <c r="I111" s="89"/>
      <c r="J111" s="89"/>
      <c r="K111" s="89"/>
      <c r="L111" s="89"/>
      <c r="M111" s="89"/>
      <c r="N111" s="89"/>
      <c r="O111" s="89"/>
      <c r="P111" s="89"/>
      <c r="Q111" s="89"/>
      <c r="R111" s="89"/>
      <c r="S111" s="89"/>
      <c r="T111" s="89"/>
      <c r="U111" s="89"/>
      <c r="V111" s="89"/>
      <c r="W111" s="89"/>
      <c r="X111" s="95"/>
      <c r="Y111" s="95"/>
      <c r="Z111" s="95"/>
      <c r="AA111" s="95"/>
      <c r="AB111" s="89"/>
      <c r="AC111" s="89"/>
      <c r="AD111" s="89"/>
      <c r="AE111" s="89"/>
    </row>
    <row r="112" spans="1:31">
      <c r="A112" s="87"/>
      <c r="B112" s="88"/>
      <c r="C112" s="89"/>
      <c r="D112" s="89"/>
      <c r="E112" s="89"/>
      <c r="F112" s="89"/>
      <c r="G112" s="89"/>
      <c r="H112" s="89"/>
      <c r="I112" s="89"/>
      <c r="J112" s="89"/>
      <c r="K112" s="89"/>
      <c r="L112" s="89"/>
      <c r="M112" s="89"/>
      <c r="N112" s="89"/>
      <c r="O112" s="89"/>
      <c r="P112" s="89"/>
      <c r="Q112" s="89"/>
      <c r="R112" s="89"/>
      <c r="S112" s="89"/>
      <c r="T112" s="89"/>
      <c r="U112" s="89"/>
      <c r="V112" s="89"/>
      <c r="W112" s="89"/>
      <c r="X112" s="95"/>
      <c r="Y112" s="95"/>
      <c r="Z112" s="95"/>
      <c r="AA112" s="95"/>
      <c r="AB112" s="89"/>
      <c r="AC112" s="89"/>
      <c r="AD112" s="89"/>
      <c r="AE112" s="89"/>
    </row>
    <row r="113" spans="1:31">
      <c r="A113" s="87"/>
      <c r="B113" s="88"/>
      <c r="C113" s="89"/>
      <c r="D113" s="89"/>
      <c r="E113" s="89"/>
      <c r="F113" s="89"/>
      <c r="G113" s="89"/>
      <c r="H113" s="89"/>
      <c r="I113" s="89"/>
      <c r="J113" s="89"/>
      <c r="K113" s="89"/>
      <c r="L113" s="89"/>
      <c r="M113" s="89"/>
      <c r="N113" s="89"/>
      <c r="O113" s="89"/>
      <c r="P113" s="89"/>
      <c r="Q113" s="89"/>
      <c r="R113" s="89"/>
      <c r="S113" s="89"/>
      <c r="T113" s="89"/>
      <c r="U113" s="89"/>
      <c r="V113" s="89"/>
      <c r="W113" s="89"/>
      <c r="X113" s="95"/>
      <c r="Y113" s="95"/>
      <c r="Z113" s="95"/>
      <c r="AA113" s="95"/>
      <c r="AB113" s="89"/>
      <c r="AC113" s="89"/>
      <c r="AD113" s="89"/>
      <c r="AE113" s="89"/>
    </row>
    <row r="114" spans="1:31">
      <c r="A114" s="87"/>
      <c r="B114" s="88"/>
      <c r="C114" s="89"/>
      <c r="D114" s="89"/>
      <c r="E114" s="89"/>
      <c r="F114" s="89"/>
      <c r="G114" s="89"/>
      <c r="H114" s="89"/>
      <c r="I114" s="89"/>
      <c r="J114" s="89"/>
      <c r="K114" s="89"/>
      <c r="L114" s="89"/>
      <c r="M114" s="89"/>
      <c r="N114" s="89"/>
      <c r="O114" s="89"/>
      <c r="P114" s="89"/>
      <c r="Q114" s="89"/>
      <c r="R114" s="89"/>
      <c r="S114" s="89"/>
      <c r="T114" s="89"/>
      <c r="U114" s="89"/>
      <c r="V114" s="89"/>
      <c r="W114" s="89"/>
      <c r="X114" s="95"/>
      <c r="Y114" s="95"/>
      <c r="Z114" s="95"/>
      <c r="AA114" s="95"/>
      <c r="AB114" s="89"/>
      <c r="AC114" s="89"/>
      <c r="AD114" s="89"/>
      <c r="AE114" s="89"/>
    </row>
    <row r="115" spans="1:31">
      <c r="A115" s="87"/>
      <c r="B115" s="88"/>
      <c r="C115" s="89"/>
      <c r="D115" s="89"/>
      <c r="E115" s="89"/>
      <c r="F115" s="89"/>
      <c r="G115" s="89"/>
      <c r="H115" s="89"/>
      <c r="I115" s="89"/>
      <c r="J115" s="89"/>
      <c r="K115" s="89"/>
      <c r="L115" s="89"/>
      <c r="M115" s="89"/>
      <c r="N115" s="89"/>
      <c r="O115" s="89"/>
      <c r="P115" s="89"/>
      <c r="Q115" s="89"/>
      <c r="R115" s="89"/>
      <c r="S115" s="89"/>
      <c r="T115" s="89"/>
      <c r="U115" s="89"/>
      <c r="V115" s="89"/>
      <c r="W115" s="89"/>
      <c r="X115" s="95"/>
      <c r="Y115" s="95"/>
      <c r="Z115" s="95"/>
      <c r="AA115" s="95"/>
      <c r="AB115" s="89"/>
      <c r="AC115" s="89"/>
      <c r="AD115" s="89"/>
      <c r="AE115" s="89"/>
    </row>
    <row r="116" spans="1:31">
      <c r="A116" s="87"/>
      <c r="B116" s="88"/>
      <c r="C116" s="89"/>
      <c r="D116" s="89"/>
      <c r="E116" s="89"/>
      <c r="F116" s="89"/>
      <c r="G116" s="89"/>
      <c r="H116" s="89"/>
      <c r="I116" s="89"/>
      <c r="J116" s="89"/>
      <c r="K116" s="89"/>
      <c r="L116" s="89"/>
      <c r="M116" s="89"/>
      <c r="N116" s="89"/>
      <c r="O116" s="89"/>
      <c r="P116" s="89"/>
      <c r="Q116" s="89"/>
      <c r="R116" s="89"/>
      <c r="S116" s="89"/>
      <c r="T116" s="89"/>
      <c r="U116" s="89"/>
      <c r="V116" s="89"/>
      <c r="W116" s="89"/>
      <c r="X116" s="95"/>
      <c r="Y116" s="95"/>
      <c r="Z116" s="95"/>
      <c r="AA116" s="95"/>
      <c r="AB116" s="89"/>
      <c r="AC116" s="89"/>
      <c r="AD116" s="89"/>
      <c r="AE116" s="89"/>
    </row>
    <row r="117" spans="1:31">
      <c r="A117" s="87"/>
      <c r="B117" s="88"/>
      <c r="C117" s="89"/>
      <c r="D117" s="89"/>
      <c r="E117" s="89"/>
      <c r="F117" s="89"/>
      <c r="G117" s="89"/>
      <c r="H117" s="89"/>
      <c r="I117" s="89"/>
      <c r="J117" s="89"/>
      <c r="K117" s="89"/>
      <c r="L117" s="89"/>
      <c r="M117" s="89"/>
      <c r="N117" s="89"/>
      <c r="O117" s="89"/>
      <c r="P117" s="89"/>
      <c r="Q117" s="89"/>
      <c r="R117" s="89"/>
      <c r="S117" s="89"/>
      <c r="T117" s="89"/>
      <c r="U117" s="89"/>
      <c r="V117" s="89"/>
      <c r="W117" s="89"/>
      <c r="X117" s="95"/>
      <c r="Y117" s="95"/>
      <c r="Z117" s="95"/>
      <c r="AA117" s="95"/>
      <c r="AB117" s="89"/>
      <c r="AC117" s="89"/>
      <c r="AD117" s="89"/>
      <c r="AE117" s="89"/>
    </row>
    <row r="118" spans="1:31">
      <c r="A118" s="87"/>
      <c r="B118" s="88"/>
      <c r="C118" s="89"/>
      <c r="D118" s="89"/>
      <c r="E118" s="89"/>
      <c r="F118" s="89"/>
      <c r="G118" s="89"/>
      <c r="H118" s="89"/>
      <c r="I118" s="89"/>
      <c r="J118" s="89"/>
      <c r="K118" s="89"/>
      <c r="L118" s="89"/>
      <c r="M118" s="89"/>
      <c r="N118" s="89"/>
      <c r="O118" s="89"/>
      <c r="P118" s="89"/>
      <c r="Q118" s="89"/>
      <c r="R118" s="89"/>
      <c r="S118" s="89"/>
      <c r="T118" s="89"/>
      <c r="U118" s="89"/>
      <c r="V118" s="89"/>
      <c r="W118" s="89"/>
      <c r="X118" s="95"/>
      <c r="Y118" s="95"/>
      <c r="Z118" s="95"/>
      <c r="AA118" s="95"/>
      <c r="AB118" s="89"/>
      <c r="AC118" s="89"/>
      <c r="AD118" s="89"/>
      <c r="AE118" s="89"/>
    </row>
    <row r="119" spans="1:31">
      <c r="A119" s="87"/>
      <c r="B119" s="88"/>
      <c r="C119" s="89"/>
      <c r="D119" s="89"/>
      <c r="E119" s="89"/>
      <c r="F119" s="89"/>
      <c r="G119" s="89"/>
      <c r="H119" s="89"/>
      <c r="I119" s="89"/>
      <c r="J119" s="89"/>
      <c r="K119" s="89"/>
      <c r="L119" s="89"/>
      <c r="M119" s="89"/>
      <c r="N119" s="89"/>
      <c r="O119" s="89"/>
      <c r="P119" s="89"/>
      <c r="Q119" s="89"/>
      <c r="R119" s="89"/>
      <c r="S119" s="89"/>
      <c r="T119" s="89"/>
      <c r="U119" s="89"/>
      <c r="V119" s="89"/>
      <c r="W119" s="89"/>
      <c r="X119" s="95"/>
      <c r="Y119" s="95"/>
      <c r="Z119" s="95"/>
      <c r="AA119" s="95"/>
      <c r="AB119" s="89"/>
      <c r="AC119" s="89"/>
      <c r="AD119" s="89"/>
      <c r="AE119" s="89"/>
    </row>
    <row r="120" spans="1:31">
      <c r="A120" s="87"/>
      <c r="B120" s="88"/>
      <c r="C120" s="89"/>
      <c r="D120" s="89"/>
      <c r="E120" s="89"/>
      <c r="F120" s="89"/>
      <c r="G120" s="89"/>
      <c r="H120" s="89"/>
      <c r="I120" s="89"/>
      <c r="J120" s="89"/>
      <c r="K120" s="89"/>
      <c r="L120" s="89"/>
      <c r="M120" s="89"/>
      <c r="N120" s="89"/>
      <c r="O120" s="89"/>
      <c r="P120" s="89"/>
      <c r="Q120" s="89"/>
      <c r="R120" s="89"/>
      <c r="S120" s="89"/>
      <c r="T120" s="89"/>
      <c r="U120" s="89"/>
      <c r="V120" s="89"/>
      <c r="W120" s="89"/>
      <c r="X120" s="95"/>
      <c r="Y120" s="95"/>
      <c r="Z120" s="95"/>
      <c r="AA120" s="95"/>
      <c r="AB120" s="89"/>
      <c r="AC120" s="89"/>
      <c r="AD120" s="89"/>
      <c r="AE120" s="89"/>
    </row>
    <row r="121" spans="1:31">
      <c r="A121" s="87">
        <v>13</v>
      </c>
      <c r="B121" s="88" t="s">
        <v>75</v>
      </c>
      <c r="C121" s="89"/>
      <c r="D121" s="89"/>
      <c r="E121" s="89"/>
      <c r="F121" s="89"/>
      <c r="G121" s="89"/>
      <c r="H121" s="89"/>
      <c r="I121" s="89"/>
      <c r="J121" s="89"/>
      <c r="K121" s="89"/>
      <c r="L121" s="89"/>
      <c r="M121" s="89"/>
      <c r="N121" s="89"/>
      <c r="O121" s="89"/>
      <c r="P121" s="89"/>
      <c r="Q121" s="89"/>
      <c r="R121" s="89"/>
      <c r="S121" s="89"/>
      <c r="T121" s="89"/>
      <c r="U121" s="89"/>
      <c r="V121" s="89"/>
      <c r="W121" s="89"/>
      <c r="X121" s="95"/>
      <c r="Y121" s="95"/>
      <c r="Z121" s="95"/>
      <c r="AA121" s="95"/>
      <c r="AB121" s="89"/>
      <c r="AC121" s="89"/>
      <c r="AD121" s="89"/>
      <c r="AE121" s="89"/>
    </row>
    <row r="122" spans="1:31">
      <c r="A122" s="87"/>
      <c r="B122" s="88"/>
      <c r="C122" s="89"/>
      <c r="D122" s="89"/>
      <c r="E122" s="89"/>
      <c r="F122" s="89"/>
      <c r="G122" s="89"/>
      <c r="H122" s="89"/>
      <c r="I122" s="89"/>
      <c r="J122" s="89"/>
      <c r="K122" s="89"/>
      <c r="L122" s="89"/>
      <c r="M122" s="89"/>
      <c r="N122" s="89"/>
      <c r="O122" s="89"/>
      <c r="P122" s="89"/>
      <c r="Q122" s="89"/>
      <c r="R122" s="89"/>
      <c r="S122" s="89"/>
      <c r="T122" s="89"/>
      <c r="U122" s="89"/>
      <c r="V122" s="89"/>
      <c r="W122" s="89"/>
      <c r="X122" s="95"/>
      <c r="Y122" s="95"/>
      <c r="Z122" s="95"/>
      <c r="AA122" s="95"/>
      <c r="AB122" s="89"/>
      <c r="AC122" s="89"/>
      <c r="AD122" s="89"/>
      <c r="AE122" s="89"/>
    </row>
    <row r="123" spans="1:31">
      <c r="A123" s="87"/>
      <c r="B123" s="88"/>
      <c r="C123" s="89"/>
      <c r="D123" s="89"/>
      <c r="E123" s="89"/>
      <c r="F123" s="89"/>
      <c r="G123" s="89"/>
      <c r="H123" s="89"/>
      <c r="I123" s="89"/>
      <c r="J123" s="89"/>
      <c r="K123" s="89"/>
      <c r="L123" s="89"/>
      <c r="M123" s="89"/>
      <c r="N123" s="89"/>
      <c r="O123" s="89"/>
      <c r="P123" s="89"/>
      <c r="Q123" s="89"/>
      <c r="R123" s="89"/>
      <c r="S123" s="89"/>
      <c r="T123" s="89"/>
      <c r="U123" s="89"/>
      <c r="V123" s="89"/>
      <c r="W123" s="89"/>
      <c r="X123" s="95"/>
      <c r="Y123" s="95"/>
      <c r="Z123" s="95"/>
      <c r="AA123" s="95"/>
      <c r="AB123" s="89"/>
      <c r="AC123" s="89"/>
      <c r="AD123" s="89"/>
      <c r="AE123" s="89"/>
    </row>
    <row r="124" spans="1:31">
      <c r="A124" s="87"/>
      <c r="B124" s="88"/>
      <c r="C124" s="89"/>
      <c r="D124" s="89"/>
      <c r="E124" s="89"/>
      <c r="F124" s="89"/>
      <c r="G124" s="89"/>
      <c r="H124" s="89"/>
      <c r="I124" s="89"/>
      <c r="J124" s="89"/>
      <c r="K124" s="89"/>
      <c r="L124" s="89"/>
      <c r="M124" s="89"/>
      <c r="N124" s="89"/>
      <c r="O124" s="89"/>
      <c r="P124" s="89"/>
      <c r="Q124" s="89"/>
      <c r="R124" s="89"/>
      <c r="S124" s="89"/>
      <c r="T124" s="89"/>
      <c r="U124" s="89"/>
      <c r="V124" s="89"/>
      <c r="W124" s="89"/>
      <c r="X124" s="95"/>
      <c r="Y124" s="95"/>
      <c r="Z124" s="95"/>
      <c r="AA124" s="95"/>
      <c r="AB124" s="89"/>
      <c r="AC124" s="89"/>
      <c r="AD124" s="89"/>
      <c r="AE124" s="89"/>
    </row>
    <row r="125" spans="1:31">
      <c r="A125" s="87"/>
      <c r="B125" s="88"/>
      <c r="C125" s="89"/>
      <c r="D125" s="89"/>
      <c r="E125" s="89"/>
      <c r="F125" s="89"/>
      <c r="G125" s="89"/>
      <c r="H125" s="89"/>
      <c r="I125" s="89"/>
      <c r="J125" s="89"/>
      <c r="K125" s="89"/>
      <c r="L125" s="89"/>
      <c r="M125" s="89"/>
      <c r="N125" s="89"/>
      <c r="O125" s="89"/>
      <c r="P125" s="89"/>
      <c r="Q125" s="89"/>
      <c r="R125" s="89"/>
      <c r="S125" s="89"/>
      <c r="T125" s="89"/>
      <c r="U125" s="89"/>
      <c r="V125" s="89"/>
      <c r="W125" s="89"/>
      <c r="X125" s="95"/>
      <c r="Y125" s="95"/>
      <c r="Z125" s="95"/>
      <c r="AA125" s="95"/>
      <c r="AB125" s="89"/>
      <c r="AC125" s="89"/>
      <c r="AD125" s="89"/>
      <c r="AE125" s="89"/>
    </row>
    <row r="126" spans="1:31">
      <c r="A126" s="87"/>
      <c r="B126" s="88"/>
      <c r="C126" s="89"/>
      <c r="D126" s="89"/>
      <c r="E126" s="89"/>
      <c r="F126" s="89"/>
      <c r="G126" s="89"/>
      <c r="H126" s="89"/>
      <c r="I126" s="89"/>
      <c r="J126" s="89"/>
      <c r="K126" s="89"/>
      <c r="L126" s="89"/>
      <c r="M126" s="89"/>
      <c r="N126" s="89"/>
      <c r="O126" s="89"/>
      <c r="P126" s="89"/>
      <c r="Q126" s="89"/>
      <c r="R126" s="89"/>
      <c r="S126" s="89"/>
      <c r="T126" s="89"/>
      <c r="U126" s="89"/>
      <c r="V126" s="89"/>
      <c r="W126" s="89"/>
      <c r="X126" s="95"/>
      <c r="Y126" s="95"/>
      <c r="Z126" s="95"/>
      <c r="AA126" s="95"/>
      <c r="AB126" s="89"/>
      <c r="AC126" s="89"/>
      <c r="AD126" s="89"/>
      <c r="AE126" s="89"/>
    </row>
    <row r="127" spans="1:31">
      <c r="A127" s="87"/>
      <c r="B127" s="88"/>
      <c r="C127" s="89"/>
      <c r="D127" s="89"/>
      <c r="E127" s="89"/>
      <c r="F127" s="89"/>
      <c r="G127" s="89"/>
      <c r="H127" s="89"/>
      <c r="I127" s="89"/>
      <c r="J127" s="89"/>
      <c r="K127" s="89"/>
      <c r="L127" s="89"/>
      <c r="M127" s="89"/>
      <c r="N127" s="89"/>
      <c r="O127" s="89"/>
      <c r="P127" s="89"/>
      <c r="Q127" s="89"/>
      <c r="R127" s="89"/>
      <c r="S127" s="89"/>
      <c r="T127" s="89"/>
      <c r="U127" s="89"/>
      <c r="V127" s="89"/>
      <c r="W127" s="89"/>
      <c r="X127" s="95"/>
      <c r="Y127" s="95"/>
      <c r="Z127" s="95"/>
      <c r="AA127" s="95"/>
      <c r="AB127" s="89"/>
      <c r="AC127" s="89"/>
      <c r="AD127" s="89"/>
      <c r="AE127" s="89"/>
    </row>
    <row r="128" spans="1:31">
      <c r="A128" s="87"/>
      <c r="B128" s="88"/>
      <c r="C128" s="89"/>
      <c r="D128" s="89"/>
      <c r="E128" s="89"/>
      <c r="F128" s="89"/>
      <c r="G128" s="89"/>
      <c r="H128" s="89"/>
      <c r="I128" s="89"/>
      <c r="J128" s="89"/>
      <c r="K128" s="89"/>
      <c r="L128" s="89"/>
      <c r="M128" s="89"/>
      <c r="N128" s="89"/>
      <c r="O128" s="89"/>
      <c r="P128" s="89"/>
      <c r="Q128" s="89"/>
      <c r="R128" s="89"/>
      <c r="S128" s="89"/>
      <c r="T128" s="89"/>
      <c r="U128" s="89"/>
      <c r="V128" s="89"/>
      <c r="W128" s="89"/>
      <c r="X128" s="95"/>
      <c r="Y128" s="95"/>
      <c r="Z128" s="95"/>
      <c r="AA128" s="95"/>
      <c r="AB128" s="89"/>
      <c r="AC128" s="89"/>
      <c r="AD128" s="89"/>
      <c r="AE128" s="89"/>
    </row>
    <row r="129" spans="1:31">
      <c r="A129" s="87"/>
      <c r="B129" s="88"/>
      <c r="C129" s="89"/>
      <c r="D129" s="89"/>
      <c r="E129" s="89"/>
      <c r="F129" s="89"/>
      <c r="G129" s="89"/>
      <c r="H129" s="89"/>
      <c r="I129" s="89"/>
      <c r="J129" s="89"/>
      <c r="K129" s="89"/>
      <c r="L129" s="89"/>
      <c r="M129" s="89"/>
      <c r="N129" s="89"/>
      <c r="O129" s="89"/>
      <c r="P129" s="89"/>
      <c r="Q129" s="89"/>
      <c r="R129" s="89"/>
      <c r="S129" s="89"/>
      <c r="T129" s="89"/>
      <c r="U129" s="89"/>
      <c r="V129" s="89"/>
      <c r="W129" s="89"/>
      <c r="X129" s="95"/>
      <c r="Y129" s="95"/>
      <c r="Z129" s="95"/>
      <c r="AA129" s="95"/>
      <c r="AB129" s="89"/>
      <c r="AC129" s="89"/>
      <c r="AD129" s="89"/>
      <c r="AE129" s="89"/>
    </row>
    <row r="130" spans="1:31">
      <c r="A130" s="87"/>
      <c r="B130" s="88"/>
      <c r="C130" s="89"/>
      <c r="D130" s="89"/>
      <c r="E130" s="89"/>
      <c r="F130" s="89"/>
      <c r="G130" s="89"/>
      <c r="H130" s="89"/>
      <c r="I130" s="89"/>
      <c r="J130" s="89"/>
      <c r="K130" s="89"/>
      <c r="L130" s="89"/>
      <c r="M130" s="89"/>
      <c r="N130" s="89"/>
      <c r="O130" s="89"/>
      <c r="P130" s="89"/>
      <c r="Q130" s="89"/>
      <c r="R130" s="89"/>
      <c r="S130" s="89"/>
      <c r="T130" s="89"/>
      <c r="U130" s="89"/>
      <c r="V130" s="89"/>
      <c r="W130" s="89"/>
      <c r="X130" s="95"/>
      <c r="Y130" s="95"/>
      <c r="Z130" s="95"/>
      <c r="AA130" s="95"/>
      <c r="AB130" s="89"/>
      <c r="AC130" s="89"/>
      <c r="AD130" s="89"/>
      <c r="AE130" s="89"/>
    </row>
  </sheetData>
  <mergeCells count="112">
    <mergeCell ref="X2:AA130"/>
    <mergeCell ref="AB111:AE120"/>
    <mergeCell ref="AB121:AE130"/>
    <mergeCell ref="X1:AA1"/>
    <mergeCell ref="AB51:AE60"/>
    <mergeCell ref="AB61:AE71"/>
    <mergeCell ref="AB72:AE81"/>
    <mergeCell ref="AB82:AE91"/>
    <mergeCell ref="AB92:AE101"/>
    <mergeCell ref="AB2:AE10"/>
    <mergeCell ref="AB11:AE20"/>
    <mergeCell ref="AB21:AE30"/>
    <mergeCell ref="AB31:AE40"/>
    <mergeCell ref="AB41:AE50"/>
    <mergeCell ref="AB1:AE1"/>
    <mergeCell ref="AB102:AE110"/>
    <mergeCell ref="T92:W101"/>
    <mergeCell ref="A2:A10"/>
    <mergeCell ref="A11:A20"/>
    <mergeCell ref="A21:A30"/>
    <mergeCell ref="A31:A40"/>
    <mergeCell ref="A41:A50"/>
    <mergeCell ref="A51:A60"/>
    <mergeCell ref="A61:A71"/>
    <mergeCell ref="A72:A81"/>
    <mergeCell ref="A82:A91"/>
    <mergeCell ref="A92:A101"/>
    <mergeCell ref="T41:W50"/>
    <mergeCell ref="T51:W60"/>
    <mergeCell ref="T61:W71"/>
    <mergeCell ref="T72:W81"/>
    <mergeCell ref="P92:S101"/>
    <mergeCell ref="T82:W91"/>
    <mergeCell ref="L72:O81"/>
    <mergeCell ref="L82:O91"/>
    <mergeCell ref="B72:B81"/>
    <mergeCell ref="B92:B101"/>
    <mergeCell ref="C92:G101"/>
    <mergeCell ref="H92:K101"/>
    <mergeCell ref="L92:O101"/>
    <mergeCell ref="T1:W1"/>
    <mergeCell ref="T2:W10"/>
    <mergeCell ref="T11:W20"/>
    <mergeCell ref="T21:W30"/>
    <mergeCell ref="T31:W40"/>
    <mergeCell ref="P51:S60"/>
    <mergeCell ref="P1:S1"/>
    <mergeCell ref="P2:S10"/>
    <mergeCell ref="P11:S20"/>
    <mergeCell ref="P21:S30"/>
    <mergeCell ref="P31:S40"/>
    <mergeCell ref="P41:S50"/>
    <mergeCell ref="H11:K20"/>
    <mergeCell ref="B82:B91"/>
    <mergeCell ref="B61:B71"/>
    <mergeCell ref="C51:G60"/>
    <mergeCell ref="H51:K60"/>
    <mergeCell ref="C72:G81"/>
    <mergeCell ref="C82:G91"/>
    <mergeCell ref="C61:G71"/>
    <mergeCell ref="H61:K71"/>
    <mergeCell ref="C31:G40"/>
    <mergeCell ref="H31:K40"/>
    <mergeCell ref="B51:B60"/>
    <mergeCell ref="P82:S91"/>
    <mergeCell ref="H72:K81"/>
    <mergeCell ref="H82:K91"/>
    <mergeCell ref="L51:O60"/>
    <mergeCell ref="L21:O30"/>
    <mergeCell ref="L31:O40"/>
    <mergeCell ref="B41:B50"/>
    <mergeCell ref="L11:O20"/>
    <mergeCell ref="L1:O1"/>
    <mergeCell ref="C1:G1"/>
    <mergeCell ref="H1:K1"/>
    <mergeCell ref="B11:B20"/>
    <mergeCell ref="B21:B30"/>
    <mergeCell ref="B31:B40"/>
    <mergeCell ref="C11:G20"/>
    <mergeCell ref="C21:G30"/>
    <mergeCell ref="L2:O10"/>
    <mergeCell ref="B2:B10"/>
    <mergeCell ref="C2:G10"/>
    <mergeCell ref="H2:K10"/>
    <mergeCell ref="L41:O50"/>
    <mergeCell ref="H21:K30"/>
    <mergeCell ref="C41:G50"/>
    <mergeCell ref="H41:K50"/>
    <mergeCell ref="L61:O71"/>
    <mergeCell ref="P61:S71"/>
    <mergeCell ref="A111:A120"/>
    <mergeCell ref="A121:A130"/>
    <mergeCell ref="B111:B120"/>
    <mergeCell ref="B121:B130"/>
    <mergeCell ref="T102:W110"/>
    <mergeCell ref="H102:K110"/>
    <mergeCell ref="C111:G120"/>
    <mergeCell ref="C121:G130"/>
    <mergeCell ref="H111:K120"/>
    <mergeCell ref="H121:K130"/>
    <mergeCell ref="L111:O120"/>
    <mergeCell ref="L121:O130"/>
    <mergeCell ref="P111:S120"/>
    <mergeCell ref="P121:S130"/>
    <mergeCell ref="T111:W120"/>
    <mergeCell ref="T121:W130"/>
    <mergeCell ref="A102:A110"/>
    <mergeCell ref="B102:B110"/>
    <mergeCell ref="C102:G110"/>
    <mergeCell ref="L102:O110"/>
    <mergeCell ref="P102:S110"/>
    <mergeCell ref="P72:S8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9FC1-59F2-40EE-A9E2-581D5D5F61E2}">
  <dimension ref="A1:W13"/>
  <sheetViews>
    <sheetView topLeftCell="C1" workbookViewId="0">
      <selection activeCell="U8" sqref="U8"/>
    </sheetView>
  </sheetViews>
  <sheetFormatPr defaultRowHeight="15"/>
  <cols>
    <col min="4" max="5" width="0" hidden="1" customWidth="1"/>
    <col min="9" max="9" width="9.28515625" bestFit="1" customWidth="1"/>
  </cols>
  <sheetData>
    <row r="1" spans="1:23" ht="15" customHeight="1">
      <c r="D1" s="68" t="s">
        <v>234</v>
      </c>
      <c r="E1" s="68" t="s">
        <v>235</v>
      </c>
      <c r="F1" s="22" t="s">
        <v>236</v>
      </c>
      <c r="G1" s="22" t="s">
        <v>237</v>
      </c>
      <c r="H1" s="22" t="s">
        <v>238</v>
      </c>
      <c r="I1" s="22" t="s">
        <v>239</v>
      </c>
      <c r="J1" s="22" t="s">
        <v>240</v>
      </c>
      <c r="K1" s="22" t="s">
        <v>265</v>
      </c>
      <c r="L1" s="22" t="s">
        <v>242</v>
      </c>
      <c r="M1" s="111" t="s">
        <v>246</v>
      </c>
      <c r="N1" s="111"/>
      <c r="O1" s="111"/>
      <c r="P1" s="111"/>
      <c r="Q1" s="111"/>
      <c r="R1" s="159" t="s">
        <v>266</v>
      </c>
      <c r="S1" s="159" t="s">
        <v>249</v>
      </c>
      <c r="T1" s="159" t="s">
        <v>250</v>
      </c>
      <c r="U1" s="159" t="s">
        <v>267</v>
      </c>
      <c r="V1" s="159" t="s">
        <v>268</v>
      </c>
    </row>
    <row r="2" spans="1:23" ht="18.75">
      <c r="A2" s="62" t="s">
        <v>243</v>
      </c>
      <c r="B2" s="62">
        <v>1408</v>
      </c>
      <c r="C2" s="62"/>
      <c r="D2" s="62"/>
      <c r="E2" s="62"/>
      <c r="F2" s="62"/>
      <c r="G2" s="62"/>
      <c r="H2" s="62" t="s">
        <v>244</v>
      </c>
      <c r="I2" s="63">
        <v>1</v>
      </c>
      <c r="J2" s="62" t="s">
        <v>245</v>
      </c>
      <c r="K2" s="62"/>
      <c r="L2" s="62"/>
      <c r="R2" s="159"/>
      <c r="S2" s="159"/>
      <c r="T2" s="159"/>
      <c r="U2" s="159"/>
      <c r="V2" s="159"/>
    </row>
    <row r="3" spans="1:23">
      <c r="A3" s="62">
        <v>2</v>
      </c>
      <c r="B3" s="62">
        <v>13552</v>
      </c>
      <c r="C3" s="62">
        <v>1</v>
      </c>
      <c r="D3" s="62">
        <v>364</v>
      </c>
      <c r="E3" s="62">
        <v>344</v>
      </c>
      <c r="F3" s="62">
        <v>6732</v>
      </c>
      <c r="G3" s="62">
        <v>1.4614000000000001E-3</v>
      </c>
      <c r="H3" s="62">
        <v>82.552199999999999</v>
      </c>
      <c r="I3" s="62">
        <v>196.1754</v>
      </c>
      <c r="J3" s="62">
        <v>155.37270000000001</v>
      </c>
      <c r="K3" s="62">
        <v>204.8237</v>
      </c>
      <c r="L3" s="62">
        <v>15.71635466</v>
      </c>
      <c r="M3" s="67" t="s">
        <v>259</v>
      </c>
      <c r="R3">
        <v>975</v>
      </c>
      <c r="S3" s="65">
        <v>45.3</v>
      </c>
      <c r="T3">
        <f>R3+SUM($S$3:S3)</f>
        <v>1020.3</v>
      </c>
      <c r="U3">
        <f>T3*(1-EXP((-M4/($B$4*9.81))))</f>
        <v>7.7707162927848827</v>
      </c>
      <c r="V3">
        <f>R3*(1-EXP((-M4/($B$4*9.81))))</f>
        <v>7.4257065426494764</v>
      </c>
      <c r="W3" t="s">
        <v>269</v>
      </c>
    </row>
    <row r="4" spans="1:23">
      <c r="A4" t="s">
        <v>260</v>
      </c>
      <c r="B4">
        <v>2000</v>
      </c>
      <c r="C4">
        <v>2</v>
      </c>
      <c r="D4">
        <v>900</v>
      </c>
      <c r="E4">
        <v>344</v>
      </c>
      <c r="F4">
        <f t="shared" ref="F4:F8" si="0">(D4+E4+2*6378)/2</f>
        <v>7000</v>
      </c>
      <c r="G4" s="62">
        <v>1.4614000000000001E-3</v>
      </c>
      <c r="H4" s="62">
        <v>82.552199999999999</v>
      </c>
      <c r="I4" s="62">
        <v>196.1754</v>
      </c>
      <c r="J4" s="62">
        <v>155.37270000000001</v>
      </c>
      <c r="K4" s="62">
        <v>204.8237</v>
      </c>
      <c r="L4" s="62">
        <v>15.71635466</v>
      </c>
      <c r="M4" s="154">
        <f>0.15*1000</f>
        <v>150</v>
      </c>
      <c r="N4" s="64" t="s">
        <v>261</v>
      </c>
      <c r="R4">
        <v>975</v>
      </c>
      <c r="S4" s="65">
        <v>45.3</v>
      </c>
      <c r="T4">
        <f>R4+SUM($S$3:S4)</f>
        <v>1065.5999999999999</v>
      </c>
      <c r="U4">
        <f>(T4-SUM(U3:U3))*(1-EXP((-N5/($B$4*9.81))))</f>
        <v>5.3456842995174725</v>
      </c>
      <c r="V4">
        <f>(R4-SUM(V3:V3))*(1-EXP((-N5/($B$4*9.81))))</f>
        <v>4.889585483042147</v>
      </c>
    </row>
    <row r="5" spans="1:23">
      <c r="C5">
        <v>3</v>
      </c>
      <c r="D5">
        <v>1300</v>
      </c>
      <c r="E5">
        <v>344</v>
      </c>
      <c r="F5">
        <f t="shared" si="0"/>
        <v>7200</v>
      </c>
      <c r="G5" s="62">
        <v>1.4614000000000001E-3</v>
      </c>
      <c r="H5" s="62">
        <v>82.552199999999999</v>
      </c>
      <c r="I5" s="62">
        <v>196.1754</v>
      </c>
      <c r="J5" s="62">
        <v>155.37270000000001</v>
      </c>
      <c r="K5" s="62">
        <v>204.8237</v>
      </c>
      <c r="L5" s="62">
        <v>15.71635466</v>
      </c>
      <c r="M5" s="156"/>
      <c r="N5" s="154">
        <f>0.0994*1000</f>
        <v>99.4</v>
      </c>
      <c r="O5" s="64" t="s">
        <v>262</v>
      </c>
      <c r="R5">
        <v>975</v>
      </c>
      <c r="S5" s="65">
        <v>45.3</v>
      </c>
      <c r="T5">
        <f>R5+SUM($S$3:S5)</f>
        <v>1110.9000000000001</v>
      </c>
      <c r="U5">
        <f>(T5-SUM(U3:U4))*(1-EXP((-O6/($B$4*9.81))))</f>
        <v>5.2135231133068336</v>
      </c>
      <c r="V5">
        <f>(R5-SUM(V3:V4))*(1-EXP((-O6/($B$4*9.81))))</f>
        <v>4.5719201658314583</v>
      </c>
    </row>
    <row r="6" spans="1:23">
      <c r="C6">
        <v>4</v>
      </c>
      <c r="D6">
        <v>1700</v>
      </c>
      <c r="E6">
        <v>344</v>
      </c>
      <c r="F6">
        <f t="shared" si="0"/>
        <v>7400</v>
      </c>
      <c r="G6" s="62">
        <v>1.4614000000000001E-3</v>
      </c>
      <c r="H6" s="62">
        <v>82.552199999999999</v>
      </c>
      <c r="I6" s="62">
        <v>196.1754</v>
      </c>
      <c r="J6" s="62">
        <v>155.37270000000001</v>
      </c>
      <c r="K6" s="62">
        <v>204.8237</v>
      </c>
      <c r="L6" s="62">
        <v>15.71635466</v>
      </c>
      <c r="M6" s="66" t="s">
        <v>259</v>
      </c>
      <c r="N6" s="126"/>
      <c r="O6" s="154">
        <f>0.0934*1000</f>
        <v>93.399999999999991</v>
      </c>
      <c r="P6" s="64" t="s">
        <v>263</v>
      </c>
      <c r="R6">
        <v>975</v>
      </c>
      <c r="S6" s="65">
        <v>45.3</v>
      </c>
      <c r="T6">
        <f>R6+SUM($S$3:S6)</f>
        <v>1156.2</v>
      </c>
      <c r="U6">
        <f>(T6-SUM(U3:U5))*(1-EXP((-P7/($B$4*9.81))))</f>
        <v>5.0344310417359459</v>
      </c>
      <c r="V6">
        <f>(R6-SUM(V3:V5))*(1-EXP((-P7/($B$4*9.81))))</f>
        <v>4.2391067846125585</v>
      </c>
    </row>
    <row r="7" spans="1:23">
      <c r="C7">
        <v>5</v>
      </c>
      <c r="D7">
        <v>2100</v>
      </c>
      <c r="E7">
        <v>344</v>
      </c>
      <c r="F7">
        <f t="shared" si="0"/>
        <v>7600</v>
      </c>
      <c r="G7" s="62">
        <v>1.4614000000000001E-3</v>
      </c>
      <c r="H7" s="62">
        <v>82.552199999999999</v>
      </c>
      <c r="I7" s="62">
        <v>196.1754</v>
      </c>
      <c r="J7" s="62">
        <v>155.37270000000001</v>
      </c>
      <c r="K7" s="62">
        <v>204.8237</v>
      </c>
      <c r="L7" s="62">
        <v>15.71635466</v>
      </c>
      <c r="N7" s="66" t="s">
        <v>261</v>
      </c>
      <c r="O7" s="126"/>
      <c r="P7" s="154">
        <f>0.087*1000</f>
        <v>87</v>
      </c>
      <c r="Q7" s="64" t="s">
        <v>264</v>
      </c>
      <c r="R7">
        <v>975</v>
      </c>
      <c r="S7" s="65">
        <v>45.3</v>
      </c>
      <c r="T7">
        <f>R7+SUM($S$3:S7)</f>
        <v>1201.5</v>
      </c>
      <c r="U7">
        <f>(T7-SUM(U3:U6))*(1-EXP((-Q8/($B$4*9.81))))</f>
        <v>4.9255946351561128</v>
      </c>
      <c r="V7">
        <f>(R7-SUM(V3:V6))*(1-EXP((-Q8/($B$4*9.81))))</f>
        <v>3.9879916245638878</v>
      </c>
    </row>
    <row r="8" spans="1:23">
      <c r="C8">
        <v>6</v>
      </c>
      <c r="D8">
        <v>2500</v>
      </c>
      <c r="E8">
        <v>344</v>
      </c>
      <c r="F8">
        <f t="shared" si="0"/>
        <v>7800</v>
      </c>
      <c r="G8" s="62">
        <v>1.4614000000000001E-3</v>
      </c>
      <c r="H8" s="62">
        <v>82.552199999999999</v>
      </c>
      <c r="I8" s="62">
        <v>196.1754</v>
      </c>
      <c r="J8" s="62">
        <v>155.37270000000001</v>
      </c>
      <c r="K8" s="62">
        <v>204.8237</v>
      </c>
      <c r="L8" s="62">
        <v>15.71635466</v>
      </c>
      <c r="O8" s="66" t="s">
        <v>262</v>
      </c>
      <c r="P8" s="126"/>
      <c r="Q8" s="154">
        <f>0.0822*1000</f>
        <v>82.199999999999989</v>
      </c>
      <c r="U8">
        <f>SUM(U3:U7)</f>
        <v>28.289949382501248</v>
      </c>
      <c r="V8">
        <f>SUM(V3:V7)</f>
        <v>25.114310600699525</v>
      </c>
      <c r="W8">
        <f>U8-V8</f>
        <v>3.1756387818017231</v>
      </c>
    </row>
    <row r="9" spans="1:23">
      <c r="P9" s="66" t="s">
        <v>263</v>
      </c>
      <c r="Q9" s="126"/>
    </row>
    <row r="10" spans="1:23">
      <c r="Q10" s="66" t="s">
        <v>264</v>
      </c>
    </row>
    <row r="13" spans="1:23" ht="17.25">
      <c r="B13" s="69" t="s">
        <v>10</v>
      </c>
      <c r="C13" s="69"/>
    </row>
  </sheetData>
  <mergeCells count="11">
    <mergeCell ref="V1:V2"/>
    <mergeCell ref="M1:Q1"/>
    <mergeCell ref="R1:R2"/>
    <mergeCell ref="S1:S2"/>
    <mergeCell ref="T1:T2"/>
    <mergeCell ref="U1:U2"/>
    <mergeCell ref="M4:M5"/>
    <mergeCell ref="N5:N6"/>
    <mergeCell ref="O6:O7"/>
    <mergeCell ref="P7:P8"/>
    <mergeCell ref="Q8:Q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36B02-6823-476D-89AF-CBC3860562E2}">
  <dimension ref="A1:AE13"/>
  <sheetViews>
    <sheetView topLeftCell="N1" workbookViewId="0">
      <selection activeCell="AB11" sqref="AB11"/>
    </sheetView>
  </sheetViews>
  <sheetFormatPr defaultRowHeight="15"/>
  <cols>
    <col min="4" max="5" width="9.140625" customWidth="1"/>
    <col min="9" max="9" width="9.28515625" bestFit="1" customWidth="1"/>
    <col min="18" max="18" width="0" hidden="1" customWidth="1"/>
    <col min="21" max="21" width="9.28515625" bestFit="1" customWidth="1"/>
  </cols>
  <sheetData>
    <row r="1" spans="1:31" ht="15" customHeight="1">
      <c r="D1" s="68" t="s">
        <v>234</v>
      </c>
      <c r="E1" s="68" t="s">
        <v>235</v>
      </c>
      <c r="F1" s="22" t="s">
        <v>236</v>
      </c>
      <c r="G1" s="22" t="s">
        <v>237</v>
      </c>
      <c r="H1" s="22" t="s">
        <v>238</v>
      </c>
      <c r="I1" s="22" t="s">
        <v>239</v>
      </c>
      <c r="J1" s="22" t="s">
        <v>240</v>
      </c>
      <c r="K1" s="22" t="s">
        <v>241</v>
      </c>
      <c r="L1" s="22" t="s">
        <v>242</v>
      </c>
      <c r="M1" s="111" t="s">
        <v>246</v>
      </c>
      <c r="N1" s="111"/>
      <c r="O1" s="111"/>
      <c r="P1" s="111"/>
      <c r="Q1" s="68"/>
      <c r="R1" s="22"/>
      <c r="S1" s="157" t="s">
        <v>247</v>
      </c>
      <c r="T1" s="157" t="s">
        <v>248</v>
      </c>
      <c r="U1" s="157" t="s">
        <v>249</v>
      </c>
      <c r="V1" s="157" t="s">
        <v>250</v>
      </c>
      <c r="W1" s="157" t="s">
        <v>251</v>
      </c>
      <c r="X1" s="158" t="s">
        <v>252</v>
      </c>
      <c r="Y1" s="157" t="s">
        <v>253</v>
      </c>
      <c r="Z1" s="158" t="s">
        <v>254</v>
      </c>
      <c r="AA1" s="158" t="s">
        <v>255</v>
      </c>
      <c r="AB1" s="158" t="s">
        <v>256</v>
      </c>
      <c r="AD1" s="157" t="s">
        <v>257</v>
      </c>
      <c r="AE1" s="158" t="s">
        <v>258</v>
      </c>
    </row>
    <row r="2" spans="1:31" ht="60" customHeight="1">
      <c r="A2" s="62" t="s">
        <v>243</v>
      </c>
      <c r="B2" s="62">
        <v>1408</v>
      </c>
      <c r="C2" s="62"/>
      <c r="D2" s="62"/>
      <c r="E2" s="62"/>
      <c r="F2" s="62"/>
      <c r="G2" s="62"/>
      <c r="H2" s="62" t="s">
        <v>244</v>
      </c>
      <c r="I2" s="63">
        <v>1</v>
      </c>
      <c r="J2" s="62" t="s">
        <v>245</v>
      </c>
      <c r="K2" s="62"/>
      <c r="L2" s="62"/>
      <c r="S2" s="157"/>
      <c r="T2" s="157"/>
      <c r="U2" s="157"/>
      <c r="V2" s="157"/>
      <c r="W2" s="157"/>
      <c r="X2" s="158"/>
      <c r="Y2" s="157"/>
      <c r="Z2" s="158"/>
      <c r="AA2" s="158"/>
      <c r="AB2" s="158"/>
      <c r="AD2" s="157"/>
      <c r="AE2" s="158"/>
    </row>
    <row r="3" spans="1:31">
      <c r="A3" s="62">
        <v>2</v>
      </c>
      <c r="B3" s="62">
        <v>13552</v>
      </c>
      <c r="C3" s="62">
        <v>1</v>
      </c>
      <c r="D3" s="62">
        <v>364</v>
      </c>
      <c r="E3" s="62">
        <v>344</v>
      </c>
      <c r="F3" s="62">
        <v>6732</v>
      </c>
      <c r="G3" s="62">
        <v>1.4614000000000001E-3</v>
      </c>
      <c r="H3" s="62">
        <v>82.552199999999999</v>
      </c>
      <c r="I3" s="62">
        <v>196.1754</v>
      </c>
      <c r="J3" s="62">
        <v>155.37270000000001</v>
      </c>
      <c r="K3" s="62">
        <v>204.8237</v>
      </c>
      <c r="L3" s="62">
        <v>15.71635466</v>
      </c>
      <c r="M3" s="67" t="s">
        <v>259</v>
      </c>
      <c r="Q3" s="76" t="str">
        <f>M3</f>
        <v>1 to 2</v>
      </c>
      <c r="R3">
        <f>S3+Y3</f>
        <v>1.0000000000000002</v>
      </c>
      <c r="S3">
        <f>V3/(V3+$B$5-SUM($W$3:W3))</f>
        <v>0.47372725758630335</v>
      </c>
      <c r="T3">
        <v>795</v>
      </c>
      <c r="U3" s="65">
        <v>1500</v>
      </c>
      <c r="V3">
        <f>T3+SUM($U$3:U3)</f>
        <v>2295</v>
      </c>
      <c r="W3">
        <f>(V3+B5)*(1-EXP((-M4/($B$4*9.81))))</f>
        <v>150.44025966903845</v>
      </c>
      <c r="X3">
        <f>(AA3+$B$5)*(1-EXP((-M4/($B$4*9.81))))</f>
        <v>105.26300451317104</v>
      </c>
      <c r="Y3">
        <f>($B$5-SUM($W$3:W3))/(V3+$B$5-SUM($W$3:W3))</f>
        <v>0.52627274241369681</v>
      </c>
      <c r="Z3">
        <f>($B$5-SUM($X$3:X3))/(AA3+$B$5-SUM($X$3:X3))</f>
        <v>0.7654685301371521</v>
      </c>
      <c r="AA3">
        <v>795</v>
      </c>
      <c r="AB3">
        <f>AA3/(AA3+$B$5-SUM($X$3:X3))</f>
        <v>0.23453146986284795</v>
      </c>
      <c r="AC3">
        <f>Z3+AB3</f>
        <v>1</v>
      </c>
      <c r="AD3">
        <f>($B$5-SUM($W$3:W3))/Y3</f>
        <v>4844.5597403309612</v>
      </c>
      <c r="AE3">
        <f>($B$5-SUM($X$3:X3))/Z3</f>
        <v>3389.7369954868291</v>
      </c>
    </row>
    <row r="4" spans="1:31">
      <c r="A4" t="s">
        <v>260</v>
      </c>
      <c r="B4">
        <v>500</v>
      </c>
      <c r="C4">
        <v>2</v>
      </c>
      <c r="D4">
        <v>900</v>
      </c>
      <c r="E4">
        <v>344</v>
      </c>
      <c r="F4">
        <f t="shared" ref="F4:F8" si="0">(D4+E4+2*6378)/2</f>
        <v>7000</v>
      </c>
      <c r="G4" s="62">
        <v>1.4614000000000001E-3</v>
      </c>
      <c r="H4" s="62">
        <v>82.552199999999999</v>
      </c>
      <c r="I4" s="62">
        <v>196.1754</v>
      </c>
      <c r="J4" s="62">
        <v>155.37270000000001</v>
      </c>
      <c r="K4" s="62">
        <v>204.8237</v>
      </c>
      <c r="L4" s="62">
        <v>15.71635466</v>
      </c>
      <c r="M4" s="154">
        <f>0.15*1000</f>
        <v>150</v>
      </c>
      <c r="N4" s="64" t="s">
        <v>261</v>
      </c>
      <c r="Q4" s="76" t="str">
        <f>N4</f>
        <v>2 to 3</v>
      </c>
      <c r="R4">
        <f>S4+Y4</f>
        <v>1</v>
      </c>
      <c r="S4">
        <f>V4/(V4+$B$5-SUM($W$3:W4))</f>
        <v>0.61039544255396117</v>
      </c>
      <c r="T4">
        <v>795</v>
      </c>
      <c r="U4" s="65">
        <v>1500</v>
      </c>
      <c r="V4">
        <f>T4+SUM($U$3:U4)</f>
        <v>3795</v>
      </c>
      <c r="W4">
        <f>(V4+$B$5-SUM(W3:W3))*(1-EXP((-N5/($B$4*9.81))))</f>
        <v>127.27871981530053</v>
      </c>
      <c r="X4">
        <f>(AA4+$B$5-SUM(X3:X3))*(1-EXP((-N5/($B$4*9.81))))</f>
        <v>68.001784671290807</v>
      </c>
      <c r="Y4">
        <f>($B$5-SUM($W$3:W4))/(V4+$B$5-SUM($W$3:W4))</f>
        <v>0.38960455744603889</v>
      </c>
      <c r="Z4">
        <f>($B$5-SUM($X$3:X4))/(AA4+$B$5-SUM($X$3:X4))</f>
        <v>0.76066725685675141</v>
      </c>
      <c r="AA4">
        <v>795</v>
      </c>
      <c r="AB4">
        <f>AA4/(AA4+$B$5-SUM($X$3:X4))</f>
        <v>0.23933274314324862</v>
      </c>
      <c r="AC4">
        <f t="shared" ref="AC4:AC7" si="1">Z4+AB4</f>
        <v>1</v>
      </c>
      <c r="AD4">
        <f>($B$5-SUM($W$3:W4))/Y4</f>
        <v>6217.2810205156611</v>
      </c>
      <c r="AE4">
        <f>($B$5-SUM($X$3:X4))/Z4</f>
        <v>3321.7352108155383</v>
      </c>
    </row>
    <row r="5" spans="1:31">
      <c r="B5">
        <v>2700</v>
      </c>
      <c r="C5">
        <v>3</v>
      </c>
      <c r="D5">
        <v>1300</v>
      </c>
      <c r="E5">
        <v>344</v>
      </c>
      <c r="F5">
        <f t="shared" si="0"/>
        <v>7200</v>
      </c>
      <c r="G5" s="62">
        <v>1.4614000000000001E-3</v>
      </c>
      <c r="H5" s="62">
        <v>82.552199999999999</v>
      </c>
      <c r="I5" s="62">
        <v>196.1754</v>
      </c>
      <c r="J5" s="62">
        <v>155.37270000000001</v>
      </c>
      <c r="K5" s="62">
        <v>204.8237</v>
      </c>
      <c r="L5" s="62">
        <v>15.71635466</v>
      </c>
      <c r="M5" s="156"/>
      <c r="N5" s="154">
        <f>0.0994*1000</f>
        <v>99.4</v>
      </c>
      <c r="O5" s="64" t="s">
        <v>262</v>
      </c>
      <c r="Q5" s="76" t="str">
        <f>O5</f>
        <v>3 to 4</v>
      </c>
      <c r="R5">
        <f>S5+Y5</f>
        <v>1</v>
      </c>
      <c r="S5">
        <f>V5/(V5+$B$5-SUM($W$3:W5))</f>
        <v>0.69931266781431922</v>
      </c>
      <c r="T5">
        <v>795</v>
      </c>
      <c r="U5" s="65">
        <v>1500</v>
      </c>
      <c r="V5">
        <f>T5+SUM($U$3:U5)</f>
        <v>5295</v>
      </c>
      <c r="W5">
        <f>(V5+$B$5-SUM(W3:W4))*(1-EXP((-O6/($B$4*9.81))))</f>
        <v>145.56061031722479</v>
      </c>
      <c r="X5">
        <f>(AA5+$B$5-SUM(X3:X4))*(1-EXP((-O6/($B$4*9.81))))</f>
        <v>62.65338832590772</v>
      </c>
      <c r="Y5">
        <f>($B$5-SUM($W$3:W5))/(V5+$B$5-SUM($W$3:W5))</f>
        <v>0.30068733218568078</v>
      </c>
      <c r="Z5">
        <f>($B$5-SUM($X$3:X5))/(AA5+$B$5-SUM($X$3:X5))</f>
        <v>0.7560662655002951</v>
      </c>
      <c r="AA5">
        <v>795</v>
      </c>
      <c r="AB5">
        <f>AA5/(AA5+$B$5-SUM($X$3:X5))</f>
        <v>0.24393373449970496</v>
      </c>
      <c r="AC5">
        <f t="shared" si="1"/>
        <v>1</v>
      </c>
      <c r="AD5">
        <f>($B$5-SUM($W$3:W5))/Y5</f>
        <v>7571.7204101984362</v>
      </c>
      <c r="AE5">
        <f>($B$5-SUM($X$3:X5))/Z5</f>
        <v>3259.0818224896302</v>
      </c>
    </row>
    <row r="6" spans="1:31">
      <c r="B6">
        <f>B5+T3</f>
        <v>3495</v>
      </c>
      <c r="C6">
        <v>4</v>
      </c>
      <c r="D6">
        <v>1700</v>
      </c>
      <c r="E6">
        <v>344</v>
      </c>
      <c r="F6">
        <f t="shared" si="0"/>
        <v>7400</v>
      </c>
      <c r="G6" s="62">
        <v>1.4614000000000001E-3</v>
      </c>
      <c r="H6" s="62">
        <v>82.552199999999999</v>
      </c>
      <c r="I6" s="62">
        <v>196.1754</v>
      </c>
      <c r="J6" s="62">
        <v>155.37270000000001</v>
      </c>
      <c r="K6" s="62">
        <v>204.8237</v>
      </c>
      <c r="L6" s="62">
        <v>15.71635466</v>
      </c>
      <c r="M6" s="66" t="s">
        <v>259</v>
      </c>
      <c r="N6" s="126"/>
      <c r="O6" s="154">
        <f>0.0934*1000</f>
        <v>93.399999999999991</v>
      </c>
      <c r="P6" s="74" t="s">
        <v>263</v>
      </c>
      <c r="Q6" s="76" t="str">
        <f>P6</f>
        <v>4 to 5</v>
      </c>
      <c r="R6">
        <f>S6+Y6</f>
        <v>1</v>
      </c>
      <c r="S6">
        <f>V6/(V6+$B$5-SUM($W$3:W6))</f>
        <v>0.76243510915647827</v>
      </c>
      <c r="T6">
        <v>795</v>
      </c>
      <c r="U6" s="65">
        <v>1500</v>
      </c>
      <c r="V6">
        <f>T6+SUM($U$3:U6)</f>
        <v>6795</v>
      </c>
      <c r="W6">
        <f>(V6+$B$5-SUM(W3:W5))*(1-EXP((-P7/($B$4*9.81))))</f>
        <v>159.48654479097456</v>
      </c>
      <c r="X6">
        <f>(AA6+B5-SUM(X3:X5))*(1-EXP((-P7/($B$4*9.81))))</f>
        <v>57.296706198705884</v>
      </c>
      <c r="Y6">
        <f>($B$5-SUM($W$3:W6))/(V6+$B$5-SUM($W$3:W6))</f>
        <v>0.23756489084352175</v>
      </c>
      <c r="Z6">
        <f>($B$5-SUM($X$3:X6))/(AA6+$B$5-SUM($X$3:X6))</f>
        <v>0.75170101330192962</v>
      </c>
      <c r="AA6">
        <v>795</v>
      </c>
      <c r="AB6">
        <f>AA6/(AA6+$B$5-SUM($X$3:X6))</f>
        <v>0.24829898669807038</v>
      </c>
      <c r="AC6">
        <f t="shared" si="1"/>
        <v>1</v>
      </c>
      <c r="AD6">
        <f>($B$5-SUM($W$3:W6))/Y6</f>
        <v>8912.2338654074611</v>
      </c>
      <c r="AE6">
        <f>($B$5-SUM($X$3:X6))/Z6</f>
        <v>3201.7851162909246</v>
      </c>
    </row>
    <row r="7" spans="1:31">
      <c r="C7">
        <v>5</v>
      </c>
      <c r="D7">
        <v>2100</v>
      </c>
      <c r="E7">
        <v>344</v>
      </c>
      <c r="F7">
        <f t="shared" si="0"/>
        <v>7600</v>
      </c>
      <c r="G7" s="62">
        <v>1.4614000000000001E-3</v>
      </c>
      <c r="H7" s="62">
        <v>82.552199999999999</v>
      </c>
      <c r="I7" s="62">
        <v>196.1754</v>
      </c>
      <c r="J7" s="62">
        <v>155.37270000000001</v>
      </c>
      <c r="K7" s="62">
        <v>204.8237</v>
      </c>
      <c r="L7" s="62">
        <v>15.71635466</v>
      </c>
      <c r="N7" s="66" t="s">
        <v>261</v>
      </c>
      <c r="O7" s="126"/>
      <c r="P7" s="155">
        <f>0.087*1000</f>
        <v>87</v>
      </c>
      <c r="Q7" s="66" t="s">
        <v>264</v>
      </c>
      <c r="R7">
        <f>S7+Y7</f>
        <v>1</v>
      </c>
      <c r="S7">
        <f>V7/(V7+$B$5-SUM($W$3:W7))</f>
        <v>0.81012225176967945</v>
      </c>
      <c r="T7">
        <v>795</v>
      </c>
      <c r="U7" s="65">
        <v>1500</v>
      </c>
      <c r="V7">
        <f>T7+SUM($U$3:U7)</f>
        <v>8295</v>
      </c>
      <c r="W7">
        <f>(V7+$B$5-SUM(W3:W6))*(1-EXP((-Q8/($B$4*9.81))))</f>
        <v>173.03850707739977</v>
      </c>
      <c r="X7">
        <f>(AA7+$B$5-SUM(X3:X6))*(1-EXP((-Q8/($B$4*9.81))))</f>
        <v>53.209726526243323</v>
      </c>
      <c r="Y7">
        <f>($B$5-SUM($W$3:W7))/(V7+$B$5-SUM($W$3:W7))</f>
        <v>0.18987774823032053</v>
      </c>
      <c r="Z7">
        <f>($B$5-SUM($X$3:X7))/(AA7+$B$5-SUM($X$3:X7))</f>
        <v>0.74750485486726215</v>
      </c>
      <c r="AA7">
        <v>795</v>
      </c>
      <c r="AB7">
        <f>AA7/(AA7+$B$5-SUM($X$3:X7))</f>
        <v>0.25249514513273791</v>
      </c>
      <c r="AC7">
        <f t="shared" si="1"/>
        <v>1</v>
      </c>
      <c r="AD7">
        <f>($B$5-SUM($W$3:W7))/Y7</f>
        <v>10239.195358330062</v>
      </c>
      <c r="AE7">
        <f>($B$5-SUM($X$3:X7))/Z7</f>
        <v>3148.5753897646814</v>
      </c>
    </row>
    <row r="8" spans="1:31">
      <c r="C8">
        <v>6</v>
      </c>
      <c r="D8">
        <v>2500</v>
      </c>
      <c r="E8">
        <v>344</v>
      </c>
      <c r="F8">
        <f t="shared" si="0"/>
        <v>7800</v>
      </c>
      <c r="G8" s="62">
        <v>1.4614000000000001E-3</v>
      </c>
      <c r="H8" s="62">
        <v>82.552199999999999</v>
      </c>
      <c r="I8" s="62">
        <v>196.1754</v>
      </c>
      <c r="J8" s="62">
        <v>155.37270000000001</v>
      </c>
      <c r="K8" s="62">
        <v>204.8237</v>
      </c>
      <c r="L8" s="62">
        <v>15.71635466</v>
      </c>
      <c r="O8" s="66" t="s">
        <v>262</v>
      </c>
      <c r="P8" s="126"/>
      <c r="Q8" s="156">
        <f>0.0822*1000</f>
        <v>82.199999999999989</v>
      </c>
      <c r="R8" s="75"/>
      <c r="S8" s="75"/>
      <c r="W8" s="38">
        <f>SUM(W3:W7)</f>
        <v>755.80464166993818</v>
      </c>
      <c r="X8" s="71">
        <f>SUM(X3:X7)</f>
        <v>346.42461023531877</v>
      </c>
    </row>
    <row r="9" spans="1:31">
      <c r="P9" s="66" t="s">
        <v>263</v>
      </c>
      <c r="Q9" s="126"/>
      <c r="R9" s="75"/>
      <c r="S9" s="75"/>
      <c r="W9" s="72">
        <f>V7-T3-W8</f>
        <v>6744.1953583300619</v>
      </c>
    </row>
    <row r="10" spans="1:31" ht="15" customHeight="1">
      <c r="Q10" s="66" t="s">
        <v>264</v>
      </c>
      <c r="R10" s="75"/>
      <c r="S10" s="75"/>
    </row>
    <row r="13" spans="1:31" ht="17.25">
      <c r="B13" s="69" t="s">
        <v>10</v>
      </c>
      <c r="C13" s="69"/>
    </row>
  </sheetData>
  <mergeCells count="18">
    <mergeCell ref="S1:S2"/>
    <mergeCell ref="M1:P1"/>
    <mergeCell ref="M4:M5"/>
    <mergeCell ref="N5:N6"/>
    <mergeCell ref="O6:O7"/>
    <mergeCell ref="P7:P8"/>
    <mergeCell ref="Q8:Q9"/>
    <mergeCell ref="T1:T2"/>
    <mergeCell ref="U1:U2"/>
    <mergeCell ref="V1:V2"/>
    <mergeCell ref="W1:W2"/>
    <mergeCell ref="AE1:AE2"/>
    <mergeCell ref="X1:X2"/>
    <mergeCell ref="Y1:Y2"/>
    <mergeCell ref="Z1:Z2"/>
    <mergeCell ref="AA1:AA2"/>
    <mergeCell ref="AB1:AB2"/>
    <mergeCell ref="AD1:AD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91230-1ED9-4A8E-996F-0A95A0E72399}">
  <dimension ref="A1:AF18"/>
  <sheetViews>
    <sheetView topLeftCell="G4" workbookViewId="0">
      <selection activeCell="U16" sqref="U16"/>
    </sheetView>
  </sheetViews>
  <sheetFormatPr defaultRowHeight="15"/>
  <cols>
    <col min="4" max="5" width="0" hidden="1" customWidth="1"/>
    <col min="7" max="7" width="9.28515625" bestFit="1" customWidth="1"/>
    <col min="19" max="19" width="0" hidden="1" customWidth="1"/>
    <col min="26" max="27" width="14" customWidth="1"/>
  </cols>
  <sheetData>
    <row r="1" spans="1:32">
      <c r="A1" s="52" t="s">
        <v>270</v>
      </c>
    </row>
    <row r="3" spans="1:32" ht="18.75" customHeight="1">
      <c r="D3" s="68" t="s">
        <v>234</v>
      </c>
      <c r="E3" s="68" t="s">
        <v>235</v>
      </c>
      <c r="F3" s="22" t="s">
        <v>236</v>
      </c>
      <c r="G3" s="22" t="s">
        <v>237</v>
      </c>
      <c r="H3" s="22" t="s">
        <v>238</v>
      </c>
      <c r="I3" s="22" t="s">
        <v>239</v>
      </c>
      <c r="J3" s="22" t="s">
        <v>240</v>
      </c>
      <c r="K3" s="22" t="s">
        <v>241</v>
      </c>
      <c r="L3" s="22" t="s">
        <v>242</v>
      </c>
      <c r="M3" s="61"/>
      <c r="N3" s="169" t="s">
        <v>246</v>
      </c>
      <c r="O3" s="169"/>
      <c r="P3" s="169"/>
      <c r="Q3" s="169"/>
      <c r="R3" s="78"/>
      <c r="S3" s="169"/>
      <c r="T3" s="157" t="s">
        <v>247</v>
      </c>
      <c r="U3" s="157" t="s">
        <v>248</v>
      </c>
      <c r="V3" s="157" t="s">
        <v>249</v>
      </c>
      <c r="W3" s="157" t="s">
        <v>250</v>
      </c>
      <c r="X3" s="157" t="s">
        <v>251</v>
      </c>
      <c r="Y3" s="158" t="s">
        <v>252</v>
      </c>
      <c r="Z3" s="157" t="s">
        <v>253</v>
      </c>
      <c r="AA3" s="158" t="s">
        <v>254</v>
      </c>
      <c r="AB3" s="158" t="s">
        <v>255</v>
      </c>
      <c r="AC3" s="158" t="s">
        <v>256</v>
      </c>
      <c r="AE3" s="157" t="s">
        <v>271</v>
      </c>
      <c r="AF3" s="158" t="s">
        <v>272</v>
      </c>
    </row>
    <row r="4" spans="1:32" ht="61.5" customHeight="1">
      <c r="A4" s="62" t="s">
        <v>243</v>
      </c>
      <c r="B4" s="62">
        <v>1408</v>
      </c>
      <c r="C4" s="62"/>
      <c r="D4" s="62"/>
      <c r="E4" s="62"/>
      <c r="F4" s="62"/>
      <c r="G4" s="62"/>
      <c r="H4" s="62" t="s">
        <v>244</v>
      </c>
      <c r="I4" s="63">
        <v>1</v>
      </c>
      <c r="J4" s="62" t="s">
        <v>245</v>
      </c>
      <c r="K4" s="62"/>
      <c r="L4" s="62"/>
      <c r="N4" s="78"/>
      <c r="O4" s="78"/>
      <c r="P4" s="78"/>
      <c r="Q4" s="78"/>
      <c r="R4" s="79"/>
      <c r="S4" s="169"/>
      <c r="T4" s="157"/>
      <c r="U4" s="157"/>
      <c r="V4" s="157"/>
      <c r="W4" s="157"/>
      <c r="X4" s="157"/>
      <c r="Y4" s="158"/>
      <c r="Z4" s="157"/>
      <c r="AA4" s="158"/>
      <c r="AB4" s="158"/>
      <c r="AC4" s="158"/>
      <c r="AE4" s="157"/>
      <c r="AF4" s="158"/>
    </row>
    <row r="5" spans="1:32">
      <c r="A5" s="62">
        <v>2</v>
      </c>
      <c r="B5" s="62">
        <v>13552</v>
      </c>
      <c r="C5" s="62">
        <v>1</v>
      </c>
      <c r="D5" s="62">
        <v>364</v>
      </c>
      <c r="E5" s="62">
        <v>344</v>
      </c>
      <c r="F5" s="62">
        <v>6732</v>
      </c>
      <c r="G5" s="62">
        <v>1.4614000000000001E-3</v>
      </c>
      <c r="H5" s="62">
        <v>82.552199999999999</v>
      </c>
      <c r="I5" s="62">
        <v>196.1754</v>
      </c>
      <c r="J5" s="62">
        <v>155.37270000000001</v>
      </c>
      <c r="K5" s="62">
        <v>204.8237</v>
      </c>
      <c r="L5" s="62">
        <v>15.71635466</v>
      </c>
      <c r="M5" s="62"/>
      <c r="N5" s="67" t="str">
        <f>R5</f>
        <v>+5 deg</v>
      </c>
      <c r="O5" s="125"/>
      <c r="P5" s="153"/>
      <c r="Q5" s="153"/>
      <c r="R5" s="66" t="s">
        <v>273</v>
      </c>
      <c r="S5" s="75">
        <f>T5+Z5</f>
        <v>1</v>
      </c>
      <c r="T5" s="75">
        <f>W5/(W5+$B$7-X5)</f>
        <v>0.26966832058188744</v>
      </c>
      <c r="U5">
        <v>795</v>
      </c>
      <c r="V5" s="65">
        <v>45.3</v>
      </c>
      <c r="W5">
        <f>U5+V5</f>
        <v>840.3</v>
      </c>
      <c r="X5">
        <f>(W5+$B$7)*(1-EXP((-N13/($B$6*9.81))))</f>
        <v>424.24989004711591</v>
      </c>
      <c r="Y5">
        <f>(AB5+B7)*(1-EXP((-N13/($B$6*9.81))))</f>
        <v>397.85036153897261</v>
      </c>
      <c r="Z5">
        <f>($B$7-X5)/(W5+($B$7-X5))</f>
        <v>0.73033167941811261</v>
      </c>
      <c r="AA5">
        <f>($B$7-Y5)/(AB5+($B$7-Y5))</f>
        <v>0.78782742956088736</v>
      </c>
      <c r="AB5">
        <v>620</v>
      </c>
      <c r="AC5">
        <f>AB5/(AB5+$B$7-Y5)</f>
        <v>0.2121725704391127</v>
      </c>
      <c r="AD5">
        <f>AC5+AA5</f>
        <v>1</v>
      </c>
      <c r="AE5">
        <f>($B$7-X5)/Z5</f>
        <v>3116.0501099528838</v>
      </c>
      <c r="AF5">
        <f>($B$7-Y5)/AA5</f>
        <v>2922.1496384610273</v>
      </c>
    </row>
    <row r="6" spans="1:32">
      <c r="A6" t="s">
        <v>260</v>
      </c>
      <c r="B6">
        <v>500</v>
      </c>
      <c r="C6">
        <v>2</v>
      </c>
      <c r="D6">
        <v>900</v>
      </c>
      <c r="E6">
        <v>344</v>
      </c>
      <c r="F6">
        <f t="shared" ref="F6:F10" si="0">(D6+E6+2*6378)/2</f>
        <v>7000</v>
      </c>
      <c r="G6" s="62">
        <v>1.4614000000000001E-3</v>
      </c>
      <c r="H6" s="62">
        <v>87</v>
      </c>
      <c r="I6" s="80">
        <v>196.1754</v>
      </c>
      <c r="J6" s="80">
        <v>155.37270000000001</v>
      </c>
      <c r="K6" s="80">
        <v>204.8237</v>
      </c>
      <c r="L6" s="62">
        <f>86400*(SQRT('Targeted SDs'!$B$33/('Inclination Change Isp 500 PM'!F6^3)))/(2*PI())</f>
        <v>14.823463440344568</v>
      </c>
      <c r="M6" s="160" t="s">
        <v>274</v>
      </c>
      <c r="N6" s="163">
        <f>0*1000</f>
        <v>0</v>
      </c>
      <c r="O6" s="64" t="str">
        <f>R6</f>
        <v>+15 deg</v>
      </c>
      <c r="P6" s="125"/>
      <c r="Q6" s="153"/>
      <c r="R6" s="66" t="s">
        <v>275</v>
      </c>
      <c r="S6" s="75">
        <f t="shared" ref="S6:S9" si="1">T6+Z6</f>
        <v>0.99999999999999989</v>
      </c>
      <c r="T6" s="75">
        <f t="shared" ref="T6:T9" si="2">W6/(W6+$B$7-X6)</f>
        <v>0.34670604019980333</v>
      </c>
      <c r="U6">
        <v>795</v>
      </c>
      <c r="V6" s="65">
        <v>45.3</v>
      </c>
      <c r="W6">
        <f t="shared" ref="W6:W9" si="3">U6+V6</f>
        <v>840.3</v>
      </c>
      <c r="X6">
        <f>(W6+$B$7-SUM(X5:X5))*(1-EXP((-O14/($B$6*9.81))))</f>
        <v>1116.6329663488325</v>
      </c>
      <c r="Y6">
        <f>(AB6+B7-SUM(Y5:Y5))*(1-EXP((-O14/($B$6*9.81))))</f>
        <v>1047.1489558167737</v>
      </c>
      <c r="Z6">
        <f t="shared" ref="Z6:Z9" si="4">($B$7-X6)/(W6+($B$7-X6))</f>
        <v>0.65329395980019656</v>
      </c>
      <c r="AA6">
        <f t="shared" ref="AA6:AA9" si="5">($B$7-Y6)/(AB6+($B$7-Y6))</f>
        <v>0.72721485572636646</v>
      </c>
      <c r="AB6">
        <v>620</v>
      </c>
      <c r="AC6">
        <f t="shared" ref="AC6:AC9" si="6">AB6/(AB6+$B$7-Y6)</f>
        <v>0.27278514427363354</v>
      </c>
      <c r="AD6">
        <f t="shared" ref="AD6:AD9" si="7">AC6+AA6</f>
        <v>1</v>
      </c>
      <c r="AE6">
        <f t="shared" ref="AE6:AE9" si="8">($B$7-X6)/Z6</f>
        <v>2423.6670336511675</v>
      </c>
      <c r="AF6">
        <f t="shared" ref="AF6:AF9" si="9">($B$7-Y6)/AA6</f>
        <v>2272.8510441832263</v>
      </c>
    </row>
    <row r="7" spans="1:32">
      <c r="B7">
        <v>2700</v>
      </c>
      <c r="C7">
        <v>3</v>
      </c>
      <c r="D7">
        <v>1300</v>
      </c>
      <c r="E7">
        <v>344</v>
      </c>
      <c r="F7">
        <f t="shared" si="0"/>
        <v>7200</v>
      </c>
      <c r="G7" s="62">
        <v>1.4614000000000001E-3</v>
      </c>
      <c r="H7" s="62">
        <v>97</v>
      </c>
      <c r="I7" s="80">
        <v>196.1754</v>
      </c>
      <c r="J7" s="80">
        <v>155.37270000000001</v>
      </c>
      <c r="K7" s="80">
        <v>204.8237</v>
      </c>
      <c r="L7" s="62">
        <f>86400*(SQRT('Targeted SDs'!$B$33/('Inclination Change Isp 500 PM'!F7^3)))/(2*PI())</f>
        <v>14.210128394087302</v>
      </c>
      <c r="M7" s="160"/>
      <c r="N7" s="133"/>
      <c r="O7" s="164">
        <f>0.237*1000</f>
        <v>237</v>
      </c>
      <c r="P7" s="64" t="str">
        <f>R7</f>
        <v>-5 deg</v>
      </c>
      <c r="Q7" s="77"/>
      <c r="R7" s="66" t="s">
        <v>276</v>
      </c>
      <c r="S7" s="75">
        <f t="shared" si="1"/>
        <v>1</v>
      </c>
      <c r="T7" s="75">
        <f t="shared" si="2"/>
        <v>0.26011244932053951</v>
      </c>
      <c r="U7">
        <v>795</v>
      </c>
      <c r="V7" s="65">
        <v>45.3</v>
      </c>
      <c r="W7">
        <f t="shared" si="3"/>
        <v>840.3</v>
      </c>
      <c r="X7">
        <f>(W7+B7-SUM(X5:X6))*(1-EXP((-P15/($B$6*9.81))))</f>
        <v>309.77411707892264</v>
      </c>
      <c r="Y7">
        <f>(AB7+B7-SUM(Y5:Y6))*(1-EXP((-P15/($B$6*9.81))))</f>
        <v>290.49799980284808</v>
      </c>
      <c r="Z7">
        <f t="shared" si="4"/>
        <v>0.73988755067946055</v>
      </c>
      <c r="AA7">
        <f t="shared" si="5"/>
        <v>0.79534590174898312</v>
      </c>
      <c r="AB7">
        <v>620</v>
      </c>
      <c r="AC7">
        <f t="shared" si="6"/>
        <v>0.20465409825101685</v>
      </c>
      <c r="AD7">
        <f t="shared" si="7"/>
        <v>1</v>
      </c>
      <c r="AE7">
        <f t="shared" si="8"/>
        <v>3230.525882921077</v>
      </c>
      <c r="AF7">
        <f t="shared" si="9"/>
        <v>3029.502000197152</v>
      </c>
    </row>
    <row r="8" spans="1:32">
      <c r="C8">
        <v>4</v>
      </c>
      <c r="D8">
        <v>1700</v>
      </c>
      <c r="E8">
        <v>344</v>
      </c>
      <c r="F8">
        <f t="shared" si="0"/>
        <v>7400</v>
      </c>
      <c r="G8" s="62">
        <v>1.4614000000000001E-3</v>
      </c>
      <c r="H8" s="62">
        <v>77</v>
      </c>
      <c r="I8" s="80">
        <v>196.1754</v>
      </c>
      <c r="J8" s="80">
        <v>155.37270000000001</v>
      </c>
      <c r="K8" s="80">
        <v>204.8237</v>
      </c>
      <c r="L8" s="62">
        <f>86400*(SQRT('Targeted SDs'!$B$33/('Inclination Change Isp 500 PM'!F8^3)))/(2*PI())</f>
        <v>13.637952296564432</v>
      </c>
      <c r="M8" s="160" t="s">
        <v>277</v>
      </c>
      <c r="N8" s="165">
        <f>0.595*1000</f>
        <v>595</v>
      </c>
      <c r="O8" s="133"/>
      <c r="P8" s="164">
        <f>0.0087*1000</f>
        <v>8.6999999999999993</v>
      </c>
      <c r="Q8" s="74" t="str">
        <f>R8</f>
        <v>-10 deg</v>
      </c>
      <c r="R8" s="66" t="s">
        <v>278</v>
      </c>
      <c r="S8" s="75">
        <f t="shared" si="1"/>
        <v>0.99999999999999989</v>
      </c>
      <c r="T8" s="75">
        <f t="shared" si="2"/>
        <v>0.27246993956117183</v>
      </c>
      <c r="U8">
        <v>795</v>
      </c>
      <c r="V8" s="65">
        <v>45.3</v>
      </c>
      <c r="W8">
        <f t="shared" si="3"/>
        <v>840.3</v>
      </c>
      <c r="X8">
        <f>(W8+B7-SUM(X5:X7))*(1-EXP((-Q16/($B$6*9.81))))</f>
        <v>456.29006718557497</v>
      </c>
      <c r="Y8">
        <f>(AB8+B7-SUM(Y5:Y7))*(1-EXP((-Q16/($B$6*9.81))))</f>
        <v>427.89679492023527</v>
      </c>
      <c r="Z8">
        <f t="shared" si="4"/>
        <v>0.72753006043882806</v>
      </c>
      <c r="AA8">
        <f t="shared" si="5"/>
        <v>0.78562314134882327</v>
      </c>
      <c r="AB8">
        <v>620</v>
      </c>
      <c r="AC8">
        <f t="shared" si="6"/>
        <v>0.21437685865117675</v>
      </c>
      <c r="AD8">
        <f t="shared" si="7"/>
        <v>1</v>
      </c>
      <c r="AE8">
        <f t="shared" si="8"/>
        <v>3084.0099328144252</v>
      </c>
      <c r="AF8">
        <f t="shared" si="9"/>
        <v>2892.1032050797648</v>
      </c>
    </row>
    <row r="9" spans="1:32">
      <c r="C9">
        <v>5</v>
      </c>
      <c r="D9">
        <v>2100</v>
      </c>
      <c r="E9">
        <v>344</v>
      </c>
      <c r="F9">
        <f t="shared" si="0"/>
        <v>7600</v>
      </c>
      <c r="G9" s="62">
        <v>1.4614000000000001E-3</v>
      </c>
      <c r="H9" s="62">
        <v>72</v>
      </c>
      <c r="I9" s="80">
        <v>196.1754</v>
      </c>
      <c r="J9" s="80">
        <v>155.37270000000001</v>
      </c>
      <c r="K9" s="80">
        <v>204.8237</v>
      </c>
      <c r="L9" s="62">
        <f>86400*(SQRT('Targeted SDs'!$B$33/('Inclination Change Isp 500 PM'!F9^3)))/(2*PI())</f>
        <v>13.103169475487357</v>
      </c>
      <c r="M9" s="160"/>
      <c r="N9" s="166"/>
      <c r="O9" s="165">
        <f>1.925*1000</f>
        <v>1925</v>
      </c>
      <c r="P9" s="133"/>
      <c r="Q9" s="164">
        <f>0.098*1000</f>
        <v>98</v>
      </c>
      <c r="R9" s="73" t="s">
        <v>279</v>
      </c>
      <c r="S9" s="75">
        <f t="shared" si="1"/>
        <v>1</v>
      </c>
      <c r="T9" s="75">
        <f t="shared" si="2"/>
        <v>0.28494295265778902</v>
      </c>
      <c r="U9">
        <v>795</v>
      </c>
      <c r="V9" s="65">
        <v>45.3</v>
      </c>
      <c r="W9">
        <f t="shared" si="3"/>
        <v>840.3</v>
      </c>
      <c r="X9">
        <f>(W9+B7-SUM(X5:X8))*(1-EXP((-R17/($B$6*9.81))))</f>
        <v>591.28865523028378</v>
      </c>
      <c r="Y9">
        <f>(AB9+B7-SUM(Y5:Y8))*(1-EXP((-R17/($B$6*9.81))))</f>
        <v>554.49491155115163</v>
      </c>
      <c r="Z9">
        <f t="shared" si="4"/>
        <v>0.71505704734221098</v>
      </c>
      <c r="AA9">
        <f t="shared" si="5"/>
        <v>0.77580948862120758</v>
      </c>
      <c r="AB9">
        <v>620</v>
      </c>
      <c r="AC9">
        <f t="shared" si="6"/>
        <v>0.22419051137879248</v>
      </c>
      <c r="AD9">
        <f t="shared" si="7"/>
        <v>1</v>
      </c>
      <c r="AE9">
        <f t="shared" si="8"/>
        <v>2949.0113447697158</v>
      </c>
      <c r="AF9">
        <f t="shared" si="9"/>
        <v>2765.5050884488483</v>
      </c>
    </row>
    <row r="10" spans="1:32">
      <c r="C10">
        <v>6</v>
      </c>
      <c r="D10">
        <v>2500</v>
      </c>
      <c r="E10">
        <v>344</v>
      </c>
      <c r="F10">
        <f t="shared" si="0"/>
        <v>7800</v>
      </c>
      <c r="G10" s="62">
        <v>1.4614000000000001E-3</v>
      </c>
      <c r="H10" s="62">
        <v>62</v>
      </c>
      <c r="I10" s="80">
        <v>196.1754</v>
      </c>
      <c r="J10" s="80">
        <v>155.37270000000001</v>
      </c>
      <c r="K10" s="80">
        <v>204.8237</v>
      </c>
      <c r="L10" s="62">
        <f>86400*(SQRT('Targeted SDs'!$B$33/('Inclination Change Isp 500 PM'!F10^3)))/(2*PI())</f>
        <v>12.6024459235114</v>
      </c>
      <c r="M10" s="160" t="s">
        <v>280</v>
      </c>
      <c r="N10" s="165">
        <f>0.0311*1000</f>
        <v>31.099999999999998</v>
      </c>
      <c r="O10" s="166"/>
      <c r="P10" s="165">
        <f>0.748*1000</f>
        <v>748</v>
      </c>
      <c r="Q10" s="133"/>
      <c r="R10" s="168">
        <f>0.484*1000</f>
        <v>484</v>
      </c>
      <c r="S10" s="161" t="s">
        <v>274</v>
      </c>
    </row>
    <row r="11" spans="1:32">
      <c r="M11" s="160"/>
      <c r="N11" s="166"/>
      <c r="O11" s="165">
        <f>0.0144*1000</f>
        <v>14.4</v>
      </c>
      <c r="P11" s="166"/>
      <c r="Q11" s="165">
        <f>1.417*1000</f>
        <v>1417</v>
      </c>
      <c r="R11" s="133"/>
      <c r="S11" s="162"/>
    </row>
    <row r="12" spans="1:32">
      <c r="N12" s="66" t="str">
        <f>N5</f>
        <v>+5 deg</v>
      </c>
      <c r="O12" s="166"/>
      <c r="P12" s="165">
        <f>0.069*1000</f>
        <v>69</v>
      </c>
      <c r="Q12" s="166"/>
      <c r="R12" s="167">
        <f>2.7*1000</f>
        <v>2700</v>
      </c>
      <c r="S12" s="160" t="s">
        <v>277</v>
      </c>
    </row>
    <row r="13" spans="1:32">
      <c r="N13" s="15">
        <f>N6+N8+N10</f>
        <v>626.1</v>
      </c>
      <c r="O13" s="66" t="str">
        <f>O6</f>
        <v>+15 deg</v>
      </c>
      <c r="P13" s="166"/>
      <c r="Q13" s="165">
        <f>0.029*1000</f>
        <v>29</v>
      </c>
      <c r="R13" s="166"/>
      <c r="S13" s="160"/>
      <c r="Z13" t="s">
        <v>281</v>
      </c>
    </row>
    <row r="14" spans="1:32">
      <c r="N14" s="15">
        <f>N13/1000</f>
        <v>0.62609999999999999</v>
      </c>
      <c r="O14" s="15">
        <f>O7+O9+O11</f>
        <v>2176.4</v>
      </c>
      <c r="P14" s="66" t="str">
        <f>P7</f>
        <v>-5 deg</v>
      </c>
      <c r="Q14" s="166"/>
      <c r="R14" s="167">
        <f>0.018*1000</f>
        <v>18</v>
      </c>
      <c r="S14" s="160" t="s">
        <v>280</v>
      </c>
    </row>
    <row r="15" spans="1:32">
      <c r="O15" s="15">
        <f>O14/1000</f>
        <v>2.1764000000000001</v>
      </c>
      <c r="P15" s="15">
        <f>P8+P10+P12</f>
        <v>825.7</v>
      </c>
      <c r="Q15" s="66" t="str">
        <f>Q8</f>
        <v>-10 deg</v>
      </c>
      <c r="R15" s="166"/>
      <c r="S15" s="160"/>
      <c r="AA15" t="s">
        <v>281</v>
      </c>
    </row>
    <row r="16" spans="1:32">
      <c r="P16" s="15">
        <f>P15/1000</f>
        <v>0.8257000000000001</v>
      </c>
      <c r="Q16" s="15">
        <f>Q9+Q11+Q13</f>
        <v>1544</v>
      </c>
      <c r="R16" s="66" t="str">
        <f>R9</f>
        <v>-20 deg</v>
      </c>
      <c r="S16" s="75"/>
      <c r="T16" s="75"/>
    </row>
    <row r="17" spans="17:20">
      <c r="Q17" s="15">
        <f>Q16/1000</f>
        <v>1.544</v>
      </c>
      <c r="R17" s="15">
        <f>R10+R12+R14</f>
        <v>3202</v>
      </c>
      <c r="S17" s="15"/>
      <c r="T17" s="15"/>
    </row>
    <row r="18" spans="17:20">
      <c r="R18" s="15">
        <f>R17/1000</f>
        <v>3.202</v>
      </c>
      <c r="S18" s="15"/>
      <c r="T18" s="15"/>
    </row>
  </sheetData>
  <mergeCells count="37">
    <mergeCell ref="AC3:AC4"/>
    <mergeCell ref="AE3:AE4"/>
    <mergeCell ref="AF3:AF4"/>
    <mergeCell ref="Z3:Z4"/>
    <mergeCell ref="AB3:AB4"/>
    <mergeCell ref="AA3:AA4"/>
    <mergeCell ref="Y3:Y4"/>
    <mergeCell ref="V3:V4"/>
    <mergeCell ref="W3:W4"/>
    <mergeCell ref="S14:S15"/>
    <mergeCell ref="S12:S13"/>
    <mergeCell ref="R12:R13"/>
    <mergeCell ref="R14:R15"/>
    <mergeCell ref="Q9:Q10"/>
    <mergeCell ref="R10:R11"/>
    <mergeCell ref="X3:X4"/>
    <mergeCell ref="O5:Q5"/>
    <mergeCell ref="P6:Q6"/>
    <mergeCell ref="T3:T4"/>
    <mergeCell ref="N3:Q3"/>
    <mergeCell ref="S3:S4"/>
    <mergeCell ref="M6:M7"/>
    <mergeCell ref="M8:M9"/>
    <mergeCell ref="M10:M11"/>
    <mergeCell ref="S10:S11"/>
    <mergeCell ref="U3:U4"/>
    <mergeCell ref="N6:N7"/>
    <mergeCell ref="O7:O8"/>
    <mergeCell ref="P8:P9"/>
    <mergeCell ref="N8:N9"/>
    <mergeCell ref="N10:N11"/>
    <mergeCell ref="O9:O10"/>
    <mergeCell ref="O11:O12"/>
    <mergeCell ref="P10:P11"/>
    <mergeCell ref="P12:P13"/>
    <mergeCell ref="Q11:Q12"/>
    <mergeCell ref="Q13:Q14"/>
  </mergeCells>
  <hyperlinks>
    <hyperlink ref="A1" r:id="rId1" location="fpstate=ive&amp;vld=cid:173cc5b5,vid:zv44J8lfw_w,st:0" xr:uid="{7E36126F-10A8-4C69-A342-E64A56FF7B4A}"/>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56192-9E97-40DF-ACE5-62F9967B095F}">
  <dimension ref="A1:AF18"/>
  <sheetViews>
    <sheetView workbookViewId="0">
      <selection activeCell="Q11" sqref="Q11:Q12"/>
    </sheetView>
  </sheetViews>
  <sheetFormatPr defaultRowHeight="15"/>
  <cols>
    <col min="4" max="5" width="0" hidden="1" customWidth="1"/>
    <col min="7" max="7" width="9.28515625" bestFit="1" customWidth="1"/>
    <col min="22" max="22" width="9.28515625" bestFit="1" customWidth="1"/>
    <col min="26" max="27" width="14" customWidth="1"/>
  </cols>
  <sheetData>
    <row r="1" spans="1:32">
      <c r="A1" s="52" t="s">
        <v>270</v>
      </c>
    </row>
    <row r="3" spans="1:32" ht="18.75" customHeight="1">
      <c r="D3" s="68" t="s">
        <v>234</v>
      </c>
      <c r="E3" s="68" t="s">
        <v>235</v>
      </c>
      <c r="F3" s="22" t="s">
        <v>236</v>
      </c>
      <c r="G3" s="22" t="s">
        <v>237</v>
      </c>
      <c r="H3" s="22" t="s">
        <v>238</v>
      </c>
      <c r="I3" s="22" t="s">
        <v>239</v>
      </c>
      <c r="J3" s="22" t="s">
        <v>240</v>
      </c>
      <c r="K3" s="22" t="s">
        <v>241</v>
      </c>
      <c r="L3" s="22" t="s">
        <v>242</v>
      </c>
      <c r="M3" s="61"/>
      <c r="N3" s="169" t="s">
        <v>246</v>
      </c>
      <c r="O3" s="169"/>
      <c r="P3" s="169"/>
      <c r="Q3" s="169"/>
      <c r="R3" s="78"/>
      <c r="S3" s="169"/>
      <c r="T3" s="157" t="s">
        <v>247</v>
      </c>
      <c r="U3" s="157" t="s">
        <v>248</v>
      </c>
      <c r="V3" s="157" t="s">
        <v>249</v>
      </c>
      <c r="W3" s="157" t="s">
        <v>250</v>
      </c>
      <c r="X3" s="157" t="s">
        <v>251</v>
      </c>
      <c r="Y3" s="158" t="s">
        <v>252</v>
      </c>
      <c r="Z3" s="157" t="s">
        <v>253</v>
      </c>
      <c r="AA3" s="158" t="s">
        <v>254</v>
      </c>
      <c r="AB3" s="158" t="s">
        <v>255</v>
      </c>
      <c r="AC3" s="158" t="s">
        <v>256</v>
      </c>
      <c r="AE3" s="157" t="s">
        <v>271</v>
      </c>
      <c r="AF3" s="158" t="s">
        <v>272</v>
      </c>
    </row>
    <row r="4" spans="1:32" ht="61.5" customHeight="1">
      <c r="A4" s="62" t="s">
        <v>243</v>
      </c>
      <c r="B4" s="62">
        <v>1408</v>
      </c>
      <c r="C4" s="62"/>
      <c r="D4" s="62"/>
      <c r="E4" s="62"/>
      <c r="F4" s="62"/>
      <c r="G4" s="62"/>
      <c r="H4" s="62" t="s">
        <v>244</v>
      </c>
      <c r="I4" s="63">
        <v>1</v>
      </c>
      <c r="J4" s="62" t="s">
        <v>245</v>
      </c>
      <c r="K4" s="62"/>
      <c r="L4" s="62"/>
      <c r="N4" s="78"/>
      <c r="O4" s="78"/>
      <c r="P4" s="78"/>
      <c r="Q4" s="78"/>
      <c r="R4" s="79"/>
      <c r="S4" s="169"/>
      <c r="T4" s="157"/>
      <c r="U4" s="157"/>
      <c r="V4" s="157"/>
      <c r="W4" s="157"/>
      <c r="X4" s="157"/>
      <c r="Y4" s="158"/>
      <c r="Z4" s="157"/>
      <c r="AA4" s="158"/>
      <c r="AB4" s="158"/>
      <c r="AC4" s="158"/>
      <c r="AE4" s="157"/>
      <c r="AF4" s="158"/>
    </row>
    <row r="5" spans="1:32">
      <c r="A5" s="62">
        <v>2</v>
      </c>
      <c r="B5" s="62">
        <v>13552</v>
      </c>
      <c r="C5" s="62">
        <v>1</v>
      </c>
      <c r="D5" s="62">
        <v>364</v>
      </c>
      <c r="E5" s="62">
        <v>344</v>
      </c>
      <c r="F5" s="62">
        <v>6732</v>
      </c>
      <c r="G5" s="62">
        <v>1.4614000000000001E-3</v>
      </c>
      <c r="H5" s="62">
        <v>82.552199999999999</v>
      </c>
      <c r="I5" s="62">
        <v>196.1754</v>
      </c>
      <c r="J5" s="62">
        <v>155.37270000000001</v>
      </c>
      <c r="K5" s="62">
        <v>204.8237</v>
      </c>
      <c r="L5" s="62">
        <v>15.71635466</v>
      </c>
      <c r="M5" s="62"/>
      <c r="N5" s="67" t="str">
        <f>R5</f>
        <v>+5 deg</v>
      </c>
      <c r="O5" s="125"/>
      <c r="P5" s="153"/>
      <c r="Q5" s="153"/>
      <c r="R5" s="66" t="s">
        <v>273</v>
      </c>
      <c r="S5" s="75">
        <f>T5+Z5</f>
        <v>1.0000000000000002</v>
      </c>
      <c r="T5" s="75">
        <f>W5/(W5+$B$7-X5)</f>
        <v>0.52035568502746565</v>
      </c>
      <c r="U5">
        <v>795</v>
      </c>
      <c r="V5" s="65">
        <v>1486.5419999999999</v>
      </c>
      <c r="W5">
        <f>U5+V5</f>
        <v>2281.5419999999999</v>
      </c>
      <c r="X5">
        <f>(W5+$B$7)*(1-EXP((-N13/($B$6*9.81))))</f>
        <v>596.96032702457126</v>
      </c>
      <c r="Y5">
        <f>(AB5+B7)*(1-EXP((-N13/($B$6*9.81))))</f>
        <v>397.85036153897261</v>
      </c>
      <c r="Z5">
        <f>($B$7-X5)/(W5+($B$7-X5))</f>
        <v>0.47964431497253451</v>
      </c>
      <c r="AA5">
        <f>($B$7-Y5)/(AB5+($B$7-Y5))</f>
        <v>0.78782742956088736</v>
      </c>
      <c r="AB5">
        <v>620</v>
      </c>
      <c r="AC5">
        <f>AB5/(AB5+$B$7-Y5)</f>
        <v>0.2121725704391127</v>
      </c>
      <c r="AD5">
        <f>AC5+AA5</f>
        <v>1</v>
      </c>
      <c r="AE5">
        <f>($B$7-X5)/Z5</f>
        <v>4384.5816729754288</v>
      </c>
      <c r="AF5">
        <f>($B$7-Y5)/AA5</f>
        <v>2922.1496384610273</v>
      </c>
    </row>
    <row r="6" spans="1:32">
      <c r="A6" t="s">
        <v>260</v>
      </c>
      <c r="B6">
        <v>500</v>
      </c>
      <c r="C6">
        <v>2</v>
      </c>
      <c r="D6">
        <v>900</v>
      </c>
      <c r="E6">
        <v>344</v>
      </c>
      <c r="F6">
        <f t="shared" ref="F6:F10" si="0">(D6+E6+2*6378)/2</f>
        <v>7000</v>
      </c>
      <c r="G6" s="62">
        <v>1.4614000000000001E-3</v>
      </c>
      <c r="H6" s="62">
        <v>87</v>
      </c>
      <c r="I6" s="80">
        <v>196.1754</v>
      </c>
      <c r="J6" s="80">
        <v>155.37270000000001</v>
      </c>
      <c r="K6" s="80">
        <v>204.8237</v>
      </c>
      <c r="L6" s="80">
        <v>15.71635466</v>
      </c>
      <c r="M6" s="160" t="s">
        <v>274</v>
      </c>
      <c r="N6" s="163">
        <f>0*1000</f>
        <v>0</v>
      </c>
      <c r="O6" s="64" t="str">
        <f>R6</f>
        <v>+15 deg</v>
      </c>
      <c r="P6" s="125"/>
      <c r="Q6" s="153"/>
      <c r="R6" s="66" t="s">
        <v>275</v>
      </c>
      <c r="S6" s="75">
        <f t="shared" ref="S6:S9" si="1">T6+Z6</f>
        <v>1</v>
      </c>
      <c r="T6" s="75">
        <f t="shared" ref="T6:T9" si="2">W6/(W6+$B$7-X6)</f>
        <v>0.66900872398374767</v>
      </c>
      <c r="U6">
        <v>795</v>
      </c>
      <c r="V6" s="65">
        <v>1486.5419999999999</v>
      </c>
      <c r="W6">
        <f t="shared" ref="W6:W9" si="3">U6+V6</f>
        <v>2281.5419999999999</v>
      </c>
      <c r="X6">
        <f>(W6+$B$7-SUM(X5:X5))*(1-EXP((-O14/($B$6*9.81))))</f>
        <v>1571.2097902582534</v>
      </c>
      <c r="Y6">
        <f>(AB6+B7-SUM(Y5:Y5))*(1-EXP((-O14/($B$6*9.81))))</f>
        <v>1047.1489558167737</v>
      </c>
      <c r="Z6">
        <f t="shared" ref="Z6:Z9" si="4">($B$7-X6)/(W6+($B$7-X6))</f>
        <v>0.33099127601625244</v>
      </c>
      <c r="AA6">
        <f t="shared" ref="AA6:AA9" si="5">($B$7-Y6)/(AB6+($B$7-Y6))</f>
        <v>0.72721485572636646</v>
      </c>
      <c r="AB6">
        <v>620</v>
      </c>
      <c r="AC6">
        <f t="shared" ref="AC6:AC9" si="6">AB6/(AB6+$B$7-Y6)</f>
        <v>0.27278514427363354</v>
      </c>
      <c r="AD6">
        <f t="shared" ref="AD6:AD9" si="7">AC6+AA6</f>
        <v>1</v>
      </c>
      <c r="AE6">
        <f t="shared" ref="AE6:AF9" si="8">($B$7-X6)/Z6</f>
        <v>3410.3322097417467</v>
      </c>
      <c r="AF6">
        <f t="shared" si="8"/>
        <v>2272.8510441832263</v>
      </c>
    </row>
    <row r="7" spans="1:32">
      <c r="B7">
        <v>2700</v>
      </c>
      <c r="C7">
        <v>3</v>
      </c>
      <c r="D7">
        <v>1300</v>
      </c>
      <c r="E7">
        <v>344</v>
      </c>
      <c r="F7">
        <f t="shared" si="0"/>
        <v>7200</v>
      </c>
      <c r="G7" s="62">
        <v>1.4614000000000001E-3</v>
      </c>
      <c r="H7" s="62">
        <v>97</v>
      </c>
      <c r="I7" s="80">
        <v>196.1754</v>
      </c>
      <c r="J7" s="80">
        <v>155.37270000000001</v>
      </c>
      <c r="K7" s="80">
        <v>204.8237</v>
      </c>
      <c r="L7" s="80">
        <v>15.71635466</v>
      </c>
      <c r="M7" s="160"/>
      <c r="N7" s="133"/>
      <c r="O7" s="164">
        <f>0.237*1000</f>
        <v>237</v>
      </c>
      <c r="P7" s="64" t="str">
        <f>R7</f>
        <v>-5 deg</v>
      </c>
      <c r="Q7" s="77"/>
      <c r="R7" s="66" t="s">
        <v>276</v>
      </c>
      <c r="S7" s="75">
        <f t="shared" si="1"/>
        <v>1</v>
      </c>
      <c r="T7" s="75">
        <f t="shared" si="2"/>
        <v>0.5019165449553078</v>
      </c>
      <c r="U7">
        <v>795</v>
      </c>
      <c r="V7" s="65">
        <v>1486.5419999999999</v>
      </c>
      <c r="W7">
        <f t="shared" si="3"/>
        <v>2281.5419999999999</v>
      </c>
      <c r="X7">
        <f>(W7+B7-SUM(X5:X6))*(1-EXP((-P15/($B$6*9.81))))</f>
        <v>435.88192377526485</v>
      </c>
      <c r="Y7">
        <f>(AB7+B7-SUM(Y5:Y6))*(1-EXP((-P15/($B$6*9.81))))</f>
        <v>290.49799980284808</v>
      </c>
      <c r="Z7">
        <f t="shared" si="4"/>
        <v>0.49808345504469226</v>
      </c>
      <c r="AA7">
        <f t="shared" si="5"/>
        <v>0.79534590174898312</v>
      </c>
      <c r="AB7">
        <v>620</v>
      </c>
      <c r="AC7">
        <f t="shared" si="6"/>
        <v>0.20465409825101685</v>
      </c>
      <c r="AD7">
        <f t="shared" si="7"/>
        <v>1</v>
      </c>
      <c r="AE7">
        <f t="shared" si="8"/>
        <v>4545.6600762247344</v>
      </c>
      <c r="AF7">
        <f t="shared" si="8"/>
        <v>3029.502000197152</v>
      </c>
    </row>
    <row r="8" spans="1:32">
      <c r="C8">
        <v>4</v>
      </c>
      <c r="D8">
        <v>1700</v>
      </c>
      <c r="E8">
        <v>344</v>
      </c>
      <c r="F8">
        <f t="shared" si="0"/>
        <v>7400</v>
      </c>
      <c r="G8" s="62">
        <v>1.4614000000000001E-3</v>
      </c>
      <c r="H8" s="62">
        <v>77</v>
      </c>
      <c r="I8" s="80">
        <v>196.1754</v>
      </c>
      <c r="J8" s="80">
        <v>155.37270000000001</v>
      </c>
      <c r="K8" s="80">
        <v>204.8237</v>
      </c>
      <c r="L8" s="80">
        <v>15.71635466</v>
      </c>
      <c r="M8" s="160" t="s">
        <v>277</v>
      </c>
      <c r="N8" s="165">
        <f>0.595*1000</f>
        <v>595</v>
      </c>
      <c r="O8" s="133"/>
      <c r="P8" s="164">
        <f>0.0087*1000</f>
        <v>8.6999999999999993</v>
      </c>
      <c r="Q8" s="74" t="str">
        <f>R8</f>
        <v>-10 deg</v>
      </c>
      <c r="R8" s="66" t="s">
        <v>278</v>
      </c>
      <c r="S8" s="75">
        <f t="shared" si="1"/>
        <v>1</v>
      </c>
      <c r="T8" s="75">
        <f t="shared" si="2"/>
        <v>0.52576172738351901</v>
      </c>
      <c r="U8">
        <v>795</v>
      </c>
      <c r="V8" s="65">
        <v>1486.5419999999999</v>
      </c>
      <c r="W8">
        <f t="shared" si="3"/>
        <v>2281.5419999999999</v>
      </c>
      <c r="X8">
        <f>(W8+B7-SUM(X5:X7))*(1-EXP((-Q16/($B$6*9.81))))</f>
        <v>642.04393239775243</v>
      </c>
      <c r="Y8">
        <f>(AB8+B7-SUM(Y5:Y7))*(1-EXP((-Q16/($B$6*9.81))))</f>
        <v>427.89679492023527</v>
      </c>
      <c r="Z8">
        <f t="shared" si="4"/>
        <v>0.47423827261648105</v>
      </c>
      <c r="AA8">
        <f t="shared" si="5"/>
        <v>0.78562314134882327</v>
      </c>
      <c r="AB8">
        <v>620</v>
      </c>
      <c r="AC8">
        <f t="shared" si="6"/>
        <v>0.21437685865117675</v>
      </c>
      <c r="AD8">
        <f t="shared" si="7"/>
        <v>1</v>
      </c>
      <c r="AE8">
        <f t="shared" si="8"/>
        <v>4339.4980676022478</v>
      </c>
      <c r="AF8">
        <f t="shared" si="8"/>
        <v>2892.1032050797648</v>
      </c>
    </row>
    <row r="9" spans="1:32">
      <c r="C9">
        <v>5</v>
      </c>
      <c r="D9">
        <v>2100</v>
      </c>
      <c r="E9">
        <v>344</v>
      </c>
      <c r="F9">
        <f t="shared" si="0"/>
        <v>7600</v>
      </c>
      <c r="G9" s="62">
        <v>1.4614000000000001E-3</v>
      </c>
      <c r="H9" s="62">
        <v>72</v>
      </c>
      <c r="I9" s="80">
        <v>196.1754</v>
      </c>
      <c r="J9" s="80">
        <v>155.37270000000001</v>
      </c>
      <c r="K9" s="80">
        <v>204.8237</v>
      </c>
      <c r="L9" s="80">
        <v>15.71635466</v>
      </c>
      <c r="M9" s="160"/>
      <c r="N9" s="166"/>
      <c r="O9" s="165">
        <f>1.925*1000</f>
        <v>1925</v>
      </c>
      <c r="P9" s="133"/>
      <c r="Q9" s="164">
        <f>0.098*1000</f>
        <v>98</v>
      </c>
      <c r="R9" s="73" t="s">
        <v>279</v>
      </c>
      <c r="S9" s="75">
        <f t="shared" si="1"/>
        <v>1</v>
      </c>
      <c r="T9" s="75">
        <f t="shared" si="2"/>
        <v>0.54982982429694893</v>
      </c>
      <c r="U9">
        <v>795</v>
      </c>
      <c r="V9" s="65">
        <v>1486.5419999999999</v>
      </c>
      <c r="W9">
        <f t="shared" si="3"/>
        <v>2281.5419999999999</v>
      </c>
      <c r="X9">
        <f>(W9+B7-SUM(X5:X8))*(1-EXP((-R17/($B$6*9.81))))</f>
        <v>831.99990683082717</v>
      </c>
      <c r="Y9">
        <f>(AB9+B7-SUM(Y5:Y8))*(1-EXP((-R17/($B$6*9.81))))</f>
        <v>554.49491155115163</v>
      </c>
      <c r="Z9">
        <f t="shared" si="4"/>
        <v>0.45017017570305107</v>
      </c>
      <c r="AA9">
        <f t="shared" si="5"/>
        <v>0.77580948862120758</v>
      </c>
      <c r="AB9">
        <v>620</v>
      </c>
      <c r="AC9">
        <f t="shared" si="6"/>
        <v>0.22419051137879248</v>
      </c>
      <c r="AD9">
        <f t="shared" si="7"/>
        <v>1</v>
      </c>
      <c r="AE9">
        <f t="shared" si="8"/>
        <v>4149.5420931691733</v>
      </c>
      <c r="AF9">
        <f t="shared" si="8"/>
        <v>2765.5050884488483</v>
      </c>
    </row>
    <row r="10" spans="1:32">
      <c r="C10">
        <v>6</v>
      </c>
      <c r="D10">
        <v>2500</v>
      </c>
      <c r="E10">
        <v>344</v>
      </c>
      <c r="F10">
        <f t="shared" si="0"/>
        <v>7800</v>
      </c>
      <c r="G10" s="62">
        <v>1.4614000000000001E-3</v>
      </c>
      <c r="H10" s="62">
        <v>62</v>
      </c>
      <c r="I10" s="80">
        <v>196.1754</v>
      </c>
      <c r="J10" s="80">
        <v>155.37270000000001</v>
      </c>
      <c r="K10" s="80">
        <v>204.8237</v>
      </c>
      <c r="L10" s="80">
        <v>15.71635466</v>
      </c>
      <c r="M10" s="160" t="s">
        <v>280</v>
      </c>
      <c r="N10" s="165">
        <f>0.0311*1000</f>
        <v>31.099999999999998</v>
      </c>
      <c r="O10" s="166"/>
      <c r="P10" s="165">
        <f>0.748*1000</f>
        <v>748</v>
      </c>
      <c r="Q10" s="133"/>
      <c r="R10" s="168">
        <f>0.484*1000</f>
        <v>484</v>
      </c>
      <c r="S10" s="161" t="s">
        <v>274</v>
      </c>
    </row>
    <row r="11" spans="1:32">
      <c r="M11" s="160"/>
      <c r="N11" s="166"/>
      <c r="O11" s="165">
        <f>0.0144*1000</f>
        <v>14.4</v>
      </c>
      <c r="P11" s="166"/>
      <c r="Q11" s="165">
        <f>1.417*1000</f>
        <v>1417</v>
      </c>
      <c r="R11" s="133"/>
      <c r="S11" s="162"/>
    </row>
    <row r="12" spans="1:32">
      <c r="N12" s="66" t="str">
        <f>N5</f>
        <v>+5 deg</v>
      </c>
      <c r="O12" s="166"/>
      <c r="P12" s="165">
        <f>0.069*1000</f>
        <v>69</v>
      </c>
      <c r="Q12" s="166"/>
      <c r="R12" s="167">
        <f>2.7*1000</f>
        <v>2700</v>
      </c>
      <c r="S12" s="160" t="s">
        <v>277</v>
      </c>
    </row>
    <row r="13" spans="1:32">
      <c r="N13" s="15">
        <f>N6+N8+N10</f>
        <v>626.1</v>
      </c>
      <c r="O13" s="66" t="str">
        <f>O6</f>
        <v>+15 deg</v>
      </c>
      <c r="P13" s="166"/>
      <c r="Q13" s="165">
        <f>0.029*1000</f>
        <v>29</v>
      </c>
      <c r="R13" s="166"/>
      <c r="S13" s="160"/>
      <c r="Z13" t="s">
        <v>281</v>
      </c>
    </row>
    <row r="14" spans="1:32">
      <c r="N14" s="15">
        <f>N13/1000</f>
        <v>0.62609999999999999</v>
      </c>
      <c r="O14" s="15">
        <f>O7+O9+O11</f>
        <v>2176.4</v>
      </c>
      <c r="P14" s="66" t="str">
        <f>P7</f>
        <v>-5 deg</v>
      </c>
      <c r="Q14" s="166"/>
      <c r="R14" s="167">
        <f>0.018*1000</f>
        <v>18</v>
      </c>
      <c r="S14" s="160" t="s">
        <v>280</v>
      </c>
    </row>
    <row r="15" spans="1:32">
      <c r="O15" s="15">
        <f>O14/1000</f>
        <v>2.1764000000000001</v>
      </c>
      <c r="P15" s="15">
        <f>P8+P10+P12</f>
        <v>825.7</v>
      </c>
      <c r="Q15" s="66" t="str">
        <f>Q8</f>
        <v>-10 deg</v>
      </c>
      <c r="R15" s="166"/>
      <c r="S15" s="160"/>
      <c r="AA15" t="s">
        <v>281</v>
      </c>
    </row>
    <row r="16" spans="1:32">
      <c r="P16" s="15">
        <f>P15/1000</f>
        <v>0.8257000000000001</v>
      </c>
      <c r="Q16" s="15">
        <f>Q9+Q11+Q13</f>
        <v>1544</v>
      </c>
      <c r="R16" s="66" t="str">
        <f>R9</f>
        <v>-20 deg</v>
      </c>
      <c r="S16" s="75"/>
      <c r="T16" s="75"/>
    </row>
    <row r="17" spans="17:20">
      <c r="Q17" s="15">
        <f>Q16/1000</f>
        <v>1.544</v>
      </c>
      <c r="R17" s="15">
        <f>R10+R12+R14</f>
        <v>3202</v>
      </c>
      <c r="S17" s="15"/>
      <c r="T17" s="15"/>
    </row>
    <row r="18" spans="17:20">
      <c r="R18" s="15">
        <f>R17/1000</f>
        <v>3.202</v>
      </c>
      <c r="S18" s="15"/>
      <c r="T18" s="15"/>
    </row>
  </sheetData>
  <mergeCells count="37">
    <mergeCell ref="Q13:Q14"/>
    <mergeCell ref="R14:R15"/>
    <mergeCell ref="S14:S15"/>
    <mergeCell ref="O9:O10"/>
    <mergeCell ref="Q9:Q10"/>
    <mergeCell ref="M10:M11"/>
    <mergeCell ref="N10:N11"/>
    <mergeCell ref="P10:P11"/>
    <mergeCell ref="R10:R11"/>
    <mergeCell ref="AE3:AE4"/>
    <mergeCell ref="S3:S4"/>
    <mergeCell ref="T3:T4"/>
    <mergeCell ref="U3:U4"/>
    <mergeCell ref="V3:V4"/>
    <mergeCell ref="W3:W4"/>
    <mergeCell ref="S10:S11"/>
    <mergeCell ref="O11:O12"/>
    <mergeCell ref="Q11:Q12"/>
    <mergeCell ref="P12:P13"/>
    <mergeCell ref="R12:R13"/>
    <mergeCell ref="S12:S13"/>
    <mergeCell ref="AF3:AF4"/>
    <mergeCell ref="O5:Q5"/>
    <mergeCell ref="M6:M7"/>
    <mergeCell ref="N6:N7"/>
    <mergeCell ref="P6:Q6"/>
    <mergeCell ref="O7:O8"/>
    <mergeCell ref="M8:M9"/>
    <mergeCell ref="N8:N9"/>
    <mergeCell ref="P8:P9"/>
    <mergeCell ref="X3:X4"/>
    <mergeCell ref="Y3:Y4"/>
    <mergeCell ref="Z3:Z4"/>
    <mergeCell ref="AA3:AA4"/>
    <mergeCell ref="AB3:AB4"/>
    <mergeCell ref="AC3:AC4"/>
    <mergeCell ref="N3:Q3"/>
  </mergeCells>
  <hyperlinks>
    <hyperlink ref="A1" r:id="rId1" location="fpstate=ive&amp;vld=cid:173cc5b5,vid:zv44J8lfw_w,st:0" xr:uid="{7632E507-C42F-46E6-BAFB-6EC96E0A2164}"/>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DDDE9-E30C-489F-9883-146550D67586}">
  <dimension ref="A1:AH18"/>
  <sheetViews>
    <sheetView topLeftCell="R1" workbookViewId="0">
      <selection activeCell="AJ4" sqref="AJ4"/>
    </sheetView>
  </sheetViews>
  <sheetFormatPr defaultRowHeight="15"/>
  <cols>
    <col min="4" max="5" width="0" hidden="1" customWidth="1"/>
    <col min="7" max="7" width="9.28515625" bestFit="1" customWidth="1"/>
    <col min="19" max="19" width="0" hidden="1" customWidth="1"/>
    <col min="26" max="27" width="14" customWidth="1"/>
  </cols>
  <sheetData>
    <row r="1" spans="1:34">
      <c r="A1" s="52" t="s">
        <v>270</v>
      </c>
    </row>
    <row r="3" spans="1:34" ht="18.75" customHeight="1">
      <c r="D3" s="68" t="s">
        <v>234</v>
      </c>
      <c r="E3" s="68" t="s">
        <v>235</v>
      </c>
      <c r="F3" s="22" t="s">
        <v>236</v>
      </c>
      <c r="G3" s="22" t="s">
        <v>237</v>
      </c>
      <c r="H3" s="22" t="s">
        <v>238</v>
      </c>
      <c r="I3" s="22" t="s">
        <v>239</v>
      </c>
      <c r="J3" s="22" t="s">
        <v>240</v>
      </c>
      <c r="K3" s="22" t="s">
        <v>241</v>
      </c>
      <c r="L3" s="22" t="s">
        <v>242</v>
      </c>
      <c r="M3" s="61"/>
      <c r="N3" s="169" t="s">
        <v>246</v>
      </c>
      <c r="O3" s="169"/>
      <c r="P3" s="169"/>
      <c r="Q3" s="169"/>
      <c r="R3" s="78"/>
      <c r="S3" s="169"/>
      <c r="T3" s="157" t="s">
        <v>247</v>
      </c>
      <c r="U3" s="157" t="s">
        <v>248</v>
      </c>
      <c r="V3" s="157" t="s">
        <v>249</v>
      </c>
      <c r="W3" s="157" t="s">
        <v>250</v>
      </c>
      <c r="X3" s="157" t="s">
        <v>251</v>
      </c>
      <c r="Y3" s="158" t="s">
        <v>252</v>
      </c>
      <c r="Z3" s="157" t="s">
        <v>253</v>
      </c>
      <c r="AA3" s="158" t="s">
        <v>254</v>
      </c>
      <c r="AB3" s="158" t="s">
        <v>255</v>
      </c>
      <c r="AC3" s="158" t="s">
        <v>256</v>
      </c>
      <c r="AE3" s="157" t="s">
        <v>271</v>
      </c>
      <c r="AF3" s="158" t="s">
        <v>272</v>
      </c>
    </row>
    <row r="4" spans="1:34" ht="61.5" customHeight="1">
      <c r="A4" s="62" t="s">
        <v>243</v>
      </c>
      <c r="B4" s="62">
        <v>1408</v>
      </c>
      <c r="C4" s="62"/>
      <c r="D4" s="62"/>
      <c r="E4" s="62"/>
      <c r="F4" s="62"/>
      <c r="G4" s="62"/>
      <c r="H4" s="62" t="s">
        <v>244</v>
      </c>
      <c r="I4" s="63">
        <v>1</v>
      </c>
      <c r="J4" s="62" t="s">
        <v>245</v>
      </c>
      <c r="K4" s="62"/>
      <c r="L4" s="62"/>
      <c r="N4" s="78"/>
      <c r="O4" s="78"/>
      <c r="P4" s="78"/>
      <c r="Q4" s="78"/>
      <c r="R4" s="79"/>
      <c r="S4" s="169"/>
      <c r="T4" s="157"/>
      <c r="U4" s="157"/>
      <c r="V4" s="157"/>
      <c r="W4" s="157"/>
      <c r="X4" s="157"/>
      <c r="Y4" s="158"/>
      <c r="Z4" s="157"/>
      <c r="AA4" s="158"/>
      <c r="AB4" s="158"/>
      <c r="AC4" s="158"/>
      <c r="AE4" s="157"/>
      <c r="AF4" s="158"/>
    </row>
    <row r="5" spans="1:34">
      <c r="A5" s="62">
        <v>2</v>
      </c>
      <c r="B5" s="62">
        <v>13552</v>
      </c>
      <c r="C5" s="62">
        <v>1</v>
      </c>
      <c r="D5" s="62">
        <v>364</v>
      </c>
      <c r="E5" s="62">
        <v>344</v>
      </c>
      <c r="F5" s="62">
        <v>6732</v>
      </c>
      <c r="G5" s="62">
        <v>1.4614000000000001E-3</v>
      </c>
      <c r="H5" s="62">
        <v>82.552199999999999</v>
      </c>
      <c r="I5" s="62">
        <v>196.1754</v>
      </c>
      <c r="J5" s="62">
        <v>155.37270000000001</v>
      </c>
      <c r="K5" s="62">
        <v>204.8237</v>
      </c>
      <c r="L5" s="62">
        <v>15.71635466</v>
      </c>
      <c r="M5" s="62"/>
      <c r="N5" s="67" t="s">
        <v>259</v>
      </c>
      <c r="O5" s="125"/>
      <c r="P5" s="153"/>
      <c r="Q5" s="153"/>
      <c r="R5" s="66" t="s">
        <v>273</v>
      </c>
      <c r="S5" s="75">
        <f>T5+Z5</f>
        <v>1</v>
      </c>
      <c r="T5" s="75">
        <f>W5/(W5+$B$7-X5)</f>
        <v>0.52035296548150711</v>
      </c>
      <c r="U5">
        <v>795</v>
      </c>
      <c r="V5" s="65">
        <v>1486.52</v>
      </c>
      <c r="W5">
        <f>U5+V5</f>
        <v>2281.52</v>
      </c>
      <c r="X5">
        <f>(W5+$B$7)*(1-EXP((-N13/($B$6*9.81))))</f>
        <v>596.95769066675393</v>
      </c>
      <c r="Y5">
        <f>(AB5+B7)*(1-EXP((-N13/($B$6*9.81))))</f>
        <v>397.85036153897261</v>
      </c>
      <c r="Z5">
        <f>($B$7-X5)/(W5+($B$7-X5))</f>
        <v>0.47964703451849283</v>
      </c>
      <c r="AA5">
        <f>($B$7-Y5)/(AB5+($B$7-Y5))</f>
        <v>0.78782742956088736</v>
      </c>
      <c r="AB5">
        <v>620</v>
      </c>
      <c r="AC5">
        <f>AB5/(AB5+$B$7-Y5)</f>
        <v>0.2121725704391127</v>
      </c>
      <c r="AD5">
        <f>AC5+AA5</f>
        <v>1</v>
      </c>
      <c r="AE5">
        <f>($B$7-X5)/Z5</f>
        <v>4384.562309333246</v>
      </c>
      <c r="AF5">
        <f>($B$7-Y5)/AA5</f>
        <v>2922.1496384610273</v>
      </c>
    </row>
    <row r="6" spans="1:34">
      <c r="A6" t="s">
        <v>260</v>
      </c>
      <c r="B6">
        <v>500</v>
      </c>
      <c r="C6">
        <v>2</v>
      </c>
      <c r="D6">
        <v>900</v>
      </c>
      <c r="E6">
        <v>344</v>
      </c>
      <c r="F6">
        <f t="shared" ref="F6:F10" si="0">(D6+E6+2*6378)/2</f>
        <v>7000</v>
      </c>
      <c r="G6" s="62">
        <v>1.4614000000000001E-3</v>
      </c>
      <c r="H6" s="62">
        <v>87</v>
      </c>
      <c r="I6" s="80">
        <v>196.1754</v>
      </c>
      <c r="J6" s="80">
        <v>155.37270000000001</v>
      </c>
      <c r="K6" s="80">
        <v>204.8237</v>
      </c>
      <c r="L6" s="80">
        <v>15.71635466</v>
      </c>
      <c r="M6" s="160" t="s">
        <v>274</v>
      </c>
      <c r="N6" s="163">
        <f>0*1000</f>
        <v>0</v>
      </c>
      <c r="O6" s="64" t="s">
        <v>282</v>
      </c>
      <c r="P6" s="125"/>
      <c r="Q6" s="153"/>
      <c r="R6" s="66" t="s">
        <v>275</v>
      </c>
      <c r="S6" s="75">
        <f t="shared" ref="S6:S9" si="1">T6+Z6</f>
        <v>1</v>
      </c>
      <c r="T6" s="75">
        <f t="shared" ref="T6:T9" si="2">W6/(W6+$B$7-X6)</f>
        <v>0.6690052275292574</v>
      </c>
      <c r="U6">
        <v>795</v>
      </c>
      <c r="V6" s="65">
        <v>1486.52</v>
      </c>
      <c r="W6">
        <f t="shared" ref="W6:W9" si="3">U6+V6</f>
        <v>2281.52</v>
      </c>
      <c r="X6">
        <f>(W6+$B$7-SUM(X5:X5))*(1-EXP((-O14/($B$6*9.81))))</f>
        <v>1571.2028513193902</v>
      </c>
      <c r="Y6">
        <f>(AB6+B7-SUM(Y5:Y5))*(1-EXP((-O14/($B$6*9.81))))</f>
        <v>1047.1489558167737</v>
      </c>
      <c r="Z6">
        <f t="shared" ref="Z6:Z9" si="4">($B$7-X6)/(W6+($B$7-X6))</f>
        <v>0.33099477247074255</v>
      </c>
      <c r="AA6">
        <f t="shared" ref="AA6:AA9" si="5">($B$7-Y6)/(AB6+($B$7-Y6))</f>
        <v>0.72721485572636646</v>
      </c>
      <c r="AB6">
        <v>620</v>
      </c>
      <c r="AC6">
        <f t="shared" ref="AC6:AC9" si="6">AB6/(AB6+$B$7-Y6)</f>
        <v>0.27278514427363354</v>
      </c>
      <c r="AD6">
        <f t="shared" ref="AD6:AD9" si="7">AC6+AA6</f>
        <v>1</v>
      </c>
      <c r="AE6">
        <f t="shared" ref="AE6:AF9" si="8">($B$7-X6)/Z6</f>
        <v>3410.3171486806095</v>
      </c>
      <c r="AF6">
        <f t="shared" si="8"/>
        <v>2272.8510441832263</v>
      </c>
      <c r="AH6" t="s">
        <v>283</v>
      </c>
    </row>
    <row r="7" spans="1:34">
      <c r="B7">
        <v>2700</v>
      </c>
      <c r="C7">
        <v>3</v>
      </c>
      <c r="D7">
        <v>1300</v>
      </c>
      <c r="E7">
        <v>344</v>
      </c>
      <c r="F7">
        <f t="shared" si="0"/>
        <v>7200</v>
      </c>
      <c r="G7" s="62">
        <v>1.4614000000000001E-3</v>
      </c>
      <c r="H7" s="62">
        <v>97</v>
      </c>
      <c r="I7" s="80">
        <v>196.1754</v>
      </c>
      <c r="J7" s="80">
        <v>155.37270000000001</v>
      </c>
      <c r="K7" s="80">
        <v>204.8237</v>
      </c>
      <c r="L7" s="80">
        <v>15.71635466</v>
      </c>
      <c r="M7" s="160"/>
      <c r="N7" s="133"/>
      <c r="O7" s="164">
        <f>0.237*1000</f>
        <v>237</v>
      </c>
      <c r="P7" s="64" t="s">
        <v>284</v>
      </c>
      <c r="Q7" s="77"/>
      <c r="R7" s="66" t="s">
        <v>276</v>
      </c>
      <c r="S7" s="75">
        <f t="shared" si="1"/>
        <v>1</v>
      </c>
      <c r="T7" s="75">
        <f t="shared" si="2"/>
        <v>0.50191392177821847</v>
      </c>
      <c r="U7">
        <v>795</v>
      </c>
      <c r="V7" s="65">
        <v>1486.52</v>
      </c>
      <c r="W7">
        <f t="shared" si="3"/>
        <v>2281.52</v>
      </c>
      <c r="X7">
        <f>(W7+B7-SUM(X5:X6))*(1-EXP((-P15/($B$6*9.81))))</f>
        <v>435.87999878851917</v>
      </c>
      <c r="Y7">
        <f>(AB7+B7-SUM(Y5:Y6))*(1-EXP((-P15/($B$6*9.81))))</f>
        <v>290.49799980284808</v>
      </c>
      <c r="Z7">
        <f t="shared" si="4"/>
        <v>0.49808607822178158</v>
      </c>
      <c r="AA7">
        <f t="shared" si="5"/>
        <v>0.79534590174898312</v>
      </c>
      <c r="AB7">
        <v>620</v>
      </c>
      <c r="AC7">
        <f t="shared" si="6"/>
        <v>0.20465409825101685</v>
      </c>
      <c r="AD7">
        <f t="shared" si="7"/>
        <v>1</v>
      </c>
      <c r="AE7">
        <f t="shared" si="8"/>
        <v>4545.6400012114809</v>
      </c>
      <c r="AF7">
        <f t="shared" si="8"/>
        <v>3029.502000197152</v>
      </c>
    </row>
    <row r="8" spans="1:34">
      <c r="C8">
        <v>4</v>
      </c>
      <c r="D8">
        <v>1700</v>
      </c>
      <c r="E8">
        <v>344</v>
      </c>
      <c r="F8">
        <f t="shared" si="0"/>
        <v>7400</v>
      </c>
      <c r="G8" s="62">
        <v>1.4614000000000001E-3</v>
      </c>
      <c r="H8" s="62">
        <v>77</v>
      </c>
      <c r="I8" s="80">
        <v>196.1754</v>
      </c>
      <c r="J8" s="80">
        <v>155.37270000000001</v>
      </c>
      <c r="K8" s="80">
        <v>204.8237</v>
      </c>
      <c r="L8" s="80">
        <v>15.71635466</v>
      </c>
      <c r="M8" s="160" t="s">
        <v>277</v>
      </c>
      <c r="N8" s="165">
        <f>0.595*1000</f>
        <v>595</v>
      </c>
      <c r="O8" s="133"/>
      <c r="P8" s="164">
        <f>0.0087*1000</f>
        <v>8.6999999999999993</v>
      </c>
      <c r="Q8" s="74" t="s">
        <v>285</v>
      </c>
      <c r="R8" s="66" t="s">
        <v>278</v>
      </c>
      <c r="S8" s="75">
        <f t="shared" si="1"/>
        <v>1</v>
      </c>
      <c r="T8" s="75">
        <f t="shared" si="2"/>
        <v>0.52575897958384665</v>
      </c>
      <c r="U8">
        <v>795</v>
      </c>
      <c r="V8" s="65">
        <v>1486.52</v>
      </c>
      <c r="W8">
        <f t="shared" si="3"/>
        <v>2281.52</v>
      </c>
      <c r="X8">
        <f>(W8+B7-SUM(X5:X7))*(1-EXP((-Q16/($B$6*9.81))))</f>
        <v>642.04109693706334</v>
      </c>
      <c r="Y8">
        <f>(AB8+B7-SUM(Y5:Y7))*(1-EXP((-Q16/($B$6*9.81))))</f>
        <v>427.89679492023527</v>
      </c>
      <c r="Z8">
        <f t="shared" si="4"/>
        <v>0.47424102041615335</v>
      </c>
      <c r="AA8">
        <f t="shared" si="5"/>
        <v>0.78562314134882327</v>
      </c>
      <c r="AB8">
        <v>620</v>
      </c>
      <c r="AC8">
        <f t="shared" si="6"/>
        <v>0.21437685865117675</v>
      </c>
      <c r="AD8">
        <f t="shared" si="7"/>
        <v>1</v>
      </c>
      <c r="AE8">
        <f t="shared" si="8"/>
        <v>4339.4789030629363</v>
      </c>
      <c r="AF8">
        <f t="shared" si="8"/>
        <v>2892.1032050797648</v>
      </c>
    </row>
    <row r="9" spans="1:34">
      <c r="C9">
        <v>5</v>
      </c>
      <c r="D9">
        <v>2100</v>
      </c>
      <c r="E9">
        <v>344</v>
      </c>
      <c r="F9">
        <f t="shared" si="0"/>
        <v>7600</v>
      </c>
      <c r="G9" s="62">
        <v>1.4614000000000001E-3</v>
      </c>
      <c r="H9" s="62">
        <v>72</v>
      </c>
      <c r="I9" s="80">
        <v>196.1754</v>
      </c>
      <c r="J9" s="80">
        <v>155.37270000000001</v>
      </c>
      <c r="K9" s="80">
        <v>204.8237</v>
      </c>
      <c r="L9" s="80">
        <v>15.71635466</v>
      </c>
      <c r="M9" s="160"/>
      <c r="N9" s="166"/>
      <c r="O9" s="165">
        <f>1.925*1000</f>
        <v>1925</v>
      </c>
      <c r="P9" s="133"/>
      <c r="Q9" s="164">
        <f>0.098*1000</f>
        <v>98</v>
      </c>
      <c r="R9" s="73" t="s">
        <v>279</v>
      </c>
      <c r="S9" s="75">
        <f t="shared" si="1"/>
        <v>1</v>
      </c>
      <c r="T9" s="75">
        <f t="shared" si="2"/>
        <v>0.54982695070967114</v>
      </c>
      <c r="U9">
        <v>795</v>
      </c>
      <c r="V9" s="65">
        <v>1486.52</v>
      </c>
      <c r="W9">
        <f t="shared" si="3"/>
        <v>2281.52</v>
      </c>
      <c r="X9">
        <f>(W9+B7-SUM(X5:X8))*(1-EXP((-R17/($B$6*9.81))))</f>
        <v>831.99623246695569</v>
      </c>
      <c r="Y9">
        <f>(AB9+B7-SUM(Y5:Y8))*(1-EXP((-R17/($B$6*9.81))))</f>
        <v>554.49491155115163</v>
      </c>
      <c r="Z9">
        <f t="shared" si="4"/>
        <v>0.45017304929032886</v>
      </c>
      <c r="AA9">
        <f t="shared" si="5"/>
        <v>0.77580948862120758</v>
      </c>
      <c r="AB9">
        <v>620</v>
      </c>
      <c r="AC9">
        <f t="shared" si="6"/>
        <v>0.22419051137879248</v>
      </c>
      <c r="AD9">
        <f t="shared" si="7"/>
        <v>1</v>
      </c>
      <c r="AE9">
        <f t="shared" si="8"/>
        <v>4149.5237675330445</v>
      </c>
      <c r="AF9">
        <f t="shared" si="8"/>
        <v>2765.5050884488483</v>
      </c>
    </row>
    <row r="10" spans="1:34">
      <c r="C10">
        <v>6</v>
      </c>
      <c r="D10">
        <v>2500</v>
      </c>
      <c r="E10">
        <v>344</v>
      </c>
      <c r="F10">
        <f t="shared" si="0"/>
        <v>7800</v>
      </c>
      <c r="G10" s="62">
        <v>1.4614000000000001E-3</v>
      </c>
      <c r="H10" s="62">
        <v>62</v>
      </c>
      <c r="I10" s="80">
        <v>196.1754</v>
      </c>
      <c r="J10" s="80">
        <v>155.37270000000001</v>
      </c>
      <c r="K10" s="80">
        <v>204.8237</v>
      </c>
      <c r="L10" s="80">
        <v>15.71635466</v>
      </c>
      <c r="M10" s="160" t="s">
        <v>280</v>
      </c>
      <c r="N10" s="165">
        <f>0.0311*1000</f>
        <v>31.099999999999998</v>
      </c>
      <c r="O10" s="166"/>
      <c r="P10" s="165">
        <f>0.748*1000</f>
        <v>748</v>
      </c>
      <c r="Q10" s="133"/>
      <c r="R10" s="168">
        <f>0.484*1000</f>
        <v>484</v>
      </c>
      <c r="S10" s="161" t="s">
        <v>274</v>
      </c>
    </row>
    <row r="11" spans="1:34">
      <c r="M11" s="160"/>
      <c r="N11" s="166"/>
      <c r="O11" s="165">
        <f>0.0144*1000</f>
        <v>14.4</v>
      </c>
      <c r="P11" s="166"/>
      <c r="Q11" s="165">
        <f>1.417*1000</f>
        <v>1417</v>
      </c>
      <c r="R11" s="133"/>
      <c r="S11" s="162"/>
    </row>
    <row r="12" spans="1:34">
      <c r="N12" s="66" t="str">
        <f>N5</f>
        <v>1 to 2</v>
      </c>
      <c r="O12" s="166"/>
      <c r="P12" s="165">
        <f>0.069*1000</f>
        <v>69</v>
      </c>
      <c r="Q12" s="166"/>
      <c r="R12" s="167">
        <f>2.7*1000</f>
        <v>2700</v>
      </c>
      <c r="S12" s="160" t="s">
        <v>277</v>
      </c>
    </row>
    <row r="13" spans="1:34">
      <c r="N13" s="15">
        <f>N6+N8+N10</f>
        <v>626.1</v>
      </c>
      <c r="O13" s="66" t="str">
        <f>O6</f>
        <v>1 to 3</v>
      </c>
      <c r="P13" s="166"/>
      <c r="Q13" s="165">
        <f>0.029*1000</f>
        <v>29</v>
      </c>
      <c r="R13" s="166"/>
      <c r="S13" s="160"/>
      <c r="Z13" t="s">
        <v>281</v>
      </c>
    </row>
    <row r="14" spans="1:34">
      <c r="N14" s="15">
        <f>N13/1000</f>
        <v>0.62609999999999999</v>
      </c>
      <c r="O14" s="15">
        <f>O7+O9+O11</f>
        <v>2176.4</v>
      </c>
      <c r="P14" s="66" t="str">
        <f>P7</f>
        <v>1 to 4</v>
      </c>
      <c r="Q14" s="166"/>
      <c r="R14" s="167">
        <f>0.018*1000</f>
        <v>18</v>
      </c>
      <c r="S14" s="160" t="s">
        <v>280</v>
      </c>
    </row>
    <row r="15" spans="1:34">
      <c r="O15" s="15">
        <f>O14/1000</f>
        <v>2.1764000000000001</v>
      </c>
      <c r="P15" s="15">
        <f>P8+P10+P12</f>
        <v>825.7</v>
      </c>
      <c r="Q15" s="66" t="str">
        <f>Q8</f>
        <v>1 to 5</v>
      </c>
      <c r="R15" s="166"/>
      <c r="S15" s="160"/>
      <c r="AA15" t="s">
        <v>281</v>
      </c>
    </row>
    <row r="16" spans="1:34">
      <c r="P16" s="15">
        <f>P15/1000</f>
        <v>0.8257000000000001</v>
      </c>
      <c r="Q16" s="15">
        <f>Q9+Q11+Q13</f>
        <v>1544</v>
      </c>
      <c r="R16" s="66" t="str">
        <f>R9</f>
        <v>-20 deg</v>
      </c>
      <c r="S16" s="75"/>
      <c r="T16" s="75"/>
    </row>
    <row r="17" spans="17:20">
      <c r="Q17" s="15">
        <f>Q16/1000</f>
        <v>1.544</v>
      </c>
      <c r="R17" s="15">
        <f>R10+R12+R14</f>
        <v>3202</v>
      </c>
      <c r="S17" s="15"/>
      <c r="T17" s="15"/>
    </row>
    <row r="18" spans="17:20">
      <c r="R18" s="15">
        <f>R17/1000</f>
        <v>3.202</v>
      </c>
      <c r="S18" s="15"/>
      <c r="T18" s="15"/>
    </row>
  </sheetData>
  <mergeCells count="37">
    <mergeCell ref="Q13:Q14"/>
    <mergeCell ref="R14:R15"/>
    <mergeCell ref="S14:S15"/>
    <mergeCell ref="O9:O10"/>
    <mergeCell ref="Q9:Q10"/>
    <mergeCell ref="M10:M11"/>
    <mergeCell ref="N10:N11"/>
    <mergeCell ref="P10:P11"/>
    <mergeCell ref="R10:R11"/>
    <mergeCell ref="AE3:AE4"/>
    <mergeCell ref="S3:S4"/>
    <mergeCell ref="T3:T4"/>
    <mergeCell ref="U3:U4"/>
    <mergeCell ref="V3:V4"/>
    <mergeCell ref="W3:W4"/>
    <mergeCell ref="S10:S11"/>
    <mergeCell ref="O11:O12"/>
    <mergeCell ref="Q11:Q12"/>
    <mergeCell ref="P12:P13"/>
    <mergeCell ref="R12:R13"/>
    <mergeCell ref="S12:S13"/>
    <mergeCell ref="AF3:AF4"/>
    <mergeCell ref="O5:Q5"/>
    <mergeCell ref="M6:M7"/>
    <mergeCell ref="N6:N7"/>
    <mergeCell ref="P6:Q6"/>
    <mergeCell ref="O7:O8"/>
    <mergeCell ref="M8:M9"/>
    <mergeCell ref="N8:N9"/>
    <mergeCell ref="P8:P9"/>
    <mergeCell ref="X3:X4"/>
    <mergeCell ref="Y3:Y4"/>
    <mergeCell ref="Z3:Z4"/>
    <mergeCell ref="AA3:AA4"/>
    <mergeCell ref="AB3:AB4"/>
    <mergeCell ref="AC3:AC4"/>
    <mergeCell ref="N3:Q3"/>
  </mergeCells>
  <hyperlinks>
    <hyperlink ref="A1" r:id="rId1" location="fpstate=ive&amp;vld=cid:173cc5b5,vid:zv44J8lfw_w,st:0" xr:uid="{660CE3A4-277C-4D39-A03D-6ABC56B38B95}"/>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1E993-959E-40FB-96BA-4C5AC1FFFEE1}">
  <dimension ref="A1:Y32"/>
  <sheetViews>
    <sheetView tabSelected="1" topLeftCell="K3" workbookViewId="0">
      <selection activeCell="AD15" sqref="AD15"/>
    </sheetView>
  </sheetViews>
  <sheetFormatPr defaultRowHeight="15"/>
  <sheetData>
    <row r="1" spans="1:25">
      <c r="A1" t="s">
        <v>286</v>
      </c>
      <c r="O1" t="s">
        <v>287</v>
      </c>
    </row>
    <row r="2" spans="1:25">
      <c r="A2" t="s">
        <v>288</v>
      </c>
      <c r="O2" t="s">
        <v>289</v>
      </c>
      <c r="P2" t="s">
        <v>290</v>
      </c>
    </row>
    <row r="3" spans="1:25">
      <c r="A3" t="s">
        <v>291</v>
      </c>
      <c r="O3" t="s">
        <v>292</v>
      </c>
    </row>
    <row r="4" spans="1:25">
      <c r="A4" t="s">
        <v>293</v>
      </c>
      <c r="O4" t="s">
        <v>294</v>
      </c>
    </row>
    <row r="5" spans="1:25">
      <c r="A5" t="s">
        <v>295</v>
      </c>
      <c r="O5" t="s">
        <v>296</v>
      </c>
    </row>
    <row r="6" spans="1:25">
      <c r="A6" t="s">
        <v>297</v>
      </c>
      <c r="O6" t="s">
        <v>298</v>
      </c>
    </row>
    <row r="7" spans="1:25">
      <c r="O7">
        <f>'Targeted SDs'!A44</f>
        <v>0</v>
      </c>
      <c r="P7">
        <f>'Targeted SDs'!B44</f>
        <v>0</v>
      </c>
      <c r="Q7" s="70" t="str">
        <f>'Targeted SDs'!C44</f>
        <v>Apo</v>
      </c>
      <c r="R7" s="70" t="str">
        <f>'Targeted SDs'!D44</f>
        <v>Peri</v>
      </c>
      <c r="S7" s="81" t="str">
        <f>'Targeted SDs'!E44</f>
        <v>SMA</v>
      </c>
      <c r="T7" s="81" t="str">
        <f>'Targeted SDs'!F44</f>
        <v>ECC</v>
      </c>
      <c r="U7" s="81" t="str">
        <f>'Targeted SDs'!G44</f>
        <v>INC</v>
      </c>
      <c r="V7" s="81" t="str">
        <f>'Targeted SDs'!H44</f>
        <v>RAAN</v>
      </c>
      <c r="W7" s="81" t="str">
        <f>'Targeted SDs'!I44</f>
        <v>AOP</v>
      </c>
      <c r="X7" s="81" t="str">
        <f>'Targeted SDs'!J44</f>
        <v>MA</v>
      </c>
      <c r="Y7" s="81" t="str">
        <f>'Targeted SDs'!K44</f>
        <v>Mean Motion</v>
      </c>
    </row>
    <row r="8" spans="1:25" ht="18.75">
      <c r="A8" t="s">
        <v>299</v>
      </c>
      <c r="O8" t="str">
        <f>'Targeted SDs'!A45</f>
        <v>COSMOS</v>
      </c>
      <c r="P8">
        <f>'Targeted SDs'!B45</f>
        <v>1408</v>
      </c>
      <c r="Q8">
        <f>'Targeted SDs'!C45</f>
        <v>0</v>
      </c>
      <c r="R8">
        <f>'Targeted SDs'!D45</f>
        <v>0</v>
      </c>
      <c r="S8">
        <f>'Targeted SDs'!E45</f>
        <v>0</v>
      </c>
      <c r="T8">
        <f>'Targeted SDs'!F45</f>
        <v>0</v>
      </c>
      <c r="U8" t="str">
        <f>'Targeted SDs'!G45</f>
        <v>DEB</v>
      </c>
      <c r="V8" s="60">
        <f>'Targeted SDs'!H45</f>
        <v>1</v>
      </c>
      <c r="W8" t="str">
        <f>'Targeted SDs'!I45</f>
        <v>SC</v>
      </c>
      <c r="X8">
        <f>'Targeted SDs'!J45</f>
        <v>0</v>
      </c>
      <c r="Y8">
        <f>'Targeted SDs'!K45</f>
        <v>0</v>
      </c>
    </row>
    <row r="9" spans="1:25">
      <c r="A9" t="s">
        <v>300</v>
      </c>
      <c r="O9">
        <f>'Targeted SDs'!A46</f>
        <v>2</v>
      </c>
      <c r="P9">
        <f>'Targeted SDs'!B46</f>
        <v>13552</v>
      </c>
      <c r="Q9">
        <f>'Targeted SDs'!C46</f>
        <v>364</v>
      </c>
      <c r="R9">
        <f>'Targeted SDs'!D46</f>
        <v>344</v>
      </c>
      <c r="S9">
        <f>'Targeted SDs'!E46</f>
        <v>6732.2972635571632</v>
      </c>
      <c r="T9">
        <f>'Targeted SDs'!F46</f>
        <v>1.4614000000000001E-3</v>
      </c>
      <c r="U9">
        <f>'Targeted SDs'!G46</f>
        <v>82.552199999999999</v>
      </c>
      <c r="V9">
        <f>'Targeted SDs'!H46</f>
        <v>196.1754</v>
      </c>
      <c r="W9">
        <f>'Targeted SDs'!I46</f>
        <v>155.37270000000001</v>
      </c>
      <c r="X9">
        <f>'Targeted SDs'!J46</f>
        <v>204.8237</v>
      </c>
      <c r="Y9">
        <f>'Targeted SDs'!K46</f>
        <v>15.716354661522701</v>
      </c>
    </row>
    <row r="10" spans="1:25" ht="18.75">
      <c r="A10" t="s">
        <v>301</v>
      </c>
      <c r="O10" t="str">
        <f>'Targeted SDs'!A47</f>
        <v>COSMOS</v>
      </c>
      <c r="P10">
        <f>'Targeted SDs'!B47</f>
        <v>1408</v>
      </c>
      <c r="Q10">
        <f>'Targeted SDs'!C47</f>
        <v>0</v>
      </c>
      <c r="R10">
        <f>'Targeted SDs'!D47</f>
        <v>0</v>
      </c>
      <c r="S10">
        <f>'Targeted SDs'!E47</f>
        <v>0</v>
      </c>
      <c r="T10">
        <f>'Targeted SDs'!F47</f>
        <v>0</v>
      </c>
      <c r="U10" t="str">
        <f>'Targeted SDs'!G47</f>
        <v>DEB</v>
      </c>
      <c r="V10" s="60">
        <f>'Targeted SDs'!H47</f>
        <v>2</v>
      </c>
      <c r="W10">
        <f>'Targeted SDs'!I47</f>
        <v>0</v>
      </c>
      <c r="X10">
        <f>'Targeted SDs'!J47</f>
        <v>0</v>
      </c>
      <c r="Y10">
        <f>'Targeted SDs'!K47</f>
        <v>0</v>
      </c>
    </row>
    <row r="11" spans="1:25">
      <c r="O11">
        <f>'Targeted SDs'!A48</f>
        <v>2</v>
      </c>
      <c r="P11">
        <f>'Targeted SDs'!B48</f>
        <v>49527</v>
      </c>
      <c r="Q11">
        <f>'Targeted SDs'!C48</f>
        <v>908</v>
      </c>
      <c r="R11">
        <f>'Targeted SDs'!D48</f>
        <v>441</v>
      </c>
      <c r="S11">
        <f>'Targeted SDs'!E48</f>
        <v>7052.704349690981</v>
      </c>
      <c r="T11">
        <f>'Targeted SDs'!F48</f>
        <v>3.3095600000000003E-2</v>
      </c>
      <c r="U11">
        <f>'Targeted SDs'!G48</f>
        <v>82.377700000000004</v>
      </c>
      <c r="V11">
        <f>'Targeted SDs'!H48</f>
        <v>333.05439999999999</v>
      </c>
      <c r="W11">
        <f>'Targeted SDs'!I48</f>
        <v>301.39690000000002</v>
      </c>
      <c r="X11">
        <f>'Targeted SDs'!J48</f>
        <v>55.525100000000002</v>
      </c>
      <c r="Y11">
        <f>'Targeted SDs'!K48</f>
        <v>14.657612251413701</v>
      </c>
    </row>
    <row r="12" spans="1:25" ht="18.75">
      <c r="O12" t="str">
        <f>'Targeted SDs'!A49</f>
        <v>COSMOS</v>
      </c>
      <c r="P12">
        <f>'Targeted SDs'!B49</f>
        <v>1408</v>
      </c>
      <c r="Q12">
        <f>'Targeted SDs'!C49</f>
        <v>0</v>
      </c>
      <c r="R12">
        <f>'Targeted SDs'!D49</f>
        <v>0</v>
      </c>
      <c r="S12">
        <f>'Targeted SDs'!E49</f>
        <v>0</v>
      </c>
      <c r="T12">
        <f>'Targeted SDs'!F49</f>
        <v>0</v>
      </c>
      <c r="U12" t="str">
        <f>'Targeted SDs'!G49</f>
        <v>DEB</v>
      </c>
      <c r="V12" s="60">
        <f>'Targeted SDs'!H49</f>
        <v>3</v>
      </c>
      <c r="W12">
        <f>'Targeted SDs'!I49</f>
        <v>0</v>
      </c>
      <c r="X12">
        <f>'Targeted SDs'!J49</f>
        <v>0</v>
      </c>
      <c r="Y12">
        <f>'Targeted SDs'!K49</f>
        <v>0</v>
      </c>
    </row>
    <row r="13" spans="1:25">
      <c r="A13" t="s">
        <v>302</v>
      </c>
      <c r="C13">
        <v>1</v>
      </c>
      <c r="D13">
        <v>2</v>
      </c>
      <c r="O13">
        <f>'Targeted SDs'!A50</f>
        <v>2</v>
      </c>
      <c r="P13">
        <f>'Targeted SDs'!B50</f>
        <v>49537</v>
      </c>
      <c r="Q13">
        <f>'Targeted SDs'!C50</f>
        <v>580</v>
      </c>
      <c r="R13">
        <f>'Targeted SDs'!D50</f>
        <v>431</v>
      </c>
      <c r="S13">
        <f>'Targeted SDs'!E50</f>
        <v>6883.5308453418811</v>
      </c>
      <c r="T13">
        <f>'Targeted SDs'!F50</f>
        <v>1.07949E-2</v>
      </c>
      <c r="U13">
        <f>'Targeted SDs'!G50</f>
        <v>82.549499999999995</v>
      </c>
      <c r="V13">
        <f>'Targeted SDs'!H50</f>
        <v>251.05590000000001</v>
      </c>
      <c r="W13">
        <f>'Targeted SDs'!I50</f>
        <v>270.65429999999998</v>
      </c>
      <c r="X13">
        <f>'Targeted SDs'!J50</f>
        <v>88.232399999999998</v>
      </c>
      <c r="Y13">
        <f>'Targeted SDs'!K50</f>
        <v>15.201269281484</v>
      </c>
    </row>
    <row r="14" spans="1:25" ht="18.75">
      <c r="D14">
        <v>3</v>
      </c>
      <c r="O14" t="str">
        <f>'Targeted SDs'!A51</f>
        <v>COSMOS</v>
      </c>
      <c r="P14">
        <f>'Targeted SDs'!B51</f>
        <v>1408</v>
      </c>
      <c r="Q14">
        <f>'Targeted SDs'!C51</f>
        <v>0</v>
      </c>
      <c r="R14">
        <f>'Targeted SDs'!D51</f>
        <v>0</v>
      </c>
      <c r="S14">
        <f>'Targeted SDs'!E51</f>
        <v>0</v>
      </c>
      <c r="T14">
        <f>'Targeted SDs'!F51</f>
        <v>0</v>
      </c>
      <c r="U14" t="str">
        <f>'Targeted SDs'!G51</f>
        <v>DEB</v>
      </c>
      <c r="V14" s="60">
        <f>'Targeted SDs'!H51</f>
        <v>4</v>
      </c>
      <c r="W14">
        <f>'Targeted SDs'!I51</f>
        <v>0</v>
      </c>
      <c r="X14">
        <f>'Targeted SDs'!J51</f>
        <v>0</v>
      </c>
      <c r="Y14">
        <f>'Targeted SDs'!K51</f>
        <v>0</v>
      </c>
    </row>
    <row r="15" spans="1:25">
      <c r="D15">
        <v>4</v>
      </c>
      <c r="O15">
        <f>'Targeted SDs'!A52</f>
        <v>2</v>
      </c>
      <c r="P15">
        <f>'Targeted SDs'!B52</f>
        <v>49539</v>
      </c>
      <c r="Q15">
        <f>'Targeted SDs'!C52</f>
        <v>810</v>
      </c>
      <c r="R15">
        <f>'Targeted SDs'!D52</f>
        <v>431</v>
      </c>
      <c r="S15">
        <f>'Targeted SDs'!E52</f>
        <v>6998.7340636006229</v>
      </c>
      <c r="T15">
        <f>'Targeted SDs'!F52</f>
        <v>2.7055300000000001E-2</v>
      </c>
      <c r="U15">
        <f>'Targeted SDs'!G52</f>
        <v>82.188699999999997</v>
      </c>
      <c r="V15">
        <f>'Targeted SDs'!H52</f>
        <v>312.73590000000002</v>
      </c>
      <c r="W15">
        <f>'Targeted SDs'!I52</f>
        <v>327.71480000000003</v>
      </c>
      <c r="X15">
        <f>'Targeted SDs'!J52</f>
        <v>30.7744</v>
      </c>
      <c r="Y15">
        <f>'Targeted SDs'!K52</f>
        <v>14.827485541410301</v>
      </c>
    </row>
    <row r="16" spans="1:25" ht="18.75">
      <c r="D16">
        <v>5</v>
      </c>
      <c r="O16" t="str">
        <f>'Targeted SDs'!A53</f>
        <v>COSMOS</v>
      </c>
      <c r="P16">
        <f>'Targeted SDs'!B53</f>
        <v>1408</v>
      </c>
      <c r="Q16">
        <f>'Targeted SDs'!C53</f>
        <v>0</v>
      </c>
      <c r="R16">
        <f>'Targeted SDs'!D53</f>
        <v>0</v>
      </c>
      <c r="S16">
        <f>'Targeted SDs'!E53</f>
        <v>0</v>
      </c>
      <c r="T16">
        <f>'Targeted SDs'!F53</f>
        <v>0</v>
      </c>
      <c r="U16" t="str">
        <f>'Targeted SDs'!G53</f>
        <v>DEB</v>
      </c>
      <c r="V16" s="60">
        <f>'Targeted SDs'!H53</f>
        <v>5</v>
      </c>
      <c r="W16">
        <f>'Targeted SDs'!I53</f>
        <v>0</v>
      </c>
      <c r="X16">
        <f>'Targeted SDs'!J53</f>
        <v>0</v>
      </c>
      <c r="Y16">
        <f>'Targeted SDs'!K53</f>
        <v>0</v>
      </c>
    </row>
    <row r="17" spans="3:25">
      <c r="C17">
        <v>2</v>
      </c>
      <c r="D17">
        <v>1</v>
      </c>
      <c r="O17">
        <f>'Targeted SDs'!A54</f>
        <v>2</v>
      </c>
      <c r="P17">
        <f>'Targeted SDs'!B54</f>
        <v>49619</v>
      </c>
      <c r="Q17">
        <f>'Targeted SDs'!C54</f>
        <v>812</v>
      </c>
      <c r="R17">
        <f>'Targeted SDs'!D54</f>
        <v>430</v>
      </c>
      <c r="S17">
        <f>'Targeted SDs'!E54</f>
        <v>6998.7916746902874</v>
      </c>
      <c r="T17">
        <f>'Targeted SDs'!F54</f>
        <v>2.7300499999999998E-2</v>
      </c>
      <c r="U17">
        <f>'Targeted SDs'!G54</f>
        <v>81.957099999999997</v>
      </c>
      <c r="V17">
        <f>'Targeted SDs'!H54</f>
        <v>278.35590000000002</v>
      </c>
      <c r="W17">
        <f>'Targeted SDs'!I54</f>
        <v>331.86869999999999</v>
      </c>
      <c r="X17">
        <f>'Targeted SDs'!J54</f>
        <v>26.799399999999999</v>
      </c>
      <c r="Y17">
        <f>'Targeted SDs'!K54</f>
        <v>14.8273024614129</v>
      </c>
    </row>
    <row r="18" spans="3:25">
      <c r="D18">
        <v>3</v>
      </c>
    </row>
    <row r="19" spans="3:25">
      <c r="D19">
        <v>4</v>
      </c>
    </row>
    <row r="20" spans="3:25">
      <c r="D20">
        <v>5</v>
      </c>
    </row>
    <row r="21" spans="3:25">
      <c r="C21">
        <v>3</v>
      </c>
      <c r="D21">
        <v>1</v>
      </c>
    </row>
    <row r="22" spans="3:25">
      <c r="D22">
        <v>2</v>
      </c>
    </row>
    <row r="23" spans="3:25">
      <c r="D23">
        <v>4</v>
      </c>
    </row>
    <row r="24" spans="3:25">
      <c r="D24">
        <v>5</v>
      </c>
    </row>
    <row r="25" spans="3:25">
      <c r="C25">
        <v>4</v>
      </c>
      <c r="D25">
        <v>1</v>
      </c>
    </row>
    <row r="26" spans="3:25">
      <c r="D26">
        <v>2</v>
      </c>
    </row>
    <row r="27" spans="3:25">
      <c r="D27">
        <v>3</v>
      </c>
    </row>
    <row r="28" spans="3:25">
      <c r="D28">
        <v>5</v>
      </c>
    </row>
    <row r="29" spans="3:25">
      <c r="C29">
        <v>5</v>
      </c>
      <c r="D29">
        <v>1</v>
      </c>
    </row>
    <row r="30" spans="3:25">
      <c r="D30">
        <v>2</v>
      </c>
    </row>
    <row r="31" spans="3:25">
      <c r="D31">
        <v>3</v>
      </c>
    </row>
    <row r="32" spans="3:25">
      <c r="D32">
        <v>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DDE3B-78B8-47FB-B5DA-2EA91F819202}">
  <dimension ref="A1:A6"/>
  <sheetViews>
    <sheetView workbookViewId="0"/>
  </sheetViews>
  <sheetFormatPr defaultRowHeight="15"/>
  <sheetData>
    <row r="1" spans="1:1">
      <c r="A1" t="s">
        <v>303</v>
      </c>
    </row>
    <row r="2" spans="1:1">
      <c r="A2" t="s">
        <v>304</v>
      </c>
    </row>
    <row r="3" spans="1:1">
      <c r="A3" t="s">
        <v>305</v>
      </c>
    </row>
    <row r="4" spans="1:1">
      <c r="A4" t="s">
        <v>306</v>
      </c>
    </row>
    <row r="5" spans="1:1">
      <c r="A5" t="s">
        <v>307</v>
      </c>
    </row>
    <row r="6" spans="1:1">
      <c r="A6" t="s">
        <v>308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E97DA-2E60-4539-AFCC-43975B47565F}">
  <dimension ref="A1:AT132"/>
  <sheetViews>
    <sheetView workbookViewId="0">
      <pane xSplit="2" topLeftCell="P65" activePane="topRight" state="frozen"/>
      <selection pane="topRight" activeCell="R75" sqref="R75:AB83"/>
    </sheetView>
  </sheetViews>
  <sheetFormatPr defaultColWidth="9.140625" defaultRowHeight="15"/>
  <cols>
    <col min="2" max="4" width="18.5703125" customWidth="1"/>
    <col min="5" max="5" width="56.85546875" customWidth="1"/>
    <col min="6" max="6" width="11.5703125" customWidth="1"/>
    <col min="7" max="7" width="39.42578125" customWidth="1"/>
    <col min="8" max="8" width="12.42578125" customWidth="1"/>
    <col min="9" max="9" width="10.85546875" customWidth="1"/>
    <col min="10" max="10" width="13" customWidth="1"/>
    <col min="11" max="11" width="31.5703125" customWidth="1"/>
    <col min="12" max="12" width="10.5703125" customWidth="1"/>
    <col min="13" max="13" width="11" customWidth="1"/>
    <col min="14" max="14" width="11.7109375" customWidth="1"/>
    <col min="15" max="15" width="11.7109375" hidden="1" customWidth="1"/>
    <col min="18" max="18" width="15.7109375" customWidth="1"/>
    <col min="22" max="22" width="19.140625" customWidth="1"/>
    <col min="23" max="23" width="22" customWidth="1"/>
    <col min="24" max="24" width="19.85546875" customWidth="1"/>
    <col min="26" max="26" width="14" customWidth="1"/>
    <col min="28" max="28" width="30.140625" customWidth="1"/>
  </cols>
  <sheetData>
    <row r="1" spans="1:46">
      <c r="A1" s="129"/>
      <c r="B1" s="130"/>
      <c r="C1" s="9"/>
      <c r="D1" s="9"/>
      <c r="E1" s="135" t="s">
        <v>76</v>
      </c>
      <c r="F1" s="135"/>
      <c r="G1" s="135"/>
      <c r="H1" s="135"/>
      <c r="I1" s="135"/>
      <c r="J1" s="135"/>
      <c r="K1" s="135"/>
      <c r="L1" s="135"/>
      <c r="M1" s="135"/>
      <c r="N1" s="135"/>
      <c r="O1" s="8"/>
      <c r="P1" s="18" t="s">
        <v>77</v>
      </c>
      <c r="Q1" s="102">
        <v>3</v>
      </c>
      <c r="R1" s="104"/>
      <c r="S1" s="102">
        <v>5</v>
      </c>
      <c r="T1" s="104"/>
      <c r="U1" s="102">
        <v>4</v>
      </c>
      <c r="V1" s="104"/>
      <c r="W1" s="102">
        <v>3</v>
      </c>
      <c r="X1" s="104"/>
      <c r="Y1" s="102">
        <v>1</v>
      </c>
      <c r="Z1" s="104"/>
      <c r="AA1" s="102">
        <v>5</v>
      </c>
      <c r="AB1" s="104"/>
    </row>
    <row r="2" spans="1:46" ht="72.75" customHeight="1">
      <c r="A2" s="103" t="s">
        <v>78</v>
      </c>
      <c r="B2" s="103"/>
      <c r="C2" s="87" t="s">
        <v>79</v>
      </c>
      <c r="D2" s="87"/>
      <c r="E2" s="87" t="s">
        <v>80</v>
      </c>
      <c r="F2" s="87"/>
      <c r="G2" s="87" t="s">
        <v>81</v>
      </c>
      <c r="H2" s="87"/>
      <c r="I2" s="87" t="s">
        <v>82</v>
      </c>
      <c r="J2" s="87"/>
      <c r="K2" s="87" t="s">
        <v>83</v>
      </c>
      <c r="L2" s="87"/>
      <c r="M2" s="87" t="s">
        <v>84</v>
      </c>
      <c r="N2" s="87"/>
      <c r="O2" s="6"/>
      <c r="P2" s="10"/>
      <c r="Q2" s="87" t="str">
        <f>C2</f>
        <v>Stickiness</v>
      </c>
      <c r="R2" s="87"/>
      <c r="S2" s="87" t="str">
        <f>E2</f>
        <v>Involved Technology's Readiness. (complexity is also involved)</v>
      </c>
      <c r="T2" s="87"/>
      <c r="U2" s="87" t="str">
        <f>G2</f>
        <v>Energy per unit captured</v>
      </c>
      <c r="V2" s="87"/>
      <c r="W2" s="87" t="str">
        <f>I2</f>
        <v>Risk involved especially the possibilty to generate more Space Debris.</v>
      </c>
      <c r="X2" s="87"/>
      <c r="Y2" s="87" t="str">
        <f>K2</f>
        <v>Mass sent in space vs mass that can be repositioned/captured</v>
      </c>
      <c r="Z2" s="87"/>
      <c r="AA2" s="87" t="str">
        <f>M2</f>
        <v>Suitability for Small SDs</v>
      </c>
      <c r="AB2" s="87"/>
    </row>
    <row r="3" spans="1:46">
      <c r="A3" s="4" t="s">
        <v>0</v>
      </c>
      <c r="B3" s="5" t="s">
        <v>1</v>
      </c>
      <c r="C3" s="7" t="s">
        <v>85</v>
      </c>
      <c r="D3" s="7" t="s">
        <v>86</v>
      </c>
      <c r="E3" s="7" t="s">
        <v>85</v>
      </c>
      <c r="F3" s="7" t="s">
        <v>86</v>
      </c>
      <c r="G3" s="7" t="s">
        <v>85</v>
      </c>
      <c r="H3" s="7" t="s">
        <v>86</v>
      </c>
      <c r="I3" s="7" t="s">
        <v>85</v>
      </c>
      <c r="J3" s="7" t="s">
        <v>86</v>
      </c>
      <c r="K3" s="7" t="s">
        <v>85</v>
      </c>
      <c r="L3" s="7" t="s">
        <v>86</v>
      </c>
      <c r="M3" s="7" t="s">
        <v>85</v>
      </c>
      <c r="N3" s="7" t="s">
        <v>86</v>
      </c>
      <c r="O3" s="5" t="s">
        <v>1</v>
      </c>
      <c r="P3" s="116" t="s">
        <v>87</v>
      </c>
      <c r="Q3" s="88" t="s">
        <v>88</v>
      </c>
      <c r="R3" s="88"/>
      <c r="S3" s="88" t="s">
        <v>88</v>
      </c>
      <c r="T3" s="88"/>
      <c r="U3" s="88" t="s">
        <v>89</v>
      </c>
      <c r="V3" s="88"/>
      <c r="W3" s="88" t="s">
        <v>90</v>
      </c>
      <c r="X3" s="88"/>
      <c r="Y3" s="88" t="s">
        <v>91</v>
      </c>
      <c r="Z3" s="88"/>
      <c r="AA3" s="88" t="s">
        <v>92</v>
      </c>
      <c r="AB3" s="88"/>
      <c r="AM3">
        <f>Q1</f>
        <v>3</v>
      </c>
      <c r="AN3">
        <f>S1</f>
        <v>5</v>
      </c>
      <c r="AO3">
        <f>U1</f>
        <v>4</v>
      </c>
      <c r="AP3">
        <f>W1</f>
        <v>3</v>
      </c>
      <c r="AQ3">
        <v>1</v>
      </c>
      <c r="AR3">
        <f>AA1</f>
        <v>5</v>
      </c>
    </row>
    <row r="4" spans="1:46" ht="15" customHeight="1">
      <c r="A4" s="87">
        <v>1</v>
      </c>
      <c r="B4" s="88" t="str">
        <f>'Table of Capture Methods'!B2</f>
        <v>Controlled Net</v>
      </c>
      <c r="C4" s="138"/>
      <c r="D4" s="133">
        <v>4</v>
      </c>
      <c r="E4" s="138" t="s">
        <v>93</v>
      </c>
      <c r="F4" s="133">
        <v>4</v>
      </c>
      <c r="G4" s="138" t="s">
        <v>94</v>
      </c>
      <c r="H4" s="133">
        <v>7</v>
      </c>
      <c r="I4" s="145"/>
      <c r="J4" s="133">
        <v>11</v>
      </c>
      <c r="K4" s="131" t="s">
        <v>95</v>
      </c>
      <c r="L4" s="133">
        <v>1</v>
      </c>
      <c r="M4" s="127"/>
      <c r="N4" s="128">
        <v>1</v>
      </c>
      <c r="O4" s="88" t="s">
        <v>8</v>
      </c>
      <c r="P4" s="117"/>
      <c r="Q4" s="88"/>
      <c r="R4" s="88"/>
      <c r="S4" s="88"/>
      <c r="T4" s="88"/>
      <c r="U4" s="88"/>
      <c r="V4" s="88"/>
      <c r="W4" s="88"/>
      <c r="X4" s="88"/>
      <c r="Y4" s="88"/>
      <c r="Z4" s="88"/>
      <c r="AA4" s="88"/>
      <c r="AB4" s="88"/>
      <c r="AF4" t="s">
        <v>79</v>
      </c>
      <c r="AG4" t="s">
        <v>96</v>
      </c>
      <c r="AH4" t="s">
        <v>97</v>
      </c>
      <c r="AI4" t="s">
        <v>98</v>
      </c>
      <c r="AJ4" t="s">
        <v>99</v>
      </c>
      <c r="AK4" t="s">
        <v>100</v>
      </c>
      <c r="AM4" t="s">
        <v>79</v>
      </c>
      <c r="AN4" t="s">
        <v>101</v>
      </c>
      <c r="AO4" t="s">
        <v>97</v>
      </c>
      <c r="AP4" t="s">
        <v>98</v>
      </c>
      <c r="AQ4" t="s">
        <v>99</v>
      </c>
      <c r="AR4" t="s">
        <v>100</v>
      </c>
      <c r="AS4" t="s">
        <v>102</v>
      </c>
      <c r="AT4" t="s">
        <v>103</v>
      </c>
    </row>
    <row r="5" spans="1:46">
      <c r="A5" s="87"/>
      <c r="B5" s="88"/>
      <c r="C5" s="132"/>
      <c r="D5" s="134"/>
      <c r="E5" s="132"/>
      <c r="F5" s="134"/>
      <c r="G5" s="132"/>
      <c r="H5" s="134"/>
      <c r="I5" s="125"/>
      <c r="J5" s="134"/>
      <c r="K5" s="132"/>
      <c r="L5" s="134"/>
      <c r="M5" s="125"/>
      <c r="N5" s="126"/>
      <c r="O5" s="88"/>
      <c r="P5" s="117"/>
      <c r="Q5" s="88"/>
      <c r="R5" s="88"/>
      <c r="S5" s="88"/>
      <c r="T5" s="88"/>
      <c r="U5" s="88"/>
      <c r="V5" s="88"/>
      <c r="W5" s="88"/>
      <c r="X5" s="88"/>
      <c r="Y5" s="88"/>
      <c r="Z5" s="88"/>
      <c r="AA5" s="88"/>
      <c r="AB5" s="88"/>
      <c r="AE5" t="str">
        <f>B4</f>
        <v>Controlled Net</v>
      </c>
      <c r="AF5">
        <f t="shared" ref="AF5" si="0">D4</f>
        <v>4</v>
      </c>
      <c r="AG5">
        <f>F4</f>
        <v>4</v>
      </c>
      <c r="AH5">
        <f>H4</f>
        <v>7</v>
      </c>
      <c r="AI5">
        <f>J4</f>
        <v>11</v>
      </c>
      <c r="AJ5">
        <f>L4</f>
        <v>1</v>
      </c>
      <c r="AK5">
        <f>N4</f>
        <v>1</v>
      </c>
      <c r="AL5" t="str">
        <f>AE5</f>
        <v>Controlled Net</v>
      </c>
      <c r="AM5">
        <f>ROUND((-5*AF5+65)/6, 3)</f>
        <v>7.5</v>
      </c>
      <c r="AN5">
        <f>ROUND((-5*AG5+65)/6, 3)</f>
        <v>7.5</v>
      </c>
      <c r="AO5">
        <f t="shared" ref="AO5:AR17" si="1">ROUND((-5*AH5+65)/6, 3)</f>
        <v>5</v>
      </c>
      <c r="AP5">
        <f t="shared" si="1"/>
        <v>1.667</v>
      </c>
      <c r="AQ5">
        <f t="shared" si="1"/>
        <v>10</v>
      </c>
      <c r="AR5">
        <f t="shared" si="1"/>
        <v>10</v>
      </c>
      <c r="AS5">
        <f>ROUND(SUM(AM5:AR5)/6, 3)</f>
        <v>6.9450000000000003</v>
      </c>
      <c r="AT5">
        <f>ROUND(($AM$3*AM5+$AR$3*AR5+$AQ$3*AQ5+$AP$3*AP5+$AO$3*AO5+$AN$3*AN5)/(SUM($AM$3:$AR$3)), 3)</f>
        <v>6.9050000000000002</v>
      </c>
    </row>
    <row r="6" spans="1:46">
      <c r="A6" s="87"/>
      <c r="B6" s="88"/>
      <c r="C6" s="132"/>
      <c r="D6" s="134"/>
      <c r="E6" s="132"/>
      <c r="F6" s="134"/>
      <c r="G6" s="132"/>
      <c r="H6" s="134"/>
      <c r="I6" s="125"/>
      <c r="J6" s="134"/>
      <c r="K6" s="132"/>
      <c r="L6" s="134"/>
      <c r="M6" s="125"/>
      <c r="N6" s="126"/>
      <c r="O6" s="88"/>
      <c r="P6" s="117"/>
      <c r="Q6" s="88"/>
      <c r="R6" s="88"/>
      <c r="S6" s="88"/>
      <c r="T6" s="88"/>
      <c r="U6" s="88"/>
      <c r="V6" s="88"/>
      <c r="W6" s="88"/>
      <c r="X6" s="88"/>
      <c r="Y6" s="88"/>
      <c r="Z6" s="88"/>
      <c r="AA6" s="88"/>
      <c r="AB6" s="88"/>
      <c r="AE6" t="str">
        <f>B13</f>
        <v>Inflated Method</v>
      </c>
      <c r="AF6">
        <f t="shared" ref="AF6" si="2">D13</f>
        <v>1</v>
      </c>
      <c r="AG6">
        <f>F13</f>
        <v>12</v>
      </c>
      <c r="AH6">
        <f>H13</f>
        <v>6</v>
      </c>
      <c r="AI6">
        <f>J13</f>
        <v>6</v>
      </c>
      <c r="AJ6">
        <f>L13</f>
        <v>2</v>
      </c>
      <c r="AK6">
        <f>N13</f>
        <v>6</v>
      </c>
      <c r="AL6" t="str">
        <f t="shared" ref="AL6:AL17" si="3">AE6</f>
        <v>Inflated Method</v>
      </c>
      <c r="AM6">
        <f t="shared" ref="AM6:AM17" si="4">ROUND((-5*AF6+65)/6, 3)</f>
        <v>10</v>
      </c>
      <c r="AN6">
        <f t="shared" ref="AN6:AN17" si="5">ROUND((-5*AG6+65)/6, 3)</f>
        <v>0.83299999999999996</v>
      </c>
      <c r="AO6">
        <f t="shared" si="1"/>
        <v>5.8330000000000002</v>
      </c>
      <c r="AP6">
        <f t="shared" si="1"/>
        <v>5.8330000000000002</v>
      </c>
      <c r="AQ6">
        <f t="shared" si="1"/>
        <v>9.1669999999999998</v>
      </c>
      <c r="AR6">
        <f t="shared" si="1"/>
        <v>5.8330000000000002</v>
      </c>
      <c r="AS6">
        <f t="shared" ref="AS6:AS17" si="6">ROUND(SUM(AM6:AR6)/6, 3)</f>
        <v>6.25</v>
      </c>
      <c r="AT6">
        <f t="shared" ref="AT6:AT17" si="7">ROUND(($AM$3*AM6+$AR$3*AR6+$AQ$3*AQ6+$AP$3*AP6+$AO$3*AO6+$AN$3*AN6)/(SUM($AM$3:$AR$3)), 3)</f>
        <v>5.3970000000000002</v>
      </c>
    </row>
    <row r="7" spans="1:46">
      <c r="A7" s="87"/>
      <c r="B7" s="88"/>
      <c r="C7" s="132"/>
      <c r="D7" s="134"/>
      <c r="E7" s="132"/>
      <c r="F7" s="134"/>
      <c r="G7" s="132"/>
      <c r="H7" s="134"/>
      <c r="I7" s="125"/>
      <c r="J7" s="134"/>
      <c r="K7" s="132"/>
      <c r="L7" s="134"/>
      <c r="M7" s="125"/>
      <c r="N7" s="126"/>
      <c r="O7" s="88"/>
      <c r="P7" s="117"/>
      <c r="Q7" s="88"/>
      <c r="R7" s="88"/>
      <c r="S7" s="88"/>
      <c r="T7" s="88"/>
      <c r="U7" s="88"/>
      <c r="V7" s="88"/>
      <c r="W7" s="88"/>
      <c r="X7" s="88"/>
      <c r="Y7" s="88"/>
      <c r="Z7" s="88"/>
      <c r="AA7" s="88"/>
      <c r="AB7" s="88"/>
      <c r="AE7" t="str">
        <f>B23</f>
        <v>Foam Method</v>
      </c>
      <c r="AF7">
        <f t="shared" ref="AF7" si="8">D23</f>
        <v>2</v>
      </c>
      <c r="AG7">
        <f>F23</f>
        <v>13</v>
      </c>
      <c r="AH7">
        <f>H23</f>
        <v>5</v>
      </c>
      <c r="AI7">
        <f>J23</f>
        <v>5</v>
      </c>
      <c r="AJ7">
        <f>L23</f>
        <v>3</v>
      </c>
      <c r="AK7">
        <f>N23</f>
        <v>8</v>
      </c>
      <c r="AL7" t="str">
        <f t="shared" si="3"/>
        <v>Foam Method</v>
      </c>
      <c r="AM7">
        <f t="shared" si="4"/>
        <v>9.1669999999999998</v>
      </c>
      <c r="AN7">
        <f t="shared" si="5"/>
        <v>0</v>
      </c>
      <c r="AO7">
        <f t="shared" si="1"/>
        <v>6.6669999999999998</v>
      </c>
      <c r="AP7">
        <f t="shared" si="1"/>
        <v>6.6669999999999998</v>
      </c>
      <c r="AQ7">
        <f t="shared" si="1"/>
        <v>8.3330000000000002</v>
      </c>
      <c r="AR7">
        <f t="shared" si="1"/>
        <v>4.1669999999999998</v>
      </c>
      <c r="AS7">
        <f t="shared" si="6"/>
        <v>5.8339999999999996</v>
      </c>
      <c r="AT7">
        <f t="shared" si="7"/>
        <v>4.9210000000000003</v>
      </c>
    </row>
    <row r="8" spans="1:46" ht="19.5" customHeight="1">
      <c r="A8" s="87"/>
      <c r="B8" s="88"/>
      <c r="C8" s="132"/>
      <c r="D8" s="134"/>
      <c r="E8" s="132"/>
      <c r="F8" s="134"/>
      <c r="G8" s="132"/>
      <c r="H8" s="134"/>
      <c r="I8" s="125"/>
      <c r="J8" s="134"/>
      <c r="K8" s="132"/>
      <c r="L8" s="134"/>
      <c r="M8" s="125"/>
      <c r="N8" s="126"/>
      <c r="O8" s="88"/>
      <c r="P8" s="118"/>
      <c r="Q8" s="120"/>
      <c r="R8" s="120"/>
      <c r="S8" s="120"/>
      <c r="T8" s="120"/>
      <c r="U8" s="120"/>
      <c r="V8" s="120"/>
      <c r="W8" s="120"/>
      <c r="X8" s="120"/>
      <c r="Y8" s="120"/>
      <c r="Z8" s="120"/>
      <c r="AA8" s="120"/>
      <c r="AB8" s="120"/>
      <c r="AE8" t="str">
        <f>B33</f>
        <v>"Adhesive" Method</v>
      </c>
      <c r="AF8">
        <f t="shared" ref="AF8" si="9">D33</f>
        <v>8</v>
      </c>
      <c r="AG8">
        <f>F33</f>
        <v>2</v>
      </c>
      <c r="AH8">
        <f>H33</f>
        <v>3</v>
      </c>
      <c r="AI8">
        <f>J33</f>
        <v>8</v>
      </c>
      <c r="AJ8">
        <f>L33</f>
        <v>13</v>
      </c>
      <c r="AK8">
        <f>N33</f>
        <v>11</v>
      </c>
      <c r="AL8" t="str">
        <f t="shared" si="3"/>
        <v>"Adhesive" Method</v>
      </c>
      <c r="AM8">
        <f t="shared" si="4"/>
        <v>4.1669999999999998</v>
      </c>
      <c r="AN8">
        <f t="shared" si="5"/>
        <v>9.1669999999999998</v>
      </c>
      <c r="AO8">
        <f t="shared" si="1"/>
        <v>8.3330000000000002</v>
      </c>
      <c r="AP8">
        <f t="shared" si="1"/>
        <v>4.1669999999999998</v>
      </c>
      <c r="AQ8">
        <f t="shared" si="1"/>
        <v>0</v>
      </c>
      <c r="AR8">
        <f t="shared" si="1"/>
        <v>1.667</v>
      </c>
      <c r="AS8">
        <f t="shared" si="6"/>
        <v>4.5839999999999996</v>
      </c>
      <c r="AT8">
        <f t="shared" si="7"/>
        <v>5.3570000000000002</v>
      </c>
    </row>
    <row r="9" spans="1:46">
      <c r="A9" s="87"/>
      <c r="B9" s="88"/>
      <c r="C9" s="132"/>
      <c r="D9" s="134"/>
      <c r="E9" s="132"/>
      <c r="F9" s="134"/>
      <c r="G9" s="132"/>
      <c r="H9" s="134"/>
      <c r="I9" s="125"/>
      <c r="J9" s="134"/>
      <c r="K9" s="132"/>
      <c r="L9" s="134"/>
      <c r="M9" s="125"/>
      <c r="N9" s="134"/>
      <c r="O9" s="121"/>
      <c r="P9" s="17">
        <v>1</v>
      </c>
      <c r="Q9" s="12" t="str">
        <f>VLOOKUP(P9,$D$3:$O$132,12,FALSE)</f>
        <v>Inflated Method</v>
      </c>
      <c r="R9" s="12"/>
      <c r="S9" s="12" t="str">
        <f>VLOOKUP(P9,$F$3:$O$132,10,FALSE)</f>
        <v>Robotic Arms (multiple on one system)</v>
      </c>
      <c r="T9" s="12"/>
      <c r="U9" s="12" t="str">
        <f>VLOOKUP(P9,$H$3:$O$132,8,FALSE)</f>
        <v>Solar Sails</v>
      </c>
      <c r="V9" s="12"/>
      <c r="W9" s="32" t="str">
        <f>VLOOKUP(P9,$J$3:$O$132,6,FALSE)</f>
        <v>Ion Beam Shepherd</v>
      </c>
      <c r="X9" s="12"/>
      <c r="Y9" s="12" t="str">
        <f>VLOOKUP(P9,$L$3:$O$132,4,FALSE)</f>
        <v>Controlled Net</v>
      </c>
      <c r="Z9" s="12"/>
      <c r="AA9" s="32" t="str">
        <f>VLOOKUP(P9,$N$3:$O$132,2,FALSE)</f>
        <v>Controlled Net</v>
      </c>
      <c r="AB9" s="12"/>
      <c r="AE9" t="str">
        <f>B43</f>
        <v>Tether + Adhesive Thread + Damper</v>
      </c>
      <c r="AF9">
        <f t="shared" ref="AF9" si="10">D43</f>
        <v>3</v>
      </c>
      <c r="AG9">
        <f>F43</f>
        <v>5</v>
      </c>
      <c r="AH9">
        <f>H43</f>
        <v>2</v>
      </c>
      <c r="AI9">
        <f>J43</f>
        <v>9</v>
      </c>
      <c r="AJ9">
        <f>L43</f>
        <v>11</v>
      </c>
      <c r="AK9">
        <f>N43</f>
        <v>10</v>
      </c>
      <c r="AL9" t="str">
        <f t="shared" si="3"/>
        <v>Tether + Adhesive Thread + Damper</v>
      </c>
      <c r="AM9">
        <f t="shared" si="4"/>
        <v>8.3330000000000002</v>
      </c>
      <c r="AN9">
        <f t="shared" si="5"/>
        <v>6.6669999999999998</v>
      </c>
      <c r="AO9">
        <f t="shared" si="1"/>
        <v>9.1669999999999998</v>
      </c>
      <c r="AP9">
        <f t="shared" si="1"/>
        <v>3.3330000000000002</v>
      </c>
      <c r="AQ9">
        <f t="shared" si="1"/>
        <v>1.667</v>
      </c>
      <c r="AR9">
        <f t="shared" si="1"/>
        <v>2.5</v>
      </c>
      <c r="AS9">
        <f t="shared" si="6"/>
        <v>5.2779999999999996</v>
      </c>
      <c r="AT9">
        <f t="shared" si="7"/>
        <v>5.6749999999999998</v>
      </c>
    </row>
    <row r="10" spans="1:46">
      <c r="A10" s="87"/>
      <c r="B10" s="88"/>
      <c r="C10" s="132"/>
      <c r="D10" s="134"/>
      <c r="E10" s="132"/>
      <c r="F10" s="134"/>
      <c r="G10" s="132"/>
      <c r="H10" s="134"/>
      <c r="I10" s="125"/>
      <c r="J10" s="134"/>
      <c r="K10" s="132"/>
      <c r="L10" s="134"/>
      <c r="M10" s="125"/>
      <c r="N10" s="134"/>
      <c r="O10" s="121"/>
      <c r="P10" s="11">
        <v>2</v>
      </c>
      <c r="Q10" s="12" t="str">
        <f t="shared" ref="Q10:Q21" si="11">VLOOKUP(P10,$D$3:$O$132,12,FALSE)</f>
        <v>Foam Method</v>
      </c>
      <c r="R10" s="12"/>
      <c r="S10" s="12" t="str">
        <f>VLOOKUP(P10,$F$3:$O$132,10,FALSE)</f>
        <v>"Adhesive" Method</v>
      </c>
      <c r="T10" s="12"/>
      <c r="U10" s="12" t="str">
        <f t="shared" ref="U10:U21" si="12">VLOOKUP(P10,$H$3:$O$132,8,FALSE)</f>
        <v>Tether + Adhesive Thread + Damper</v>
      </c>
      <c r="V10" s="12"/>
      <c r="W10" s="12" t="str">
        <f t="shared" ref="W10:W21" si="13">VLOOKUP(P10,$J$3:$O$132,6,FALSE)</f>
        <v>Lasers</v>
      </c>
      <c r="X10" s="12"/>
      <c r="Y10" s="12" t="str">
        <f t="shared" ref="Y10:Y21" si="14">VLOOKUP(P10,$L$3:$O$132,4,FALSE)</f>
        <v>Inflated Method</v>
      </c>
      <c r="Z10" s="12"/>
      <c r="AA10" s="12" t="str">
        <f t="shared" ref="AA10:AA21" si="15">VLOOKUP(P10,$N$3:$O$132,2,FALSE)</f>
        <v>Magnetic</v>
      </c>
      <c r="AB10" s="12"/>
      <c r="AE10" t="str">
        <f>B53</f>
        <v>Slingshot and Catch</v>
      </c>
      <c r="AF10">
        <f t="shared" ref="AF10" si="16">D53</f>
        <v>9</v>
      </c>
      <c r="AG10">
        <f>F53</f>
        <v>6</v>
      </c>
      <c r="AH10">
        <f>H53</f>
        <v>11</v>
      </c>
      <c r="AI10">
        <f>J53</f>
        <v>12</v>
      </c>
      <c r="AJ10">
        <f>L53</f>
        <v>8</v>
      </c>
      <c r="AK10">
        <f>N53</f>
        <v>9</v>
      </c>
      <c r="AL10" t="str">
        <f t="shared" si="3"/>
        <v>Slingshot and Catch</v>
      </c>
      <c r="AM10">
        <f t="shared" si="4"/>
        <v>3.3330000000000002</v>
      </c>
      <c r="AN10">
        <f t="shared" si="5"/>
        <v>5.8330000000000002</v>
      </c>
      <c r="AO10">
        <f t="shared" si="1"/>
        <v>1.667</v>
      </c>
      <c r="AP10">
        <f t="shared" si="1"/>
        <v>0.83299999999999996</v>
      </c>
      <c r="AQ10">
        <f t="shared" si="1"/>
        <v>4.1669999999999998</v>
      </c>
      <c r="AR10">
        <f t="shared" si="1"/>
        <v>3.3330000000000002</v>
      </c>
      <c r="AS10">
        <f t="shared" si="6"/>
        <v>3.194</v>
      </c>
      <c r="AT10">
        <f t="shared" si="7"/>
        <v>3.2930000000000001</v>
      </c>
    </row>
    <row r="11" spans="1:46">
      <c r="A11" s="87"/>
      <c r="B11" s="88"/>
      <c r="C11" s="132"/>
      <c r="D11" s="134"/>
      <c r="E11" s="132"/>
      <c r="F11" s="134"/>
      <c r="G11" s="132"/>
      <c r="H11" s="134"/>
      <c r="I11" s="125"/>
      <c r="J11" s="134"/>
      <c r="K11" s="132"/>
      <c r="L11" s="134"/>
      <c r="M11" s="125"/>
      <c r="N11" s="134"/>
      <c r="O11" s="121"/>
      <c r="P11" s="11">
        <v>3</v>
      </c>
      <c r="Q11" s="12" t="str">
        <f t="shared" si="11"/>
        <v>Tether + Adhesive Thread + Damper</v>
      </c>
      <c r="R11" s="12"/>
      <c r="S11" s="32" t="str">
        <f>VLOOKUP(P11,$F$3:$O$132,10,FALSE)</f>
        <v>Ion Beam Shepherd</v>
      </c>
      <c r="T11" s="32"/>
      <c r="U11" s="12" t="str">
        <f t="shared" si="12"/>
        <v>"Adhesive" Method</v>
      </c>
      <c r="V11" s="12"/>
      <c r="W11" s="12" t="str">
        <f t="shared" si="13"/>
        <v>Electrostatic charge induced capture</v>
      </c>
      <c r="X11" s="12"/>
      <c r="Y11" s="12" t="str">
        <f t="shared" si="14"/>
        <v>Foam Method</v>
      </c>
      <c r="Z11" s="12"/>
      <c r="AA11" s="32" t="str">
        <f t="shared" si="15"/>
        <v>Ion Beam Shepherd</v>
      </c>
      <c r="AB11" s="12"/>
      <c r="AE11" t="str">
        <f>B63</f>
        <v>Magnetic</v>
      </c>
      <c r="AF11">
        <f t="shared" ref="AF11" si="17">D63</f>
        <v>6</v>
      </c>
      <c r="AG11">
        <f>F63</f>
        <v>11</v>
      </c>
      <c r="AH11">
        <f>H63</f>
        <v>13</v>
      </c>
      <c r="AI11">
        <f>J63</f>
        <v>4</v>
      </c>
      <c r="AJ11">
        <f>L63</f>
        <v>6</v>
      </c>
      <c r="AK11">
        <f>N63</f>
        <v>2</v>
      </c>
      <c r="AL11" t="str">
        <f t="shared" si="3"/>
        <v>Magnetic</v>
      </c>
      <c r="AM11">
        <f t="shared" si="4"/>
        <v>5.8330000000000002</v>
      </c>
      <c r="AN11">
        <f t="shared" si="5"/>
        <v>1.667</v>
      </c>
      <c r="AO11">
        <f t="shared" si="1"/>
        <v>0</v>
      </c>
      <c r="AP11">
        <f t="shared" si="1"/>
        <v>7.5</v>
      </c>
      <c r="AQ11">
        <f t="shared" si="1"/>
        <v>5.8330000000000002</v>
      </c>
      <c r="AR11">
        <f t="shared" si="1"/>
        <v>9.1669999999999998</v>
      </c>
      <c r="AS11">
        <f t="shared" si="6"/>
        <v>5</v>
      </c>
      <c r="AT11">
        <f t="shared" si="7"/>
        <v>4.7619999999999996</v>
      </c>
    </row>
    <row r="12" spans="1:46">
      <c r="A12" s="87"/>
      <c r="B12" s="88"/>
      <c r="C12" s="132"/>
      <c r="D12" s="134"/>
      <c r="E12" s="132"/>
      <c r="F12" s="134"/>
      <c r="G12" s="132"/>
      <c r="H12" s="134"/>
      <c r="I12" s="125"/>
      <c r="J12" s="134"/>
      <c r="K12" s="132"/>
      <c r="L12" s="134"/>
      <c r="M12" s="125"/>
      <c r="N12" s="134"/>
      <c r="O12" s="121"/>
      <c r="P12" s="11">
        <v>4</v>
      </c>
      <c r="Q12" s="12" t="str">
        <f t="shared" si="11"/>
        <v>Controlled Net</v>
      </c>
      <c r="R12" s="12"/>
      <c r="S12" s="32" t="str">
        <f t="shared" ref="S12:S21" si="18">VLOOKUP(P12,$F$3:$O$132,10,FALSE)</f>
        <v>Controlled Net</v>
      </c>
      <c r="T12" s="32"/>
      <c r="U12" s="12" t="str">
        <f t="shared" si="12"/>
        <v>Robotic Arms (multiple on one system)</v>
      </c>
      <c r="V12" s="12"/>
      <c r="W12" s="12" t="str">
        <f t="shared" si="13"/>
        <v>Magnetic</v>
      </c>
      <c r="X12" s="12"/>
      <c r="Y12" s="12" t="str">
        <f t="shared" si="14"/>
        <v>Ion Beam Shepherd</v>
      </c>
      <c r="Z12" s="12"/>
      <c r="AA12" s="12" t="str">
        <f t="shared" si="15"/>
        <v>Lasers</v>
      </c>
      <c r="AB12" s="12"/>
      <c r="AE12" t="str">
        <f>B74</f>
        <v>Ion Beam Shepherd</v>
      </c>
      <c r="AF12">
        <f t="shared" ref="AF12" si="19">D74</f>
        <v>5</v>
      </c>
      <c r="AG12">
        <f>F74</f>
        <v>3</v>
      </c>
      <c r="AH12">
        <f>H74</f>
        <v>8</v>
      </c>
      <c r="AI12">
        <f>J74</f>
        <v>1</v>
      </c>
      <c r="AJ12">
        <f>L74</f>
        <v>4</v>
      </c>
      <c r="AK12">
        <f>N74</f>
        <v>3</v>
      </c>
      <c r="AL12" t="str">
        <f t="shared" si="3"/>
        <v>Ion Beam Shepherd</v>
      </c>
      <c r="AM12">
        <f t="shared" si="4"/>
        <v>6.6669999999999998</v>
      </c>
      <c r="AN12">
        <f t="shared" si="5"/>
        <v>8.3330000000000002</v>
      </c>
      <c r="AO12">
        <f t="shared" si="1"/>
        <v>4.1669999999999998</v>
      </c>
      <c r="AP12">
        <f t="shared" si="1"/>
        <v>10</v>
      </c>
      <c r="AQ12">
        <f t="shared" si="1"/>
        <v>7.5</v>
      </c>
      <c r="AR12">
        <f t="shared" si="1"/>
        <v>8.3330000000000002</v>
      </c>
      <c r="AS12">
        <f t="shared" si="6"/>
        <v>7.5</v>
      </c>
      <c r="AT12">
        <f t="shared" si="7"/>
        <v>7.5</v>
      </c>
    </row>
    <row r="13" spans="1:46">
      <c r="A13" s="87">
        <v>2</v>
      </c>
      <c r="B13" s="120" t="s">
        <v>16</v>
      </c>
      <c r="C13" s="142"/>
      <c r="D13" s="133">
        <v>1</v>
      </c>
      <c r="E13" s="142"/>
      <c r="F13" s="133">
        <v>12</v>
      </c>
      <c r="G13" s="138" t="s">
        <v>104</v>
      </c>
      <c r="H13" s="133">
        <v>6</v>
      </c>
      <c r="I13" s="127"/>
      <c r="J13" s="133">
        <v>6</v>
      </c>
      <c r="K13" s="131" t="s">
        <v>105</v>
      </c>
      <c r="L13" s="133">
        <v>2</v>
      </c>
      <c r="M13" s="127"/>
      <c r="N13" s="133">
        <v>6</v>
      </c>
      <c r="O13" s="121" t="s">
        <v>16</v>
      </c>
      <c r="P13" s="11">
        <v>5</v>
      </c>
      <c r="Q13" s="12" t="str">
        <f t="shared" si="11"/>
        <v>Ion Beam Shepherd</v>
      </c>
      <c r="R13" s="12"/>
      <c r="S13" s="12" t="str">
        <f t="shared" si="18"/>
        <v>Tether + Adhesive Thread + Damper</v>
      </c>
      <c r="T13" s="12"/>
      <c r="U13" s="12" t="str">
        <f t="shared" si="12"/>
        <v>Foam Method</v>
      </c>
      <c r="V13" s="12"/>
      <c r="W13" s="12" t="str">
        <f t="shared" si="13"/>
        <v>Foam Method</v>
      </c>
      <c r="X13" s="12"/>
      <c r="Y13" s="12" t="str">
        <f t="shared" si="14"/>
        <v>Lasers</v>
      </c>
      <c r="Z13" s="12"/>
      <c r="AA13" s="12" t="str">
        <f t="shared" si="15"/>
        <v>Cold Welding</v>
      </c>
      <c r="AB13" s="12"/>
      <c r="AE13" t="str">
        <f>B84</f>
        <v>Cold Welding</v>
      </c>
      <c r="AF13">
        <f t="shared" ref="AF13" si="20">D84</f>
        <v>7</v>
      </c>
      <c r="AG13">
        <f>F84</f>
        <v>10</v>
      </c>
      <c r="AH13">
        <f>H84</f>
        <v>10</v>
      </c>
      <c r="AI13">
        <f>J84</f>
        <v>13</v>
      </c>
      <c r="AJ13">
        <f>L84</f>
        <v>12</v>
      </c>
      <c r="AK13">
        <f>N84</f>
        <v>5</v>
      </c>
      <c r="AL13" t="str">
        <f t="shared" si="3"/>
        <v>Cold Welding</v>
      </c>
      <c r="AM13">
        <f t="shared" si="4"/>
        <v>5</v>
      </c>
      <c r="AN13">
        <f t="shared" si="5"/>
        <v>2.5</v>
      </c>
      <c r="AO13">
        <f t="shared" si="1"/>
        <v>2.5</v>
      </c>
      <c r="AP13">
        <f t="shared" si="1"/>
        <v>0</v>
      </c>
      <c r="AQ13">
        <f t="shared" si="1"/>
        <v>0.83299999999999996</v>
      </c>
      <c r="AR13">
        <f t="shared" si="1"/>
        <v>6.6669999999999998</v>
      </c>
      <c r="AS13">
        <f t="shared" si="6"/>
        <v>2.9169999999999998</v>
      </c>
      <c r="AT13">
        <f t="shared" si="7"/>
        <v>3.4129999999999998</v>
      </c>
    </row>
    <row r="14" spans="1:46">
      <c r="A14" s="87"/>
      <c r="B14" s="141"/>
      <c r="C14" s="143"/>
      <c r="D14" s="134"/>
      <c r="E14" s="143"/>
      <c r="F14" s="134"/>
      <c r="G14" s="132"/>
      <c r="H14" s="134"/>
      <c r="I14" s="125"/>
      <c r="J14" s="134"/>
      <c r="K14" s="132"/>
      <c r="L14" s="134"/>
      <c r="M14" s="125"/>
      <c r="N14" s="134"/>
      <c r="O14" s="121"/>
      <c r="P14" s="11">
        <v>6</v>
      </c>
      <c r="Q14" s="12" t="str">
        <f t="shared" si="11"/>
        <v>Magnetic</v>
      </c>
      <c r="R14" s="12"/>
      <c r="S14" s="12" t="str">
        <f t="shared" si="18"/>
        <v>Slingshot and Catch</v>
      </c>
      <c r="T14" s="12"/>
      <c r="U14" s="12" t="str">
        <f t="shared" si="12"/>
        <v>Inflated Method</v>
      </c>
      <c r="V14" s="12"/>
      <c r="W14" s="12" t="str">
        <f t="shared" si="13"/>
        <v>Inflated Method</v>
      </c>
      <c r="X14" s="12"/>
      <c r="Y14" s="12" t="str">
        <f t="shared" si="14"/>
        <v>Magnetic</v>
      </c>
      <c r="Z14" s="12"/>
      <c r="AA14" s="12" t="str">
        <f t="shared" si="15"/>
        <v>Inflated Method</v>
      </c>
      <c r="AB14" s="12"/>
      <c r="AE14" t="str">
        <f>B94</f>
        <v>Robotic Arms (multiple on one system)</v>
      </c>
      <c r="AF14">
        <f t="shared" ref="AF14" si="21">D94</f>
        <v>10</v>
      </c>
      <c r="AG14">
        <f>F94</f>
        <v>1</v>
      </c>
      <c r="AH14">
        <f>H94</f>
        <v>4</v>
      </c>
      <c r="AI14">
        <f>J94</f>
        <v>7</v>
      </c>
      <c r="AJ14">
        <f>L94</f>
        <v>10</v>
      </c>
      <c r="AK14">
        <f>N94</f>
        <v>13</v>
      </c>
      <c r="AL14" t="str">
        <f t="shared" si="3"/>
        <v>Robotic Arms (multiple on one system)</v>
      </c>
      <c r="AM14">
        <f t="shared" si="4"/>
        <v>2.5</v>
      </c>
      <c r="AN14">
        <f t="shared" si="5"/>
        <v>10</v>
      </c>
      <c r="AO14">
        <f t="shared" si="1"/>
        <v>7.5</v>
      </c>
      <c r="AP14">
        <f t="shared" si="1"/>
        <v>5</v>
      </c>
      <c r="AQ14">
        <f t="shared" si="1"/>
        <v>2.5</v>
      </c>
      <c r="AR14">
        <f t="shared" si="1"/>
        <v>0</v>
      </c>
      <c r="AS14">
        <f t="shared" si="6"/>
        <v>4.5830000000000002</v>
      </c>
      <c r="AT14">
        <f t="shared" si="7"/>
        <v>5</v>
      </c>
    </row>
    <row r="15" spans="1:46">
      <c r="A15" s="87"/>
      <c r="B15" s="141"/>
      <c r="C15" s="143"/>
      <c r="D15" s="134"/>
      <c r="E15" s="143"/>
      <c r="F15" s="134"/>
      <c r="G15" s="132"/>
      <c r="H15" s="134"/>
      <c r="I15" s="125"/>
      <c r="J15" s="134"/>
      <c r="K15" s="132"/>
      <c r="L15" s="134"/>
      <c r="M15" s="125"/>
      <c r="N15" s="126"/>
      <c r="O15" s="121"/>
      <c r="P15" s="11">
        <v>7</v>
      </c>
      <c r="Q15" s="12" t="str">
        <f t="shared" si="11"/>
        <v>Cold Welding</v>
      </c>
      <c r="R15" s="12"/>
      <c r="S15" s="12" t="str">
        <f t="shared" si="18"/>
        <v>Lasers</v>
      </c>
      <c r="T15" s="12"/>
      <c r="U15" s="32" t="str">
        <f t="shared" si="12"/>
        <v>Controlled Net</v>
      </c>
      <c r="V15" s="12"/>
      <c r="W15" s="12" t="str">
        <f t="shared" si="13"/>
        <v>Robotic Arms (multiple on one system)</v>
      </c>
      <c r="X15" s="12"/>
      <c r="Y15" s="12" t="str">
        <f t="shared" si="14"/>
        <v>Electrostatic charge induced capture</v>
      </c>
      <c r="Z15" s="12"/>
      <c r="AA15" s="12" t="str">
        <f t="shared" si="15"/>
        <v>Electrostatic charge induced capture</v>
      </c>
      <c r="AB15" s="12"/>
      <c r="AE15" t="str">
        <f>B104</f>
        <v>Electrostatic charge induced capture</v>
      </c>
      <c r="AF15">
        <f t="shared" ref="AF15" si="22">D104</f>
        <v>13</v>
      </c>
      <c r="AG15">
        <f>F104</f>
        <v>8</v>
      </c>
      <c r="AH15">
        <f>H104</f>
        <v>12</v>
      </c>
      <c r="AI15">
        <f>J104</f>
        <v>3</v>
      </c>
      <c r="AJ15">
        <f>L104</f>
        <v>7</v>
      </c>
      <c r="AK15">
        <f>N104</f>
        <v>7</v>
      </c>
      <c r="AL15" t="str">
        <f t="shared" si="3"/>
        <v>Electrostatic charge induced capture</v>
      </c>
      <c r="AM15">
        <f t="shared" si="4"/>
        <v>0</v>
      </c>
      <c r="AN15">
        <f t="shared" si="5"/>
        <v>4.1669999999999998</v>
      </c>
      <c r="AO15">
        <f t="shared" si="1"/>
        <v>0.83299999999999996</v>
      </c>
      <c r="AP15">
        <f t="shared" si="1"/>
        <v>8.3330000000000002</v>
      </c>
      <c r="AQ15">
        <f t="shared" si="1"/>
        <v>5</v>
      </c>
      <c r="AR15">
        <f t="shared" si="1"/>
        <v>5</v>
      </c>
      <c r="AS15">
        <f t="shared" si="6"/>
        <v>3.8889999999999998</v>
      </c>
      <c r="AT15">
        <f t="shared" si="7"/>
        <v>3.77</v>
      </c>
    </row>
    <row r="16" spans="1:46">
      <c r="A16" s="87"/>
      <c r="B16" s="141"/>
      <c r="C16" s="143"/>
      <c r="D16" s="134"/>
      <c r="E16" s="143"/>
      <c r="F16" s="134"/>
      <c r="G16" s="132"/>
      <c r="H16" s="134"/>
      <c r="I16" s="125"/>
      <c r="J16" s="134"/>
      <c r="K16" s="132"/>
      <c r="L16" s="134"/>
      <c r="M16" s="125"/>
      <c r="N16" s="126"/>
      <c r="O16" s="121"/>
      <c r="P16" s="11">
        <v>8</v>
      </c>
      <c r="Q16" s="12" t="str">
        <f t="shared" si="11"/>
        <v>"Adhesive" Method</v>
      </c>
      <c r="R16" s="12"/>
      <c r="S16" s="12" t="str">
        <f t="shared" si="18"/>
        <v>Electrostatic charge induced capture</v>
      </c>
      <c r="T16" s="12"/>
      <c r="U16" s="12" t="str">
        <f t="shared" si="12"/>
        <v>Ion Beam Shepherd</v>
      </c>
      <c r="V16" s="12"/>
      <c r="W16" s="12" t="str">
        <f t="shared" si="13"/>
        <v>"Adhesive" Method</v>
      </c>
      <c r="X16" s="12"/>
      <c r="Y16" s="12" t="str">
        <f t="shared" si="14"/>
        <v>Slingshot and Catch</v>
      </c>
      <c r="Z16" s="12"/>
      <c r="AA16" s="12" t="str">
        <f t="shared" si="15"/>
        <v>Foam Method</v>
      </c>
      <c r="AB16" s="12"/>
      <c r="AE16" t="str">
        <f>B113</f>
        <v>Solar Sails</v>
      </c>
      <c r="AF16">
        <f t="shared" ref="AF16" si="23">D113</f>
        <v>11</v>
      </c>
      <c r="AG16">
        <f>F113</f>
        <v>9</v>
      </c>
      <c r="AH16">
        <f>H113</f>
        <v>1</v>
      </c>
      <c r="AI16">
        <f>J113</f>
        <v>10</v>
      </c>
      <c r="AJ16">
        <f>L113</f>
        <v>9</v>
      </c>
      <c r="AK16">
        <f>N113</f>
        <v>12</v>
      </c>
      <c r="AL16" t="str">
        <f t="shared" si="3"/>
        <v>Solar Sails</v>
      </c>
      <c r="AM16">
        <f t="shared" si="4"/>
        <v>1.667</v>
      </c>
      <c r="AN16">
        <f t="shared" si="5"/>
        <v>3.3330000000000002</v>
      </c>
      <c r="AO16">
        <f t="shared" si="1"/>
        <v>10</v>
      </c>
      <c r="AP16">
        <f t="shared" si="1"/>
        <v>2.5</v>
      </c>
      <c r="AQ16">
        <f t="shared" si="1"/>
        <v>3.3330000000000002</v>
      </c>
      <c r="AR16">
        <f t="shared" si="1"/>
        <v>0.83299999999999996</v>
      </c>
      <c r="AS16">
        <f t="shared" si="6"/>
        <v>3.6110000000000002</v>
      </c>
      <c r="AT16">
        <f t="shared" si="7"/>
        <v>3.6509999999999998</v>
      </c>
    </row>
    <row r="17" spans="1:46">
      <c r="A17" s="87"/>
      <c r="B17" s="141"/>
      <c r="C17" s="143"/>
      <c r="D17" s="134"/>
      <c r="E17" s="143"/>
      <c r="F17" s="134"/>
      <c r="G17" s="132"/>
      <c r="H17" s="134"/>
      <c r="I17" s="125"/>
      <c r="J17" s="134"/>
      <c r="K17" s="132"/>
      <c r="L17" s="134"/>
      <c r="M17" s="125"/>
      <c r="N17" s="126"/>
      <c r="O17" s="121"/>
      <c r="P17" s="11">
        <v>9</v>
      </c>
      <c r="Q17" s="12" t="str">
        <f t="shared" si="11"/>
        <v>Slingshot and Catch</v>
      </c>
      <c r="R17" s="12"/>
      <c r="S17" s="12" t="str">
        <f t="shared" si="18"/>
        <v>Solar Sails</v>
      </c>
      <c r="T17" s="12"/>
      <c r="U17" s="12" t="str">
        <f t="shared" si="12"/>
        <v>Lasers</v>
      </c>
      <c r="V17" s="12"/>
      <c r="W17" s="12" t="str">
        <f t="shared" si="13"/>
        <v>Tether + Adhesive Thread + Damper</v>
      </c>
      <c r="X17" s="12"/>
      <c r="Y17" s="12" t="str">
        <f t="shared" si="14"/>
        <v>Solar Sails</v>
      </c>
      <c r="Z17" s="12"/>
      <c r="AA17" s="12" t="str">
        <f t="shared" si="15"/>
        <v>Slingshot and Catch</v>
      </c>
      <c r="AB17" s="12"/>
      <c r="AE17" t="str">
        <f>B123</f>
        <v>Lasers</v>
      </c>
      <c r="AF17">
        <f t="shared" ref="AF17" si="24">D123</f>
        <v>12</v>
      </c>
      <c r="AG17">
        <f>F123</f>
        <v>7</v>
      </c>
      <c r="AH17">
        <f>H123</f>
        <v>9</v>
      </c>
      <c r="AI17">
        <f>J123</f>
        <v>2</v>
      </c>
      <c r="AJ17">
        <f>L123</f>
        <v>5</v>
      </c>
      <c r="AK17">
        <f>N123</f>
        <v>4</v>
      </c>
      <c r="AL17" t="str">
        <f t="shared" si="3"/>
        <v>Lasers</v>
      </c>
      <c r="AM17">
        <f t="shared" si="4"/>
        <v>0.83299999999999996</v>
      </c>
      <c r="AN17">
        <f t="shared" si="5"/>
        <v>5</v>
      </c>
      <c r="AO17">
        <f t="shared" si="1"/>
        <v>3.3330000000000002</v>
      </c>
      <c r="AP17">
        <f t="shared" si="1"/>
        <v>9.1669999999999998</v>
      </c>
      <c r="AQ17">
        <f t="shared" si="1"/>
        <v>6.6669999999999998</v>
      </c>
      <c r="AR17">
        <f t="shared" si="1"/>
        <v>7.5</v>
      </c>
      <c r="AS17">
        <f t="shared" si="6"/>
        <v>5.4169999999999998</v>
      </c>
      <c r="AT17">
        <f t="shared" si="7"/>
        <v>5.3570000000000002</v>
      </c>
    </row>
    <row r="18" spans="1:46">
      <c r="A18" s="87"/>
      <c r="B18" s="141"/>
      <c r="C18" s="143"/>
      <c r="D18" s="134"/>
      <c r="E18" s="143"/>
      <c r="F18" s="134"/>
      <c r="G18" s="132"/>
      <c r="H18" s="134"/>
      <c r="I18" s="125"/>
      <c r="J18" s="134"/>
      <c r="K18" s="132"/>
      <c r="L18" s="134"/>
      <c r="M18" s="125"/>
      <c r="N18" s="126"/>
      <c r="O18" s="121"/>
      <c r="P18" s="11">
        <v>10</v>
      </c>
      <c r="Q18" s="12" t="str">
        <f t="shared" si="11"/>
        <v>Robotic Arms (multiple on one system)</v>
      </c>
      <c r="R18" s="12"/>
      <c r="S18" s="12" t="str">
        <f t="shared" si="18"/>
        <v>Cold Welding</v>
      </c>
      <c r="T18" s="12"/>
      <c r="U18" s="12" t="str">
        <f t="shared" si="12"/>
        <v>Cold Welding</v>
      </c>
      <c r="V18" s="12"/>
      <c r="W18" s="12" t="str">
        <f t="shared" si="13"/>
        <v>Solar Sails</v>
      </c>
      <c r="X18" s="12"/>
      <c r="Y18" s="12" t="str">
        <f t="shared" si="14"/>
        <v>Robotic Arms (multiple on one system)</v>
      </c>
      <c r="Z18" s="12"/>
      <c r="AA18" s="12" t="str">
        <f t="shared" si="15"/>
        <v>Tether + Adhesive Thread + Damper</v>
      </c>
      <c r="AB18" s="12"/>
    </row>
    <row r="19" spans="1:46">
      <c r="A19" s="87"/>
      <c r="B19" s="141"/>
      <c r="C19" s="143"/>
      <c r="D19" s="134"/>
      <c r="E19" s="143"/>
      <c r="F19" s="134"/>
      <c r="G19" s="132"/>
      <c r="H19" s="134"/>
      <c r="I19" s="125"/>
      <c r="J19" s="134"/>
      <c r="K19" s="132"/>
      <c r="L19" s="134"/>
      <c r="M19" s="125"/>
      <c r="N19" s="126"/>
      <c r="O19" s="121"/>
      <c r="P19" s="11">
        <v>11</v>
      </c>
      <c r="Q19" s="12" t="str">
        <f t="shared" si="11"/>
        <v>Solar Sails</v>
      </c>
      <c r="R19" s="12"/>
      <c r="S19" s="12" t="str">
        <f t="shared" si="18"/>
        <v>Magnetic</v>
      </c>
      <c r="T19" s="12"/>
      <c r="U19" s="12" t="str">
        <f t="shared" si="12"/>
        <v>Slingshot and Catch</v>
      </c>
      <c r="V19" s="12"/>
      <c r="W19" s="12" t="str">
        <f t="shared" si="13"/>
        <v>Controlled Net</v>
      </c>
      <c r="X19" s="12"/>
      <c r="Y19" s="12" t="str">
        <f t="shared" si="14"/>
        <v>Tether + Adhesive Thread + Damper</v>
      </c>
      <c r="Z19" s="12"/>
      <c r="AA19" s="12" t="str">
        <f t="shared" si="15"/>
        <v>"Adhesive" Method</v>
      </c>
      <c r="AB19" s="12"/>
    </row>
    <row r="20" spans="1:46">
      <c r="A20" s="87"/>
      <c r="B20" s="141"/>
      <c r="C20" s="143"/>
      <c r="D20" s="134"/>
      <c r="E20" s="143"/>
      <c r="F20" s="134"/>
      <c r="G20" s="132"/>
      <c r="H20" s="134"/>
      <c r="I20" s="125"/>
      <c r="J20" s="134"/>
      <c r="K20" s="132"/>
      <c r="L20" s="134"/>
      <c r="M20" s="125"/>
      <c r="N20" s="126"/>
      <c r="O20" s="121"/>
      <c r="P20" s="11">
        <v>12</v>
      </c>
      <c r="Q20" s="12" t="str">
        <f t="shared" si="11"/>
        <v>Lasers</v>
      </c>
      <c r="R20" s="12"/>
      <c r="S20" s="12" t="str">
        <f t="shared" si="18"/>
        <v>Inflated Method</v>
      </c>
      <c r="T20" s="12"/>
      <c r="U20" s="12" t="str">
        <f t="shared" si="12"/>
        <v>Electrostatic charge induced capture</v>
      </c>
      <c r="V20" s="12"/>
      <c r="W20" s="12" t="str">
        <f t="shared" si="13"/>
        <v>Slingshot and Catch</v>
      </c>
      <c r="X20" s="12"/>
      <c r="Y20" s="12" t="str">
        <f t="shared" si="14"/>
        <v>Cold Welding</v>
      </c>
      <c r="Z20" s="12"/>
      <c r="AA20" s="12" t="str">
        <f t="shared" si="15"/>
        <v>Solar Sails</v>
      </c>
      <c r="AB20" s="12"/>
    </row>
    <row r="21" spans="1:46">
      <c r="A21" s="87"/>
      <c r="B21" s="141"/>
      <c r="C21" s="143"/>
      <c r="D21" s="134"/>
      <c r="E21" s="143"/>
      <c r="F21" s="134"/>
      <c r="G21" s="132"/>
      <c r="H21" s="134"/>
      <c r="I21" s="125"/>
      <c r="J21" s="134"/>
      <c r="K21" s="132"/>
      <c r="L21" s="134"/>
      <c r="M21" s="125"/>
      <c r="N21" s="126"/>
      <c r="O21" s="121"/>
      <c r="P21" s="16">
        <v>13</v>
      </c>
      <c r="Q21" s="13" t="str">
        <f t="shared" si="11"/>
        <v>Electrostatic charge induced capture</v>
      </c>
      <c r="R21" s="13"/>
      <c r="S21" s="13" t="str">
        <f t="shared" si="18"/>
        <v>Foam Method</v>
      </c>
      <c r="T21" s="13"/>
      <c r="U21" s="13" t="str">
        <f t="shared" si="12"/>
        <v>Magnetic</v>
      </c>
      <c r="V21" s="13"/>
      <c r="W21" s="13" t="str">
        <f t="shared" si="13"/>
        <v>Cold Welding</v>
      </c>
      <c r="X21" s="13"/>
      <c r="Y21" s="13" t="str">
        <f t="shared" si="14"/>
        <v>"Adhesive" Method</v>
      </c>
      <c r="Z21" s="13"/>
      <c r="AA21" s="13" t="str">
        <f t="shared" si="15"/>
        <v>Robotic Arms (multiple on one system)</v>
      </c>
      <c r="AB21" s="13"/>
    </row>
    <row r="22" spans="1:46" ht="15" customHeight="1">
      <c r="A22" s="87"/>
      <c r="B22" s="123"/>
      <c r="C22" s="144"/>
      <c r="D22" s="140"/>
      <c r="E22" s="144"/>
      <c r="F22" s="140"/>
      <c r="G22" s="139"/>
      <c r="H22" s="140"/>
      <c r="I22" s="136"/>
      <c r="J22" s="140"/>
      <c r="K22" s="139"/>
      <c r="L22" s="140"/>
      <c r="M22" s="136"/>
      <c r="N22" s="137"/>
      <c r="O22" s="122"/>
      <c r="P22" s="119"/>
      <c r="Q22" s="85" t="s">
        <v>106</v>
      </c>
      <c r="R22" s="85"/>
      <c r="S22" s="85" t="s">
        <v>107</v>
      </c>
      <c r="T22" s="85"/>
      <c r="U22" s="85" t="s">
        <v>108</v>
      </c>
      <c r="V22" s="85"/>
      <c r="W22" s="85" t="s">
        <v>109</v>
      </c>
      <c r="X22" s="85"/>
      <c r="Y22" s="85" t="s">
        <v>110</v>
      </c>
      <c r="Z22" s="85"/>
      <c r="AA22" s="85" t="s">
        <v>111</v>
      </c>
      <c r="AB22" s="85"/>
    </row>
    <row r="23" spans="1:46">
      <c r="A23" s="87">
        <v>3</v>
      </c>
      <c r="B23" s="120" t="s">
        <v>23</v>
      </c>
      <c r="C23" s="143"/>
      <c r="D23" s="134">
        <v>2</v>
      </c>
      <c r="E23" s="143"/>
      <c r="F23" s="134">
        <v>13</v>
      </c>
      <c r="G23" s="132" t="s">
        <v>112</v>
      </c>
      <c r="H23" s="134">
        <v>5</v>
      </c>
      <c r="I23" s="125"/>
      <c r="J23" s="134">
        <v>5</v>
      </c>
      <c r="K23" s="132" t="s">
        <v>113</v>
      </c>
      <c r="L23" s="134">
        <v>3</v>
      </c>
      <c r="M23" s="125"/>
      <c r="N23" s="126">
        <v>8</v>
      </c>
      <c r="O23" s="121" t="s">
        <v>23</v>
      </c>
      <c r="P23" s="119"/>
      <c r="Q23" s="85"/>
      <c r="R23" s="85"/>
      <c r="S23" s="85"/>
      <c r="T23" s="85"/>
      <c r="U23" s="85"/>
      <c r="V23" s="85"/>
      <c r="W23" s="85"/>
      <c r="X23" s="85"/>
      <c r="Y23" s="85"/>
      <c r="Z23" s="85"/>
      <c r="AA23" s="85"/>
      <c r="AB23" s="85"/>
    </row>
    <row r="24" spans="1:46">
      <c r="A24" s="87"/>
      <c r="B24" s="141"/>
      <c r="C24" s="143"/>
      <c r="D24" s="134"/>
      <c r="E24" s="143"/>
      <c r="F24" s="134"/>
      <c r="G24" s="132"/>
      <c r="H24" s="134"/>
      <c r="I24" s="125"/>
      <c r="J24" s="134"/>
      <c r="K24" s="132"/>
      <c r="L24" s="134"/>
      <c r="M24" s="125"/>
      <c r="N24" s="126"/>
      <c r="O24" s="121"/>
      <c r="P24" s="119"/>
      <c r="Q24" s="85"/>
      <c r="R24" s="85"/>
      <c r="S24" s="85"/>
      <c r="T24" s="85"/>
      <c r="U24" s="85"/>
      <c r="V24" s="85"/>
      <c r="W24" s="85"/>
      <c r="X24" s="85"/>
      <c r="Y24" s="85"/>
      <c r="Z24" s="85"/>
      <c r="AA24" s="85"/>
      <c r="AB24" s="85"/>
    </row>
    <row r="25" spans="1:46">
      <c r="A25" s="87"/>
      <c r="B25" s="141"/>
      <c r="C25" s="143"/>
      <c r="D25" s="134"/>
      <c r="E25" s="143"/>
      <c r="F25" s="134"/>
      <c r="G25" s="132"/>
      <c r="H25" s="134"/>
      <c r="I25" s="125"/>
      <c r="J25" s="134"/>
      <c r="K25" s="132"/>
      <c r="L25" s="134"/>
      <c r="M25" s="125"/>
      <c r="N25" s="126"/>
      <c r="O25" s="121"/>
      <c r="P25" s="119"/>
      <c r="Q25" s="85"/>
      <c r="R25" s="85"/>
      <c r="S25" s="85"/>
      <c r="T25" s="85"/>
      <c r="U25" s="85"/>
      <c r="V25" s="85"/>
      <c r="W25" s="85"/>
      <c r="X25" s="85"/>
      <c r="Y25" s="85"/>
      <c r="Z25" s="85"/>
      <c r="AA25" s="85"/>
      <c r="AB25" s="85"/>
    </row>
    <row r="26" spans="1:46">
      <c r="A26" s="87"/>
      <c r="B26" s="141"/>
      <c r="C26" s="143"/>
      <c r="D26" s="134"/>
      <c r="E26" s="143"/>
      <c r="F26" s="134"/>
      <c r="G26" s="132"/>
      <c r="H26" s="134"/>
      <c r="I26" s="125"/>
      <c r="J26" s="134"/>
      <c r="K26" s="132"/>
      <c r="L26" s="134"/>
      <c r="M26" s="125"/>
      <c r="N26" s="126"/>
      <c r="O26" s="121"/>
      <c r="P26" s="119"/>
      <c r="Q26" s="85"/>
      <c r="R26" s="85"/>
      <c r="S26" s="85"/>
      <c r="T26" s="85"/>
      <c r="U26" s="85"/>
      <c r="V26" s="85"/>
      <c r="W26" s="85"/>
      <c r="X26" s="85"/>
      <c r="Y26" s="85"/>
      <c r="Z26" s="85"/>
      <c r="AA26" s="85"/>
      <c r="AB26" s="85"/>
    </row>
    <row r="27" spans="1:46">
      <c r="A27" s="87"/>
      <c r="B27" s="141"/>
      <c r="C27" s="143"/>
      <c r="D27" s="134"/>
      <c r="E27" s="143"/>
      <c r="F27" s="134"/>
      <c r="G27" s="132"/>
      <c r="H27" s="134"/>
      <c r="I27" s="125"/>
      <c r="J27" s="134"/>
      <c r="K27" s="132"/>
      <c r="L27" s="134"/>
      <c r="M27" s="125"/>
      <c r="N27" s="126"/>
      <c r="O27" s="121"/>
      <c r="P27" s="119"/>
      <c r="Q27" s="85"/>
      <c r="R27" s="85"/>
      <c r="S27" s="85"/>
      <c r="T27" s="85"/>
      <c r="U27" s="85"/>
      <c r="V27" s="85"/>
      <c r="W27" s="85"/>
      <c r="X27" s="85"/>
      <c r="Y27" s="85"/>
      <c r="Z27" s="85"/>
      <c r="AA27" s="85"/>
      <c r="AB27" s="85"/>
    </row>
    <row r="28" spans="1:46">
      <c r="A28" s="87"/>
      <c r="B28" s="141"/>
      <c r="C28" s="143"/>
      <c r="D28" s="134"/>
      <c r="E28" s="143"/>
      <c r="F28" s="134"/>
      <c r="G28" s="132"/>
      <c r="H28" s="134"/>
      <c r="I28" s="125"/>
      <c r="J28" s="134"/>
      <c r="K28" s="132"/>
      <c r="L28" s="134"/>
      <c r="M28" s="125"/>
      <c r="N28" s="126"/>
      <c r="O28" s="121"/>
      <c r="P28" s="119"/>
      <c r="Q28" s="85"/>
      <c r="R28" s="85"/>
      <c r="S28" s="85"/>
      <c r="T28" s="85"/>
      <c r="U28" s="85"/>
      <c r="V28" s="85"/>
      <c r="W28" s="85"/>
      <c r="X28" s="85"/>
      <c r="Y28" s="85"/>
      <c r="Z28" s="85"/>
      <c r="AA28" s="85"/>
      <c r="AB28" s="85"/>
    </row>
    <row r="29" spans="1:46">
      <c r="A29" s="87"/>
      <c r="B29" s="141"/>
      <c r="C29" s="143"/>
      <c r="D29" s="134"/>
      <c r="E29" s="143"/>
      <c r="F29" s="134"/>
      <c r="G29" s="132"/>
      <c r="H29" s="134"/>
      <c r="I29" s="125"/>
      <c r="J29" s="134"/>
      <c r="K29" s="132"/>
      <c r="L29" s="134"/>
      <c r="M29" s="125"/>
      <c r="N29" s="126"/>
      <c r="O29" s="121"/>
      <c r="P29" s="119"/>
      <c r="Q29" s="85"/>
      <c r="R29" s="85"/>
      <c r="S29" s="85"/>
      <c r="T29" s="85"/>
      <c r="U29" s="85"/>
      <c r="V29" s="85"/>
      <c r="W29" s="85"/>
      <c r="X29" s="85"/>
      <c r="Y29" s="85"/>
      <c r="Z29" s="85"/>
      <c r="AA29" s="85"/>
      <c r="AB29" s="85"/>
    </row>
    <row r="30" spans="1:46">
      <c r="A30" s="87"/>
      <c r="B30" s="141"/>
      <c r="C30" s="143"/>
      <c r="D30" s="134"/>
      <c r="E30" s="143"/>
      <c r="F30" s="134"/>
      <c r="G30" s="132"/>
      <c r="H30" s="134"/>
      <c r="I30" s="125"/>
      <c r="J30" s="134"/>
      <c r="K30" s="132"/>
      <c r="L30" s="134"/>
      <c r="M30" s="125"/>
      <c r="N30" s="126"/>
      <c r="O30" s="121"/>
      <c r="P30" s="119"/>
      <c r="Q30" s="85"/>
      <c r="R30" s="85"/>
      <c r="S30" s="85"/>
      <c r="T30" s="85"/>
      <c r="U30" s="85"/>
      <c r="V30" s="85"/>
      <c r="W30" s="85"/>
      <c r="X30" s="85"/>
      <c r="Y30" s="85"/>
      <c r="Z30" s="85"/>
      <c r="AA30" s="85"/>
      <c r="AB30" s="85"/>
    </row>
    <row r="31" spans="1:46">
      <c r="A31" s="87"/>
      <c r="B31" s="141"/>
      <c r="C31" s="143"/>
      <c r="D31" s="134"/>
      <c r="E31" s="143"/>
      <c r="F31" s="134"/>
      <c r="G31" s="132"/>
      <c r="H31" s="134"/>
      <c r="I31" s="125"/>
      <c r="J31" s="134"/>
      <c r="K31" s="132"/>
      <c r="L31" s="134"/>
      <c r="M31" s="125"/>
      <c r="N31" s="126"/>
      <c r="O31" s="121"/>
      <c r="P31" s="119"/>
      <c r="Q31" s="85"/>
      <c r="R31" s="85"/>
      <c r="S31" s="85"/>
      <c r="T31" s="85"/>
      <c r="U31" s="85"/>
      <c r="V31" s="85"/>
      <c r="W31" s="85"/>
      <c r="X31" s="85"/>
      <c r="Y31" s="85"/>
      <c r="Z31" s="85"/>
      <c r="AA31" s="85"/>
      <c r="AB31" s="85"/>
    </row>
    <row r="32" spans="1:46">
      <c r="A32" s="87"/>
      <c r="B32" s="123"/>
      <c r="C32" s="143"/>
      <c r="D32" s="134"/>
      <c r="E32" s="143"/>
      <c r="F32" s="134"/>
      <c r="G32" s="132"/>
      <c r="H32" s="134"/>
      <c r="I32" s="125"/>
      <c r="J32" s="134"/>
      <c r="K32" s="132"/>
      <c r="L32" s="134"/>
      <c r="M32" s="125"/>
      <c r="N32" s="126"/>
      <c r="O32" s="121"/>
      <c r="P32" s="119"/>
      <c r="Q32" s="85"/>
      <c r="R32" s="85"/>
      <c r="S32" s="85"/>
      <c r="T32" s="85"/>
      <c r="U32" s="85"/>
      <c r="V32" s="85"/>
      <c r="W32" s="85"/>
      <c r="X32" s="85"/>
      <c r="Y32" s="85"/>
      <c r="Z32" s="85"/>
      <c r="AA32" s="85"/>
      <c r="AB32" s="85"/>
    </row>
    <row r="33" spans="1:28">
      <c r="A33" s="87">
        <v>4</v>
      </c>
      <c r="B33" s="120" t="s">
        <v>30</v>
      </c>
      <c r="C33" s="138"/>
      <c r="D33" s="133">
        <v>8</v>
      </c>
      <c r="E33" s="138" t="s">
        <v>114</v>
      </c>
      <c r="F33" s="133">
        <v>2</v>
      </c>
      <c r="G33" s="138" t="s">
        <v>115</v>
      </c>
      <c r="H33" s="133">
        <v>3</v>
      </c>
      <c r="I33" s="127"/>
      <c r="J33" s="133">
        <v>8</v>
      </c>
      <c r="K33" s="138" t="s">
        <v>116</v>
      </c>
      <c r="L33" s="133">
        <v>13</v>
      </c>
      <c r="M33" s="127"/>
      <c r="N33" s="128">
        <v>11</v>
      </c>
      <c r="O33" s="124" t="s">
        <v>30</v>
      </c>
      <c r="P33" s="119"/>
      <c r="Q33" s="85"/>
      <c r="R33" s="85"/>
      <c r="S33" s="85"/>
      <c r="T33" s="85"/>
      <c r="U33" s="85"/>
      <c r="V33" s="85"/>
      <c r="W33" s="85"/>
      <c r="X33" s="85"/>
      <c r="Y33" s="85"/>
      <c r="Z33" s="85"/>
      <c r="AA33" s="85"/>
      <c r="AB33" s="85"/>
    </row>
    <row r="34" spans="1:28">
      <c r="A34" s="87"/>
      <c r="B34" s="141"/>
      <c r="C34" s="132"/>
      <c r="D34" s="134"/>
      <c r="E34" s="132"/>
      <c r="F34" s="134"/>
      <c r="G34" s="132"/>
      <c r="H34" s="134"/>
      <c r="I34" s="125"/>
      <c r="J34" s="134"/>
      <c r="K34" s="132"/>
      <c r="L34" s="134"/>
      <c r="M34" s="125"/>
      <c r="N34" s="126"/>
      <c r="O34" s="121"/>
      <c r="P34" s="119"/>
      <c r="Q34" s="85"/>
      <c r="R34" s="85"/>
      <c r="S34" s="85"/>
      <c r="T34" s="85"/>
      <c r="U34" s="85"/>
      <c r="V34" s="85"/>
      <c r="W34" s="85"/>
      <c r="X34" s="85"/>
      <c r="Y34" s="85"/>
      <c r="Z34" s="85"/>
      <c r="AA34" s="85"/>
      <c r="AB34" s="85"/>
    </row>
    <row r="35" spans="1:28">
      <c r="A35" s="87"/>
      <c r="B35" s="141"/>
      <c r="C35" s="132"/>
      <c r="D35" s="134"/>
      <c r="E35" s="132"/>
      <c r="F35" s="134"/>
      <c r="G35" s="132"/>
      <c r="H35" s="134"/>
      <c r="I35" s="125"/>
      <c r="J35" s="134"/>
      <c r="K35" s="132"/>
      <c r="L35" s="134"/>
      <c r="M35" s="125"/>
      <c r="N35" s="126"/>
      <c r="O35" s="121"/>
      <c r="P35" s="119"/>
      <c r="Q35" s="85"/>
      <c r="R35" s="85"/>
      <c r="S35" s="85"/>
      <c r="T35" s="85"/>
      <c r="U35" s="85"/>
      <c r="V35" s="85"/>
      <c r="W35" s="85"/>
      <c r="X35" s="85"/>
      <c r="Y35" s="85"/>
      <c r="Z35" s="85"/>
      <c r="AA35" s="85"/>
      <c r="AB35" s="85"/>
    </row>
    <row r="36" spans="1:28">
      <c r="A36" s="87"/>
      <c r="B36" s="141"/>
      <c r="C36" s="132"/>
      <c r="D36" s="134"/>
      <c r="E36" s="132"/>
      <c r="F36" s="134"/>
      <c r="G36" s="132"/>
      <c r="H36" s="134"/>
      <c r="I36" s="125"/>
      <c r="J36" s="134"/>
      <c r="K36" s="132"/>
      <c r="L36" s="134"/>
      <c r="M36" s="125"/>
      <c r="N36" s="126"/>
      <c r="O36" s="121"/>
      <c r="P36" s="119"/>
      <c r="Q36" s="85"/>
      <c r="R36" s="85"/>
      <c r="S36" s="85"/>
      <c r="T36" s="85"/>
      <c r="U36" s="85"/>
      <c r="V36" s="85"/>
      <c r="W36" s="85"/>
      <c r="X36" s="85"/>
      <c r="Y36" s="85"/>
      <c r="Z36" s="85"/>
      <c r="AA36" s="85"/>
      <c r="AB36" s="85"/>
    </row>
    <row r="37" spans="1:28">
      <c r="A37" s="87"/>
      <c r="B37" s="141"/>
      <c r="C37" s="132"/>
      <c r="D37" s="134"/>
      <c r="E37" s="132"/>
      <c r="F37" s="134"/>
      <c r="G37" s="132"/>
      <c r="H37" s="134"/>
      <c r="I37" s="125"/>
      <c r="J37" s="134"/>
      <c r="K37" s="132"/>
      <c r="L37" s="134"/>
      <c r="M37" s="125"/>
      <c r="N37" s="126"/>
      <c r="O37" s="121"/>
      <c r="P37" s="119"/>
      <c r="Q37" s="85"/>
      <c r="R37" s="85"/>
      <c r="S37" s="85"/>
      <c r="T37" s="85"/>
      <c r="U37" s="85"/>
      <c r="V37" s="85"/>
      <c r="W37" s="85"/>
      <c r="X37" s="85"/>
      <c r="Y37" s="85"/>
      <c r="Z37" s="85"/>
      <c r="AA37" s="85"/>
      <c r="AB37" s="85"/>
    </row>
    <row r="38" spans="1:28">
      <c r="A38" s="87"/>
      <c r="B38" s="141"/>
      <c r="C38" s="132"/>
      <c r="D38" s="134"/>
      <c r="E38" s="132"/>
      <c r="F38" s="134"/>
      <c r="G38" s="132"/>
      <c r="H38" s="134"/>
      <c r="I38" s="125"/>
      <c r="J38" s="134"/>
      <c r="K38" s="132"/>
      <c r="L38" s="134"/>
      <c r="M38" s="125"/>
      <c r="N38" s="126"/>
      <c r="O38" s="121"/>
      <c r="P38" s="119"/>
      <c r="Q38" s="85"/>
      <c r="R38" s="85"/>
      <c r="S38" s="85"/>
      <c r="T38" s="85"/>
      <c r="U38" s="85"/>
      <c r="V38" s="85"/>
      <c r="W38" s="85"/>
      <c r="X38" s="85"/>
      <c r="Y38" s="85"/>
      <c r="Z38" s="85"/>
      <c r="AA38" s="85"/>
      <c r="AB38" s="85"/>
    </row>
    <row r="39" spans="1:28">
      <c r="A39" s="87"/>
      <c r="B39" s="141"/>
      <c r="C39" s="132"/>
      <c r="D39" s="134"/>
      <c r="E39" s="132"/>
      <c r="F39" s="134"/>
      <c r="G39" s="132"/>
      <c r="H39" s="134"/>
      <c r="I39" s="125"/>
      <c r="J39" s="134"/>
      <c r="K39" s="132"/>
      <c r="L39" s="134"/>
      <c r="M39" s="125"/>
      <c r="N39" s="126"/>
      <c r="O39" s="121"/>
      <c r="P39" s="119"/>
      <c r="Q39" s="85"/>
      <c r="R39" s="85"/>
      <c r="S39" s="85"/>
      <c r="T39" s="85"/>
      <c r="U39" s="85"/>
      <c r="V39" s="85"/>
      <c r="W39" s="85"/>
      <c r="X39" s="85"/>
      <c r="Y39" s="85"/>
      <c r="Z39" s="85"/>
      <c r="AA39" s="85"/>
      <c r="AB39" s="85"/>
    </row>
    <row r="40" spans="1:28">
      <c r="A40" s="87"/>
      <c r="B40" s="141"/>
      <c r="C40" s="132"/>
      <c r="D40" s="134"/>
      <c r="E40" s="132"/>
      <c r="F40" s="134"/>
      <c r="G40" s="132"/>
      <c r="H40" s="134"/>
      <c r="I40" s="125"/>
      <c r="J40" s="134"/>
      <c r="K40" s="132"/>
      <c r="L40" s="134"/>
      <c r="M40" s="125"/>
      <c r="N40" s="126"/>
      <c r="O40" s="121"/>
      <c r="P40" s="119"/>
      <c r="Q40" s="85"/>
      <c r="R40" s="85"/>
      <c r="S40" s="85"/>
      <c r="T40" s="85"/>
      <c r="U40" s="85"/>
      <c r="V40" s="85"/>
      <c r="W40" s="85"/>
      <c r="X40" s="85"/>
      <c r="Y40" s="85"/>
      <c r="Z40" s="85"/>
      <c r="AA40" s="85"/>
      <c r="AB40" s="85"/>
    </row>
    <row r="41" spans="1:28">
      <c r="A41" s="87"/>
      <c r="B41" s="141"/>
      <c r="C41" s="132"/>
      <c r="D41" s="134"/>
      <c r="E41" s="132"/>
      <c r="F41" s="134"/>
      <c r="G41" s="132"/>
      <c r="H41" s="134"/>
      <c r="I41" s="125"/>
      <c r="J41" s="134"/>
      <c r="K41" s="132"/>
      <c r="L41" s="134"/>
      <c r="M41" s="125"/>
      <c r="N41" s="126"/>
      <c r="O41" s="121"/>
      <c r="P41" s="119"/>
      <c r="Q41" s="85"/>
      <c r="R41" s="85"/>
      <c r="S41" s="85"/>
      <c r="T41" s="85"/>
      <c r="U41" s="85"/>
      <c r="V41" s="85"/>
      <c r="W41" s="85"/>
      <c r="X41" s="85"/>
      <c r="Y41" s="85"/>
      <c r="Z41" s="85"/>
      <c r="AA41" s="85"/>
      <c r="AB41" s="85"/>
    </row>
    <row r="42" spans="1:28">
      <c r="A42" s="87"/>
      <c r="B42" s="123"/>
      <c r="C42" s="132"/>
      <c r="D42" s="134"/>
      <c r="E42" s="132"/>
      <c r="F42" s="134"/>
      <c r="G42" s="132"/>
      <c r="H42" s="134"/>
      <c r="I42" s="125"/>
      <c r="J42" s="134"/>
      <c r="K42" s="132"/>
      <c r="L42" s="134"/>
      <c r="M42" s="125"/>
      <c r="N42" s="126"/>
      <c r="O42" s="121"/>
      <c r="P42" s="119"/>
      <c r="Q42" s="85"/>
      <c r="R42" s="85"/>
      <c r="S42" s="85"/>
      <c r="T42" s="85"/>
      <c r="U42" s="85"/>
      <c r="V42" s="85"/>
      <c r="W42" s="85"/>
      <c r="X42" s="85"/>
      <c r="Y42" s="85"/>
      <c r="Z42" s="85"/>
      <c r="AA42" s="85"/>
      <c r="AB42" s="85"/>
    </row>
    <row r="43" spans="1:28">
      <c r="A43" s="87">
        <v>5</v>
      </c>
      <c r="B43" s="120" t="s">
        <v>36</v>
      </c>
      <c r="C43" s="138"/>
      <c r="D43" s="133">
        <v>3</v>
      </c>
      <c r="E43" s="138" t="s">
        <v>117</v>
      </c>
      <c r="F43" s="133">
        <v>5</v>
      </c>
      <c r="G43" s="138" t="s">
        <v>118</v>
      </c>
      <c r="H43" s="133">
        <v>2</v>
      </c>
      <c r="I43" s="127"/>
      <c r="J43" s="133">
        <v>9</v>
      </c>
      <c r="K43" s="138" t="s">
        <v>119</v>
      </c>
      <c r="L43" s="133">
        <v>11</v>
      </c>
      <c r="M43" s="127"/>
      <c r="N43" s="128">
        <v>10</v>
      </c>
      <c r="O43" s="88" t="s">
        <v>36</v>
      </c>
    </row>
    <row r="44" spans="1:28">
      <c r="A44" s="87"/>
      <c r="B44" s="141"/>
      <c r="C44" s="132"/>
      <c r="D44" s="134"/>
      <c r="E44" s="132"/>
      <c r="F44" s="134"/>
      <c r="G44" s="132"/>
      <c r="H44" s="134"/>
      <c r="I44" s="125"/>
      <c r="J44" s="134"/>
      <c r="K44" s="132"/>
      <c r="L44" s="134"/>
      <c r="M44" s="125"/>
      <c r="N44" s="126"/>
      <c r="O44" s="88"/>
    </row>
    <row r="45" spans="1:28">
      <c r="A45" s="87"/>
      <c r="B45" s="141"/>
      <c r="C45" s="132"/>
      <c r="D45" s="134"/>
      <c r="E45" s="132"/>
      <c r="F45" s="134"/>
      <c r="G45" s="132"/>
      <c r="H45" s="134"/>
      <c r="I45" s="125"/>
      <c r="J45" s="134"/>
      <c r="K45" s="132"/>
      <c r="L45" s="134"/>
      <c r="M45" s="125"/>
      <c r="N45" s="126"/>
      <c r="O45" s="88"/>
    </row>
    <row r="46" spans="1:28">
      <c r="A46" s="87"/>
      <c r="B46" s="141"/>
      <c r="C46" s="132"/>
      <c r="D46" s="134"/>
      <c r="E46" s="132"/>
      <c r="F46" s="134"/>
      <c r="G46" s="132"/>
      <c r="H46" s="134"/>
      <c r="I46" s="125"/>
      <c r="J46" s="134"/>
      <c r="K46" s="132"/>
      <c r="L46" s="134"/>
      <c r="M46" s="125"/>
      <c r="N46" s="126"/>
      <c r="O46" s="88"/>
    </row>
    <row r="47" spans="1:28">
      <c r="A47" s="87"/>
      <c r="B47" s="141"/>
      <c r="C47" s="132"/>
      <c r="D47" s="134"/>
      <c r="E47" s="132"/>
      <c r="F47" s="134"/>
      <c r="G47" s="132"/>
      <c r="H47" s="134"/>
      <c r="I47" s="125"/>
      <c r="J47" s="134"/>
      <c r="K47" s="132"/>
      <c r="L47" s="134"/>
      <c r="M47" s="125"/>
      <c r="N47" s="126"/>
      <c r="O47" s="88"/>
    </row>
    <row r="48" spans="1:28">
      <c r="A48" s="87"/>
      <c r="B48" s="141"/>
      <c r="C48" s="132"/>
      <c r="D48" s="134"/>
      <c r="E48" s="132"/>
      <c r="F48" s="134"/>
      <c r="G48" s="132"/>
      <c r="H48" s="134"/>
      <c r="I48" s="125"/>
      <c r="J48" s="134"/>
      <c r="K48" s="132"/>
      <c r="L48" s="134"/>
      <c r="M48" s="125"/>
      <c r="N48" s="126"/>
      <c r="O48" s="88"/>
      <c r="V48" t="s">
        <v>120</v>
      </c>
    </row>
    <row r="49" spans="1:28">
      <c r="A49" s="87"/>
      <c r="B49" s="141"/>
      <c r="C49" s="132"/>
      <c r="D49" s="134"/>
      <c r="E49" s="132"/>
      <c r="F49" s="134"/>
      <c r="G49" s="132"/>
      <c r="H49" s="134"/>
      <c r="I49" s="125"/>
      <c r="J49" s="134"/>
      <c r="K49" s="132"/>
      <c r="L49" s="134"/>
      <c r="M49" s="125"/>
      <c r="N49" s="126"/>
      <c r="O49" s="88"/>
      <c r="V49" t="s">
        <v>121</v>
      </c>
    </row>
    <row r="50" spans="1:28">
      <c r="A50" s="87"/>
      <c r="B50" s="141"/>
      <c r="C50" s="132"/>
      <c r="D50" s="134"/>
      <c r="E50" s="132"/>
      <c r="F50" s="134"/>
      <c r="G50" s="132"/>
      <c r="H50" s="134"/>
      <c r="I50" s="125"/>
      <c r="J50" s="134"/>
      <c r="K50" s="132"/>
      <c r="L50" s="134"/>
      <c r="M50" s="125"/>
      <c r="N50" s="126"/>
      <c r="O50" s="88"/>
      <c r="V50" t="s">
        <v>122</v>
      </c>
    </row>
    <row r="51" spans="1:28">
      <c r="A51" s="87"/>
      <c r="B51" s="141"/>
      <c r="C51" s="132"/>
      <c r="D51" s="134"/>
      <c r="E51" s="132"/>
      <c r="F51" s="134"/>
      <c r="G51" s="132"/>
      <c r="H51" s="134"/>
      <c r="I51" s="125"/>
      <c r="J51" s="134"/>
      <c r="K51" s="132"/>
      <c r="L51" s="134"/>
      <c r="M51" s="125"/>
      <c r="N51" s="126"/>
      <c r="O51" s="88"/>
      <c r="V51" t="s">
        <v>123</v>
      </c>
    </row>
    <row r="52" spans="1:28">
      <c r="A52" s="87"/>
      <c r="B52" s="123"/>
      <c r="C52" s="132"/>
      <c r="D52" s="134"/>
      <c r="E52" s="132"/>
      <c r="F52" s="134"/>
      <c r="G52" s="132"/>
      <c r="H52" s="134"/>
      <c r="I52" s="125"/>
      <c r="J52" s="134"/>
      <c r="K52" s="132"/>
      <c r="L52" s="134"/>
      <c r="M52" s="125"/>
      <c r="N52" s="126"/>
      <c r="O52" s="88"/>
      <c r="V52" t="s">
        <v>124</v>
      </c>
    </row>
    <row r="53" spans="1:28">
      <c r="A53" s="87">
        <v>6</v>
      </c>
      <c r="B53" s="120" t="s">
        <v>43</v>
      </c>
      <c r="C53" s="142"/>
      <c r="D53" s="133">
        <v>9</v>
      </c>
      <c r="E53" s="142"/>
      <c r="F53" s="133">
        <v>6</v>
      </c>
      <c r="G53" s="138" t="s">
        <v>125</v>
      </c>
      <c r="H53" s="133">
        <v>11</v>
      </c>
      <c r="I53" s="127"/>
      <c r="J53" s="133">
        <v>12</v>
      </c>
      <c r="K53" s="138" t="s">
        <v>126</v>
      </c>
      <c r="L53" s="133">
        <v>8</v>
      </c>
      <c r="M53" s="127"/>
      <c r="N53" s="128">
        <v>9</v>
      </c>
      <c r="O53" s="88" t="s">
        <v>43</v>
      </c>
    </row>
    <row r="54" spans="1:28">
      <c r="A54" s="87"/>
      <c r="B54" s="141"/>
      <c r="C54" s="143"/>
      <c r="D54" s="134"/>
      <c r="E54" s="143"/>
      <c r="F54" s="134"/>
      <c r="G54" s="132"/>
      <c r="H54" s="134"/>
      <c r="I54" s="125"/>
      <c r="J54" s="134"/>
      <c r="K54" s="132"/>
      <c r="L54" s="134"/>
      <c r="M54" s="125"/>
      <c r="N54" s="126"/>
      <c r="O54" s="88"/>
    </row>
    <row r="55" spans="1:28">
      <c r="A55" s="87"/>
      <c r="B55" s="141"/>
      <c r="C55" s="143"/>
      <c r="D55" s="134"/>
      <c r="E55" s="143"/>
      <c r="F55" s="134"/>
      <c r="G55" s="132"/>
      <c r="H55" s="134"/>
      <c r="I55" s="125"/>
      <c r="J55" s="134"/>
      <c r="K55" s="132"/>
      <c r="L55" s="134"/>
      <c r="M55" s="125"/>
      <c r="N55" s="126"/>
      <c r="O55" s="88"/>
      <c r="V55" s="102" t="s">
        <v>127</v>
      </c>
      <c r="W55" s="103"/>
      <c r="X55" s="103"/>
      <c r="Y55" s="103"/>
      <c r="Z55" s="103"/>
      <c r="AA55" s="104"/>
    </row>
    <row r="56" spans="1:28">
      <c r="A56" s="87"/>
      <c r="B56" s="141"/>
      <c r="C56" s="143"/>
      <c r="D56" s="134"/>
      <c r="E56" s="143"/>
      <c r="F56" s="134"/>
      <c r="G56" s="132"/>
      <c r="H56" s="134"/>
      <c r="I56" s="125"/>
      <c r="J56" s="134"/>
      <c r="K56" s="132"/>
      <c r="L56" s="134"/>
      <c r="M56" s="125"/>
      <c r="N56" s="126"/>
      <c r="O56" s="88"/>
      <c r="V56" s="112" t="s">
        <v>128</v>
      </c>
      <c r="W56" s="109"/>
      <c r="X56" s="109"/>
      <c r="Y56" s="109"/>
      <c r="Z56" s="109"/>
      <c r="AA56" s="110"/>
    </row>
    <row r="57" spans="1:28">
      <c r="A57" s="87"/>
      <c r="B57" s="141"/>
      <c r="C57" s="143"/>
      <c r="D57" s="134"/>
      <c r="E57" s="143"/>
      <c r="F57" s="134"/>
      <c r="G57" s="132"/>
      <c r="H57" s="134"/>
      <c r="I57" s="125"/>
      <c r="J57" s="134"/>
      <c r="K57" s="132"/>
      <c r="L57" s="134"/>
      <c r="M57" s="125"/>
      <c r="N57" s="126"/>
      <c r="O57" s="88"/>
      <c r="V57" s="112" t="s">
        <v>129</v>
      </c>
      <c r="W57" s="109"/>
      <c r="X57" s="109"/>
      <c r="Y57" s="109"/>
      <c r="Z57" s="109"/>
      <c r="AA57" s="110"/>
    </row>
    <row r="58" spans="1:28">
      <c r="A58" s="87"/>
      <c r="B58" s="141"/>
      <c r="C58" s="143"/>
      <c r="D58" s="134"/>
      <c r="E58" s="143"/>
      <c r="F58" s="134"/>
      <c r="G58" s="132"/>
      <c r="H58" s="134"/>
      <c r="I58" s="125"/>
      <c r="J58" s="134"/>
      <c r="K58" s="132"/>
      <c r="L58" s="134"/>
      <c r="M58" s="125"/>
      <c r="N58" s="126"/>
      <c r="O58" s="88"/>
      <c r="V58" s="102" t="s">
        <v>130</v>
      </c>
      <c r="W58" s="103"/>
      <c r="X58" s="103"/>
      <c r="Y58" s="103"/>
      <c r="Z58" s="103"/>
      <c r="AA58" s="104"/>
    </row>
    <row r="59" spans="1:28">
      <c r="A59" s="87"/>
      <c r="B59" s="141"/>
      <c r="C59" s="143"/>
      <c r="D59" s="134"/>
      <c r="E59" s="143"/>
      <c r="F59" s="134"/>
      <c r="G59" s="132"/>
      <c r="H59" s="134"/>
      <c r="I59" s="125"/>
      <c r="J59" s="134"/>
      <c r="K59" s="132"/>
      <c r="L59" s="134"/>
      <c r="M59" s="125"/>
      <c r="N59" s="126"/>
      <c r="O59" s="88"/>
      <c r="V59" s="112" t="s">
        <v>131</v>
      </c>
      <c r="W59" s="109"/>
      <c r="X59" s="109"/>
      <c r="Y59" s="109"/>
      <c r="Z59" s="109"/>
      <c r="AA59" s="110"/>
    </row>
    <row r="60" spans="1:28">
      <c r="A60" s="87"/>
      <c r="B60" s="141"/>
      <c r="C60" s="143"/>
      <c r="D60" s="134"/>
      <c r="E60" s="143"/>
      <c r="F60" s="134"/>
      <c r="G60" s="132"/>
      <c r="H60" s="134"/>
      <c r="I60" s="125"/>
      <c r="J60" s="134"/>
      <c r="K60" s="132"/>
      <c r="L60" s="134"/>
      <c r="M60" s="125"/>
      <c r="N60" s="126"/>
      <c r="O60" s="88"/>
      <c r="V60" s="113" t="s">
        <v>132</v>
      </c>
      <c r="W60" s="107"/>
      <c r="X60" s="107"/>
      <c r="Y60" s="107"/>
      <c r="Z60" s="107"/>
      <c r="AA60" s="108"/>
    </row>
    <row r="61" spans="1:28">
      <c r="A61" s="87"/>
      <c r="B61" s="141"/>
      <c r="C61" s="143"/>
      <c r="D61" s="134"/>
      <c r="E61" s="143"/>
      <c r="F61" s="134"/>
      <c r="G61" s="132"/>
      <c r="H61" s="134"/>
      <c r="I61" s="125"/>
      <c r="J61" s="134"/>
      <c r="K61" s="132"/>
      <c r="L61" s="134"/>
      <c r="M61" s="125"/>
      <c r="N61" s="126"/>
      <c r="O61" s="88"/>
      <c r="S61" s="102" t="s">
        <v>133</v>
      </c>
      <c r="T61" s="103"/>
      <c r="U61" s="104"/>
      <c r="V61" s="107"/>
      <c r="W61" s="107"/>
      <c r="X61" s="107"/>
      <c r="Y61" s="107"/>
      <c r="Z61" s="107"/>
      <c r="AA61" s="108"/>
    </row>
    <row r="62" spans="1:28">
      <c r="A62" s="87"/>
      <c r="B62" s="123"/>
      <c r="C62" s="144"/>
      <c r="D62" s="140"/>
      <c r="E62" s="144"/>
      <c r="F62" s="140"/>
      <c r="G62" s="139"/>
      <c r="H62" s="140"/>
      <c r="I62" s="136"/>
      <c r="J62" s="140"/>
      <c r="K62" s="139"/>
      <c r="L62" s="140"/>
      <c r="M62" s="136"/>
      <c r="N62" s="137"/>
      <c r="O62" s="88"/>
      <c r="S62" s="29" t="s">
        <v>134</v>
      </c>
      <c r="T62" s="30" t="s">
        <v>135</v>
      </c>
      <c r="U62" s="31" t="s">
        <v>136</v>
      </c>
      <c r="V62" s="103" t="s">
        <v>137</v>
      </c>
      <c r="W62" s="103"/>
      <c r="X62" s="103"/>
      <c r="Y62" s="103"/>
      <c r="Z62" s="103"/>
      <c r="AA62" s="104"/>
      <c r="AB62" s="25" t="s">
        <v>138</v>
      </c>
    </row>
    <row r="63" spans="1:28" ht="15" customHeight="1">
      <c r="A63" s="87">
        <v>7</v>
      </c>
      <c r="B63" s="120" t="s">
        <v>50</v>
      </c>
      <c r="C63" s="143"/>
      <c r="D63" s="134">
        <v>6</v>
      </c>
      <c r="E63" s="143"/>
      <c r="F63" s="134">
        <v>11</v>
      </c>
      <c r="G63" s="132"/>
      <c r="H63" s="134">
        <v>13</v>
      </c>
      <c r="I63" s="125"/>
      <c r="J63" s="134">
        <v>4</v>
      </c>
      <c r="K63" s="132" t="s">
        <v>139</v>
      </c>
      <c r="L63" s="134">
        <v>6</v>
      </c>
      <c r="M63" s="125"/>
      <c r="N63" s="126">
        <v>2</v>
      </c>
      <c r="O63" s="88" t="s">
        <v>50</v>
      </c>
      <c r="R63" s="99" t="s">
        <v>140</v>
      </c>
      <c r="U63" s="10"/>
      <c r="V63" s="114" t="s">
        <v>141</v>
      </c>
      <c r="W63" s="114"/>
      <c r="X63" s="114"/>
      <c r="Y63" s="114"/>
      <c r="Z63" s="114"/>
      <c r="AA63" s="115"/>
    </row>
    <row r="64" spans="1:28" ht="26.25" customHeight="1">
      <c r="A64" s="87"/>
      <c r="B64" s="141"/>
      <c r="C64" s="143"/>
      <c r="D64" s="134"/>
      <c r="E64" s="143"/>
      <c r="F64" s="134"/>
      <c r="G64" s="132"/>
      <c r="H64" s="134"/>
      <c r="I64" s="125"/>
      <c r="J64" s="134"/>
      <c r="K64" s="132"/>
      <c r="L64" s="134"/>
      <c r="M64" s="125"/>
      <c r="N64" s="126"/>
      <c r="O64" s="88"/>
      <c r="R64" s="100"/>
      <c r="U64" s="10"/>
      <c r="V64" s="107" t="s">
        <v>142</v>
      </c>
      <c r="W64" s="107"/>
      <c r="X64" s="107"/>
      <c r="Y64" s="107"/>
      <c r="Z64" s="107"/>
      <c r="AA64" s="108"/>
    </row>
    <row r="65" spans="1:29" ht="15" customHeight="1">
      <c r="A65" s="87"/>
      <c r="B65" s="141"/>
      <c r="C65" s="143"/>
      <c r="D65" s="134"/>
      <c r="E65" s="143"/>
      <c r="F65" s="134"/>
      <c r="G65" s="132"/>
      <c r="H65" s="134"/>
      <c r="I65" s="125"/>
      <c r="J65" s="134"/>
      <c r="K65" s="132"/>
      <c r="L65" s="134"/>
      <c r="M65" s="125"/>
      <c r="N65" s="126"/>
      <c r="O65" s="88"/>
      <c r="R65" s="100"/>
      <c r="T65" s="19"/>
      <c r="U65" s="26"/>
      <c r="V65" s="107" t="s">
        <v>143</v>
      </c>
      <c r="W65" s="107"/>
      <c r="X65" s="107"/>
      <c r="Y65" s="107"/>
      <c r="Z65" s="107"/>
      <c r="AA65" s="108"/>
      <c r="AB65" s="13" t="s">
        <v>144</v>
      </c>
    </row>
    <row r="66" spans="1:29" ht="15" customHeight="1">
      <c r="A66" s="87"/>
      <c r="B66" s="141"/>
      <c r="C66" s="143"/>
      <c r="D66" s="134"/>
      <c r="E66" s="143"/>
      <c r="F66" s="134"/>
      <c r="G66" s="132"/>
      <c r="H66" s="134"/>
      <c r="I66" s="125"/>
      <c r="J66" s="134"/>
      <c r="K66" s="132"/>
      <c r="L66" s="134"/>
      <c r="M66" s="125"/>
      <c r="N66" s="126"/>
      <c r="O66" s="88"/>
      <c r="R66" s="100"/>
      <c r="T66" s="21"/>
      <c r="U66" s="10"/>
      <c r="V66" s="107" t="s">
        <v>145</v>
      </c>
      <c r="W66" s="107"/>
      <c r="X66" s="107"/>
      <c r="Y66" s="107"/>
      <c r="Z66" s="107"/>
      <c r="AA66" s="108"/>
      <c r="AB66" s="23" t="s">
        <v>146</v>
      </c>
    </row>
    <row r="67" spans="1:29" ht="15" customHeight="1">
      <c r="A67" s="87"/>
      <c r="B67" s="141"/>
      <c r="C67" s="143"/>
      <c r="D67" s="134"/>
      <c r="E67" s="143"/>
      <c r="F67" s="134"/>
      <c r="G67" s="132"/>
      <c r="H67" s="134"/>
      <c r="I67" s="125"/>
      <c r="J67" s="134"/>
      <c r="K67" s="132"/>
      <c r="L67" s="134"/>
      <c r="M67" s="125"/>
      <c r="N67" s="126"/>
      <c r="O67" s="88"/>
      <c r="R67" s="100"/>
      <c r="U67" s="26"/>
      <c r="V67" s="107" t="s">
        <v>147</v>
      </c>
      <c r="W67" s="107"/>
      <c r="X67" s="107"/>
      <c r="Y67" s="107"/>
      <c r="Z67" s="107"/>
      <c r="AA67" s="108"/>
      <c r="AB67" s="23" t="s">
        <v>79</v>
      </c>
    </row>
    <row r="68" spans="1:29">
      <c r="A68" s="87"/>
      <c r="B68" s="141"/>
      <c r="C68" s="143"/>
      <c r="D68" s="134"/>
      <c r="E68" s="143"/>
      <c r="F68" s="134"/>
      <c r="G68" s="132"/>
      <c r="H68" s="134"/>
      <c r="I68" s="125"/>
      <c r="J68" s="134"/>
      <c r="K68" s="132"/>
      <c r="L68" s="134"/>
      <c r="M68" s="125"/>
      <c r="N68" s="126"/>
      <c r="O68" s="88"/>
      <c r="R68" s="100"/>
      <c r="S68" s="20"/>
      <c r="T68" s="20"/>
      <c r="U68" s="10"/>
      <c r="V68" s="107" t="s">
        <v>148</v>
      </c>
      <c r="W68" s="107"/>
      <c r="X68" s="107"/>
      <c r="Y68" s="107"/>
      <c r="Z68" s="107"/>
      <c r="AA68" s="108"/>
      <c r="AB68" s="23" t="s">
        <v>149</v>
      </c>
    </row>
    <row r="69" spans="1:29" ht="15" customHeight="1">
      <c r="A69" s="87"/>
      <c r="B69" s="141"/>
      <c r="C69" s="143"/>
      <c r="D69" s="134"/>
      <c r="E69" s="143"/>
      <c r="F69" s="134"/>
      <c r="G69" s="132"/>
      <c r="H69" s="134"/>
      <c r="I69" s="125"/>
      <c r="J69" s="134"/>
      <c r="K69" s="132"/>
      <c r="L69" s="134"/>
      <c r="M69" s="125"/>
      <c r="N69" s="126"/>
      <c r="O69" s="88"/>
      <c r="R69" s="101"/>
      <c r="S69" s="27"/>
      <c r="T69" s="27"/>
      <c r="U69" s="28"/>
      <c r="V69" s="105" t="s">
        <v>150</v>
      </c>
      <c r="W69" s="105"/>
      <c r="X69" s="105"/>
      <c r="Y69" s="105"/>
      <c r="Z69" s="105"/>
      <c r="AA69" s="106"/>
      <c r="AB69" s="24" t="s">
        <v>98</v>
      </c>
    </row>
    <row r="70" spans="1:29">
      <c r="A70" s="87"/>
      <c r="B70" s="141"/>
      <c r="C70" s="143"/>
      <c r="D70" s="134"/>
      <c r="E70" s="143"/>
      <c r="F70" s="134"/>
      <c r="G70" s="132"/>
      <c r="H70" s="134"/>
      <c r="I70" s="125"/>
      <c r="J70" s="134"/>
      <c r="K70" s="132"/>
      <c r="L70" s="134"/>
      <c r="M70" s="125"/>
      <c r="N70" s="126"/>
      <c r="O70" s="88"/>
      <c r="V70" t="s">
        <v>151</v>
      </c>
      <c r="W70" t="s">
        <v>151</v>
      </c>
      <c r="X70" s="15">
        <v>5</v>
      </c>
    </row>
    <row r="71" spans="1:29">
      <c r="A71" s="87"/>
      <c r="B71" s="141"/>
      <c r="C71" s="143"/>
      <c r="D71" s="134"/>
      <c r="E71" s="143"/>
      <c r="F71" s="134"/>
      <c r="G71" s="132"/>
      <c r="H71" s="134"/>
      <c r="I71" s="125"/>
      <c r="J71" s="134"/>
      <c r="K71" s="132"/>
      <c r="L71" s="134"/>
      <c r="M71" s="125"/>
      <c r="N71" s="126"/>
      <c r="O71" s="88"/>
      <c r="V71" t="s">
        <v>149</v>
      </c>
      <c r="W71" t="s">
        <v>152</v>
      </c>
      <c r="X71" s="15">
        <v>4</v>
      </c>
    </row>
    <row r="72" spans="1:29">
      <c r="A72" s="87"/>
      <c r="B72" s="141"/>
      <c r="C72" s="143"/>
      <c r="D72" s="134"/>
      <c r="E72" s="143"/>
      <c r="F72" s="134"/>
      <c r="G72" s="132"/>
      <c r="H72" s="134"/>
      <c r="I72" s="125"/>
      <c r="J72" s="134"/>
      <c r="K72" s="132"/>
      <c r="L72" s="134"/>
      <c r="M72" s="125"/>
      <c r="N72" s="126"/>
      <c r="O72" s="88"/>
      <c r="V72" t="s">
        <v>153</v>
      </c>
      <c r="W72" t="s">
        <v>153</v>
      </c>
      <c r="X72" s="15">
        <v>3</v>
      </c>
    </row>
    <row r="73" spans="1:29">
      <c r="A73" s="87"/>
      <c r="B73" s="123"/>
      <c r="C73" s="143"/>
      <c r="D73" s="134"/>
      <c r="E73" s="143"/>
      <c r="F73" s="134"/>
      <c r="G73" s="132"/>
      <c r="H73" s="134"/>
      <c r="I73" s="125"/>
      <c r="J73" s="134"/>
      <c r="K73" s="132"/>
      <c r="L73" s="134"/>
      <c r="M73" s="125"/>
      <c r="N73" s="126"/>
      <c r="O73" s="88"/>
      <c r="W73" t="s">
        <v>154</v>
      </c>
      <c r="X73" s="15">
        <v>1</v>
      </c>
    </row>
    <row r="74" spans="1:29">
      <c r="A74" s="87">
        <v>8</v>
      </c>
      <c r="B74" s="120" t="s">
        <v>54</v>
      </c>
      <c r="C74" s="138"/>
      <c r="D74" s="133">
        <v>5</v>
      </c>
      <c r="E74" s="138" t="s">
        <v>155</v>
      </c>
      <c r="F74" s="133">
        <v>3</v>
      </c>
      <c r="G74" s="138" t="s">
        <v>156</v>
      </c>
      <c r="H74" s="133">
        <v>8</v>
      </c>
      <c r="I74" s="127"/>
      <c r="J74" s="133">
        <v>1</v>
      </c>
      <c r="K74" s="138"/>
      <c r="L74" s="133">
        <v>4</v>
      </c>
      <c r="M74" s="127"/>
      <c r="N74" s="128">
        <v>3</v>
      </c>
      <c r="O74" s="88" t="s">
        <v>54</v>
      </c>
    </row>
    <row r="75" spans="1:29">
      <c r="A75" s="87"/>
      <c r="B75" s="141"/>
      <c r="C75" s="132"/>
      <c r="D75" s="134"/>
      <c r="E75" s="132"/>
      <c r="F75" s="134"/>
      <c r="G75" s="132"/>
      <c r="H75" s="134"/>
      <c r="I75" s="125"/>
      <c r="J75" s="134"/>
      <c r="K75" s="132"/>
      <c r="L75" s="134"/>
      <c r="M75" s="125"/>
      <c r="N75" s="126"/>
      <c r="O75" s="88"/>
      <c r="S75" s="102" t="s">
        <v>133</v>
      </c>
      <c r="T75" s="103"/>
      <c r="U75" s="104"/>
      <c r="V75" s="111"/>
      <c r="W75" s="111"/>
      <c r="X75" s="111"/>
      <c r="Y75" s="111"/>
      <c r="Z75" s="111"/>
      <c r="AA75" s="111"/>
      <c r="AB75" s="22"/>
    </row>
    <row r="76" spans="1:29" ht="15" customHeight="1">
      <c r="A76" s="87"/>
      <c r="B76" s="141"/>
      <c r="C76" s="132"/>
      <c r="D76" s="134"/>
      <c r="E76" s="132"/>
      <c r="F76" s="134"/>
      <c r="G76" s="132"/>
      <c r="H76" s="134"/>
      <c r="I76" s="125"/>
      <c r="J76" s="134"/>
      <c r="K76" s="132"/>
      <c r="L76" s="134"/>
      <c r="M76" s="125"/>
      <c r="N76" s="126"/>
      <c r="O76" s="88"/>
      <c r="S76" s="14" t="s">
        <v>134</v>
      </c>
      <c r="T76" s="6" t="s">
        <v>135</v>
      </c>
      <c r="U76" s="6" t="s">
        <v>136</v>
      </c>
      <c r="V76" s="102" t="s">
        <v>157</v>
      </c>
      <c r="W76" s="103"/>
      <c r="X76" s="103"/>
      <c r="Y76" s="103"/>
      <c r="Z76" s="103"/>
      <c r="AA76" s="103"/>
      <c r="AB76" s="25" t="s">
        <v>138</v>
      </c>
    </row>
    <row r="77" spans="1:29" ht="15" customHeight="1">
      <c r="A77" s="87"/>
      <c r="B77" s="141"/>
      <c r="C77" s="132"/>
      <c r="D77" s="134"/>
      <c r="E77" s="132"/>
      <c r="F77" s="134"/>
      <c r="G77" s="132"/>
      <c r="H77" s="134"/>
      <c r="I77" s="125"/>
      <c r="J77" s="134"/>
      <c r="K77" s="132"/>
      <c r="L77" s="134"/>
      <c r="M77" s="125"/>
      <c r="N77" s="126"/>
      <c r="O77" s="88"/>
      <c r="R77" s="99" t="s">
        <v>140</v>
      </c>
      <c r="U77" s="10"/>
      <c r="V77" s="107"/>
      <c r="W77" s="107"/>
      <c r="X77" s="107"/>
      <c r="Y77" s="107"/>
      <c r="Z77" s="107"/>
      <c r="AA77" s="108"/>
    </row>
    <row r="78" spans="1:29" ht="15" customHeight="1">
      <c r="A78" s="87"/>
      <c r="B78" s="141"/>
      <c r="C78" s="132"/>
      <c r="D78" s="134"/>
      <c r="E78" s="132"/>
      <c r="F78" s="134"/>
      <c r="G78" s="132"/>
      <c r="H78" s="134"/>
      <c r="I78" s="125"/>
      <c r="J78" s="134"/>
      <c r="K78" s="132"/>
      <c r="L78" s="134"/>
      <c r="M78" s="125"/>
      <c r="N78" s="126"/>
      <c r="O78" s="88"/>
      <c r="R78" s="100"/>
      <c r="U78" s="10"/>
      <c r="V78" s="107"/>
      <c r="W78" s="107"/>
      <c r="X78" s="107"/>
      <c r="Y78" s="107"/>
      <c r="Z78" s="107"/>
      <c r="AA78" s="108"/>
      <c r="AB78" s="13"/>
    </row>
    <row r="79" spans="1:29" ht="15" customHeight="1">
      <c r="A79" s="87"/>
      <c r="B79" s="141"/>
      <c r="C79" s="132"/>
      <c r="D79" s="134"/>
      <c r="E79" s="132"/>
      <c r="F79" s="134"/>
      <c r="G79" s="132"/>
      <c r="H79" s="134"/>
      <c r="I79" s="125"/>
      <c r="J79" s="134"/>
      <c r="K79" s="132"/>
      <c r="L79" s="134"/>
      <c r="M79" s="125"/>
      <c r="N79" s="126"/>
      <c r="O79" s="88"/>
      <c r="R79" s="100"/>
      <c r="T79" s="19"/>
      <c r="U79" s="26"/>
      <c r="V79" s="109" t="s">
        <v>158</v>
      </c>
      <c r="W79" s="109"/>
      <c r="X79" s="109"/>
      <c r="Y79" s="109"/>
      <c r="Z79" s="109"/>
      <c r="AA79" s="110"/>
      <c r="AB79" s="13" t="s">
        <v>144</v>
      </c>
    </row>
    <row r="80" spans="1:29" ht="15" customHeight="1">
      <c r="A80" s="87"/>
      <c r="B80" s="141"/>
      <c r="C80" s="132"/>
      <c r="D80" s="134"/>
      <c r="E80" s="132"/>
      <c r="F80" s="134"/>
      <c r="G80" s="132"/>
      <c r="H80" s="134"/>
      <c r="I80" s="125"/>
      <c r="J80" s="134"/>
      <c r="K80" s="132"/>
      <c r="L80" s="134"/>
      <c r="M80" s="125"/>
      <c r="N80" s="126"/>
      <c r="O80" s="88"/>
      <c r="R80" s="100"/>
      <c r="T80" s="19"/>
      <c r="U80" s="26"/>
      <c r="V80" s="109" t="s">
        <v>159</v>
      </c>
      <c r="W80" s="109"/>
      <c r="X80" s="109"/>
      <c r="Y80" s="109"/>
      <c r="Z80" s="109"/>
      <c r="AA80" s="110"/>
      <c r="AB80" s="24" t="s">
        <v>98</v>
      </c>
      <c r="AC80" s="23"/>
    </row>
    <row r="81" spans="1:28">
      <c r="A81" s="87"/>
      <c r="B81" s="141"/>
      <c r="C81" s="132"/>
      <c r="D81" s="134"/>
      <c r="E81" s="132"/>
      <c r="F81" s="134"/>
      <c r="G81" s="132"/>
      <c r="H81" s="134"/>
      <c r="I81" s="125"/>
      <c r="J81" s="134"/>
      <c r="K81" s="132"/>
      <c r="L81" s="134"/>
      <c r="M81" s="125"/>
      <c r="N81" s="126"/>
      <c r="O81" s="88"/>
      <c r="R81" s="100"/>
      <c r="S81" s="20"/>
      <c r="T81" s="20"/>
      <c r="U81" s="10"/>
      <c r="V81" s="109" t="s">
        <v>160</v>
      </c>
      <c r="W81" s="109"/>
      <c r="X81" s="109"/>
      <c r="Y81" s="109"/>
      <c r="Z81" s="109"/>
      <c r="AA81" s="110"/>
      <c r="AB81" s="23" t="s">
        <v>161</v>
      </c>
    </row>
    <row r="82" spans="1:28" ht="15" customHeight="1">
      <c r="A82" s="87"/>
      <c r="B82" s="141"/>
      <c r="C82" s="132"/>
      <c r="D82" s="134"/>
      <c r="E82" s="132"/>
      <c r="F82" s="134"/>
      <c r="G82" s="132"/>
      <c r="H82" s="134"/>
      <c r="I82" s="125"/>
      <c r="J82" s="134"/>
      <c r="K82" s="132"/>
      <c r="L82" s="134"/>
      <c r="M82" s="125"/>
      <c r="N82" s="126"/>
      <c r="O82" s="88"/>
      <c r="R82" s="100"/>
      <c r="U82" s="26"/>
      <c r="V82" s="107" t="s">
        <v>162</v>
      </c>
      <c r="W82" s="107"/>
      <c r="X82" s="107"/>
      <c r="Y82" s="107"/>
      <c r="Z82" s="107"/>
      <c r="AA82" s="108"/>
      <c r="AB82" s="23" t="s">
        <v>163</v>
      </c>
    </row>
    <row r="83" spans="1:28">
      <c r="A83" s="87"/>
      <c r="B83" s="123"/>
      <c r="C83" s="132"/>
      <c r="D83" s="134"/>
      <c r="E83" s="132"/>
      <c r="F83" s="134"/>
      <c r="G83" s="132"/>
      <c r="H83" s="134"/>
      <c r="I83" s="125"/>
      <c r="J83" s="134"/>
      <c r="K83" s="132"/>
      <c r="L83" s="134"/>
      <c r="M83" s="125"/>
      <c r="N83" s="126"/>
      <c r="O83" s="120"/>
      <c r="R83" s="101"/>
      <c r="S83" s="84"/>
      <c r="T83" s="27"/>
      <c r="U83" s="83"/>
      <c r="V83" s="105" t="s">
        <v>164</v>
      </c>
      <c r="W83" s="105"/>
      <c r="X83" s="105"/>
      <c r="Y83" s="105"/>
      <c r="Z83" s="105"/>
      <c r="AA83" s="106"/>
      <c r="AB83" s="24" t="s">
        <v>151</v>
      </c>
    </row>
    <row r="84" spans="1:28">
      <c r="A84" s="87">
        <v>9</v>
      </c>
      <c r="B84" s="120" t="s">
        <v>59</v>
      </c>
      <c r="C84" s="142"/>
      <c r="D84" s="133">
        <v>7</v>
      </c>
      <c r="E84" s="142"/>
      <c r="F84" s="133">
        <v>10</v>
      </c>
      <c r="G84" s="138" t="s">
        <v>165</v>
      </c>
      <c r="H84" s="133">
        <v>10</v>
      </c>
      <c r="I84" s="127"/>
      <c r="J84" s="133">
        <v>13</v>
      </c>
      <c r="K84" s="138" t="s">
        <v>166</v>
      </c>
      <c r="L84" s="133">
        <v>12</v>
      </c>
      <c r="M84" s="127"/>
      <c r="N84" s="128">
        <v>5</v>
      </c>
      <c r="O84" s="88" t="s">
        <v>59</v>
      </c>
      <c r="V84" t="s">
        <v>151</v>
      </c>
      <c r="W84" s="15">
        <v>5</v>
      </c>
    </row>
    <row r="85" spans="1:28">
      <c r="A85" s="87"/>
      <c r="B85" s="141"/>
      <c r="C85" s="143"/>
      <c r="D85" s="134"/>
      <c r="E85" s="143"/>
      <c r="F85" s="134"/>
      <c r="G85" s="132"/>
      <c r="H85" s="134"/>
      <c r="I85" s="125"/>
      <c r="J85" s="134"/>
      <c r="K85" s="132"/>
      <c r="L85" s="134"/>
      <c r="M85" s="125"/>
      <c r="N85" s="126"/>
      <c r="O85" s="88"/>
      <c r="V85" t="s">
        <v>152</v>
      </c>
      <c r="W85" s="15">
        <v>4</v>
      </c>
    </row>
    <row r="86" spans="1:28">
      <c r="A86" s="87"/>
      <c r="B86" s="141"/>
      <c r="C86" s="143"/>
      <c r="D86" s="134"/>
      <c r="E86" s="143"/>
      <c r="F86" s="134"/>
      <c r="G86" s="132"/>
      <c r="H86" s="134"/>
      <c r="I86" s="125"/>
      <c r="J86" s="134"/>
      <c r="K86" s="132"/>
      <c r="L86" s="134"/>
      <c r="M86" s="125"/>
      <c r="N86" s="126"/>
      <c r="O86" s="88"/>
      <c r="V86" t="s">
        <v>153</v>
      </c>
      <c r="W86" s="15">
        <v>3</v>
      </c>
    </row>
    <row r="87" spans="1:28">
      <c r="A87" s="87"/>
      <c r="B87" s="141"/>
      <c r="C87" s="143"/>
      <c r="D87" s="134"/>
      <c r="E87" s="143"/>
      <c r="F87" s="134"/>
      <c r="G87" s="132"/>
      <c r="H87" s="134"/>
      <c r="I87" s="125"/>
      <c r="J87" s="134"/>
      <c r="K87" s="132"/>
      <c r="L87" s="134"/>
      <c r="M87" s="125"/>
      <c r="N87" s="126"/>
      <c r="O87" s="88"/>
      <c r="V87" t="s">
        <v>154</v>
      </c>
      <c r="W87" s="15">
        <v>1</v>
      </c>
    </row>
    <row r="88" spans="1:28">
      <c r="A88" s="87"/>
      <c r="B88" s="141"/>
      <c r="C88" s="143"/>
      <c r="D88" s="134"/>
      <c r="E88" s="143"/>
      <c r="F88" s="134"/>
      <c r="G88" s="132"/>
      <c r="H88" s="134"/>
      <c r="I88" s="125"/>
      <c r="J88" s="134"/>
      <c r="K88" s="132"/>
      <c r="L88" s="134"/>
      <c r="M88" s="125"/>
      <c r="N88" s="126"/>
      <c r="O88" s="88"/>
    </row>
    <row r="89" spans="1:28">
      <c r="A89" s="87"/>
      <c r="B89" s="141"/>
      <c r="C89" s="143"/>
      <c r="D89" s="134"/>
      <c r="E89" s="143"/>
      <c r="F89" s="134"/>
      <c r="G89" s="132"/>
      <c r="H89" s="134"/>
      <c r="I89" s="125"/>
      <c r="J89" s="134"/>
      <c r="K89" s="132"/>
      <c r="L89" s="134"/>
      <c r="M89" s="125"/>
      <c r="N89" s="126"/>
      <c r="O89" s="88"/>
    </row>
    <row r="90" spans="1:28">
      <c r="A90" s="87"/>
      <c r="B90" s="141"/>
      <c r="C90" s="143"/>
      <c r="D90" s="134"/>
      <c r="E90" s="143"/>
      <c r="F90" s="134"/>
      <c r="G90" s="132"/>
      <c r="H90" s="134"/>
      <c r="I90" s="125"/>
      <c r="J90" s="134"/>
      <c r="K90" s="132"/>
      <c r="L90" s="134"/>
      <c r="M90" s="125"/>
      <c r="N90" s="126"/>
      <c r="O90" s="88"/>
    </row>
    <row r="91" spans="1:28">
      <c r="A91" s="87"/>
      <c r="B91" s="141"/>
      <c r="C91" s="143"/>
      <c r="D91" s="134"/>
      <c r="E91" s="143"/>
      <c r="F91" s="134"/>
      <c r="G91" s="132"/>
      <c r="H91" s="134"/>
      <c r="I91" s="125"/>
      <c r="J91" s="134"/>
      <c r="K91" s="132"/>
      <c r="L91" s="134"/>
      <c r="M91" s="125"/>
      <c r="N91" s="126"/>
      <c r="O91" s="88"/>
      <c r="V91" t="s">
        <v>167</v>
      </c>
    </row>
    <row r="92" spans="1:28">
      <c r="A92" s="87"/>
      <c r="B92" s="141"/>
      <c r="C92" s="143"/>
      <c r="D92" s="134"/>
      <c r="E92" s="143"/>
      <c r="F92" s="134"/>
      <c r="G92" s="132"/>
      <c r="H92" s="134"/>
      <c r="I92" s="125"/>
      <c r="J92" s="134"/>
      <c r="K92" s="132"/>
      <c r="L92" s="134"/>
      <c r="M92" s="125"/>
      <c r="N92" s="126"/>
      <c r="O92" s="88"/>
    </row>
    <row r="93" spans="1:28">
      <c r="A93" s="87"/>
      <c r="B93" s="123"/>
      <c r="C93" s="144"/>
      <c r="D93" s="134"/>
      <c r="E93" s="144"/>
      <c r="F93" s="134"/>
      <c r="G93" s="132"/>
      <c r="H93" s="134"/>
      <c r="I93" s="125"/>
      <c r="J93" s="134"/>
      <c r="K93" s="132"/>
      <c r="L93" s="134"/>
      <c r="M93" s="125"/>
      <c r="N93" s="137"/>
      <c r="O93" s="88"/>
    </row>
    <row r="94" spans="1:28" ht="15" customHeight="1">
      <c r="A94" s="87">
        <v>10</v>
      </c>
      <c r="B94" s="120" t="s">
        <v>64</v>
      </c>
      <c r="C94" s="132"/>
      <c r="D94" s="133">
        <v>10</v>
      </c>
      <c r="E94" s="132" t="s">
        <v>168</v>
      </c>
      <c r="F94" s="133">
        <v>1</v>
      </c>
      <c r="G94" s="138" t="s">
        <v>169</v>
      </c>
      <c r="H94" s="133">
        <v>4</v>
      </c>
      <c r="I94" s="127"/>
      <c r="J94" s="133">
        <v>7</v>
      </c>
      <c r="K94" s="138"/>
      <c r="L94" s="133">
        <v>10</v>
      </c>
      <c r="M94" s="127"/>
      <c r="N94" s="126">
        <v>13</v>
      </c>
      <c r="O94" s="123" t="s">
        <v>64</v>
      </c>
    </row>
    <row r="95" spans="1:28">
      <c r="A95" s="87"/>
      <c r="B95" s="141"/>
      <c r="C95" s="132"/>
      <c r="D95" s="134"/>
      <c r="E95" s="132"/>
      <c r="F95" s="134"/>
      <c r="G95" s="132"/>
      <c r="H95" s="134"/>
      <c r="I95" s="125"/>
      <c r="J95" s="134"/>
      <c r="K95" s="132"/>
      <c r="L95" s="134"/>
      <c r="M95" s="125"/>
      <c r="N95" s="126"/>
      <c r="O95" s="88"/>
    </row>
    <row r="96" spans="1:28">
      <c r="A96" s="87"/>
      <c r="B96" s="141"/>
      <c r="C96" s="132"/>
      <c r="D96" s="134"/>
      <c r="E96" s="132"/>
      <c r="F96" s="134"/>
      <c r="G96" s="132"/>
      <c r="H96" s="134"/>
      <c r="I96" s="125"/>
      <c r="J96" s="134"/>
      <c r="K96" s="132"/>
      <c r="L96" s="134"/>
      <c r="M96" s="125"/>
      <c r="N96" s="126"/>
      <c r="O96" s="88"/>
    </row>
    <row r="97" spans="1:15">
      <c r="A97" s="87"/>
      <c r="B97" s="141"/>
      <c r="C97" s="132"/>
      <c r="D97" s="134"/>
      <c r="E97" s="132"/>
      <c r="F97" s="134"/>
      <c r="G97" s="132"/>
      <c r="H97" s="134"/>
      <c r="I97" s="125"/>
      <c r="J97" s="134"/>
      <c r="K97" s="132"/>
      <c r="L97" s="134"/>
      <c r="M97" s="125"/>
      <c r="N97" s="126"/>
      <c r="O97" s="88"/>
    </row>
    <row r="98" spans="1:15">
      <c r="A98" s="87"/>
      <c r="B98" s="141"/>
      <c r="C98" s="132"/>
      <c r="D98" s="134"/>
      <c r="E98" s="132"/>
      <c r="F98" s="134"/>
      <c r="G98" s="132"/>
      <c r="H98" s="134"/>
      <c r="I98" s="125"/>
      <c r="J98" s="134"/>
      <c r="K98" s="132"/>
      <c r="L98" s="134"/>
      <c r="M98" s="125"/>
      <c r="N98" s="126"/>
      <c r="O98" s="88"/>
    </row>
    <row r="99" spans="1:15">
      <c r="A99" s="87"/>
      <c r="B99" s="141"/>
      <c r="C99" s="132"/>
      <c r="D99" s="134"/>
      <c r="E99" s="132"/>
      <c r="F99" s="134"/>
      <c r="G99" s="132"/>
      <c r="H99" s="134"/>
      <c r="I99" s="125"/>
      <c r="J99" s="134"/>
      <c r="K99" s="132"/>
      <c r="L99" s="134"/>
      <c r="M99" s="125"/>
      <c r="N99" s="126"/>
      <c r="O99" s="88"/>
    </row>
    <row r="100" spans="1:15">
      <c r="A100" s="87"/>
      <c r="B100" s="141"/>
      <c r="C100" s="132"/>
      <c r="D100" s="134"/>
      <c r="E100" s="132"/>
      <c r="F100" s="134"/>
      <c r="G100" s="132"/>
      <c r="H100" s="134"/>
      <c r="I100" s="125"/>
      <c r="J100" s="134"/>
      <c r="K100" s="132"/>
      <c r="L100" s="134"/>
      <c r="M100" s="125"/>
      <c r="N100" s="126"/>
      <c r="O100" s="88"/>
    </row>
    <row r="101" spans="1:15">
      <c r="A101" s="87"/>
      <c r="B101" s="141"/>
      <c r="C101" s="132"/>
      <c r="D101" s="134"/>
      <c r="E101" s="132"/>
      <c r="F101" s="134"/>
      <c r="G101" s="132"/>
      <c r="H101" s="134"/>
      <c r="I101" s="125"/>
      <c r="J101" s="134"/>
      <c r="K101" s="132"/>
      <c r="L101" s="134"/>
      <c r="M101" s="125"/>
      <c r="N101" s="126"/>
      <c r="O101" s="88"/>
    </row>
    <row r="102" spans="1:15">
      <c r="A102" s="87"/>
      <c r="B102" s="141"/>
      <c r="C102" s="132"/>
      <c r="D102" s="134"/>
      <c r="E102" s="132"/>
      <c r="F102" s="134"/>
      <c r="G102" s="132"/>
      <c r="H102" s="134"/>
      <c r="I102" s="125"/>
      <c r="J102" s="134"/>
      <c r="K102" s="132"/>
      <c r="L102" s="134"/>
      <c r="M102" s="125"/>
      <c r="N102" s="126"/>
      <c r="O102" s="88"/>
    </row>
    <row r="103" spans="1:15">
      <c r="A103" s="87"/>
      <c r="B103" s="123"/>
      <c r="C103" s="132"/>
      <c r="D103" s="140"/>
      <c r="E103" s="132"/>
      <c r="F103" s="140"/>
      <c r="G103" s="139"/>
      <c r="H103" s="140"/>
      <c r="I103" s="136"/>
      <c r="J103" s="140"/>
      <c r="K103" s="139"/>
      <c r="L103" s="140"/>
      <c r="M103" s="136"/>
      <c r="N103" s="126"/>
      <c r="O103" s="88"/>
    </row>
    <row r="104" spans="1:15">
      <c r="A104" s="87">
        <v>11</v>
      </c>
      <c r="B104" s="120" t="s">
        <v>69</v>
      </c>
      <c r="C104" s="142"/>
      <c r="D104" s="134">
        <v>13</v>
      </c>
      <c r="E104" s="142"/>
      <c r="F104" s="134">
        <v>8</v>
      </c>
      <c r="G104" s="132" t="s">
        <v>170</v>
      </c>
      <c r="H104" s="134">
        <v>12</v>
      </c>
      <c r="I104" s="125"/>
      <c r="J104" s="134">
        <v>3</v>
      </c>
      <c r="K104" s="132"/>
      <c r="L104" s="134">
        <v>7</v>
      </c>
      <c r="M104" s="125"/>
      <c r="N104" s="128">
        <v>7</v>
      </c>
      <c r="O104" s="88" t="s">
        <v>69</v>
      </c>
    </row>
    <row r="105" spans="1:15">
      <c r="A105" s="87"/>
      <c r="B105" s="141"/>
      <c r="C105" s="143"/>
      <c r="D105" s="134"/>
      <c r="E105" s="143"/>
      <c r="F105" s="134"/>
      <c r="G105" s="132"/>
      <c r="H105" s="134"/>
      <c r="I105" s="125"/>
      <c r="J105" s="134"/>
      <c r="K105" s="132"/>
      <c r="L105" s="134"/>
      <c r="M105" s="125"/>
      <c r="N105" s="126"/>
      <c r="O105" s="88"/>
    </row>
    <row r="106" spans="1:15">
      <c r="A106" s="87"/>
      <c r="B106" s="141"/>
      <c r="C106" s="143"/>
      <c r="D106" s="134"/>
      <c r="E106" s="143"/>
      <c r="F106" s="134"/>
      <c r="G106" s="132"/>
      <c r="H106" s="134"/>
      <c r="I106" s="125"/>
      <c r="J106" s="134"/>
      <c r="K106" s="132"/>
      <c r="L106" s="134"/>
      <c r="M106" s="125"/>
      <c r="N106" s="126"/>
      <c r="O106" s="88"/>
    </row>
    <row r="107" spans="1:15">
      <c r="A107" s="87"/>
      <c r="B107" s="141"/>
      <c r="C107" s="143"/>
      <c r="D107" s="134"/>
      <c r="E107" s="143"/>
      <c r="F107" s="134"/>
      <c r="G107" s="132"/>
      <c r="H107" s="134"/>
      <c r="I107" s="125"/>
      <c r="J107" s="134"/>
      <c r="K107" s="132"/>
      <c r="L107" s="134"/>
      <c r="M107" s="125"/>
      <c r="N107" s="126"/>
      <c r="O107" s="88"/>
    </row>
    <row r="108" spans="1:15">
      <c r="A108" s="87"/>
      <c r="B108" s="141"/>
      <c r="C108" s="143"/>
      <c r="D108" s="134"/>
      <c r="E108" s="143"/>
      <c r="F108" s="134"/>
      <c r="G108" s="132"/>
      <c r="H108" s="134"/>
      <c r="I108" s="125"/>
      <c r="J108" s="134"/>
      <c r="K108" s="132"/>
      <c r="L108" s="134"/>
      <c r="M108" s="125"/>
      <c r="N108" s="126"/>
      <c r="O108" s="88"/>
    </row>
    <row r="109" spans="1:15">
      <c r="A109" s="87"/>
      <c r="B109" s="141"/>
      <c r="C109" s="143"/>
      <c r="D109" s="134"/>
      <c r="E109" s="143"/>
      <c r="F109" s="134"/>
      <c r="G109" s="132"/>
      <c r="H109" s="134"/>
      <c r="I109" s="125"/>
      <c r="J109" s="134"/>
      <c r="K109" s="132"/>
      <c r="L109" s="134"/>
      <c r="M109" s="125"/>
      <c r="N109" s="126"/>
      <c r="O109" s="88"/>
    </row>
    <row r="110" spans="1:15">
      <c r="A110" s="87"/>
      <c r="B110" s="141"/>
      <c r="C110" s="143"/>
      <c r="D110" s="134"/>
      <c r="E110" s="143"/>
      <c r="F110" s="134"/>
      <c r="G110" s="132"/>
      <c r="H110" s="134"/>
      <c r="I110" s="125"/>
      <c r="J110" s="134"/>
      <c r="K110" s="132"/>
      <c r="L110" s="134"/>
      <c r="M110" s="125"/>
      <c r="N110" s="126"/>
      <c r="O110" s="88"/>
    </row>
    <row r="111" spans="1:15">
      <c r="A111" s="87"/>
      <c r="B111" s="141"/>
      <c r="C111" s="143"/>
      <c r="D111" s="134"/>
      <c r="E111" s="143"/>
      <c r="F111" s="134"/>
      <c r="G111" s="132"/>
      <c r="H111" s="134"/>
      <c r="I111" s="125"/>
      <c r="J111" s="134"/>
      <c r="K111" s="132"/>
      <c r="L111" s="134"/>
      <c r="M111" s="125"/>
      <c r="N111" s="126"/>
      <c r="O111" s="88"/>
    </row>
    <row r="112" spans="1:15">
      <c r="A112" s="87"/>
      <c r="B112" s="123"/>
      <c r="C112" s="144"/>
      <c r="D112" s="140"/>
      <c r="E112" s="144"/>
      <c r="F112" s="140"/>
      <c r="G112" s="139"/>
      <c r="H112" s="140"/>
      <c r="I112" s="136"/>
      <c r="J112" s="140"/>
      <c r="K112" s="139"/>
      <c r="L112" s="140"/>
      <c r="M112" s="136"/>
      <c r="N112" s="137"/>
      <c r="O112" s="88"/>
    </row>
    <row r="113" spans="1:15">
      <c r="A113" s="87">
        <v>12</v>
      </c>
      <c r="B113" s="120" t="s">
        <v>74</v>
      </c>
      <c r="C113" s="143"/>
      <c r="D113" s="134">
        <v>11</v>
      </c>
      <c r="E113" s="143"/>
      <c r="F113" s="134">
        <v>9</v>
      </c>
      <c r="G113" s="132" t="s">
        <v>171</v>
      </c>
      <c r="H113" s="134">
        <v>1</v>
      </c>
      <c r="I113" s="125"/>
      <c r="J113" s="134">
        <v>10</v>
      </c>
      <c r="K113" s="132" t="s">
        <v>172</v>
      </c>
      <c r="L113" s="134">
        <v>9</v>
      </c>
      <c r="M113" s="125"/>
      <c r="N113" s="126">
        <v>12</v>
      </c>
      <c r="O113" s="88" t="s">
        <v>74</v>
      </c>
    </row>
    <row r="114" spans="1:15">
      <c r="A114" s="87"/>
      <c r="B114" s="141"/>
      <c r="C114" s="143"/>
      <c r="D114" s="134"/>
      <c r="E114" s="143"/>
      <c r="F114" s="134"/>
      <c r="G114" s="132"/>
      <c r="H114" s="134"/>
      <c r="I114" s="125"/>
      <c r="J114" s="134"/>
      <c r="K114" s="132"/>
      <c r="L114" s="134"/>
      <c r="M114" s="125"/>
      <c r="N114" s="126"/>
      <c r="O114" s="88"/>
    </row>
    <row r="115" spans="1:15">
      <c r="A115" s="87"/>
      <c r="B115" s="141"/>
      <c r="C115" s="143"/>
      <c r="D115" s="134"/>
      <c r="E115" s="143"/>
      <c r="F115" s="134"/>
      <c r="G115" s="132"/>
      <c r="H115" s="134"/>
      <c r="I115" s="125"/>
      <c r="J115" s="134"/>
      <c r="K115" s="132"/>
      <c r="L115" s="134"/>
      <c r="M115" s="125"/>
      <c r="N115" s="126"/>
      <c r="O115" s="88"/>
    </row>
    <row r="116" spans="1:15">
      <c r="A116" s="87"/>
      <c r="B116" s="141"/>
      <c r="C116" s="143"/>
      <c r="D116" s="134"/>
      <c r="E116" s="143"/>
      <c r="F116" s="134"/>
      <c r="G116" s="132"/>
      <c r="H116" s="134"/>
      <c r="I116" s="125"/>
      <c r="J116" s="134"/>
      <c r="K116" s="132"/>
      <c r="L116" s="134"/>
      <c r="M116" s="125"/>
      <c r="N116" s="126"/>
      <c r="O116" s="88"/>
    </row>
    <row r="117" spans="1:15">
      <c r="A117" s="87"/>
      <c r="B117" s="141"/>
      <c r="C117" s="143"/>
      <c r="D117" s="134"/>
      <c r="E117" s="143"/>
      <c r="F117" s="134"/>
      <c r="G117" s="132"/>
      <c r="H117" s="134"/>
      <c r="I117" s="125"/>
      <c r="J117" s="134"/>
      <c r="K117" s="132"/>
      <c r="L117" s="134"/>
      <c r="M117" s="125"/>
      <c r="N117" s="126"/>
      <c r="O117" s="88"/>
    </row>
    <row r="118" spans="1:15">
      <c r="A118" s="87"/>
      <c r="B118" s="141"/>
      <c r="C118" s="143"/>
      <c r="D118" s="134"/>
      <c r="E118" s="143"/>
      <c r="F118" s="134"/>
      <c r="G118" s="132"/>
      <c r="H118" s="134"/>
      <c r="I118" s="125"/>
      <c r="J118" s="134"/>
      <c r="K118" s="132"/>
      <c r="L118" s="134"/>
      <c r="M118" s="125"/>
      <c r="N118" s="126"/>
      <c r="O118" s="88"/>
    </row>
    <row r="119" spans="1:15">
      <c r="A119" s="87"/>
      <c r="B119" s="141"/>
      <c r="C119" s="143"/>
      <c r="D119" s="134"/>
      <c r="E119" s="143"/>
      <c r="F119" s="134"/>
      <c r="G119" s="132"/>
      <c r="H119" s="134"/>
      <c r="I119" s="125"/>
      <c r="J119" s="134"/>
      <c r="K119" s="132"/>
      <c r="L119" s="134"/>
      <c r="M119" s="125"/>
      <c r="N119" s="126"/>
      <c r="O119" s="88"/>
    </row>
    <row r="120" spans="1:15">
      <c r="A120" s="87"/>
      <c r="B120" s="141"/>
      <c r="C120" s="143"/>
      <c r="D120" s="134"/>
      <c r="E120" s="143"/>
      <c r="F120" s="134"/>
      <c r="G120" s="132"/>
      <c r="H120" s="134"/>
      <c r="I120" s="125"/>
      <c r="J120" s="134"/>
      <c r="K120" s="132"/>
      <c r="L120" s="134"/>
      <c r="M120" s="125"/>
      <c r="N120" s="126"/>
      <c r="O120" s="88"/>
    </row>
    <row r="121" spans="1:15">
      <c r="A121" s="87"/>
      <c r="B121" s="141"/>
      <c r="C121" s="143"/>
      <c r="D121" s="134"/>
      <c r="E121" s="143"/>
      <c r="F121" s="134"/>
      <c r="G121" s="132"/>
      <c r="H121" s="134"/>
      <c r="I121" s="125"/>
      <c r="J121" s="134"/>
      <c r="K121" s="132"/>
      <c r="L121" s="134"/>
      <c r="M121" s="125"/>
      <c r="N121" s="126"/>
      <c r="O121" s="88"/>
    </row>
    <row r="122" spans="1:15">
      <c r="A122" s="87"/>
      <c r="B122" s="123"/>
      <c r="C122" s="144"/>
      <c r="D122" s="140"/>
      <c r="E122" s="144"/>
      <c r="F122" s="140"/>
      <c r="G122" s="139"/>
      <c r="H122" s="140"/>
      <c r="I122" s="136"/>
      <c r="J122" s="140"/>
      <c r="K122" s="139"/>
      <c r="L122" s="140"/>
      <c r="M122" s="136"/>
      <c r="N122" s="137"/>
      <c r="O122" s="88"/>
    </row>
    <row r="123" spans="1:15">
      <c r="A123" s="87">
        <v>13</v>
      </c>
      <c r="B123" s="120" t="s">
        <v>75</v>
      </c>
      <c r="C123" s="143"/>
      <c r="D123" s="134">
        <v>12</v>
      </c>
      <c r="E123" s="143"/>
      <c r="F123" s="134">
        <v>7</v>
      </c>
      <c r="G123" s="132" t="s">
        <v>173</v>
      </c>
      <c r="H123" s="134">
        <v>9</v>
      </c>
      <c r="I123" s="125"/>
      <c r="J123" s="134">
        <v>2</v>
      </c>
      <c r="K123" s="132" t="s">
        <v>174</v>
      </c>
      <c r="L123" s="134">
        <v>5</v>
      </c>
      <c r="M123" s="125"/>
      <c r="N123" s="126">
        <v>4</v>
      </c>
      <c r="O123" s="88" t="s">
        <v>75</v>
      </c>
    </row>
    <row r="124" spans="1:15">
      <c r="A124" s="87"/>
      <c r="B124" s="141"/>
      <c r="C124" s="143"/>
      <c r="D124" s="134"/>
      <c r="E124" s="143"/>
      <c r="F124" s="134"/>
      <c r="G124" s="132"/>
      <c r="H124" s="134"/>
      <c r="I124" s="125"/>
      <c r="J124" s="134"/>
      <c r="K124" s="132"/>
      <c r="L124" s="134"/>
      <c r="M124" s="125"/>
      <c r="N124" s="126"/>
      <c r="O124" s="88"/>
    </row>
    <row r="125" spans="1:15">
      <c r="A125" s="87"/>
      <c r="B125" s="141"/>
      <c r="C125" s="143"/>
      <c r="D125" s="134"/>
      <c r="E125" s="143"/>
      <c r="F125" s="134"/>
      <c r="G125" s="132"/>
      <c r="H125" s="134"/>
      <c r="I125" s="125"/>
      <c r="J125" s="134"/>
      <c r="K125" s="132"/>
      <c r="L125" s="134"/>
      <c r="M125" s="125"/>
      <c r="N125" s="126"/>
      <c r="O125" s="88"/>
    </row>
    <row r="126" spans="1:15">
      <c r="A126" s="87"/>
      <c r="B126" s="141"/>
      <c r="C126" s="143"/>
      <c r="D126" s="134"/>
      <c r="E126" s="143"/>
      <c r="F126" s="134"/>
      <c r="G126" s="132"/>
      <c r="H126" s="134"/>
      <c r="I126" s="125"/>
      <c r="J126" s="134"/>
      <c r="K126" s="132"/>
      <c r="L126" s="134"/>
      <c r="M126" s="125"/>
      <c r="N126" s="126"/>
      <c r="O126" s="88"/>
    </row>
    <row r="127" spans="1:15">
      <c r="A127" s="87"/>
      <c r="B127" s="141"/>
      <c r="C127" s="143"/>
      <c r="D127" s="134"/>
      <c r="E127" s="143"/>
      <c r="F127" s="134"/>
      <c r="G127" s="132"/>
      <c r="H127" s="134"/>
      <c r="I127" s="125"/>
      <c r="J127" s="134"/>
      <c r="K127" s="132"/>
      <c r="L127" s="134"/>
      <c r="M127" s="125"/>
      <c r="N127" s="126"/>
      <c r="O127" s="88"/>
    </row>
    <row r="128" spans="1:15">
      <c r="A128" s="87"/>
      <c r="B128" s="141"/>
      <c r="C128" s="143"/>
      <c r="D128" s="134"/>
      <c r="E128" s="143"/>
      <c r="F128" s="134"/>
      <c r="G128" s="132"/>
      <c r="H128" s="134"/>
      <c r="I128" s="125"/>
      <c r="J128" s="134"/>
      <c r="K128" s="132"/>
      <c r="L128" s="134"/>
      <c r="M128" s="125"/>
      <c r="N128" s="126"/>
      <c r="O128" s="88"/>
    </row>
    <row r="129" spans="1:15">
      <c r="A129" s="87"/>
      <c r="B129" s="141"/>
      <c r="C129" s="143"/>
      <c r="D129" s="134"/>
      <c r="E129" s="143"/>
      <c r="F129" s="134"/>
      <c r="G129" s="132"/>
      <c r="H129" s="134"/>
      <c r="I129" s="125"/>
      <c r="J129" s="134"/>
      <c r="K129" s="132"/>
      <c r="L129" s="134"/>
      <c r="M129" s="125"/>
      <c r="N129" s="126"/>
      <c r="O129" s="88"/>
    </row>
    <row r="130" spans="1:15">
      <c r="A130" s="87"/>
      <c r="B130" s="141"/>
      <c r="C130" s="143"/>
      <c r="D130" s="134"/>
      <c r="E130" s="143"/>
      <c r="F130" s="134"/>
      <c r="G130" s="132"/>
      <c r="H130" s="134"/>
      <c r="I130" s="125"/>
      <c r="J130" s="134"/>
      <c r="K130" s="132"/>
      <c r="L130" s="134"/>
      <c r="M130" s="125"/>
      <c r="N130" s="126"/>
      <c r="O130" s="88"/>
    </row>
    <row r="131" spans="1:15">
      <c r="A131" s="87"/>
      <c r="B131" s="141"/>
      <c r="C131" s="143"/>
      <c r="D131" s="134"/>
      <c r="E131" s="143"/>
      <c r="F131" s="134"/>
      <c r="G131" s="132"/>
      <c r="H131" s="134"/>
      <c r="I131" s="125"/>
      <c r="J131" s="134"/>
      <c r="K131" s="132"/>
      <c r="L131" s="134"/>
      <c r="M131" s="125"/>
      <c r="N131" s="126"/>
      <c r="O131" s="88"/>
    </row>
    <row r="132" spans="1:15">
      <c r="A132" s="87"/>
      <c r="B132" s="123"/>
      <c r="C132" s="144"/>
      <c r="D132" s="140"/>
      <c r="E132" s="144"/>
      <c r="F132" s="140"/>
      <c r="G132" s="139"/>
      <c r="H132" s="140"/>
      <c r="I132" s="136"/>
      <c r="J132" s="140"/>
      <c r="K132" s="139"/>
      <c r="L132" s="140"/>
      <c r="M132" s="136"/>
      <c r="N132" s="137"/>
      <c r="O132" s="88"/>
    </row>
  </sheetData>
  <mergeCells count="257">
    <mergeCell ref="D94:D103"/>
    <mergeCell ref="D104:D112"/>
    <mergeCell ref="D113:D122"/>
    <mergeCell ref="D123:D132"/>
    <mergeCell ref="C4:C12"/>
    <mergeCell ref="C13:C22"/>
    <mergeCell ref="C23:C32"/>
    <mergeCell ref="C33:C42"/>
    <mergeCell ref="C43:C52"/>
    <mergeCell ref="C53:C62"/>
    <mergeCell ref="C63:C73"/>
    <mergeCell ref="C74:C83"/>
    <mergeCell ref="C84:C93"/>
    <mergeCell ref="C94:C103"/>
    <mergeCell ref="C104:C112"/>
    <mergeCell ref="C113:C122"/>
    <mergeCell ref="C123:C132"/>
    <mergeCell ref="K13:K22"/>
    <mergeCell ref="L13:L22"/>
    <mergeCell ref="K23:K32"/>
    <mergeCell ref="L23:L32"/>
    <mergeCell ref="A43:A52"/>
    <mergeCell ref="B43:B52"/>
    <mergeCell ref="F4:F12"/>
    <mergeCell ref="G4:G12"/>
    <mergeCell ref="H4:H12"/>
    <mergeCell ref="G13:G22"/>
    <mergeCell ref="H13:H22"/>
    <mergeCell ref="G23:G32"/>
    <mergeCell ref="H23:H32"/>
    <mergeCell ref="F23:F32"/>
    <mergeCell ref="F13:F22"/>
    <mergeCell ref="I4:I12"/>
    <mergeCell ref="J4:J12"/>
    <mergeCell ref="I13:I22"/>
    <mergeCell ref="J13:J22"/>
    <mergeCell ref="I23:I32"/>
    <mergeCell ref="D4:D12"/>
    <mergeCell ref="D13:D22"/>
    <mergeCell ref="D23:D32"/>
    <mergeCell ref="D33:D42"/>
    <mergeCell ref="A13:A22"/>
    <mergeCell ref="B13:B22"/>
    <mergeCell ref="A23:A32"/>
    <mergeCell ref="B23:B32"/>
    <mergeCell ref="E2:F2"/>
    <mergeCell ref="A123:A132"/>
    <mergeCell ref="B123:B132"/>
    <mergeCell ref="A2:B2"/>
    <mergeCell ref="E4:E12"/>
    <mergeCell ref="E13:E22"/>
    <mergeCell ref="E23:E32"/>
    <mergeCell ref="E33:E42"/>
    <mergeCell ref="E43:E52"/>
    <mergeCell ref="E53:E62"/>
    <mergeCell ref="E63:E73"/>
    <mergeCell ref="A94:A103"/>
    <mergeCell ref="B94:B103"/>
    <mergeCell ref="A104:A112"/>
    <mergeCell ref="B104:B112"/>
    <mergeCell ref="A113:A122"/>
    <mergeCell ref="B113:B122"/>
    <mergeCell ref="A63:A73"/>
    <mergeCell ref="D43:D52"/>
    <mergeCell ref="D53:D62"/>
    <mergeCell ref="G123:G132"/>
    <mergeCell ref="H123:H132"/>
    <mergeCell ref="G104:G112"/>
    <mergeCell ref="H104:H112"/>
    <mergeCell ref="G113:G122"/>
    <mergeCell ref="H113:H122"/>
    <mergeCell ref="I104:I112"/>
    <mergeCell ref="J104:J112"/>
    <mergeCell ref="I113:I122"/>
    <mergeCell ref="J113:J122"/>
    <mergeCell ref="I123:I132"/>
    <mergeCell ref="J123:J132"/>
    <mergeCell ref="F123:F132"/>
    <mergeCell ref="F113:F122"/>
    <mergeCell ref="F104:F112"/>
    <mergeCell ref="F94:F103"/>
    <mergeCell ref="F84:F93"/>
    <mergeCell ref="F74:F83"/>
    <mergeCell ref="E74:E83"/>
    <mergeCell ref="E84:E93"/>
    <mergeCell ref="E94:E103"/>
    <mergeCell ref="E104:E112"/>
    <mergeCell ref="E113:E122"/>
    <mergeCell ref="E123:E132"/>
    <mergeCell ref="B63:B73"/>
    <mergeCell ref="A74:A83"/>
    <mergeCell ref="B74:B83"/>
    <mergeCell ref="A84:A93"/>
    <mergeCell ref="B84:B93"/>
    <mergeCell ref="A33:A42"/>
    <mergeCell ref="B33:B42"/>
    <mergeCell ref="F63:F73"/>
    <mergeCell ref="F53:F62"/>
    <mergeCell ref="F43:F52"/>
    <mergeCell ref="F33:F42"/>
    <mergeCell ref="A53:A62"/>
    <mergeCell ref="B53:B62"/>
    <mergeCell ref="D63:D73"/>
    <mergeCell ref="D74:D83"/>
    <mergeCell ref="D84:D93"/>
    <mergeCell ref="J23:J32"/>
    <mergeCell ref="I33:I42"/>
    <mergeCell ref="J33:J42"/>
    <mergeCell ref="G94:G103"/>
    <mergeCell ref="H94:H103"/>
    <mergeCell ref="G63:G73"/>
    <mergeCell ref="H63:H73"/>
    <mergeCell ref="G74:G83"/>
    <mergeCell ref="H74:H83"/>
    <mergeCell ref="G84:G93"/>
    <mergeCell ref="H84:H93"/>
    <mergeCell ref="G33:G42"/>
    <mergeCell ref="H33:H42"/>
    <mergeCell ref="G43:G52"/>
    <mergeCell ref="H43:H52"/>
    <mergeCell ref="G53:G62"/>
    <mergeCell ref="H53:H62"/>
    <mergeCell ref="I63:I73"/>
    <mergeCell ref="J53:J62"/>
    <mergeCell ref="I43:I52"/>
    <mergeCell ref="J43:J52"/>
    <mergeCell ref="I53:I62"/>
    <mergeCell ref="I74:I83"/>
    <mergeCell ref="J74:J83"/>
    <mergeCell ref="M104:M112"/>
    <mergeCell ref="N104:N112"/>
    <mergeCell ref="M113:M122"/>
    <mergeCell ref="N113:N122"/>
    <mergeCell ref="M123:M132"/>
    <mergeCell ref="N123:N132"/>
    <mergeCell ref="K74:K83"/>
    <mergeCell ref="L74:L83"/>
    <mergeCell ref="K84:K93"/>
    <mergeCell ref="L84:L93"/>
    <mergeCell ref="K123:K132"/>
    <mergeCell ref="L123:L132"/>
    <mergeCell ref="K104:K112"/>
    <mergeCell ref="L104:L112"/>
    <mergeCell ref="K113:K122"/>
    <mergeCell ref="L113:L122"/>
    <mergeCell ref="I84:I93"/>
    <mergeCell ref="J84:J93"/>
    <mergeCell ref="K94:K103"/>
    <mergeCell ref="L94:L103"/>
    <mergeCell ref="K63:K73"/>
    <mergeCell ref="L63:L73"/>
    <mergeCell ref="I94:I103"/>
    <mergeCell ref="J94:J103"/>
    <mergeCell ref="J63:J73"/>
    <mergeCell ref="K33:K42"/>
    <mergeCell ref="L33:L42"/>
    <mergeCell ref="M74:M83"/>
    <mergeCell ref="N74:N83"/>
    <mergeCell ref="M84:M93"/>
    <mergeCell ref="N84:N93"/>
    <mergeCell ref="M94:M103"/>
    <mergeCell ref="N94:N103"/>
    <mergeCell ref="M43:M52"/>
    <mergeCell ref="N43:N52"/>
    <mergeCell ref="M53:M62"/>
    <mergeCell ref="N53:N62"/>
    <mergeCell ref="M63:M73"/>
    <mergeCell ref="N63:N73"/>
    <mergeCell ref="K43:K52"/>
    <mergeCell ref="L43:L52"/>
    <mergeCell ref="K53:K62"/>
    <mergeCell ref="L53:L62"/>
    <mergeCell ref="M23:M32"/>
    <mergeCell ref="N23:N32"/>
    <mergeCell ref="M33:M42"/>
    <mergeCell ref="N33:N42"/>
    <mergeCell ref="M2:N2"/>
    <mergeCell ref="Q2:R2"/>
    <mergeCell ref="Q3:R8"/>
    <mergeCell ref="A1:B1"/>
    <mergeCell ref="S2:T2"/>
    <mergeCell ref="K4:K12"/>
    <mergeCell ref="L4:L12"/>
    <mergeCell ref="A4:A12"/>
    <mergeCell ref="B4:B12"/>
    <mergeCell ref="E1:N1"/>
    <mergeCell ref="G2:H2"/>
    <mergeCell ref="I2:J2"/>
    <mergeCell ref="K2:L2"/>
    <mergeCell ref="C2:D2"/>
    <mergeCell ref="Q1:R1"/>
    <mergeCell ref="S3:T8"/>
    <mergeCell ref="M4:M12"/>
    <mergeCell ref="N4:N12"/>
    <mergeCell ref="M13:M22"/>
    <mergeCell ref="N13:N22"/>
    <mergeCell ref="O113:O122"/>
    <mergeCell ref="O123:O132"/>
    <mergeCell ref="O4:O12"/>
    <mergeCell ref="O13:O22"/>
    <mergeCell ref="O84:O93"/>
    <mergeCell ref="O94:O103"/>
    <mergeCell ref="O104:O112"/>
    <mergeCell ref="O53:O62"/>
    <mergeCell ref="O63:O73"/>
    <mergeCell ref="O74:O83"/>
    <mergeCell ref="O23:O32"/>
    <mergeCell ref="O33:O42"/>
    <mergeCell ref="O43:O52"/>
    <mergeCell ref="U1:V1"/>
    <mergeCell ref="W1:X1"/>
    <mergeCell ref="Y1:Z1"/>
    <mergeCell ref="AA1:AB1"/>
    <mergeCell ref="P3:P8"/>
    <mergeCell ref="S1:T1"/>
    <mergeCell ref="Y2:Z2"/>
    <mergeCell ref="Q22:R42"/>
    <mergeCell ref="S22:T42"/>
    <mergeCell ref="U22:V42"/>
    <mergeCell ref="W22:X42"/>
    <mergeCell ref="Y22:Z42"/>
    <mergeCell ref="AA22:AB42"/>
    <mergeCell ref="P22:P42"/>
    <mergeCell ref="AA2:AB2"/>
    <mergeCell ref="U3:V8"/>
    <mergeCell ref="W3:X8"/>
    <mergeCell ref="Y3:Z8"/>
    <mergeCell ref="AA3:AB8"/>
    <mergeCell ref="U2:V2"/>
    <mergeCell ref="W2:X2"/>
    <mergeCell ref="V55:AA55"/>
    <mergeCell ref="V58:AA58"/>
    <mergeCell ref="V62:AA62"/>
    <mergeCell ref="V75:AA75"/>
    <mergeCell ref="V56:AA56"/>
    <mergeCell ref="V57:AA57"/>
    <mergeCell ref="V59:AA59"/>
    <mergeCell ref="V60:AA61"/>
    <mergeCell ref="V63:AA63"/>
    <mergeCell ref="V64:AA64"/>
    <mergeCell ref="V65:AA65"/>
    <mergeCell ref="V66:AA66"/>
    <mergeCell ref="V69:AA69"/>
    <mergeCell ref="V68:AA68"/>
    <mergeCell ref="V67:AA67"/>
    <mergeCell ref="R63:R69"/>
    <mergeCell ref="S61:U61"/>
    <mergeCell ref="R77:R83"/>
    <mergeCell ref="V83:AA83"/>
    <mergeCell ref="S75:U75"/>
    <mergeCell ref="V76:AA76"/>
    <mergeCell ref="V77:AA77"/>
    <mergeCell ref="V78:AA78"/>
    <mergeCell ref="V79:AA79"/>
    <mergeCell ref="V80:AA80"/>
    <mergeCell ref="V81:AA81"/>
    <mergeCell ref="V82:AA82"/>
  </mergeCells>
  <dataValidations count="1">
    <dataValidation type="list" allowBlank="1" showInputMessage="1" showErrorMessage="1" sqref="F4:F132 H4:H132 J4:J132 L4:L132 N4:N132 D4:D132" xr:uid="{D87E07C1-92AA-4BD1-941B-20E6F69FBF1B}">
      <formula1>$A$4:$A$132</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CC8D-513C-47F2-B2CE-4E8ECE7F48E8}">
  <dimension ref="A1:AT132"/>
  <sheetViews>
    <sheetView workbookViewId="0">
      <pane xSplit="2" topLeftCell="C1" activePane="topRight" state="frozen"/>
      <selection pane="topRight" activeCell="E13" sqref="E13:E22"/>
    </sheetView>
  </sheetViews>
  <sheetFormatPr defaultColWidth="9.140625" defaultRowHeight="15"/>
  <cols>
    <col min="2" max="4" width="18.5703125" customWidth="1"/>
    <col min="5" max="5" width="56.85546875" customWidth="1"/>
    <col min="6" max="6" width="11.5703125" customWidth="1"/>
    <col min="7" max="7" width="39.42578125" customWidth="1"/>
    <col min="8" max="8" width="12.42578125" customWidth="1"/>
    <col min="9" max="9" width="10.85546875" customWidth="1"/>
    <col min="10" max="10" width="13" customWidth="1"/>
    <col min="11" max="11" width="31.5703125" customWidth="1"/>
    <col min="12" max="12" width="10.5703125" customWidth="1"/>
    <col min="13" max="13" width="11" customWidth="1"/>
    <col min="14" max="14" width="11.7109375" customWidth="1"/>
    <col min="15" max="15" width="11.7109375" hidden="1" customWidth="1"/>
    <col min="18" max="18" width="15.7109375" customWidth="1"/>
    <col min="22" max="22" width="19.140625" customWidth="1"/>
    <col min="24" max="24" width="19.85546875" customWidth="1"/>
    <col min="26" max="26" width="14" customWidth="1"/>
    <col min="28" max="28" width="30.140625" customWidth="1"/>
  </cols>
  <sheetData>
    <row r="1" spans="1:46">
      <c r="A1" s="129"/>
      <c r="B1" s="130"/>
      <c r="C1" s="9"/>
      <c r="D1" s="9"/>
      <c r="E1" s="135" t="s">
        <v>76</v>
      </c>
      <c r="F1" s="135"/>
      <c r="G1" s="135"/>
      <c r="H1" s="135"/>
      <c r="I1" s="135"/>
      <c r="J1" s="135"/>
      <c r="K1" s="135"/>
      <c r="L1" s="135"/>
      <c r="M1" s="135"/>
      <c r="N1" s="135"/>
      <c r="O1" s="8"/>
      <c r="P1" s="18" t="s">
        <v>77</v>
      </c>
      <c r="Q1" s="102">
        <v>7</v>
      </c>
      <c r="R1" s="104"/>
      <c r="S1" s="102">
        <v>4</v>
      </c>
      <c r="T1" s="104"/>
      <c r="U1" s="102">
        <v>4</v>
      </c>
      <c r="V1" s="104"/>
      <c r="W1" s="102">
        <v>4</v>
      </c>
      <c r="X1" s="104"/>
      <c r="Y1" s="102">
        <v>4</v>
      </c>
      <c r="Z1" s="104"/>
      <c r="AA1" s="102">
        <v>5</v>
      </c>
      <c r="AB1" s="104"/>
    </row>
    <row r="2" spans="1:46" ht="72.75" customHeight="1">
      <c r="A2" s="103" t="s">
        <v>78</v>
      </c>
      <c r="B2" s="103"/>
      <c r="C2" s="87" t="s">
        <v>79</v>
      </c>
      <c r="D2" s="87"/>
      <c r="E2" s="87" t="s">
        <v>80</v>
      </c>
      <c r="F2" s="87"/>
      <c r="G2" s="87" t="s">
        <v>81</v>
      </c>
      <c r="H2" s="87"/>
      <c r="I2" s="87" t="s">
        <v>82</v>
      </c>
      <c r="J2" s="87"/>
      <c r="K2" s="87" t="s">
        <v>83</v>
      </c>
      <c r="L2" s="87"/>
      <c r="M2" s="87" t="s">
        <v>175</v>
      </c>
      <c r="N2" s="87"/>
      <c r="O2" s="6"/>
      <c r="P2" s="10"/>
      <c r="Q2" s="87" t="str">
        <f>C2</f>
        <v>Stickiness</v>
      </c>
      <c r="R2" s="87"/>
      <c r="S2" s="87" t="str">
        <f>E2</f>
        <v>Involved Technology's Readiness. (complexity is also involved)</v>
      </c>
      <c r="T2" s="87"/>
      <c r="U2" s="87" t="str">
        <f>G2</f>
        <v>Energy per unit captured</v>
      </c>
      <c r="V2" s="87"/>
      <c r="W2" s="87" t="str">
        <f>I2</f>
        <v>Risk involved especially the possibilty to generate more Space Debris.</v>
      </c>
      <c r="X2" s="87"/>
      <c r="Y2" s="87" t="str">
        <f>K2</f>
        <v>Mass sent in space vs mass that can be repositioned/captured</v>
      </c>
      <c r="Z2" s="87"/>
      <c r="AA2" s="87" t="str">
        <f>M2</f>
        <v>Suitability for Medium SDs</v>
      </c>
      <c r="AB2" s="87"/>
    </row>
    <row r="3" spans="1:46">
      <c r="A3" s="4" t="s">
        <v>0</v>
      </c>
      <c r="B3" s="5" t="s">
        <v>1</v>
      </c>
      <c r="C3" s="7" t="s">
        <v>85</v>
      </c>
      <c r="D3" s="7" t="s">
        <v>86</v>
      </c>
      <c r="E3" s="7" t="s">
        <v>85</v>
      </c>
      <c r="F3" s="7" t="s">
        <v>86</v>
      </c>
      <c r="G3" s="7" t="s">
        <v>85</v>
      </c>
      <c r="H3" s="7" t="s">
        <v>86</v>
      </c>
      <c r="I3" s="7" t="s">
        <v>85</v>
      </c>
      <c r="J3" s="7" t="s">
        <v>86</v>
      </c>
      <c r="K3" s="7" t="s">
        <v>85</v>
      </c>
      <c r="L3" s="7" t="s">
        <v>86</v>
      </c>
      <c r="M3" s="7" t="s">
        <v>85</v>
      </c>
      <c r="N3" s="7" t="s">
        <v>86</v>
      </c>
      <c r="O3" s="5" t="s">
        <v>1</v>
      </c>
      <c r="P3" s="116" t="s">
        <v>87</v>
      </c>
      <c r="Q3" s="88" t="s">
        <v>88</v>
      </c>
      <c r="R3" s="88"/>
      <c r="S3" s="88" t="s">
        <v>88</v>
      </c>
      <c r="T3" s="88"/>
      <c r="U3" s="88" t="s">
        <v>89</v>
      </c>
      <c r="V3" s="88"/>
      <c r="W3" s="88" t="s">
        <v>90</v>
      </c>
      <c r="X3" s="88"/>
      <c r="Y3" s="88" t="s">
        <v>91</v>
      </c>
      <c r="Z3" s="88"/>
      <c r="AA3" s="88" t="s">
        <v>92</v>
      </c>
      <c r="AB3" s="88"/>
      <c r="AM3">
        <f>Q1</f>
        <v>7</v>
      </c>
      <c r="AN3">
        <f>S1</f>
        <v>4</v>
      </c>
      <c r="AO3">
        <f>U1</f>
        <v>4</v>
      </c>
      <c r="AP3">
        <f>W1</f>
        <v>4</v>
      </c>
      <c r="AQ3">
        <v>1</v>
      </c>
      <c r="AR3">
        <f>AA1</f>
        <v>5</v>
      </c>
    </row>
    <row r="4" spans="1:46" ht="15" customHeight="1">
      <c r="A4" s="87">
        <v>1</v>
      </c>
      <c r="B4" s="88" t="str">
        <f>'Table of Capture Methods'!B2</f>
        <v>Controlled Net</v>
      </c>
      <c r="C4" s="138"/>
      <c r="D4" s="133"/>
      <c r="E4" s="138"/>
      <c r="F4" s="133"/>
      <c r="G4" s="138"/>
      <c r="H4" s="133"/>
      <c r="I4" s="145"/>
      <c r="J4" s="133"/>
      <c r="K4" s="131"/>
      <c r="L4" s="133"/>
      <c r="M4" s="127"/>
      <c r="N4" s="128">
        <v>1</v>
      </c>
      <c r="O4" s="88" t="s">
        <v>8</v>
      </c>
      <c r="P4" s="117"/>
      <c r="Q4" s="88"/>
      <c r="R4" s="88"/>
      <c r="S4" s="88"/>
      <c r="T4" s="88"/>
      <c r="U4" s="88"/>
      <c r="V4" s="88"/>
      <c r="W4" s="88"/>
      <c r="X4" s="88"/>
      <c r="Y4" s="88"/>
      <c r="Z4" s="88"/>
      <c r="AA4" s="88"/>
      <c r="AB4" s="88"/>
      <c r="AF4" t="s">
        <v>79</v>
      </c>
      <c r="AG4" t="s">
        <v>176</v>
      </c>
      <c r="AH4" t="s">
        <v>97</v>
      </c>
      <c r="AI4" t="s">
        <v>98</v>
      </c>
      <c r="AJ4" t="s">
        <v>99</v>
      </c>
      <c r="AK4" t="s">
        <v>100</v>
      </c>
      <c r="AM4" t="s">
        <v>79</v>
      </c>
      <c r="AN4" t="s">
        <v>176</v>
      </c>
      <c r="AO4" t="s">
        <v>97</v>
      </c>
      <c r="AP4" t="s">
        <v>98</v>
      </c>
      <c r="AQ4" t="s">
        <v>99</v>
      </c>
      <c r="AR4" t="s">
        <v>100</v>
      </c>
      <c r="AS4" t="s">
        <v>102</v>
      </c>
      <c r="AT4" t="s">
        <v>103</v>
      </c>
    </row>
    <row r="5" spans="1:46">
      <c r="A5" s="87"/>
      <c r="B5" s="88"/>
      <c r="C5" s="132"/>
      <c r="D5" s="134"/>
      <c r="E5" s="132"/>
      <c r="F5" s="134"/>
      <c r="G5" s="132"/>
      <c r="H5" s="134"/>
      <c r="I5" s="125"/>
      <c r="J5" s="134"/>
      <c r="K5" s="132"/>
      <c r="L5" s="134"/>
      <c r="M5" s="125"/>
      <c r="N5" s="126"/>
      <c r="O5" s="88"/>
      <c r="P5" s="117"/>
      <c r="Q5" s="88"/>
      <c r="R5" s="88"/>
      <c r="S5" s="88"/>
      <c r="T5" s="88"/>
      <c r="U5" s="88"/>
      <c r="V5" s="88"/>
      <c r="W5" s="88"/>
      <c r="X5" s="88"/>
      <c r="Y5" s="88"/>
      <c r="Z5" s="88"/>
      <c r="AA5" s="88"/>
      <c r="AB5" s="88"/>
      <c r="AE5" t="str">
        <f>B4</f>
        <v>Controlled Net</v>
      </c>
      <c r="AF5">
        <f t="shared" ref="AF5" si="0">D4</f>
        <v>0</v>
      </c>
      <c r="AG5">
        <f>F4</f>
        <v>0</v>
      </c>
      <c r="AH5">
        <f>H4</f>
        <v>0</v>
      </c>
      <c r="AI5">
        <f>J4</f>
        <v>0</v>
      </c>
      <c r="AJ5">
        <f>L4</f>
        <v>0</v>
      </c>
      <c r="AK5">
        <f>N4</f>
        <v>1</v>
      </c>
      <c r="AL5" t="str">
        <f>AE5</f>
        <v>Controlled Net</v>
      </c>
      <c r="AM5">
        <f>ROUND((-5*AF5+65)/6, 3)</f>
        <v>10.833</v>
      </c>
      <c r="AN5">
        <f>ROUND((-5*AG5+65)/6, 3)</f>
        <v>10.833</v>
      </c>
      <c r="AO5">
        <f t="shared" ref="AO5:AR17" si="1">ROUND((-5*AH5+65)/6, 3)</f>
        <v>10.833</v>
      </c>
      <c r="AP5">
        <f t="shared" si="1"/>
        <v>10.833</v>
      </c>
      <c r="AQ5">
        <f t="shared" si="1"/>
        <v>10.833</v>
      </c>
      <c r="AR5">
        <f t="shared" si="1"/>
        <v>10</v>
      </c>
      <c r="AS5">
        <f>ROUND(SUM(AM5:AR5)/6, 3)</f>
        <v>10.694000000000001</v>
      </c>
      <c r="AT5">
        <f>ROUND(($AM$3*AM5+$AR$3*AR5+$AQ$3*AQ5+$AP$3*AP5+$AO$3*AO5+$AN$3*AN5)/(SUM($AM$3:$AR$3)), 3)</f>
        <v>10.666</v>
      </c>
    </row>
    <row r="6" spans="1:46">
      <c r="A6" s="87"/>
      <c r="B6" s="88"/>
      <c r="C6" s="132"/>
      <c r="D6" s="134"/>
      <c r="E6" s="132"/>
      <c r="F6" s="134"/>
      <c r="G6" s="132"/>
      <c r="H6" s="134"/>
      <c r="I6" s="125"/>
      <c r="J6" s="134"/>
      <c r="K6" s="132"/>
      <c r="L6" s="134"/>
      <c r="M6" s="125"/>
      <c r="N6" s="126"/>
      <c r="O6" s="88"/>
      <c r="P6" s="117"/>
      <c r="Q6" s="88"/>
      <c r="R6" s="88"/>
      <c r="S6" s="88"/>
      <c r="T6" s="88"/>
      <c r="U6" s="88"/>
      <c r="V6" s="88"/>
      <c r="W6" s="88"/>
      <c r="X6" s="88"/>
      <c r="Y6" s="88"/>
      <c r="Z6" s="88"/>
      <c r="AA6" s="88"/>
      <c r="AB6" s="88"/>
      <c r="AE6" t="str">
        <f>B13</f>
        <v>Inflated Method</v>
      </c>
      <c r="AF6">
        <f t="shared" ref="AF6" si="2">D13</f>
        <v>0</v>
      </c>
      <c r="AG6">
        <f>F13</f>
        <v>0</v>
      </c>
      <c r="AH6">
        <f>H13</f>
        <v>0</v>
      </c>
      <c r="AI6">
        <f>J13</f>
        <v>0</v>
      </c>
      <c r="AJ6">
        <f>L13</f>
        <v>0</v>
      </c>
      <c r="AK6">
        <f>N13</f>
        <v>8</v>
      </c>
      <c r="AL6" t="str">
        <f t="shared" ref="AL6:AL17" si="3">AE6</f>
        <v>Inflated Method</v>
      </c>
      <c r="AM6">
        <f t="shared" ref="AM6:AN17" si="4">ROUND((-5*AF6+65)/6, 3)</f>
        <v>10.833</v>
      </c>
      <c r="AN6">
        <f t="shared" si="4"/>
        <v>10.833</v>
      </c>
      <c r="AO6">
        <f t="shared" si="1"/>
        <v>10.833</v>
      </c>
      <c r="AP6">
        <f t="shared" si="1"/>
        <v>10.833</v>
      </c>
      <c r="AQ6">
        <f t="shared" si="1"/>
        <v>10.833</v>
      </c>
      <c r="AR6">
        <f t="shared" si="1"/>
        <v>4.1669999999999998</v>
      </c>
      <c r="AS6">
        <f t="shared" ref="AS6:AS17" si="5">ROUND(SUM(AM6:AR6)/6, 3)</f>
        <v>9.7219999999999995</v>
      </c>
      <c r="AT6">
        <f t="shared" ref="AT6:AT17" si="6">ROUND(($AM$3*AM6+$AR$3*AR6+$AQ$3*AQ6+$AP$3*AP6+$AO$3*AO6+$AN$3*AN6)/(SUM($AM$3:$AR$3)), 3)</f>
        <v>9.5</v>
      </c>
    </row>
    <row r="7" spans="1:46">
      <c r="A7" s="87"/>
      <c r="B7" s="88"/>
      <c r="C7" s="132"/>
      <c r="D7" s="134"/>
      <c r="E7" s="132"/>
      <c r="F7" s="134"/>
      <c r="G7" s="132"/>
      <c r="H7" s="134"/>
      <c r="I7" s="125"/>
      <c r="J7" s="134"/>
      <c r="K7" s="132"/>
      <c r="L7" s="134"/>
      <c r="M7" s="125"/>
      <c r="N7" s="126"/>
      <c r="O7" s="88"/>
      <c r="P7" s="117"/>
      <c r="Q7" s="88"/>
      <c r="R7" s="88"/>
      <c r="S7" s="88"/>
      <c r="T7" s="88"/>
      <c r="U7" s="88"/>
      <c r="V7" s="88"/>
      <c r="W7" s="88"/>
      <c r="X7" s="88"/>
      <c r="Y7" s="88"/>
      <c r="Z7" s="88"/>
      <c r="AA7" s="88"/>
      <c r="AB7" s="88"/>
      <c r="AE7" t="str">
        <f>B23</f>
        <v>Foam Method</v>
      </c>
      <c r="AF7">
        <f t="shared" ref="AF7" si="7">D23</f>
        <v>0</v>
      </c>
      <c r="AG7">
        <f>F23</f>
        <v>0</v>
      </c>
      <c r="AH7">
        <f>H23</f>
        <v>0</v>
      </c>
      <c r="AI7">
        <f>J23</f>
        <v>0</v>
      </c>
      <c r="AJ7">
        <f>L23</f>
        <v>0</v>
      </c>
      <c r="AK7">
        <f>N23</f>
        <v>9</v>
      </c>
      <c r="AL7" t="str">
        <f t="shared" si="3"/>
        <v>Foam Method</v>
      </c>
      <c r="AM7">
        <f t="shared" si="4"/>
        <v>10.833</v>
      </c>
      <c r="AN7">
        <f t="shared" si="4"/>
        <v>10.833</v>
      </c>
      <c r="AO7">
        <f t="shared" si="1"/>
        <v>10.833</v>
      </c>
      <c r="AP7">
        <f t="shared" si="1"/>
        <v>10.833</v>
      </c>
      <c r="AQ7">
        <f t="shared" si="1"/>
        <v>10.833</v>
      </c>
      <c r="AR7">
        <f t="shared" si="1"/>
        <v>3.3330000000000002</v>
      </c>
      <c r="AS7">
        <f t="shared" si="5"/>
        <v>9.5830000000000002</v>
      </c>
      <c r="AT7">
        <f t="shared" si="6"/>
        <v>9.3330000000000002</v>
      </c>
    </row>
    <row r="8" spans="1:46" ht="19.5" customHeight="1">
      <c r="A8" s="87"/>
      <c r="B8" s="88"/>
      <c r="C8" s="132"/>
      <c r="D8" s="134"/>
      <c r="E8" s="132"/>
      <c r="F8" s="134"/>
      <c r="G8" s="132"/>
      <c r="H8" s="134"/>
      <c r="I8" s="125"/>
      <c r="J8" s="134"/>
      <c r="K8" s="132"/>
      <c r="L8" s="134"/>
      <c r="M8" s="125"/>
      <c r="N8" s="126"/>
      <c r="O8" s="88"/>
      <c r="P8" s="118"/>
      <c r="Q8" s="120"/>
      <c r="R8" s="120"/>
      <c r="S8" s="120"/>
      <c r="T8" s="120"/>
      <c r="U8" s="120"/>
      <c r="V8" s="120"/>
      <c r="W8" s="120"/>
      <c r="X8" s="120"/>
      <c r="Y8" s="120"/>
      <c r="Z8" s="120"/>
      <c r="AA8" s="120"/>
      <c r="AB8" s="120"/>
      <c r="AE8" t="str">
        <f>B33</f>
        <v>"Adhesive" Method</v>
      </c>
      <c r="AF8">
        <f t="shared" ref="AF8" si="8">D33</f>
        <v>0</v>
      </c>
      <c r="AG8">
        <f>F33</f>
        <v>0</v>
      </c>
      <c r="AH8">
        <f>H33</f>
        <v>0</v>
      </c>
      <c r="AI8">
        <f>J33</f>
        <v>0</v>
      </c>
      <c r="AJ8">
        <f>L33</f>
        <v>0</v>
      </c>
      <c r="AK8">
        <f>N33</f>
        <v>10</v>
      </c>
      <c r="AL8" t="str">
        <f t="shared" si="3"/>
        <v>"Adhesive" Method</v>
      </c>
      <c r="AM8">
        <f t="shared" si="4"/>
        <v>10.833</v>
      </c>
      <c r="AN8">
        <f t="shared" si="4"/>
        <v>10.833</v>
      </c>
      <c r="AO8">
        <f t="shared" si="1"/>
        <v>10.833</v>
      </c>
      <c r="AP8">
        <f t="shared" si="1"/>
        <v>10.833</v>
      </c>
      <c r="AQ8">
        <f t="shared" si="1"/>
        <v>10.833</v>
      </c>
      <c r="AR8">
        <f t="shared" si="1"/>
        <v>2.5</v>
      </c>
      <c r="AS8">
        <f t="shared" si="5"/>
        <v>9.4440000000000008</v>
      </c>
      <c r="AT8">
        <f t="shared" si="6"/>
        <v>9.1660000000000004</v>
      </c>
    </row>
    <row r="9" spans="1:46">
      <c r="A9" s="87"/>
      <c r="B9" s="88"/>
      <c r="C9" s="132"/>
      <c r="D9" s="134"/>
      <c r="E9" s="132"/>
      <c r="F9" s="134"/>
      <c r="G9" s="132"/>
      <c r="H9" s="134"/>
      <c r="I9" s="125"/>
      <c r="J9" s="134"/>
      <c r="K9" s="132"/>
      <c r="L9" s="134"/>
      <c r="M9" s="125"/>
      <c r="N9" s="134"/>
      <c r="O9" s="121"/>
      <c r="P9" s="17">
        <v>1</v>
      </c>
      <c r="Q9" s="12" t="e">
        <f>VLOOKUP(P9,$D$3:$O$132,12,FALSE)</f>
        <v>#N/A</v>
      </c>
      <c r="R9" s="12"/>
      <c r="S9" s="12" t="e">
        <f>VLOOKUP(P9,$F$3:$O$132,10,FALSE)</f>
        <v>#N/A</v>
      </c>
      <c r="T9" s="12"/>
      <c r="U9" s="12" t="e">
        <f>VLOOKUP(P9,$H$3:$O$132,8,FALSE)</f>
        <v>#N/A</v>
      </c>
      <c r="V9" s="12"/>
      <c r="W9" s="12" t="e">
        <f>VLOOKUP(P9,$J$3:$O$132,6,FALSE)</f>
        <v>#N/A</v>
      </c>
      <c r="X9" s="12"/>
      <c r="Y9" s="12" t="e">
        <f>VLOOKUP(P9,$L$3:$O$132,4,FALSE)</f>
        <v>#N/A</v>
      </c>
      <c r="Z9" s="12"/>
      <c r="AA9" s="12" t="str">
        <f>VLOOKUP(P9,$N$3:$O$132,2,FALSE)</f>
        <v>Controlled Net</v>
      </c>
      <c r="AB9" s="12"/>
      <c r="AE9" t="str">
        <f>B43</f>
        <v>Tether + Adhesive Thread + Damper</v>
      </c>
      <c r="AF9">
        <f t="shared" ref="AF9" si="9">D43</f>
        <v>0</v>
      </c>
      <c r="AG9">
        <f>F43</f>
        <v>0</v>
      </c>
      <c r="AH9">
        <f>H43</f>
        <v>0</v>
      </c>
      <c r="AI9">
        <f>J43</f>
        <v>0</v>
      </c>
      <c r="AJ9">
        <f>L43</f>
        <v>0</v>
      </c>
      <c r="AK9">
        <f>N43</f>
        <v>6</v>
      </c>
      <c r="AL9" t="str">
        <f t="shared" si="3"/>
        <v>Tether + Adhesive Thread + Damper</v>
      </c>
      <c r="AM9">
        <f t="shared" si="4"/>
        <v>10.833</v>
      </c>
      <c r="AN9">
        <f t="shared" si="4"/>
        <v>10.833</v>
      </c>
      <c r="AO9">
        <f t="shared" si="1"/>
        <v>10.833</v>
      </c>
      <c r="AP9">
        <f t="shared" si="1"/>
        <v>10.833</v>
      </c>
      <c r="AQ9">
        <f t="shared" si="1"/>
        <v>10.833</v>
      </c>
      <c r="AR9">
        <f t="shared" si="1"/>
        <v>5.8330000000000002</v>
      </c>
      <c r="AS9">
        <f t="shared" si="5"/>
        <v>10</v>
      </c>
      <c r="AT9">
        <f t="shared" si="6"/>
        <v>9.8330000000000002</v>
      </c>
    </row>
    <row r="10" spans="1:46">
      <c r="A10" s="87"/>
      <c r="B10" s="88"/>
      <c r="C10" s="132"/>
      <c r="D10" s="134"/>
      <c r="E10" s="132"/>
      <c r="F10" s="134"/>
      <c r="G10" s="132"/>
      <c r="H10" s="134"/>
      <c r="I10" s="125"/>
      <c r="J10" s="134"/>
      <c r="K10" s="132"/>
      <c r="L10" s="134"/>
      <c r="M10" s="125"/>
      <c r="N10" s="134"/>
      <c r="O10" s="121"/>
      <c r="P10" s="11">
        <v>2</v>
      </c>
      <c r="Q10" s="12" t="e">
        <f t="shared" ref="Q10:Q21" si="10">VLOOKUP(P10,$D$3:$O$132,12,FALSE)</f>
        <v>#N/A</v>
      </c>
      <c r="R10" s="12"/>
      <c r="S10" s="12" t="e">
        <f>VLOOKUP(P10,$F$3:$O$132,10,FALSE)</f>
        <v>#N/A</v>
      </c>
      <c r="T10" s="12"/>
      <c r="U10" s="12" t="e">
        <f t="shared" ref="U10:U21" si="11">VLOOKUP(P10,$H$3:$O$132,8,FALSE)</f>
        <v>#N/A</v>
      </c>
      <c r="V10" s="12"/>
      <c r="W10" s="12" t="e">
        <f t="shared" ref="W10:W21" si="12">VLOOKUP(P10,$J$3:$O$132,6,FALSE)</f>
        <v>#N/A</v>
      </c>
      <c r="X10" s="12"/>
      <c r="Y10" s="12" t="e">
        <f t="shared" ref="Y10:Y21" si="13">VLOOKUP(P10,$L$3:$O$132,4,FALSE)</f>
        <v>#N/A</v>
      </c>
      <c r="Z10" s="12"/>
      <c r="AA10" s="12" t="str">
        <f t="shared" ref="AA10:AA21" si="14">VLOOKUP(P10,$N$3:$O$132,2,FALSE)</f>
        <v>Magnetic</v>
      </c>
      <c r="AB10" s="12"/>
      <c r="AE10" t="str">
        <f>B53</f>
        <v>Slingshot and Catch</v>
      </c>
      <c r="AF10">
        <f t="shared" ref="AF10" si="15">D53</f>
        <v>0</v>
      </c>
      <c r="AG10">
        <f>F53</f>
        <v>0</v>
      </c>
      <c r="AH10">
        <f>H53</f>
        <v>0</v>
      </c>
      <c r="AI10">
        <f>J53</f>
        <v>0</v>
      </c>
      <c r="AJ10">
        <f>L53</f>
        <v>0</v>
      </c>
      <c r="AK10">
        <f>N53</f>
        <v>7</v>
      </c>
      <c r="AL10" t="str">
        <f t="shared" si="3"/>
        <v>Slingshot and Catch</v>
      </c>
      <c r="AM10">
        <f t="shared" si="4"/>
        <v>10.833</v>
      </c>
      <c r="AN10">
        <f t="shared" si="4"/>
        <v>10.833</v>
      </c>
      <c r="AO10">
        <f t="shared" si="1"/>
        <v>10.833</v>
      </c>
      <c r="AP10">
        <f t="shared" si="1"/>
        <v>10.833</v>
      </c>
      <c r="AQ10">
        <f t="shared" si="1"/>
        <v>10.833</v>
      </c>
      <c r="AR10">
        <f t="shared" si="1"/>
        <v>5</v>
      </c>
      <c r="AS10">
        <f t="shared" si="5"/>
        <v>9.8610000000000007</v>
      </c>
      <c r="AT10">
        <f t="shared" si="6"/>
        <v>9.6660000000000004</v>
      </c>
    </row>
    <row r="11" spans="1:46">
      <c r="A11" s="87"/>
      <c r="B11" s="88"/>
      <c r="C11" s="132"/>
      <c r="D11" s="134"/>
      <c r="E11" s="132"/>
      <c r="F11" s="134"/>
      <c r="G11" s="132"/>
      <c r="H11" s="134"/>
      <c r="I11" s="125"/>
      <c r="J11" s="134"/>
      <c r="K11" s="132"/>
      <c r="L11" s="134"/>
      <c r="M11" s="125"/>
      <c r="N11" s="134"/>
      <c r="O11" s="121"/>
      <c r="P11" s="11">
        <v>3</v>
      </c>
      <c r="Q11" s="12" t="e">
        <f t="shared" si="10"/>
        <v>#N/A</v>
      </c>
      <c r="R11" s="12"/>
      <c r="S11" s="12" t="e">
        <f>VLOOKUP(P11,$F$3:$O$132,10,FALSE)</f>
        <v>#N/A</v>
      </c>
      <c r="T11" s="12"/>
      <c r="U11" s="12" t="e">
        <f t="shared" si="11"/>
        <v>#N/A</v>
      </c>
      <c r="V11" s="12"/>
      <c r="W11" s="12" t="e">
        <f t="shared" si="12"/>
        <v>#N/A</v>
      </c>
      <c r="X11" s="12"/>
      <c r="Y11" s="12" t="e">
        <f t="shared" si="13"/>
        <v>#N/A</v>
      </c>
      <c r="Z11" s="12"/>
      <c r="AA11" s="12" t="str">
        <f t="shared" si="14"/>
        <v>Ion Beam Shepherd</v>
      </c>
      <c r="AB11" s="12"/>
      <c r="AE11" t="str">
        <f>B63</f>
        <v>Magnetic</v>
      </c>
      <c r="AF11">
        <f t="shared" ref="AF11" si="16">D63</f>
        <v>0</v>
      </c>
      <c r="AG11">
        <f>F63</f>
        <v>0</v>
      </c>
      <c r="AH11">
        <f>H63</f>
        <v>0</v>
      </c>
      <c r="AI11">
        <f>J63</f>
        <v>0</v>
      </c>
      <c r="AJ11">
        <f>L63</f>
        <v>0</v>
      </c>
      <c r="AK11">
        <f>N63</f>
        <v>2</v>
      </c>
      <c r="AL11" t="str">
        <f t="shared" si="3"/>
        <v>Magnetic</v>
      </c>
      <c r="AM11">
        <f t="shared" si="4"/>
        <v>10.833</v>
      </c>
      <c r="AN11">
        <f t="shared" si="4"/>
        <v>10.833</v>
      </c>
      <c r="AO11">
        <f t="shared" si="1"/>
        <v>10.833</v>
      </c>
      <c r="AP11">
        <f t="shared" si="1"/>
        <v>10.833</v>
      </c>
      <c r="AQ11">
        <f t="shared" si="1"/>
        <v>10.833</v>
      </c>
      <c r="AR11">
        <f t="shared" si="1"/>
        <v>9.1669999999999998</v>
      </c>
      <c r="AS11">
        <f t="shared" si="5"/>
        <v>10.555</v>
      </c>
      <c r="AT11">
        <f t="shared" si="6"/>
        <v>10.5</v>
      </c>
    </row>
    <row r="12" spans="1:46">
      <c r="A12" s="87"/>
      <c r="B12" s="88"/>
      <c r="C12" s="132"/>
      <c r="D12" s="134"/>
      <c r="E12" s="132"/>
      <c r="F12" s="134"/>
      <c r="G12" s="132"/>
      <c r="H12" s="134"/>
      <c r="I12" s="125"/>
      <c r="J12" s="134"/>
      <c r="K12" s="132"/>
      <c r="L12" s="134"/>
      <c r="M12" s="125"/>
      <c r="N12" s="134"/>
      <c r="O12" s="121"/>
      <c r="P12" s="11">
        <v>4</v>
      </c>
      <c r="Q12" s="12" t="e">
        <f t="shared" si="10"/>
        <v>#N/A</v>
      </c>
      <c r="R12" s="12"/>
      <c r="S12" s="12" t="e">
        <f t="shared" ref="S12:S21" si="17">VLOOKUP(P12,$F$3:$O$132,10,FALSE)</f>
        <v>#N/A</v>
      </c>
      <c r="T12" s="12"/>
      <c r="U12" s="12" t="e">
        <f t="shared" si="11"/>
        <v>#N/A</v>
      </c>
      <c r="V12" s="12"/>
      <c r="W12" s="12" t="e">
        <f t="shared" si="12"/>
        <v>#N/A</v>
      </c>
      <c r="X12" s="12"/>
      <c r="Y12" s="12" t="e">
        <f t="shared" si="13"/>
        <v>#N/A</v>
      </c>
      <c r="Z12" s="12"/>
      <c r="AA12" s="12" t="str">
        <f t="shared" si="14"/>
        <v>Lasers</v>
      </c>
      <c r="AB12" s="12"/>
      <c r="AE12" t="str">
        <f>B74</f>
        <v>Ion Beam Shepherd</v>
      </c>
      <c r="AF12">
        <f t="shared" ref="AF12" si="18">D74</f>
        <v>0</v>
      </c>
      <c r="AG12">
        <f>F74</f>
        <v>0</v>
      </c>
      <c r="AH12">
        <f>H74</f>
        <v>0</v>
      </c>
      <c r="AI12">
        <f>J74</f>
        <v>0</v>
      </c>
      <c r="AJ12">
        <f>L74</f>
        <v>0</v>
      </c>
      <c r="AK12">
        <f>N74</f>
        <v>3</v>
      </c>
      <c r="AL12" t="str">
        <f t="shared" si="3"/>
        <v>Ion Beam Shepherd</v>
      </c>
      <c r="AM12">
        <f t="shared" si="4"/>
        <v>10.833</v>
      </c>
      <c r="AN12">
        <f t="shared" si="4"/>
        <v>10.833</v>
      </c>
      <c r="AO12">
        <f t="shared" si="1"/>
        <v>10.833</v>
      </c>
      <c r="AP12">
        <f t="shared" si="1"/>
        <v>10.833</v>
      </c>
      <c r="AQ12">
        <f t="shared" si="1"/>
        <v>10.833</v>
      </c>
      <c r="AR12">
        <f t="shared" si="1"/>
        <v>8.3330000000000002</v>
      </c>
      <c r="AS12">
        <f t="shared" si="5"/>
        <v>10.416</v>
      </c>
      <c r="AT12">
        <f t="shared" si="6"/>
        <v>10.333</v>
      </c>
    </row>
    <row r="13" spans="1:46">
      <c r="A13" s="87">
        <v>2</v>
      </c>
      <c r="B13" s="120" t="s">
        <v>16</v>
      </c>
      <c r="C13" s="142"/>
      <c r="D13" s="133"/>
      <c r="E13" s="142"/>
      <c r="F13" s="133"/>
      <c r="G13" s="138"/>
      <c r="H13" s="133"/>
      <c r="I13" s="127"/>
      <c r="J13" s="133"/>
      <c r="K13" s="131"/>
      <c r="L13" s="133"/>
      <c r="M13" s="127"/>
      <c r="N13" s="133">
        <v>8</v>
      </c>
      <c r="O13" s="121" t="s">
        <v>16</v>
      </c>
      <c r="P13" s="11">
        <v>5</v>
      </c>
      <c r="Q13" s="12" t="e">
        <f t="shared" si="10"/>
        <v>#N/A</v>
      </c>
      <c r="R13" s="12"/>
      <c r="S13" s="12" t="e">
        <f t="shared" si="17"/>
        <v>#N/A</v>
      </c>
      <c r="T13" s="12"/>
      <c r="U13" s="12" t="e">
        <f t="shared" si="11"/>
        <v>#N/A</v>
      </c>
      <c r="V13" s="12"/>
      <c r="W13" s="12" t="e">
        <f t="shared" si="12"/>
        <v>#N/A</v>
      </c>
      <c r="X13" s="12"/>
      <c r="Y13" s="12" t="e">
        <f t="shared" si="13"/>
        <v>#N/A</v>
      </c>
      <c r="Z13" s="12"/>
      <c r="AA13" s="12" t="str">
        <f t="shared" si="14"/>
        <v>Cold Welding</v>
      </c>
      <c r="AB13" s="12"/>
      <c r="AE13" t="str">
        <f>B84</f>
        <v>Cold Welding</v>
      </c>
      <c r="AF13">
        <f t="shared" ref="AF13" si="19">D84</f>
        <v>0</v>
      </c>
      <c r="AG13">
        <f>F84</f>
        <v>0</v>
      </c>
      <c r="AH13">
        <f>H84</f>
        <v>0</v>
      </c>
      <c r="AI13">
        <f>J84</f>
        <v>0</v>
      </c>
      <c r="AJ13">
        <f>L84</f>
        <v>0</v>
      </c>
      <c r="AK13">
        <f>N84</f>
        <v>5</v>
      </c>
      <c r="AL13" t="str">
        <f t="shared" si="3"/>
        <v>Cold Welding</v>
      </c>
      <c r="AM13">
        <f t="shared" si="4"/>
        <v>10.833</v>
      </c>
      <c r="AN13">
        <f t="shared" si="4"/>
        <v>10.833</v>
      </c>
      <c r="AO13">
        <f t="shared" si="1"/>
        <v>10.833</v>
      </c>
      <c r="AP13">
        <f t="shared" si="1"/>
        <v>10.833</v>
      </c>
      <c r="AQ13">
        <f t="shared" si="1"/>
        <v>10.833</v>
      </c>
      <c r="AR13">
        <f t="shared" si="1"/>
        <v>6.6669999999999998</v>
      </c>
      <c r="AS13">
        <f t="shared" si="5"/>
        <v>10.138999999999999</v>
      </c>
      <c r="AT13">
        <f t="shared" si="6"/>
        <v>10</v>
      </c>
    </row>
    <row r="14" spans="1:46">
      <c r="A14" s="87"/>
      <c r="B14" s="141"/>
      <c r="C14" s="143"/>
      <c r="D14" s="134"/>
      <c r="E14" s="143"/>
      <c r="F14" s="134"/>
      <c r="G14" s="132"/>
      <c r="H14" s="134"/>
      <c r="I14" s="125"/>
      <c r="J14" s="134"/>
      <c r="K14" s="132"/>
      <c r="L14" s="134"/>
      <c r="M14" s="125"/>
      <c r="N14" s="134"/>
      <c r="O14" s="121"/>
      <c r="P14" s="11">
        <v>6</v>
      </c>
      <c r="Q14" s="12" t="e">
        <f t="shared" si="10"/>
        <v>#N/A</v>
      </c>
      <c r="R14" s="12"/>
      <c r="S14" s="12" t="e">
        <f t="shared" si="17"/>
        <v>#N/A</v>
      </c>
      <c r="T14" s="12"/>
      <c r="U14" s="12" t="e">
        <f t="shared" si="11"/>
        <v>#N/A</v>
      </c>
      <c r="V14" s="12"/>
      <c r="W14" s="12" t="e">
        <f t="shared" si="12"/>
        <v>#N/A</v>
      </c>
      <c r="X14" s="12"/>
      <c r="Y14" s="12" t="e">
        <f t="shared" si="13"/>
        <v>#N/A</v>
      </c>
      <c r="Z14" s="12"/>
      <c r="AA14" s="12" t="str">
        <f t="shared" si="14"/>
        <v>Tether + Adhesive Thread + Damper</v>
      </c>
      <c r="AB14" s="12"/>
      <c r="AE14" t="str">
        <f>B94</f>
        <v>Robotic Arms (multiple on one system)</v>
      </c>
      <c r="AF14">
        <f t="shared" ref="AF14" si="20">D94</f>
        <v>0</v>
      </c>
      <c r="AG14">
        <f>F94</f>
        <v>0</v>
      </c>
      <c r="AH14">
        <f>H94</f>
        <v>0</v>
      </c>
      <c r="AI14">
        <f>J94</f>
        <v>0</v>
      </c>
      <c r="AJ14">
        <f>L94</f>
        <v>0</v>
      </c>
      <c r="AK14">
        <f>N94</f>
        <v>12</v>
      </c>
      <c r="AL14" t="str">
        <f t="shared" si="3"/>
        <v>Robotic Arms (multiple on one system)</v>
      </c>
      <c r="AM14">
        <f t="shared" si="4"/>
        <v>10.833</v>
      </c>
      <c r="AN14">
        <f t="shared" si="4"/>
        <v>10.833</v>
      </c>
      <c r="AO14">
        <f t="shared" si="1"/>
        <v>10.833</v>
      </c>
      <c r="AP14">
        <f t="shared" si="1"/>
        <v>10.833</v>
      </c>
      <c r="AQ14">
        <f t="shared" si="1"/>
        <v>10.833</v>
      </c>
      <c r="AR14">
        <f t="shared" si="1"/>
        <v>0.83299999999999996</v>
      </c>
      <c r="AS14">
        <f t="shared" si="5"/>
        <v>9.1660000000000004</v>
      </c>
      <c r="AT14">
        <f t="shared" si="6"/>
        <v>8.8330000000000002</v>
      </c>
    </row>
    <row r="15" spans="1:46">
      <c r="A15" s="87"/>
      <c r="B15" s="141"/>
      <c r="C15" s="143"/>
      <c r="D15" s="134"/>
      <c r="E15" s="143"/>
      <c r="F15" s="134"/>
      <c r="G15" s="132"/>
      <c r="H15" s="134"/>
      <c r="I15" s="125"/>
      <c r="J15" s="134"/>
      <c r="K15" s="132"/>
      <c r="L15" s="134"/>
      <c r="M15" s="125"/>
      <c r="N15" s="126"/>
      <c r="O15" s="121"/>
      <c r="P15" s="11">
        <v>7</v>
      </c>
      <c r="Q15" s="12" t="e">
        <f t="shared" si="10"/>
        <v>#N/A</v>
      </c>
      <c r="R15" s="12"/>
      <c r="S15" s="12" t="e">
        <f t="shared" si="17"/>
        <v>#N/A</v>
      </c>
      <c r="T15" s="12"/>
      <c r="U15" s="12" t="e">
        <f t="shared" si="11"/>
        <v>#N/A</v>
      </c>
      <c r="V15" s="12"/>
      <c r="W15" s="12" t="e">
        <f t="shared" si="12"/>
        <v>#N/A</v>
      </c>
      <c r="X15" s="12"/>
      <c r="Y15" s="12" t="e">
        <f t="shared" si="13"/>
        <v>#N/A</v>
      </c>
      <c r="Z15" s="12"/>
      <c r="AA15" s="12" t="str">
        <f t="shared" si="14"/>
        <v>Slingshot and Catch</v>
      </c>
      <c r="AB15" s="12"/>
      <c r="AE15" t="str">
        <f>B104</f>
        <v>Electrostatic charge induced capture</v>
      </c>
      <c r="AF15">
        <f t="shared" ref="AF15" si="21">D104</f>
        <v>0</v>
      </c>
      <c r="AG15">
        <f>F104</f>
        <v>0</v>
      </c>
      <c r="AH15">
        <f>H104</f>
        <v>0</v>
      </c>
      <c r="AI15">
        <f>J104</f>
        <v>0</v>
      </c>
      <c r="AJ15">
        <f>L104</f>
        <v>0</v>
      </c>
      <c r="AK15">
        <f>N104</f>
        <v>13</v>
      </c>
      <c r="AL15" t="str">
        <f t="shared" si="3"/>
        <v>Electrostatic charge induced capture</v>
      </c>
      <c r="AM15">
        <f t="shared" si="4"/>
        <v>10.833</v>
      </c>
      <c r="AN15">
        <f t="shared" si="4"/>
        <v>10.833</v>
      </c>
      <c r="AO15">
        <f t="shared" si="1"/>
        <v>10.833</v>
      </c>
      <c r="AP15">
        <f t="shared" si="1"/>
        <v>10.833</v>
      </c>
      <c r="AQ15">
        <f t="shared" si="1"/>
        <v>10.833</v>
      </c>
      <c r="AR15">
        <f t="shared" si="1"/>
        <v>0</v>
      </c>
      <c r="AS15">
        <f t="shared" si="5"/>
        <v>9.0280000000000005</v>
      </c>
      <c r="AT15">
        <f t="shared" si="6"/>
        <v>8.6660000000000004</v>
      </c>
    </row>
    <row r="16" spans="1:46">
      <c r="A16" s="87"/>
      <c r="B16" s="141"/>
      <c r="C16" s="143"/>
      <c r="D16" s="134"/>
      <c r="E16" s="143"/>
      <c r="F16" s="134"/>
      <c r="G16" s="132"/>
      <c r="H16" s="134"/>
      <c r="I16" s="125"/>
      <c r="J16" s="134"/>
      <c r="K16" s="132"/>
      <c r="L16" s="134"/>
      <c r="M16" s="125"/>
      <c r="N16" s="126"/>
      <c r="O16" s="121"/>
      <c r="P16" s="11">
        <v>8</v>
      </c>
      <c r="Q16" s="12" t="e">
        <f t="shared" si="10"/>
        <v>#N/A</v>
      </c>
      <c r="R16" s="12"/>
      <c r="S16" s="12" t="e">
        <f t="shared" si="17"/>
        <v>#N/A</v>
      </c>
      <c r="T16" s="12"/>
      <c r="U16" s="12" t="e">
        <f t="shared" si="11"/>
        <v>#N/A</v>
      </c>
      <c r="V16" s="12"/>
      <c r="W16" s="12" t="e">
        <f t="shared" si="12"/>
        <v>#N/A</v>
      </c>
      <c r="X16" s="12"/>
      <c r="Y16" s="12" t="e">
        <f t="shared" si="13"/>
        <v>#N/A</v>
      </c>
      <c r="Z16" s="12"/>
      <c r="AA16" s="12" t="str">
        <f t="shared" si="14"/>
        <v>Inflated Method</v>
      </c>
      <c r="AB16" s="12"/>
      <c r="AE16" t="str">
        <f>B113</f>
        <v>Solar Sails</v>
      </c>
      <c r="AF16">
        <f t="shared" ref="AF16" si="22">D113</f>
        <v>0</v>
      </c>
      <c r="AG16">
        <f>F113</f>
        <v>0</v>
      </c>
      <c r="AH16">
        <f>H113</f>
        <v>0</v>
      </c>
      <c r="AI16">
        <f>J113</f>
        <v>0</v>
      </c>
      <c r="AJ16">
        <f>L113</f>
        <v>0</v>
      </c>
      <c r="AK16">
        <f>N113</f>
        <v>11</v>
      </c>
      <c r="AL16" t="str">
        <f t="shared" si="3"/>
        <v>Solar Sails</v>
      </c>
      <c r="AM16">
        <f t="shared" si="4"/>
        <v>10.833</v>
      </c>
      <c r="AN16">
        <f t="shared" si="4"/>
        <v>10.833</v>
      </c>
      <c r="AO16">
        <f t="shared" si="1"/>
        <v>10.833</v>
      </c>
      <c r="AP16">
        <f t="shared" si="1"/>
        <v>10.833</v>
      </c>
      <c r="AQ16">
        <f t="shared" si="1"/>
        <v>10.833</v>
      </c>
      <c r="AR16">
        <f t="shared" si="1"/>
        <v>1.667</v>
      </c>
      <c r="AS16">
        <f t="shared" si="5"/>
        <v>9.3049999999999997</v>
      </c>
      <c r="AT16">
        <f t="shared" si="6"/>
        <v>9</v>
      </c>
    </row>
    <row r="17" spans="1:46">
      <c r="A17" s="87"/>
      <c r="B17" s="141"/>
      <c r="C17" s="143"/>
      <c r="D17" s="134"/>
      <c r="E17" s="143"/>
      <c r="F17" s="134"/>
      <c r="G17" s="132"/>
      <c r="H17" s="134"/>
      <c r="I17" s="125"/>
      <c r="J17" s="134"/>
      <c r="K17" s="132"/>
      <c r="L17" s="134"/>
      <c r="M17" s="125"/>
      <c r="N17" s="126"/>
      <c r="O17" s="121"/>
      <c r="P17" s="11">
        <v>9</v>
      </c>
      <c r="Q17" s="12" t="e">
        <f t="shared" si="10"/>
        <v>#N/A</v>
      </c>
      <c r="R17" s="12"/>
      <c r="S17" s="12" t="e">
        <f t="shared" si="17"/>
        <v>#N/A</v>
      </c>
      <c r="T17" s="12"/>
      <c r="U17" s="12" t="e">
        <f t="shared" si="11"/>
        <v>#N/A</v>
      </c>
      <c r="V17" s="12"/>
      <c r="W17" s="12" t="e">
        <f t="shared" si="12"/>
        <v>#N/A</v>
      </c>
      <c r="X17" s="12"/>
      <c r="Y17" s="12" t="e">
        <f t="shared" si="13"/>
        <v>#N/A</v>
      </c>
      <c r="Z17" s="12"/>
      <c r="AA17" s="12" t="str">
        <f t="shared" si="14"/>
        <v>Foam Method</v>
      </c>
      <c r="AB17" s="12"/>
      <c r="AE17" t="str">
        <f>B123</f>
        <v>Lasers</v>
      </c>
      <c r="AF17">
        <f t="shared" ref="AF17" si="23">D123</f>
        <v>0</v>
      </c>
      <c r="AG17">
        <f>F123</f>
        <v>0</v>
      </c>
      <c r="AH17">
        <f>H123</f>
        <v>0</v>
      </c>
      <c r="AI17">
        <f>J123</f>
        <v>0</v>
      </c>
      <c r="AJ17">
        <f>L123</f>
        <v>0</v>
      </c>
      <c r="AK17">
        <f>N123</f>
        <v>4</v>
      </c>
      <c r="AL17" t="str">
        <f t="shared" si="3"/>
        <v>Lasers</v>
      </c>
      <c r="AM17">
        <f t="shared" si="4"/>
        <v>10.833</v>
      </c>
      <c r="AN17">
        <f t="shared" si="4"/>
        <v>10.833</v>
      </c>
      <c r="AO17">
        <f t="shared" si="1"/>
        <v>10.833</v>
      </c>
      <c r="AP17">
        <f t="shared" si="1"/>
        <v>10.833</v>
      </c>
      <c r="AQ17">
        <f t="shared" si="1"/>
        <v>10.833</v>
      </c>
      <c r="AR17">
        <f t="shared" si="1"/>
        <v>7.5</v>
      </c>
      <c r="AS17">
        <f t="shared" si="5"/>
        <v>10.278</v>
      </c>
      <c r="AT17">
        <f t="shared" si="6"/>
        <v>10.166</v>
      </c>
    </row>
    <row r="18" spans="1:46">
      <c r="A18" s="87"/>
      <c r="B18" s="141"/>
      <c r="C18" s="143"/>
      <c r="D18" s="134"/>
      <c r="E18" s="143"/>
      <c r="F18" s="134"/>
      <c r="G18" s="132"/>
      <c r="H18" s="134"/>
      <c r="I18" s="125"/>
      <c r="J18" s="134"/>
      <c r="K18" s="132"/>
      <c r="L18" s="134"/>
      <c r="M18" s="125"/>
      <c r="N18" s="126"/>
      <c r="O18" s="121"/>
      <c r="P18" s="11">
        <v>10</v>
      </c>
      <c r="Q18" s="12" t="e">
        <f t="shared" si="10"/>
        <v>#N/A</v>
      </c>
      <c r="R18" s="12"/>
      <c r="S18" s="12" t="e">
        <f t="shared" si="17"/>
        <v>#N/A</v>
      </c>
      <c r="T18" s="12"/>
      <c r="U18" s="12" t="e">
        <f t="shared" si="11"/>
        <v>#N/A</v>
      </c>
      <c r="V18" s="12"/>
      <c r="W18" s="12" t="e">
        <f t="shared" si="12"/>
        <v>#N/A</v>
      </c>
      <c r="X18" s="12"/>
      <c r="Y18" s="12" t="e">
        <f t="shared" si="13"/>
        <v>#N/A</v>
      </c>
      <c r="Z18" s="12"/>
      <c r="AA18" s="12" t="str">
        <f t="shared" si="14"/>
        <v>"Adhesive" Method</v>
      </c>
      <c r="AB18" s="12"/>
    </row>
    <row r="19" spans="1:46">
      <c r="A19" s="87"/>
      <c r="B19" s="141"/>
      <c r="C19" s="143"/>
      <c r="D19" s="134"/>
      <c r="E19" s="143"/>
      <c r="F19" s="134"/>
      <c r="G19" s="132"/>
      <c r="H19" s="134"/>
      <c r="I19" s="125"/>
      <c r="J19" s="134"/>
      <c r="K19" s="132"/>
      <c r="L19" s="134"/>
      <c r="M19" s="125"/>
      <c r="N19" s="126"/>
      <c r="O19" s="121"/>
      <c r="P19" s="11">
        <v>11</v>
      </c>
      <c r="Q19" s="12" t="e">
        <f t="shared" si="10"/>
        <v>#N/A</v>
      </c>
      <c r="R19" s="12"/>
      <c r="S19" s="12" t="e">
        <f t="shared" si="17"/>
        <v>#N/A</v>
      </c>
      <c r="T19" s="12"/>
      <c r="U19" s="12" t="e">
        <f t="shared" si="11"/>
        <v>#N/A</v>
      </c>
      <c r="V19" s="12"/>
      <c r="W19" s="12" t="e">
        <f t="shared" si="12"/>
        <v>#N/A</v>
      </c>
      <c r="X19" s="12"/>
      <c r="Y19" s="12" t="e">
        <f t="shared" si="13"/>
        <v>#N/A</v>
      </c>
      <c r="Z19" s="12"/>
      <c r="AA19" s="12" t="str">
        <f t="shared" si="14"/>
        <v>Solar Sails</v>
      </c>
      <c r="AB19" s="12"/>
    </row>
    <row r="20" spans="1:46">
      <c r="A20" s="87"/>
      <c r="B20" s="141"/>
      <c r="C20" s="143"/>
      <c r="D20" s="134"/>
      <c r="E20" s="143"/>
      <c r="F20" s="134"/>
      <c r="G20" s="132"/>
      <c r="H20" s="134"/>
      <c r="I20" s="125"/>
      <c r="J20" s="134"/>
      <c r="K20" s="132"/>
      <c r="L20" s="134"/>
      <c r="M20" s="125"/>
      <c r="N20" s="126"/>
      <c r="O20" s="121"/>
      <c r="P20" s="11">
        <v>12</v>
      </c>
      <c r="Q20" s="12" t="e">
        <f t="shared" si="10"/>
        <v>#N/A</v>
      </c>
      <c r="R20" s="12"/>
      <c r="S20" s="12" t="e">
        <f t="shared" si="17"/>
        <v>#N/A</v>
      </c>
      <c r="T20" s="12"/>
      <c r="U20" s="12" t="e">
        <f t="shared" si="11"/>
        <v>#N/A</v>
      </c>
      <c r="V20" s="12"/>
      <c r="W20" s="12" t="e">
        <f t="shared" si="12"/>
        <v>#N/A</v>
      </c>
      <c r="X20" s="12"/>
      <c r="Y20" s="12" t="e">
        <f t="shared" si="13"/>
        <v>#N/A</v>
      </c>
      <c r="Z20" s="12"/>
      <c r="AA20" s="12" t="str">
        <f t="shared" si="14"/>
        <v>Robotic Arms (multiple on one system)</v>
      </c>
      <c r="AB20" s="12"/>
    </row>
    <row r="21" spans="1:46">
      <c r="A21" s="87"/>
      <c r="B21" s="141"/>
      <c r="C21" s="143"/>
      <c r="D21" s="134"/>
      <c r="E21" s="143"/>
      <c r="F21" s="134"/>
      <c r="G21" s="132"/>
      <c r="H21" s="134"/>
      <c r="I21" s="125"/>
      <c r="J21" s="134"/>
      <c r="K21" s="132"/>
      <c r="L21" s="134"/>
      <c r="M21" s="125"/>
      <c r="N21" s="126"/>
      <c r="O21" s="121"/>
      <c r="P21" s="16">
        <v>13</v>
      </c>
      <c r="Q21" s="13" t="e">
        <f t="shared" si="10"/>
        <v>#N/A</v>
      </c>
      <c r="R21" s="13"/>
      <c r="S21" s="13" t="e">
        <f t="shared" si="17"/>
        <v>#N/A</v>
      </c>
      <c r="T21" s="13"/>
      <c r="U21" s="13" t="e">
        <f t="shared" si="11"/>
        <v>#N/A</v>
      </c>
      <c r="V21" s="13"/>
      <c r="W21" s="13" t="e">
        <f t="shared" si="12"/>
        <v>#N/A</v>
      </c>
      <c r="X21" s="13"/>
      <c r="Y21" s="13" t="e">
        <f t="shared" si="13"/>
        <v>#N/A</v>
      </c>
      <c r="Z21" s="13"/>
      <c r="AA21" s="13" t="str">
        <f t="shared" si="14"/>
        <v>Electrostatic charge induced capture</v>
      </c>
      <c r="AB21" s="13"/>
    </row>
    <row r="22" spans="1:46" ht="15" customHeight="1">
      <c r="A22" s="87"/>
      <c r="B22" s="123"/>
      <c r="C22" s="144"/>
      <c r="D22" s="140"/>
      <c r="E22" s="144"/>
      <c r="F22" s="140"/>
      <c r="G22" s="139"/>
      <c r="H22" s="140"/>
      <c r="I22" s="136"/>
      <c r="J22" s="140"/>
      <c r="K22" s="139"/>
      <c r="L22" s="140"/>
      <c r="M22" s="136"/>
      <c r="N22" s="137"/>
      <c r="O22" s="122"/>
      <c r="P22" s="119"/>
      <c r="Q22" s="85" t="s">
        <v>106</v>
      </c>
      <c r="R22" s="85"/>
      <c r="S22" s="85" t="s">
        <v>107</v>
      </c>
      <c r="T22" s="85"/>
      <c r="U22" s="85" t="s">
        <v>108</v>
      </c>
      <c r="V22" s="85"/>
      <c r="W22" s="85" t="s">
        <v>109</v>
      </c>
      <c r="X22" s="85"/>
      <c r="Y22" s="85" t="s">
        <v>110</v>
      </c>
      <c r="Z22" s="85"/>
      <c r="AA22" s="85" t="s">
        <v>177</v>
      </c>
      <c r="AB22" s="85"/>
    </row>
    <row r="23" spans="1:46">
      <c r="A23" s="87">
        <v>3</v>
      </c>
      <c r="B23" s="120" t="s">
        <v>23</v>
      </c>
      <c r="C23" s="143"/>
      <c r="D23" s="134"/>
      <c r="E23" s="143"/>
      <c r="F23" s="134"/>
      <c r="G23" s="132"/>
      <c r="H23" s="134"/>
      <c r="I23" s="125"/>
      <c r="J23" s="134"/>
      <c r="K23" s="132"/>
      <c r="L23" s="134"/>
      <c r="M23" s="125"/>
      <c r="N23" s="126">
        <v>9</v>
      </c>
      <c r="O23" s="121" t="s">
        <v>23</v>
      </c>
      <c r="P23" s="119"/>
      <c r="Q23" s="85"/>
      <c r="R23" s="85"/>
      <c r="S23" s="85"/>
      <c r="T23" s="85"/>
      <c r="U23" s="85"/>
      <c r="V23" s="85"/>
      <c r="W23" s="85"/>
      <c r="X23" s="85"/>
      <c r="Y23" s="85"/>
      <c r="Z23" s="85"/>
      <c r="AA23" s="85"/>
      <c r="AB23" s="85"/>
    </row>
    <row r="24" spans="1:46">
      <c r="A24" s="87"/>
      <c r="B24" s="141"/>
      <c r="C24" s="143"/>
      <c r="D24" s="134"/>
      <c r="E24" s="143"/>
      <c r="F24" s="134"/>
      <c r="G24" s="132"/>
      <c r="H24" s="134"/>
      <c r="I24" s="125"/>
      <c r="J24" s="134"/>
      <c r="K24" s="132"/>
      <c r="L24" s="134"/>
      <c r="M24" s="125"/>
      <c r="N24" s="126"/>
      <c r="O24" s="121"/>
      <c r="P24" s="119"/>
      <c r="Q24" s="85"/>
      <c r="R24" s="85"/>
      <c r="S24" s="85"/>
      <c r="T24" s="85"/>
      <c r="U24" s="85"/>
      <c r="V24" s="85"/>
      <c r="W24" s="85"/>
      <c r="X24" s="85"/>
      <c r="Y24" s="85"/>
      <c r="Z24" s="85"/>
      <c r="AA24" s="85"/>
      <c r="AB24" s="85"/>
    </row>
    <row r="25" spans="1:46">
      <c r="A25" s="87"/>
      <c r="B25" s="141"/>
      <c r="C25" s="143"/>
      <c r="D25" s="134"/>
      <c r="E25" s="143"/>
      <c r="F25" s="134"/>
      <c r="G25" s="132"/>
      <c r="H25" s="134"/>
      <c r="I25" s="125"/>
      <c r="J25" s="134"/>
      <c r="K25" s="132"/>
      <c r="L25" s="134"/>
      <c r="M25" s="125"/>
      <c r="N25" s="126"/>
      <c r="O25" s="121"/>
      <c r="P25" s="119"/>
      <c r="Q25" s="85"/>
      <c r="R25" s="85"/>
      <c r="S25" s="85"/>
      <c r="T25" s="85"/>
      <c r="U25" s="85"/>
      <c r="V25" s="85"/>
      <c r="W25" s="85"/>
      <c r="X25" s="85"/>
      <c r="Y25" s="85"/>
      <c r="Z25" s="85"/>
      <c r="AA25" s="85"/>
      <c r="AB25" s="85"/>
    </row>
    <row r="26" spans="1:46">
      <c r="A26" s="87"/>
      <c r="B26" s="141"/>
      <c r="C26" s="143"/>
      <c r="D26" s="134"/>
      <c r="E26" s="143"/>
      <c r="F26" s="134"/>
      <c r="G26" s="132"/>
      <c r="H26" s="134"/>
      <c r="I26" s="125"/>
      <c r="J26" s="134"/>
      <c r="K26" s="132"/>
      <c r="L26" s="134"/>
      <c r="M26" s="125"/>
      <c r="N26" s="126"/>
      <c r="O26" s="121"/>
      <c r="P26" s="119"/>
      <c r="Q26" s="85"/>
      <c r="R26" s="85"/>
      <c r="S26" s="85"/>
      <c r="T26" s="85"/>
      <c r="U26" s="85"/>
      <c r="V26" s="85"/>
      <c r="W26" s="85"/>
      <c r="X26" s="85"/>
      <c r="Y26" s="85"/>
      <c r="Z26" s="85"/>
      <c r="AA26" s="85"/>
      <c r="AB26" s="85"/>
    </row>
    <row r="27" spans="1:46">
      <c r="A27" s="87"/>
      <c r="B27" s="141"/>
      <c r="C27" s="143"/>
      <c r="D27" s="134"/>
      <c r="E27" s="143"/>
      <c r="F27" s="134"/>
      <c r="G27" s="132"/>
      <c r="H27" s="134"/>
      <c r="I27" s="125"/>
      <c r="J27" s="134"/>
      <c r="K27" s="132"/>
      <c r="L27" s="134"/>
      <c r="M27" s="125"/>
      <c r="N27" s="126"/>
      <c r="O27" s="121"/>
      <c r="P27" s="119"/>
      <c r="Q27" s="85"/>
      <c r="R27" s="85"/>
      <c r="S27" s="85"/>
      <c r="T27" s="85"/>
      <c r="U27" s="85"/>
      <c r="V27" s="85"/>
      <c r="W27" s="85"/>
      <c r="X27" s="85"/>
      <c r="Y27" s="85"/>
      <c r="Z27" s="85"/>
      <c r="AA27" s="85"/>
      <c r="AB27" s="85"/>
    </row>
    <row r="28" spans="1:46">
      <c r="A28" s="87"/>
      <c r="B28" s="141"/>
      <c r="C28" s="143"/>
      <c r="D28" s="134"/>
      <c r="E28" s="143"/>
      <c r="F28" s="134"/>
      <c r="G28" s="132"/>
      <c r="H28" s="134"/>
      <c r="I28" s="125"/>
      <c r="J28" s="134"/>
      <c r="K28" s="132"/>
      <c r="L28" s="134"/>
      <c r="M28" s="125"/>
      <c r="N28" s="126"/>
      <c r="O28" s="121"/>
      <c r="P28" s="119"/>
      <c r="Q28" s="85"/>
      <c r="R28" s="85"/>
      <c r="S28" s="85"/>
      <c r="T28" s="85"/>
      <c r="U28" s="85"/>
      <c r="V28" s="85"/>
      <c r="W28" s="85"/>
      <c r="X28" s="85"/>
      <c r="Y28" s="85"/>
      <c r="Z28" s="85"/>
      <c r="AA28" s="85"/>
      <c r="AB28" s="85"/>
    </row>
    <row r="29" spans="1:46">
      <c r="A29" s="87"/>
      <c r="B29" s="141"/>
      <c r="C29" s="143"/>
      <c r="D29" s="134"/>
      <c r="E29" s="143"/>
      <c r="F29" s="134"/>
      <c r="G29" s="132"/>
      <c r="H29" s="134"/>
      <c r="I29" s="125"/>
      <c r="J29" s="134"/>
      <c r="K29" s="132"/>
      <c r="L29" s="134"/>
      <c r="M29" s="125"/>
      <c r="N29" s="126"/>
      <c r="O29" s="121"/>
      <c r="P29" s="119"/>
      <c r="Q29" s="85"/>
      <c r="R29" s="85"/>
      <c r="S29" s="85"/>
      <c r="T29" s="85"/>
      <c r="U29" s="85"/>
      <c r="V29" s="85"/>
      <c r="W29" s="85"/>
      <c r="X29" s="85"/>
      <c r="Y29" s="85"/>
      <c r="Z29" s="85"/>
      <c r="AA29" s="85"/>
      <c r="AB29" s="85"/>
    </row>
    <row r="30" spans="1:46">
      <c r="A30" s="87"/>
      <c r="B30" s="141"/>
      <c r="C30" s="143"/>
      <c r="D30" s="134"/>
      <c r="E30" s="143"/>
      <c r="F30" s="134"/>
      <c r="G30" s="132"/>
      <c r="H30" s="134"/>
      <c r="I30" s="125"/>
      <c r="J30" s="134"/>
      <c r="K30" s="132"/>
      <c r="L30" s="134"/>
      <c r="M30" s="125"/>
      <c r="N30" s="126"/>
      <c r="O30" s="121"/>
      <c r="P30" s="119"/>
      <c r="Q30" s="85"/>
      <c r="R30" s="85"/>
      <c r="S30" s="85"/>
      <c r="T30" s="85"/>
      <c r="U30" s="85"/>
      <c r="V30" s="85"/>
      <c r="W30" s="85"/>
      <c r="X30" s="85"/>
      <c r="Y30" s="85"/>
      <c r="Z30" s="85"/>
      <c r="AA30" s="85"/>
      <c r="AB30" s="85"/>
    </row>
    <row r="31" spans="1:46">
      <c r="A31" s="87"/>
      <c r="B31" s="141"/>
      <c r="C31" s="143"/>
      <c r="D31" s="134"/>
      <c r="E31" s="143"/>
      <c r="F31" s="134"/>
      <c r="G31" s="132"/>
      <c r="H31" s="134"/>
      <c r="I31" s="125"/>
      <c r="J31" s="134"/>
      <c r="K31" s="132"/>
      <c r="L31" s="134"/>
      <c r="M31" s="125"/>
      <c r="N31" s="126"/>
      <c r="O31" s="121"/>
      <c r="P31" s="119"/>
      <c r="Q31" s="85"/>
      <c r="R31" s="85"/>
      <c r="S31" s="85"/>
      <c r="T31" s="85"/>
      <c r="U31" s="85"/>
      <c r="V31" s="85"/>
      <c r="W31" s="85"/>
      <c r="X31" s="85"/>
      <c r="Y31" s="85"/>
      <c r="Z31" s="85"/>
      <c r="AA31" s="85"/>
      <c r="AB31" s="85"/>
    </row>
    <row r="32" spans="1:46">
      <c r="A32" s="87"/>
      <c r="B32" s="123"/>
      <c r="C32" s="143"/>
      <c r="D32" s="134"/>
      <c r="E32" s="143"/>
      <c r="F32" s="134"/>
      <c r="G32" s="132"/>
      <c r="H32" s="134"/>
      <c r="I32" s="125"/>
      <c r="J32" s="134"/>
      <c r="K32" s="132"/>
      <c r="L32" s="134"/>
      <c r="M32" s="125"/>
      <c r="N32" s="126"/>
      <c r="O32" s="121"/>
      <c r="P32" s="119"/>
      <c r="Q32" s="85"/>
      <c r="R32" s="85"/>
      <c r="S32" s="85"/>
      <c r="T32" s="85"/>
      <c r="U32" s="85"/>
      <c r="V32" s="85"/>
      <c r="W32" s="85"/>
      <c r="X32" s="85"/>
      <c r="Y32" s="85"/>
      <c r="Z32" s="85"/>
      <c r="AA32" s="85"/>
      <c r="AB32" s="85"/>
    </row>
    <row r="33" spans="1:28">
      <c r="A33" s="87">
        <v>4</v>
      </c>
      <c r="B33" s="120" t="s">
        <v>30</v>
      </c>
      <c r="C33" s="138"/>
      <c r="D33" s="133"/>
      <c r="E33" s="138"/>
      <c r="F33" s="133"/>
      <c r="G33" s="138"/>
      <c r="H33" s="133"/>
      <c r="I33" s="127"/>
      <c r="J33" s="133"/>
      <c r="K33" s="138"/>
      <c r="L33" s="133"/>
      <c r="M33" s="127"/>
      <c r="N33" s="128">
        <v>10</v>
      </c>
      <c r="O33" s="124" t="s">
        <v>30</v>
      </c>
      <c r="P33" s="119"/>
      <c r="Q33" s="85"/>
      <c r="R33" s="85"/>
      <c r="S33" s="85"/>
      <c r="T33" s="85"/>
      <c r="U33" s="85"/>
      <c r="V33" s="85"/>
      <c r="W33" s="85"/>
      <c r="X33" s="85"/>
      <c r="Y33" s="85"/>
      <c r="Z33" s="85"/>
      <c r="AA33" s="85"/>
      <c r="AB33" s="85"/>
    </row>
    <row r="34" spans="1:28">
      <c r="A34" s="87"/>
      <c r="B34" s="141"/>
      <c r="C34" s="132"/>
      <c r="D34" s="134"/>
      <c r="E34" s="132"/>
      <c r="F34" s="134"/>
      <c r="G34" s="132"/>
      <c r="H34" s="134"/>
      <c r="I34" s="125"/>
      <c r="J34" s="134"/>
      <c r="K34" s="132"/>
      <c r="L34" s="134"/>
      <c r="M34" s="125"/>
      <c r="N34" s="126"/>
      <c r="O34" s="121"/>
      <c r="P34" s="119"/>
      <c r="Q34" s="85"/>
      <c r="R34" s="85"/>
      <c r="S34" s="85"/>
      <c r="T34" s="85"/>
      <c r="U34" s="85"/>
      <c r="V34" s="85"/>
      <c r="W34" s="85"/>
      <c r="X34" s="85"/>
      <c r="Y34" s="85"/>
      <c r="Z34" s="85"/>
      <c r="AA34" s="85"/>
      <c r="AB34" s="85"/>
    </row>
    <row r="35" spans="1:28">
      <c r="A35" s="87"/>
      <c r="B35" s="141"/>
      <c r="C35" s="132"/>
      <c r="D35" s="134"/>
      <c r="E35" s="132"/>
      <c r="F35" s="134"/>
      <c r="G35" s="132"/>
      <c r="H35" s="134"/>
      <c r="I35" s="125"/>
      <c r="J35" s="134"/>
      <c r="K35" s="132"/>
      <c r="L35" s="134"/>
      <c r="M35" s="125"/>
      <c r="N35" s="126"/>
      <c r="O35" s="121"/>
      <c r="P35" s="119"/>
      <c r="Q35" s="85"/>
      <c r="R35" s="85"/>
      <c r="S35" s="85"/>
      <c r="T35" s="85"/>
      <c r="U35" s="85"/>
      <c r="V35" s="85"/>
      <c r="W35" s="85"/>
      <c r="X35" s="85"/>
      <c r="Y35" s="85"/>
      <c r="Z35" s="85"/>
      <c r="AA35" s="85"/>
      <c r="AB35" s="85"/>
    </row>
    <row r="36" spans="1:28">
      <c r="A36" s="87"/>
      <c r="B36" s="141"/>
      <c r="C36" s="132"/>
      <c r="D36" s="134"/>
      <c r="E36" s="132"/>
      <c r="F36" s="134"/>
      <c r="G36" s="132"/>
      <c r="H36" s="134"/>
      <c r="I36" s="125"/>
      <c r="J36" s="134"/>
      <c r="K36" s="132"/>
      <c r="L36" s="134"/>
      <c r="M36" s="125"/>
      <c r="N36" s="126"/>
      <c r="O36" s="121"/>
      <c r="P36" s="119"/>
      <c r="Q36" s="85"/>
      <c r="R36" s="85"/>
      <c r="S36" s="85"/>
      <c r="T36" s="85"/>
      <c r="U36" s="85"/>
      <c r="V36" s="85"/>
      <c r="W36" s="85"/>
      <c r="X36" s="85"/>
      <c r="Y36" s="85"/>
      <c r="Z36" s="85"/>
      <c r="AA36" s="85"/>
      <c r="AB36" s="85"/>
    </row>
    <row r="37" spans="1:28">
      <c r="A37" s="87"/>
      <c r="B37" s="141"/>
      <c r="C37" s="132"/>
      <c r="D37" s="134"/>
      <c r="E37" s="132"/>
      <c r="F37" s="134"/>
      <c r="G37" s="132"/>
      <c r="H37" s="134"/>
      <c r="I37" s="125"/>
      <c r="J37" s="134"/>
      <c r="K37" s="132"/>
      <c r="L37" s="134"/>
      <c r="M37" s="125"/>
      <c r="N37" s="126"/>
      <c r="O37" s="121"/>
      <c r="P37" s="119"/>
      <c r="Q37" s="85"/>
      <c r="R37" s="85"/>
      <c r="S37" s="85"/>
      <c r="T37" s="85"/>
      <c r="U37" s="85"/>
      <c r="V37" s="85"/>
      <c r="W37" s="85"/>
      <c r="X37" s="85"/>
      <c r="Y37" s="85"/>
      <c r="Z37" s="85"/>
      <c r="AA37" s="85"/>
      <c r="AB37" s="85"/>
    </row>
    <row r="38" spans="1:28">
      <c r="A38" s="87"/>
      <c r="B38" s="141"/>
      <c r="C38" s="132"/>
      <c r="D38" s="134"/>
      <c r="E38" s="132"/>
      <c r="F38" s="134"/>
      <c r="G38" s="132"/>
      <c r="H38" s="134"/>
      <c r="I38" s="125"/>
      <c r="J38" s="134"/>
      <c r="K38" s="132"/>
      <c r="L38" s="134"/>
      <c r="M38" s="125"/>
      <c r="N38" s="126"/>
      <c r="O38" s="121"/>
      <c r="P38" s="119"/>
      <c r="Q38" s="85"/>
      <c r="R38" s="85"/>
      <c r="S38" s="85"/>
      <c r="T38" s="85"/>
      <c r="U38" s="85"/>
      <c r="V38" s="85"/>
      <c r="W38" s="85"/>
      <c r="X38" s="85"/>
      <c r="Y38" s="85"/>
      <c r="Z38" s="85"/>
      <c r="AA38" s="85"/>
      <c r="AB38" s="85"/>
    </row>
    <row r="39" spans="1:28">
      <c r="A39" s="87"/>
      <c r="B39" s="141"/>
      <c r="C39" s="132"/>
      <c r="D39" s="134"/>
      <c r="E39" s="132"/>
      <c r="F39" s="134"/>
      <c r="G39" s="132"/>
      <c r="H39" s="134"/>
      <c r="I39" s="125"/>
      <c r="J39" s="134"/>
      <c r="K39" s="132"/>
      <c r="L39" s="134"/>
      <c r="M39" s="125"/>
      <c r="N39" s="126"/>
      <c r="O39" s="121"/>
      <c r="P39" s="119"/>
      <c r="Q39" s="85"/>
      <c r="R39" s="85"/>
      <c r="S39" s="85"/>
      <c r="T39" s="85"/>
      <c r="U39" s="85"/>
      <c r="V39" s="85"/>
      <c r="W39" s="85"/>
      <c r="X39" s="85"/>
      <c r="Y39" s="85"/>
      <c r="Z39" s="85"/>
      <c r="AA39" s="85"/>
      <c r="AB39" s="85"/>
    </row>
    <row r="40" spans="1:28">
      <c r="A40" s="87"/>
      <c r="B40" s="141"/>
      <c r="C40" s="132"/>
      <c r="D40" s="134"/>
      <c r="E40" s="132"/>
      <c r="F40" s="134"/>
      <c r="G40" s="132"/>
      <c r="H40" s="134"/>
      <c r="I40" s="125"/>
      <c r="J40" s="134"/>
      <c r="K40" s="132"/>
      <c r="L40" s="134"/>
      <c r="M40" s="125"/>
      <c r="N40" s="126"/>
      <c r="O40" s="121"/>
      <c r="P40" s="119"/>
      <c r="Q40" s="85"/>
      <c r="R40" s="85"/>
      <c r="S40" s="85"/>
      <c r="T40" s="85"/>
      <c r="U40" s="85"/>
      <c r="V40" s="85"/>
      <c r="W40" s="85"/>
      <c r="X40" s="85"/>
      <c r="Y40" s="85"/>
      <c r="Z40" s="85"/>
      <c r="AA40" s="85"/>
      <c r="AB40" s="85"/>
    </row>
    <row r="41" spans="1:28">
      <c r="A41" s="87"/>
      <c r="B41" s="141"/>
      <c r="C41" s="132"/>
      <c r="D41" s="134"/>
      <c r="E41" s="132"/>
      <c r="F41" s="134"/>
      <c r="G41" s="132"/>
      <c r="H41" s="134"/>
      <c r="I41" s="125"/>
      <c r="J41" s="134"/>
      <c r="K41" s="132"/>
      <c r="L41" s="134"/>
      <c r="M41" s="125"/>
      <c r="N41" s="126"/>
      <c r="O41" s="121"/>
      <c r="P41" s="119"/>
      <c r="Q41" s="85"/>
      <c r="R41" s="85"/>
      <c r="S41" s="85"/>
      <c r="T41" s="85"/>
      <c r="U41" s="85"/>
      <c r="V41" s="85"/>
      <c r="W41" s="85"/>
      <c r="X41" s="85"/>
      <c r="Y41" s="85"/>
      <c r="Z41" s="85"/>
      <c r="AA41" s="85"/>
      <c r="AB41" s="85"/>
    </row>
    <row r="42" spans="1:28">
      <c r="A42" s="87"/>
      <c r="B42" s="123"/>
      <c r="C42" s="132"/>
      <c r="D42" s="134"/>
      <c r="E42" s="132"/>
      <c r="F42" s="134"/>
      <c r="G42" s="132"/>
      <c r="H42" s="134"/>
      <c r="I42" s="125"/>
      <c r="J42" s="134"/>
      <c r="K42" s="132"/>
      <c r="L42" s="134"/>
      <c r="M42" s="125"/>
      <c r="N42" s="126"/>
      <c r="O42" s="121"/>
      <c r="P42" s="119"/>
      <c r="Q42" s="85"/>
      <c r="R42" s="85"/>
      <c r="S42" s="85"/>
      <c r="T42" s="85"/>
      <c r="U42" s="85"/>
      <c r="V42" s="85"/>
      <c r="W42" s="85"/>
      <c r="X42" s="85"/>
      <c r="Y42" s="85"/>
      <c r="Z42" s="85"/>
      <c r="AA42" s="85"/>
      <c r="AB42" s="85"/>
    </row>
    <row r="43" spans="1:28">
      <c r="A43" s="87">
        <v>5</v>
      </c>
      <c r="B43" s="120" t="s">
        <v>36</v>
      </c>
      <c r="C43" s="138"/>
      <c r="D43" s="133"/>
      <c r="E43" s="138"/>
      <c r="F43" s="133"/>
      <c r="G43" s="138"/>
      <c r="H43" s="133"/>
      <c r="I43" s="127"/>
      <c r="J43" s="133"/>
      <c r="K43" s="138"/>
      <c r="L43" s="133"/>
      <c r="M43" s="127"/>
      <c r="N43" s="128">
        <v>6</v>
      </c>
      <c r="O43" s="88" t="s">
        <v>36</v>
      </c>
    </row>
    <row r="44" spans="1:28">
      <c r="A44" s="87"/>
      <c r="B44" s="141"/>
      <c r="C44" s="132"/>
      <c r="D44" s="134"/>
      <c r="E44" s="132"/>
      <c r="F44" s="134"/>
      <c r="G44" s="132"/>
      <c r="H44" s="134"/>
      <c r="I44" s="125"/>
      <c r="J44" s="134"/>
      <c r="K44" s="132"/>
      <c r="L44" s="134"/>
      <c r="M44" s="125"/>
      <c r="N44" s="126"/>
      <c r="O44" s="88"/>
    </row>
    <row r="45" spans="1:28">
      <c r="A45" s="87"/>
      <c r="B45" s="141"/>
      <c r="C45" s="132"/>
      <c r="D45" s="134"/>
      <c r="E45" s="132"/>
      <c r="F45" s="134"/>
      <c r="G45" s="132"/>
      <c r="H45" s="134"/>
      <c r="I45" s="125"/>
      <c r="J45" s="134"/>
      <c r="K45" s="132"/>
      <c r="L45" s="134"/>
      <c r="M45" s="125"/>
      <c r="N45" s="126"/>
      <c r="O45" s="88"/>
    </row>
    <row r="46" spans="1:28">
      <c r="A46" s="87"/>
      <c r="B46" s="141"/>
      <c r="C46" s="132"/>
      <c r="D46" s="134"/>
      <c r="E46" s="132"/>
      <c r="F46" s="134"/>
      <c r="G46" s="132"/>
      <c r="H46" s="134"/>
      <c r="I46" s="125"/>
      <c r="J46" s="134"/>
      <c r="K46" s="132"/>
      <c r="L46" s="134"/>
      <c r="M46" s="125"/>
      <c r="N46" s="126"/>
      <c r="O46" s="88"/>
    </row>
    <row r="47" spans="1:28">
      <c r="A47" s="87"/>
      <c r="B47" s="141"/>
      <c r="C47" s="132"/>
      <c r="D47" s="134"/>
      <c r="E47" s="132"/>
      <c r="F47" s="134"/>
      <c r="G47" s="132"/>
      <c r="H47" s="134"/>
      <c r="I47" s="125"/>
      <c r="J47" s="134"/>
      <c r="K47" s="132"/>
      <c r="L47" s="134"/>
      <c r="M47" s="125"/>
      <c r="N47" s="126"/>
      <c r="O47" s="88"/>
    </row>
    <row r="48" spans="1:28">
      <c r="A48" s="87"/>
      <c r="B48" s="141"/>
      <c r="C48" s="132"/>
      <c r="D48" s="134"/>
      <c r="E48" s="132"/>
      <c r="F48" s="134"/>
      <c r="G48" s="132"/>
      <c r="H48" s="134"/>
      <c r="I48" s="125"/>
      <c r="J48" s="134"/>
      <c r="K48" s="132"/>
      <c r="L48" s="134"/>
      <c r="M48" s="125"/>
      <c r="N48" s="126"/>
      <c r="O48" s="88"/>
      <c r="V48" t="s">
        <v>120</v>
      </c>
    </row>
    <row r="49" spans="1:28">
      <c r="A49" s="87"/>
      <c r="B49" s="141"/>
      <c r="C49" s="132"/>
      <c r="D49" s="134"/>
      <c r="E49" s="132"/>
      <c r="F49" s="134"/>
      <c r="G49" s="132"/>
      <c r="H49" s="134"/>
      <c r="I49" s="125"/>
      <c r="J49" s="134"/>
      <c r="K49" s="132"/>
      <c r="L49" s="134"/>
      <c r="M49" s="125"/>
      <c r="N49" s="126"/>
      <c r="O49" s="88"/>
      <c r="V49" t="s">
        <v>121</v>
      </c>
    </row>
    <row r="50" spans="1:28">
      <c r="A50" s="87"/>
      <c r="B50" s="141"/>
      <c r="C50" s="132"/>
      <c r="D50" s="134"/>
      <c r="E50" s="132"/>
      <c r="F50" s="134"/>
      <c r="G50" s="132"/>
      <c r="H50" s="134"/>
      <c r="I50" s="125"/>
      <c r="J50" s="134"/>
      <c r="K50" s="132"/>
      <c r="L50" s="134"/>
      <c r="M50" s="125"/>
      <c r="N50" s="126"/>
      <c r="O50" s="88"/>
      <c r="V50" t="s">
        <v>122</v>
      </c>
    </row>
    <row r="51" spans="1:28">
      <c r="A51" s="87"/>
      <c r="B51" s="141"/>
      <c r="C51" s="132"/>
      <c r="D51" s="134"/>
      <c r="E51" s="132"/>
      <c r="F51" s="134"/>
      <c r="G51" s="132"/>
      <c r="H51" s="134"/>
      <c r="I51" s="125"/>
      <c r="J51" s="134"/>
      <c r="K51" s="132"/>
      <c r="L51" s="134"/>
      <c r="M51" s="125"/>
      <c r="N51" s="126"/>
      <c r="O51" s="88"/>
      <c r="V51" t="s">
        <v>123</v>
      </c>
    </row>
    <row r="52" spans="1:28">
      <c r="A52" s="87"/>
      <c r="B52" s="123"/>
      <c r="C52" s="132"/>
      <c r="D52" s="134"/>
      <c r="E52" s="132"/>
      <c r="F52" s="134"/>
      <c r="G52" s="132"/>
      <c r="H52" s="134"/>
      <c r="I52" s="125"/>
      <c r="J52" s="134"/>
      <c r="K52" s="132"/>
      <c r="L52" s="134"/>
      <c r="M52" s="125"/>
      <c r="N52" s="126"/>
      <c r="O52" s="88"/>
      <c r="V52" t="s">
        <v>124</v>
      </c>
    </row>
    <row r="53" spans="1:28">
      <c r="A53" s="87">
        <v>6</v>
      </c>
      <c r="B53" s="120" t="s">
        <v>43</v>
      </c>
      <c r="C53" s="142"/>
      <c r="D53" s="133"/>
      <c r="E53" s="142"/>
      <c r="F53" s="133"/>
      <c r="G53" s="138"/>
      <c r="H53" s="133"/>
      <c r="I53" s="127"/>
      <c r="J53" s="133"/>
      <c r="K53" s="138"/>
      <c r="L53" s="133"/>
      <c r="M53" s="127"/>
      <c r="N53" s="128">
        <v>7</v>
      </c>
      <c r="O53" s="88" t="s">
        <v>43</v>
      </c>
    </row>
    <row r="54" spans="1:28">
      <c r="A54" s="87"/>
      <c r="B54" s="141"/>
      <c r="C54" s="143"/>
      <c r="D54" s="134"/>
      <c r="E54" s="143"/>
      <c r="F54" s="134"/>
      <c r="G54" s="132"/>
      <c r="H54" s="134"/>
      <c r="I54" s="125"/>
      <c r="J54" s="134"/>
      <c r="K54" s="132"/>
      <c r="L54" s="134"/>
      <c r="M54" s="125"/>
      <c r="N54" s="126"/>
      <c r="O54" s="88"/>
    </row>
    <row r="55" spans="1:28">
      <c r="A55" s="87"/>
      <c r="B55" s="141"/>
      <c r="C55" s="143"/>
      <c r="D55" s="134"/>
      <c r="E55" s="143"/>
      <c r="F55" s="134"/>
      <c r="G55" s="132"/>
      <c r="H55" s="134"/>
      <c r="I55" s="125"/>
      <c r="J55" s="134"/>
      <c r="K55" s="132"/>
      <c r="L55" s="134"/>
      <c r="M55" s="125"/>
      <c r="N55" s="126"/>
      <c r="O55" s="88"/>
      <c r="V55" s="102" t="s">
        <v>127</v>
      </c>
      <c r="W55" s="103"/>
      <c r="X55" s="103"/>
      <c r="Y55" s="103"/>
      <c r="Z55" s="103"/>
      <c r="AA55" s="104"/>
    </row>
    <row r="56" spans="1:28">
      <c r="A56" s="87"/>
      <c r="B56" s="141"/>
      <c r="C56" s="143"/>
      <c r="D56" s="134"/>
      <c r="E56" s="143"/>
      <c r="F56" s="134"/>
      <c r="G56" s="132"/>
      <c r="H56" s="134"/>
      <c r="I56" s="125"/>
      <c r="J56" s="134"/>
      <c r="K56" s="132"/>
      <c r="L56" s="134"/>
      <c r="M56" s="125"/>
      <c r="N56" s="126"/>
      <c r="O56" s="88"/>
      <c r="V56" s="112" t="s">
        <v>128</v>
      </c>
      <c r="W56" s="109"/>
      <c r="X56" s="109"/>
      <c r="Y56" s="109"/>
      <c r="Z56" s="109"/>
      <c r="AA56" s="110"/>
    </row>
    <row r="57" spans="1:28">
      <c r="A57" s="87"/>
      <c r="B57" s="141"/>
      <c r="C57" s="143"/>
      <c r="D57" s="134"/>
      <c r="E57" s="143"/>
      <c r="F57" s="134"/>
      <c r="G57" s="132"/>
      <c r="H57" s="134"/>
      <c r="I57" s="125"/>
      <c r="J57" s="134"/>
      <c r="K57" s="132"/>
      <c r="L57" s="134"/>
      <c r="M57" s="125"/>
      <c r="N57" s="126"/>
      <c r="O57" s="88"/>
      <c r="V57" s="112" t="s">
        <v>129</v>
      </c>
      <c r="W57" s="109"/>
      <c r="X57" s="109"/>
      <c r="Y57" s="109"/>
      <c r="Z57" s="109"/>
      <c r="AA57" s="110"/>
    </row>
    <row r="58" spans="1:28">
      <c r="A58" s="87"/>
      <c r="B58" s="141"/>
      <c r="C58" s="143"/>
      <c r="D58" s="134"/>
      <c r="E58" s="143"/>
      <c r="F58" s="134"/>
      <c r="G58" s="132"/>
      <c r="H58" s="134"/>
      <c r="I58" s="125"/>
      <c r="J58" s="134"/>
      <c r="K58" s="132"/>
      <c r="L58" s="134"/>
      <c r="M58" s="125"/>
      <c r="N58" s="126"/>
      <c r="O58" s="88"/>
      <c r="V58" s="102" t="s">
        <v>130</v>
      </c>
      <c r="W58" s="103"/>
      <c r="X58" s="103"/>
      <c r="Y58" s="103"/>
      <c r="Z58" s="103"/>
      <c r="AA58" s="104"/>
    </row>
    <row r="59" spans="1:28">
      <c r="A59" s="87"/>
      <c r="B59" s="141"/>
      <c r="C59" s="143"/>
      <c r="D59" s="134"/>
      <c r="E59" s="143"/>
      <c r="F59" s="134"/>
      <c r="G59" s="132"/>
      <c r="H59" s="134"/>
      <c r="I59" s="125"/>
      <c r="J59" s="134"/>
      <c r="K59" s="132"/>
      <c r="L59" s="134"/>
      <c r="M59" s="125"/>
      <c r="N59" s="126"/>
      <c r="O59" s="88"/>
      <c r="V59" s="112" t="s">
        <v>131</v>
      </c>
      <c r="W59" s="109"/>
      <c r="X59" s="109"/>
      <c r="Y59" s="109"/>
      <c r="Z59" s="109"/>
      <c r="AA59" s="110"/>
    </row>
    <row r="60" spans="1:28">
      <c r="A60" s="87"/>
      <c r="B60" s="141"/>
      <c r="C60" s="143"/>
      <c r="D60" s="134"/>
      <c r="E60" s="143"/>
      <c r="F60" s="134"/>
      <c r="G60" s="132"/>
      <c r="H60" s="134"/>
      <c r="I60" s="125"/>
      <c r="J60" s="134"/>
      <c r="K60" s="132"/>
      <c r="L60" s="134"/>
      <c r="M60" s="125"/>
      <c r="N60" s="126"/>
      <c r="O60" s="88"/>
      <c r="V60" s="113" t="s">
        <v>132</v>
      </c>
      <c r="W60" s="107"/>
      <c r="X60" s="107"/>
      <c r="Y60" s="107"/>
      <c r="Z60" s="107"/>
      <c r="AA60" s="108"/>
    </row>
    <row r="61" spans="1:28">
      <c r="A61" s="87"/>
      <c r="B61" s="141"/>
      <c r="C61" s="143"/>
      <c r="D61" s="134"/>
      <c r="E61" s="143"/>
      <c r="F61" s="134"/>
      <c r="G61" s="132"/>
      <c r="H61" s="134"/>
      <c r="I61" s="125"/>
      <c r="J61" s="134"/>
      <c r="K61" s="132"/>
      <c r="L61" s="134"/>
      <c r="M61" s="125"/>
      <c r="N61" s="126"/>
      <c r="O61" s="88"/>
      <c r="S61" s="102" t="s">
        <v>133</v>
      </c>
      <c r="T61" s="103"/>
      <c r="U61" s="104"/>
      <c r="V61" s="107"/>
      <c r="W61" s="107"/>
      <c r="X61" s="107"/>
      <c r="Y61" s="107"/>
      <c r="Z61" s="107"/>
      <c r="AA61" s="108"/>
    </row>
    <row r="62" spans="1:28">
      <c r="A62" s="87"/>
      <c r="B62" s="123"/>
      <c r="C62" s="144"/>
      <c r="D62" s="140"/>
      <c r="E62" s="144"/>
      <c r="F62" s="140"/>
      <c r="G62" s="139"/>
      <c r="H62" s="140"/>
      <c r="I62" s="136"/>
      <c r="J62" s="140"/>
      <c r="K62" s="139"/>
      <c r="L62" s="140"/>
      <c r="M62" s="136"/>
      <c r="N62" s="137"/>
      <c r="O62" s="88"/>
      <c r="S62" s="29" t="s">
        <v>134</v>
      </c>
      <c r="T62" s="30" t="s">
        <v>135</v>
      </c>
      <c r="U62" s="31" t="s">
        <v>136</v>
      </c>
      <c r="V62" s="103" t="s">
        <v>137</v>
      </c>
      <c r="W62" s="103"/>
      <c r="X62" s="103"/>
      <c r="Y62" s="103"/>
      <c r="Z62" s="103"/>
      <c r="AA62" s="104"/>
      <c r="AB62" s="25" t="s">
        <v>138</v>
      </c>
    </row>
    <row r="63" spans="1:28">
      <c r="A63" s="87">
        <v>7</v>
      </c>
      <c r="B63" s="120" t="s">
        <v>50</v>
      </c>
      <c r="C63" s="143"/>
      <c r="D63" s="134"/>
      <c r="E63" s="143"/>
      <c r="F63" s="134"/>
      <c r="G63" s="132"/>
      <c r="H63" s="134"/>
      <c r="I63" s="125"/>
      <c r="J63" s="134"/>
      <c r="K63" s="132"/>
      <c r="L63" s="134"/>
      <c r="M63" s="125"/>
      <c r="N63" s="126">
        <v>2</v>
      </c>
      <c r="O63" s="88" t="s">
        <v>50</v>
      </c>
      <c r="R63" s="99" t="s">
        <v>140</v>
      </c>
      <c r="U63" s="10"/>
      <c r="V63" s="114" t="s">
        <v>141</v>
      </c>
      <c r="W63" s="114"/>
      <c r="X63" s="114"/>
      <c r="Y63" s="114"/>
      <c r="Z63" s="114"/>
      <c r="AA63" s="115"/>
    </row>
    <row r="64" spans="1:28">
      <c r="A64" s="87"/>
      <c r="B64" s="141"/>
      <c r="C64" s="143"/>
      <c r="D64" s="134"/>
      <c r="E64" s="143"/>
      <c r="F64" s="134"/>
      <c r="G64" s="132"/>
      <c r="H64" s="134"/>
      <c r="I64" s="125"/>
      <c r="J64" s="134"/>
      <c r="K64" s="132"/>
      <c r="L64" s="134"/>
      <c r="M64" s="125"/>
      <c r="N64" s="126"/>
      <c r="O64" s="88"/>
      <c r="R64" s="100"/>
      <c r="U64" s="10"/>
      <c r="V64" s="107" t="s">
        <v>142</v>
      </c>
      <c r="W64" s="107"/>
      <c r="X64" s="107"/>
      <c r="Y64" s="107"/>
      <c r="Z64" s="107"/>
      <c r="AA64" s="108"/>
    </row>
    <row r="65" spans="1:28">
      <c r="A65" s="87"/>
      <c r="B65" s="141"/>
      <c r="C65" s="143"/>
      <c r="D65" s="134"/>
      <c r="E65" s="143"/>
      <c r="F65" s="134"/>
      <c r="G65" s="132"/>
      <c r="H65" s="134"/>
      <c r="I65" s="125"/>
      <c r="J65" s="134"/>
      <c r="K65" s="132"/>
      <c r="L65" s="134"/>
      <c r="M65" s="125"/>
      <c r="N65" s="126"/>
      <c r="O65" s="88"/>
      <c r="R65" s="100"/>
      <c r="T65" s="19"/>
      <c r="U65" s="26"/>
      <c r="V65" s="107" t="s">
        <v>143</v>
      </c>
      <c r="W65" s="107"/>
      <c r="X65" s="107"/>
      <c r="Y65" s="107"/>
      <c r="Z65" s="107"/>
      <c r="AA65" s="108"/>
      <c r="AB65" s="13" t="s">
        <v>144</v>
      </c>
    </row>
    <row r="66" spans="1:28">
      <c r="A66" s="87"/>
      <c r="B66" s="141"/>
      <c r="C66" s="143"/>
      <c r="D66" s="134"/>
      <c r="E66" s="143"/>
      <c r="F66" s="134"/>
      <c r="G66" s="132"/>
      <c r="H66" s="134"/>
      <c r="I66" s="125"/>
      <c r="J66" s="134"/>
      <c r="K66" s="132"/>
      <c r="L66" s="134"/>
      <c r="M66" s="125"/>
      <c r="N66" s="126"/>
      <c r="O66" s="88"/>
      <c r="R66" s="100"/>
      <c r="T66" s="21"/>
      <c r="U66" s="10"/>
      <c r="V66" s="107" t="s">
        <v>145</v>
      </c>
      <c r="W66" s="107"/>
      <c r="X66" s="107"/>
      <c r="Y66" s="107"/>
      <c r="Z66" s="107"/>
      <c r="AA66" s="108"/>
      <c r="AB66" s="23" t="s">
        <v>146</v>
      </c>
    </row>
    <row r="67" spans="1:28">
      <c r="A67" s="87"/>
      <c r="B67" s="141"/>
      <c r="C67" s="143"/>
      <c r="D67" s="134"/>
      <c r="E67" s="143"/>
      <c r="F67" s="134"/>
      <c r="G67" s="132"/>
      <c r="H67" s="134"/>
      <c r="I67" s="125"/>
      <c r="J67" s="134"/>
      <c r="K67" s="132"/>
      <c r="L67" s="134"/>
      <c r="M67" s="125"/>
      <c r="N67" s="126"/>
      <c r="O67" s="88"/>
      <c r="R67" s="100"/>
      <c r="U67" s="26"/>
      <c r="V67" s="107" t="s">
        <v>147</v>
      </c>
      <c r="W67" s="107"/>
      <c r="X67" s="107"/>
      <c r="Y67" s="107"/>
      <c r="Z67" s="107"/>
      <c r="AA67" s="108"/>
      <c r="AB67" s="23" t="s">
        <v>79</v>
      </c>
    </row>
    <row r="68" spans="1:28">
      <c r="A68" s="87"/>
      <c r="B68" s="141"/>
      <c r="C68" s="143"/>
      <c r="D68" s="134"/>
      <c r="E68" s="143"/>
      <c r="F68" s="134"/>
      <c r="G68" s="132"/>
      <c r="H68" s="134"/>
      <c r="I68" s="125"/>
      <c r="J68" s="134"/>
      <c r="K68" s="132"/>
      <c r="L68" s="134"/>
      <c r="M68" s="125"/>
      <c r="N68" s="126"/>
      <c r="O68" s="88"/>
      <c r="R68" s="100"/>
      <c r="S68" s="20"/>
      <c r="T68" s="20"/>
      <c r="U68" s="10"/>
      <c r="V68" s="107" t="s">
        <v>148</v>
      </c>
      <c r="W68" s="107"/>
      <c r="X68" s="107"/>
      <c r="Y68" s="107"/>
      <c r="Z68" s="107"/>
      <c r="AA68" s="108"/>
      <c r="AB68" s="23" t="s">
        <v>149</v>
      </c>
    </row>
    <row r="69" spans="1:28">
      <c r="A69" s="87"/>
      <c r="B69" s="141"/>
      <c r="C69" s="143"/>
      <c r="D69" s="134"/>
      <c r="E69" s="143"/>
      <c r="F69" s="134"/>
      <c r="G69" s="132"/>
      <c r="H69" s="134"/>
      <c r="I69" s="125"/>
      <c r="J69" s="134"/>
      <c r="K69" s="132"/>
      <c r="L69" s="134"/>
      <c r="M69" s="125"/>
      <c r="N69" s="126"/>
      <c r="O69" s="88"/>
      <c r="R69" s="101"/>
      <c r="S69" s="27"/>
      <c r="T69" s="27"/>
      <c r="U69" s="28"/>
      <c r="V69" s="105" t="s">
        <v>150</v>
      </c>
      <c r="W69" s="105"/>
      <c r="X69" s="105"/>
      <c r="Y69" s="105"/>
      <c r="Z69" s="105"/>
      <c r="AA69" s="106"/>
      <c r="AB69" s="24" t="s">
        <v>98</v>
      </c>
    </row>
    <row r="70" spans="1:28">
      <c r="A70" s="87"/>
      <c r="B70" s="141"/>
      <c r="C70" s="143"/>
      <c r="D70" s="134"/>
      <c r="E70" s="143"/>
      <c r="F70" s="134"/>
      <c r="G70" s="132"/>
      <c r="H70" s="134"/>
      <c r="I70" s="125"/>
      <c r="J70" s="134"/>
      <c r="K70" s="132"/>
      <c r="L70" s="134"/>
      <c r="M70" s="125"/>
      <c r="N70" s="126"/>
      <c r="O70" s="88"/>
      <c r="V70" t="s">
        <v>151</v>
      </c>
      <c r="W70" t="s">
        <v>151</v>
      </c>
      <c r="X70" s="15">
        <v>5</v>
      </c>
    </row>
    <row r="71" spans="1:28">
      <c r="A71" s="87"/>
      <c r="B71" s="141"/>
      <c r="C71" s="143"/>
      <c r="D71" s="134"/>
      <c r="E71" s="143"/>
      <c r="F71" s="134"/>
      <c r="G71" s="132"/>
      <c r="H71" s="134"/>
      <c r="I71" s="125"/>
      <c r="J71" s="134"/>
      <c r="K71" s="132"/>
      <c r="L71" s="134"/>
      <c r="M71" s="125"/>
      <c r="N71" s="126"/>
      <c r="O71" s="88"/>
      <c r="V71" t="s">
        <v>149</v>
      </c>
      <c r="W71" t="s">
        <v>152</v>
      </c>
      <c r="X71" s="15">
        <v>4</v>
      </c>
    </row>
    <row r="72" spans="1:28">
      <c r="A72" s="87"/>
      <c r="B72" s="141"/>
      <c r="C72" s="143"/>
      <c r="D72" s="134"/>
      <c r="E72" s="143"/>
      <c r="F72" s="134"/>
      <c r="G72" s="132"/>
      <c r="H72" s="134"/>
      <c r="I72" s="125"/>
      <c r="J72" s="134"/>
      <c r="K72" s="132"/>
      <c r="L72" s="134"/>
      <c r="M72" s="125"/>
      <c r="N72" s="126"/>
      <c r="O72" s="88"/>
      <c r="V72" t="s">
        <v>153</v>
      </c>
      <c r="W72" t="s">
        <v>153</v>
      </c>
      <c r="X72" s="15">
        <v>3</v>
      </c>
    </row>
    <row r="73" spans="1:28">
      <c r="A73" s="87"/>
      <c r="B73" s="123"/>
      <c r="C73" s="143"/>
      <c r="D73" s="134"/>
      <c r="E73" s="143"/>
      <c r="F73" s="134"/>
      <c r="G73" s="132"/>
      <c r="H73" s="134"/>
      <c r="I73" s="125"/>
      <c r="J73" s="134"/>
      <c r="K73" s="132"/>
      <c r="L73" s="134"/>
      <c r="M73" s="125"/>
      <c r="N73" s="126"/>
      <c r="O73" s="88"/>
      <c r="W73" t="s">
        <v>154</v>
      </c>
      <c r="X73" s="15">
        <v>1</v>
      </c>
    </row>
    <row r="74" spans="1:28">
      <c r="A74" s="87">
        <v>8</v>
      </c>
      <c r="B74" s="120" t="s">
        <v>54</v>
      </c>
      <c r="C74" s="138"/>
      <c r="D74" s="133"/>
      <c r="E74" s="138"/>
      <c r="F74" s="133"/>
      <c r="G74" s="138"/>
      <c r="H74" s="133"/>
      <c r="I74" s="127"/>
      <c r="J74" s="133"/>
      <c r="K74" s="138"/>
      <c r="L74" s="133"/>
      <c r="M74" s="127"/>
      <c r="N74" s="128">
        <v>3</v>
      </c>
      <c r="O74" s="88" t="s">
        <v>54</v>
      </c>
    </row>
    <row r="75" spans="1:28">
      <c r="A75" s="87"/>
      <c r="B75" s="141"/>
      <c r="C75" s="132"/>
      <c r="D75" s="134"/>
      <c r="E75" s="132"/>
      <c r="F75" s="134"/>
      <c r="G75" s="132"/>
      <c r="H75" s="134"/>
      <c r="I75" s="125"/>
      <c r="J75" s="134"/>
      <c r="K75" s="132"/>
      <c r="L75" s="134"/>
      <c r="M75" s="125"/>
      <c r="N75" s="126"/>
      <c r="O75" s="88"/>
      <c r="S75" s="102" t="s">
        <v>133</v>
      </c>
      <c r="T75" s="103"/>
      <c r="U75" s="104"/>
      <c r="V75" s="111"/>
      <c r="W75" s="111"/>
      <c r="X75" s="111"/>
      <c r="Y75" s="111"/>
      <c r="Z75" s="111"/>
      <c r="AA75" s="111"/>
      <c r="AB75" s="22"/>
    </row>
    <row r="76" spans="1:28">
      <c r="A76" s="87"/>
      <c r="B76" s="141"/>
      <c r="C76" s="132"/>
      <c r="D76" s="134"/>
      <c r="E76" s="132"/>
      <c r="F76" s="134"/>
      <c r="G76" s="132"/>
      <c r="H76" s="134"/>
      <c r="I76" s="125"/>
      <c r="J76" s="134"/>
      <c r="K76" s="132"/>
      <c r="L76" s="134"/>
      <c r="M76" s="125"/>
      <c r="N76" s="126"/>
      <c r="O76" s="88"/>
      <c r="S76" s="14" t="s">
        <v>134</v>
      </c>
      <c r="T76" s="6" t="s">
        <v>135</v>
      </c>
      <c r="U76" s="6" t="s">
        <v>136</v>
      </c>
      <c r="V76" s="102" t="s">
        <v>137</v>
      </c>
      <c r="W76" s="103"/>
      <c r="X76" s="103"/>
      <c r="Y76" s="103"/>
      <c r="Z76" s="103"/>
      <c r="AA76" s="103"/>
      <c r="AB76" s="25" t="s">
        <v>138</v>
      </c>
    </row>
    <row r="77" spans="1:28">
      <c r="A77" s="87"/>
      <c r="B77" s="141"/>
      <c r="C77" s="132"/>
      <c r="D77" s="134"/>
      <c r="E77" s="132"/>
      <c r="F77" s="134"/>
      <c r="G77" s="132"/>
      <c r="H77" s="134"/>
      <c r="I77" s="125"/>
      <c r="J77" s="134"/>
      <c r="K77" s="132"/>
      <c r="L77" s="134"/>
      <c r="M77" s="125"/>
      <c r="N77" s="126"/>
      <c r="O77" s="88"/>
      <c r="R77" s="99" t="s">
        <v>140</v>
      </c>
      <c r="U77" s="10"/>
      <c r="V77" s="107" t="s">
        <v>141</v>
      </c>
      <c r="W77" s="107"/>
      <c r="X77" s="107"/>
      <c r="Y77" s="107"/>
      <c r="Z77" s="107"/>
      <c r="AA77" s="108"/>
    </row>
    <row r="78" spans="1:28">
      <c r="A78" s="87"/>
      <c r="B78" s="141"/>
      <c r="C78" s="132"/>
      <c r="D78" s="134"/>
      <c r="E78" s="132"/>
      <c r="F78" s="134"/>
      <c r="G78" s="132"/>
      <c r="H78" s="134"/>
      <c r="I78" s="125"/>
      <c r="J78" s="134"/>
      <c r="K78" s="132"/>
      <c r="L78" s="134"/>
      <c r="M78" s="125"/>
      <c r="N78" s="126"/>
      <c r="O78" s="88"/>
      <c r="R78" s="100"/>
      <c r="U78" s="10"/>
      <c r="V78" s="107" t="s">
        <v>142</v>
      </c>
      <c r="W78" s="107"/>
      <c r="X78" s="107"/>
      <c r="Y78" s="107"/>
      <c r="Z78" s="107"/>
      <c r="AA78" s="108"/>
    </row>
    <row r="79" spans="1:28">
      <c r="A79" s="87"/>
      <c r="B79" s="141"/>
      <c r="C79" s="132"/>
      <c r="D79" s="134"/>
      <c r="E79" s="132"/>
      <c r="F79" s="134"/>
      <c r="G79" s="132"/>
      <c r="H79" s="134"/>
      <c r="I79" s="125"/>
      <c r="J79" s="134"/>
      <c r="K79" s="132"/>
      <c r="L79" s="134"/>
      <c r="M79" s="125"/>
      <c r="N79" s="126"/>
      <c r="O79" s="88"/>
      <c r="R79" s="100"/>
      <c r="T79" s="19"/>
      <c r="U79" s="26"/>
      <c r="V79" s="107" t="s">
        <v>143</v>
      </c>
      <c r="W79" s="107"/>
      <c r="X79" s="107"/>
      <c r="Y79" s="107"/>
      <c r="Z79" s="107"/>
      <c r="AA79" s="108"/>
      <c r="AB79" s="13" t="s">
        <v>144</v>
      </c>
    </row>
    <row r="80" spans="1:28">
      <c r="A80" s="87"/>
      <c r="B80" s="141"/>
      <c r="C80" s="132"/>
      <c r="D80" s="134"/>
      <c r="E80" s="132"/>
      <c r="F80" s="134"/>
      <c r="G80" s="132"/>
      <c r="H80" s="134"/>
      <c r="I80" s="125"/>
      <c r="J80" s="134"/>
      <c r="K80" s="132"/>
      <c r="L80" s="134"/>
      <c r="M80" s="125"/>
      <c r="N80" s="126"/>
      <c r="O80" s="88"/>
      <c r="R80" s="100"/>
      <c r="S80" s="20"/>
      <c r="T80" s="21"/>
      <c r="U80" s="10"/>
      <c r="V80" s="107" t="s">
        <v>145</v>
      </c>
      <c r="W80" s="107"/>
      <c r="X80" s="107"/>
      <c r="Y80" s="107"/>
      <c r="Z80" s="107"/>
      <c r="AA80" s="108"/>
      <c r="AB80" s="23" t="s">
        <v>146</v>
      </c>
    </row>
    <row r="81" spans="1:28">
      <c r="A81" s="87"/>
      <c r="B81" s="141"/>
      <c r="C81" s="132"/>
      <c r="D81" s="134"/>
      <c r="E81" s="132"/>
      <c r="F81" s="134"/>
      <c r="G81" s="132"/>
      <c r="H81" s="134"/>
      <c r="I81" s="125"/>
      <c r="J81" s="134"/>
      <c r="K81" s="132"/>
      <c r="L81" s="134"/>
      <c r="M81" s="125"/>
      <c r="N81" s="126"/>
      <c r="O81" s="88"/>
      <c r="R81" s="100"/>
      <c r="U81" s="26"/>
      <c r="V81" s="107" t="s">
        <v>147</v>
      </c>
      <c r="W81" s="107"/>
      <c r="X81" s="107"/>
      <c r="Y81" s="107"/>
      <c r="Z81" s="107"/>
      <c r="AA81" s="108"/>
      <c r="AB81" s="23" t="s">
        <v>79</v>
      </c>
    </row>
    <row r="82" spans="1:28">
      <c r="A82" s="87"/>
      <c r="B82" s="141"/>
      <c r="C82" s="132"/>
      <c r="D82" s="134"/>
      <c r="E82" s="132"/>
      <c r="F82" s="134"/>
      <c r="G82" s="132"/>
      <c r="H82" s="134"/>
      <c r="I82" s="125"/>
      <c r="J82" s="134"/>
      <c r="K82" s="132"/>
      <c r="L82" s="134"/>
      <c r="M82" s="125"/>
      <c r="N82" s="126"/>
      <c r="O82" s="88"/>
      <c r="R82" s="100"/>
      <c r="S82" s="20"/>
      <c r="T82" s="20"/>
      <c r="U82" s="10"/>
      <c r="V82" s="107" t="s">
        <v>148</v>
      </c>
      <c r="W82" s="107"/>
      <c r="X82" s="107"/>
      <c r="Y82" s="107"/>
      <c r="Z82" s="107"/>
      <c r="AA82" s="108"/>
      <c r="AB82" s="23" t="s">
        <v>149</v>
      </c>
    </row>
    <row r="83" spans="1:28">
      <c r="A83" s="87"/>
      <c r="B83" s="123"/>
      <c r="C83" s="132"/>
      <c r="D83" s="134"/>
      <c r="E83" s="132"/>
      <c r="F83" s="134"/>
      <c r="G83" s="132"/>
      <c r="H83" s="134"/>
      <c r="I83" s="125"/>
      <c r="J83" s="134"/>
      <c r="K83" s="132"/>
      <c r="L83" s="134"/>
      <c r="M83" s="125"/>
      <c r="N83" s="126"/>
      <c r="O83" s="120"/>
      <c r="R83" s="101"/>
      <c r="S83" s="27"/>
      <c r="T83" s="27"/>
      <c r="U83" s="28"/>
      <c r="V83" s="105" t="s">
        <v>150</v>
      </c>
      <c r="W83" s="105"/>
      <c r="X83" s="105"/>
      <c r="Y83" s="105"/>
      <c r="Z83" s="105"/>
      <c r="AA83" s="106"/>
      <c r="AB83" s="24" t="s">
        <v>98</v>
      </c>
    </row>
    <row r="84" spans="1:28">
      <c r="A84" s="87">
        <v>9</v>
      </c>
      <c r="B84" s="120" t="s">
        <v>59</v>
      </c>
      <c r="C84" s="142"/>
      <c r="D84" s="133"/>
      <c r="E84" s="142"/>
      <c r="F84" s="133"/>
      <c r="G84" s="138"/>
      <c r="H84" s="133"/>
      <c r="I84" s="127"/>
      <c r="J84" s="133"/>
      <c r="K84" s="138"/>
      <c r="L84" s="133"/>
      <c r="M84" s="127"/>
      <c r="N84" s="128">
        <v>5</v>
      </c>
      <c r="O84" s="88" t="s">
        <v>59</v>
      </c>
      <c r="V84" t="s">
        <v>151</v>
      </c>
      <c r="W84" s="15">
        <v>5</v>
      </c>
    </row>
    <row r="85" spans="1:28">
      <c r="A85" s="87"/>
      <c r="B85" s="141"/>
      <c r="C85" s="143"/>
      <c r="D85" s="134"/>
      <c r="E85" s="143"/>
      <c r="F85" s="134"/>
      <c r="G85" s="132"/>
      <c r="H85" s="134"/>
      <c r="I85" s="125"/>
      <c r="J85" s="134"/>
      <c r="K85" s="132"/>
      <c r="L85" s="134"/>
      <c r="M85" s="125"/>
      <c r="N85" s="126"/>
      <c r="O85" s="88"/>
      <c r="V85" t="s">
        <v>152</v>
      </c>
      <c r="W85" s="15">
        <v>4</v>
      </c>
    </row>
    <row r="86" spans="1:28">
      <c r="A86" s="87"/>
      <c r="B86" s="141"/>
      <c r="C86" s="143"/>
      <c r="D86" s="134"/>
      <c r="E86" s="143"/>
      <c r="F86" s="134"/>
      <c r="G86" s="132"/>
      <c r="H86" s="134"/>
      <c r="I86" s="125"/>
      <c r="J86" s="134"/>
      <c r="K86" s="132"/>
      <c r="L86" s="134"/>
      <c r="M86" s="125"/>
      <c r="N86" s="126"/>
      <c r="O86" s="88"/>
      <c r="V86" t="s">
        <v>153</v>
      </c>
      <c r="W86" s="15">
        <v>3</v>
      </c>
    </row>
    <row r="87" spans="1:28">
      <c r="A87" s="87"/>
      <c r="B87" s="141"/>
      <c r="C87" s="143"/>
      <c r="D87" s="134"/>
      <c r="E87" s="143"/>
      <c r="F87" s="134"/>
      <c r="G87" s="132"/>
      <c r="H87" s="134"/>
      <c r="I87" s="125"/>
      <c r="J87" s="134"/>
      <c r="K87" s="132"/>
      <c r="L87" s="134"/>
      <c r="M87" s="125"/>
      <c r="N87" s="126"/>
      <c r="O87" s="88"/>
      <c r="V87" t="s">
        <v>154</v>
      </c>
      <c r="W87" s="15">
        <v>1</v>
      </c>
    </row>
    <row r="88" spans="1:28">
      <c r="A88" s="87"/>
      <c r="B88" s="141"/>
      <c r="C88" s="143"/>
      <c r="D88" s="134"/>
      <c r="E88" s="143"/>
      <c r="F88" s="134"/>
      <c r="G88" s="132"/>
      <c r="H88" s="134"/>
      <c r="I88" s="125"/>
      <c r="J88" s="134"/>
      <c r="K88" s="132"/>
      <c r="L88" s="134"/>
      <c r="M88" s="125"/>
      <c r="N88" s="126"/>
      <c r="O88" s="88"/>
    </row>
    <row r="89" spans="1:28">
      <c r="A89" s="87"/>
      <c r="B89" s="141"/>
      <c r="C89" s="143"/>
      <c r="D89" s="134"/>
      <c r="E89" s="143"/>
      <c r="F89" s="134"/>
      <c r="G89" s="132"/>
      <c r="H89" s="134"/>
      <c r="I89" s="125"/>
      <c r="J89" s="134"/>
      <c r="K89" s="132"/>
      <c r="L89" s="134"/>
      <c r="M89" s="125"/>
      <c r="N89" s="126"/>
      <c r="O89" s="88"/>
    </row>
    <row r="90" spans="1:28">
      <c r="A90" s="87"/>
      <c r="B90" s="141"/>
      <c r="C90" s="143"/>
      <c r="D90" s="134"/>
      <c r="E90" s="143"/>
      <c r="F90" s="134"/>
      <c r="G90" s="132"/>
      <c r="H90" s="134"/>
      <c r="I90" s="125"/>
      <c r="J90" s="134"/>
      <c r="K90" s="132"/>
      <c r="L90" s="134"/>
      <c r="M90" s="125"/>
      <c r="N90" s="126"/>
      <c r="O90" s="88"/>
    </row>
    <row r="91" spans="1:28">
      <c r="A91" s="87"/>
      <c r="B91" s="141"/>
      <c r="C91" s="143"/>
      <c r="D91" s="134"/>
      <c r="E91" s="143"/>
      <c r="F91" s="134"/>
      <c r="G91" s="132"/>
      <c r="H91" s="134"/>
      <c r="I91" s="125"/>
      <c r="J91" s="134"/>
      <c r="K91" s="132"/>
      <c r="L91" s="134"/>
      <c r="M91" s="125"/>
      <c r="N91" s="126"/>
      <c r="O91" s="88"/>
      <c r="V91" t="s">
        <v>167</v>
      </c>
    </row>
    <row r="92" spans="1:28">
      <c r="A92" s="87"/>
      <c r="B92" s="141"/>
      <c r="C92" s="143"/>
      <c r="D92" s="134"/>
      <c r="E92" s="143"/>
      <c r="F92" s="134"/>
      <c r="G92" s="132"/>
      <c r="H92" s="134"/>
      <c r="I92" s="125"/>
      <c r="J92" s="134"/>
      <c r="K92" s="132"/>
      <c r="L92" s="134"/>
      <c r="M92" s="125"/>
      <c r="N92" s="126"/>
      <c r="O92" s="88"/>
    </row>
    <row r="93" spans="1:28">
      <c r="A93" s="87"/>
      <c r="B93" s="123"/>
      <c r="C93" s="144"/>
      <c r="D93" s="134"/>
      <c r="E93" s="144"/>
      <c r="F93" s="134"/>
      <c r="G93" s="132"/>
      <c r="H93" s="134"/>
      <c r="I93" s="125"/>
      <c r="J93" s="134"/>
      <c r="K93" s="132"/>
      <c r="L93" s="134"/>
      <c r="M93" s="125"/>
      <c r="N93" s="137"/>
      <c r="O93" s="88"/>
    </row>
    <row r="94" spans="1:28" ht="15" customHeight="1">
      <c r="A94" s="87">
        <v>10</v>
      </c>
      <c r="B94" s="120" t="s">
        <v>64</v>
      </c>
      <c r="C94" s="132"/>
      <c r="D94" s="133"/>
      <c r="E94" s="132"/>
      <c r="F94" s="133"/>
      <c r="G94" s="138"/>
      <c r="H94" s="133"/>
      <c r="I94" s="127"/>
      <c r="J94" s="133"/>
      <c r="K94" s="138"/>
      <c r="L94" s="133"/>
      <c r="M94" s="127"/>
      <c r="N94" s="126">
        <v>12</v>
      </c>
      <c r="O94" s="123" t="s">
        <v>64</v>
      </c>
    </row>
    <row r="95" spans="1:28">
      <c r="A95" s="87"/>
      <c r="B95" s="141"/>
      <c r="C95" s="132"/>
      <c r="D95" s="134"/>
      <c r="E95" s="132"/>
      <c r="F95" s="134"/>
      <c r="G95" s="132"/>
      <c r="H95" s="134"/>
      <c r="I95" s="125"/>
      <c r="J95" s="134"/>
      <c r="K95" s="132"/>
      <c r="L95" s="134"/>
      <c r="M95" s="125"/>
      <c r="N95" s="126"/>
      <c r="O95" s="88"/>
    </row>
    <row r="96" spans="1:28">
      <c r="A96" s="87"/>
      <c r="B96" s="141"/>
      <c r="C96" s="132"/>
      <c r="D96" s="134"/>
      <c r="E96" s="132"/>
      <c r="F96" s="134"/>
      <c r="G96" s="132"/>
      <c r="H96" s="134"/>
      <c r="I96" s="125"/>
      <c r="J96" s="134"/>
      <c r="K96" s="132"/>
      <c r="L96" s="134"/>
      <c r="M96" s="125"/>
      <c r="N96" s="126"/>
      <c r="O96" s="88"/>
    </row>
    <row r="97" spans="1:15">
      <c r="A97" s="87"/>
      <c r="B97" s="141"/>
      <c r="C97" s="132"/>
      <c r="D97" s="134"/>
      <c r="E97" s="132"/>
      <c r="F97" s="134"/>
      <c r="G97" s="132"/>
      <c r="H97" s="134"/>
      <c r="I97" s="125"/>
      <c r="J97" s="134"/>
      <c r="K97" s="132"/>
      <c r="L97" s="134"/>
      <c r="M97" s="125"/>
      <c r="N97" s="126"/>
      <c r="O97" s="88"/>
    </row>
    <row r="98" spans="1:15">
      <c r="A98" s="87"/>
      <c r="B98" s="141"/>
      <c r="C98" s="132"/>
      <c r="D98" s="134"/>
      <c r="E98" s="132"/>
      <c r="F98" s="134"/>
      <c r="G98" s="132"/>
      <c r="H98" s="134"/>
      <c r="I98" s="125"/>
      <c r="J98" s="134"/>
      <c r="K98" s="132"/>
      <c r="L98" s="134"/>
      <c r="M98" s="125"/>
      <c r="N98" s="126"/>
      <c r="O98" s="88"/>
    </row>
    <row r="99" spans="1:15">
      <c r="A99" s="87"/>
      <c r="B99" s="141"/>
      <c r="C99" s="132"/>
      <c r="D99" s="134"/>
      <c r="E99" s="132"/>
      <c r="F99" s="134"/>
      <c r="G99" s="132"/>
      <c r="H99" s="134"/>
      <c r="I99" s="125"/>
      <c r="J99" s="134"/>
      <c r="K99" s="132"/>
      <c r="L99" s="134"/>
      <c r="M99" s="125"/>
      <c r="N99" s="126"/>
      <c r="O99" s="88"/>
    </row>
    <row r="100" spans="1:15">
      <c r="A100" s="87"/>
      <c r="B100" s="141"/>
      <c r="C100" s="132"/>
      <c r="D100" s="134"/>
      <c r="E100" s="132"/>
      <c r="F100" s="134"/>
      <c r="G100" s="132"/>
      <c r="H100" s="134"/>
      <c r="I100" s="125"/>
      <c r="J100" s="134"/>
      <c r="K100" s="132"/>
      <c r="L100" s="134"/>
      <c r="M100" s="125"/>
      <c r="N100" s="126"/>
      <c r="O100" s="88"/>
    </row>
    <row r="101" spans="1:15">
      <c r="A101" s="87"/>
      <c r="B101" s="141"/>
      <c r="C101" s="132"/>
      <c r="D101" s="134"/>
      <c r="E101" s="132"/>
      <c r="F101" s="134"/>
      <c r="G101" s="132"/>
      <c r="H101" s="134"/>
      <c r="I101" s="125"/>
      <c r="J101" s="134"/>
      <c r="K101" s="132"/>
      <c r="L101" s="134"/>
      <c r="M101" s="125"/>
      <c r="N101" s="126"/>
      <c r="O101" s="88"/>
    </row>
    <row r="102" spans="1:15">
      <c r="A102" s="87"/>
      <c r="B102" s="141"/>
      <c r="C102" s="132"/>
      <c r="D102" s="134"/>
      <c r="E102" s="132"/>
      <c r="F102" s="134"/>
      <c r="G102" s="132"/>
      <c r="H102" s="134"/>
      <c r="I102" s="125"/>
      <c r="J102" s="134"/>
      <c r="K102" s="132"/>
      <c r="L102" s="134"/>
      <c r="M102" s="125"/>
      <c r="N102" s="126"/>
      <c r="O102" s="88"/>
    </row>
    <row r="103" spans="1:15">
      <c r="A103" s="87"/>
      <c r="B103" s="123"/>
      <c r="C103" s="132"/>
      <c r="D103" s="140"/>
      <c r="E103" s="132"/>
      <c r="F103" s="140"/>
      <c r="G103" s="139"/>
      <c r="H103" s="140"/>
      <c r="I103" s="136"/>
      <c r="J103" s="140"/>
      <c r="K103" s="139"/>
      <c r="L103" s="140"/>
      <c r="M103" s="136"/>
      <c r="N103" s="126"/>
      <c r="O103" s="88"/>
    </row>
    <row r="104" spans="1:15">
      <c r="A104" s="87">
        <v>11</v>
      </c>
      <c r="B104" s="120" t="s">
        <v>69</v>
      </c>
      <c r="C104" s="142"/>
      <c r="D104" s="134"/>
      <c r="E104" s="142"/>
      <c r="F104" s="134"/>
      <c r="G104" s="132"/>
      <c r="H104" s="134"/>
      <c r="I104" s="125"/>
      <c r="J104" s="134"/>
      <c r="K104" s="132"/>
      <c r="L104" s="134"/>
      <c r="M104" s="125"/>
      <c r="N104" s="128">
        <v>13</v>
      </c>
      <c r="O104" s="88" t="s">
        <v>69</v>
      </c>
    </row>
    <row r="105" spans="1:15">
      <c r="A105" s="87"/>
      <c r="B105" s="141"/>
      <c r="C105" s="143"/>
      <c r="D105" s="134"/>
      <c r="E105" s="143"/>
      <c r="F105" s="134"/>
      <c r="G105" s="132"/>
      <c r="H105" s="134"/>
      <c r="I105" s="125"/>
      <c r="J105" s="134"/>
      <c r="K105" s="132"/>
      <c r="L105" s="134"/>
      <c r="M105" s="125"/>
      <c r="N105" s="126"/>
      <c r="O105" s="88"/>
    </row>
    <row r="106" spans="1:15">
      <c r="A106" s="87"/>
      <c r="B106" s="141"/>
      <c r="C106" s="143"/>
      <c r="D106" s="134"/>
      <c r="E106" s="143"/>
      <c r="F106" s="134"/>
      <c r="G106" s="132"/>
      <c r="H106" s="134"/>
      <c r="I106" s="125"/>
      <c r="J106" s="134"/>
      <c r="K106" s="132"/>
      <c r="L106" s="134"/>
      <c r="M106" s="125"/>
      <c r="N106" s="126"/>
      <c r="O106" s="88"/>
    </row>
    <row r="107" spans="1:15">
      <c r="A107" s="87"/>
      <c r="B107" s="141"/>
      <c r="C107" s="143"/>
      <c r="D107" s="134"/>
      <c r="E107" s="143"/>
      <c r="F107" s="134"/>
      <c r="G107" s="132"/>
      <c r="H107" s="134"/>
      <c r="I107" s="125"/>
      <c r="J107" s="134"/>
      <c r="K107" s="132"/>
      <c r="L107" s="134"/>
      <c r="M107" s="125"/>
      <c r="N107" s="126"/>
      <c r="O107" s="88"/>
    </row>
    <row r="108" spans="1:15">
      <c r="A108" s="87"/>
      <c r="B108" s="141"/>
      <c r="C108" s="143"/>
      <c r="D108" s="134"/>
      <c r="E108" s="143"/>
      <c r="F108" s="134"/>
      <c r="G108" s="132"/>
      <c r="H108" s="134"/>
      <c r="I108" s="125"/>
      <c r="J108" s="134"/>
      <c r="K108" s="132"/>
      <c r="L108" s="134"/>
      <c r="M108" s="125"/>
      <c r="N108" s="126"/>
      <c r="O108" s="88"/>
    </row>
    <row r="109" spans="1:15">
      <c r="A109" s="87"/>
      <c r="B109" s="141"/>
      <c r="C109" s="143"/>
      <c r="D109" s="134"/>
      <c r="E109" s="143"/>
      <c r="F109" s="134"/>
      <c r="G109" s="132"/>
      <c r="H109" s="134"/>
      <c r="I109" s="125"/>
      <c r="J109" s="134"/>
      <c r="K109" s="132"/>
      <c r="L109" s="134"/>
      <c r="M109" s="125"/>
      <c r="N109" s="126"/>
      <c r="O109" s="88"/>
    </row>
    <row r="110" spans="1:15">
      <c r="A110" s="87"/>
      <c r="B110" s="141"/>
      <c r="C110" s="143"/>
      <c r="D110" s="134"/>
      <c r="E110" s="143"/>
      <c r="F110" s="134"/>
      <c r="G110" s="132"/>
      <c r="H110" s="134"/>
      <c r="I110" s="125"/>
      <c r="J110" s="134"/>
      <c r="K110" s="132"/>
      <c r="L110" s="134"/>
      <c r="M110" s="125"/>
      <c r="N110" s="126"/>
      <c r="O110" s="88"/>
    </row>
    <row r="111" spans="1:15">
      <c r="A111" s="87"/>
      <c r="B111" s="141"/>
      <c r="C111" s="143"/>
      <c r="D111" s="134"/>
      <c r="E111" s="143"/>
      <c r="F111" s="134"/>
      <c r="G111" s="132"/>
      <c r="H111" s="134"/>
      <c r="I111" s="125"/>
      <c r="J111" s="134"/>
      <c r="K111" s="132"/>
      <c r="L111" s="134"/>
      <c r="M111" s="125"/>
      <c r="N111" s="126"/>
      <c r="O111" s="88"/>
    </row>
    <row r="112" spans="1:15">
      <c r="A112" s="87"/>
      <c r="B112" s="123"/>
      <c r="C112" s="144"/>
      <c r="D112" s="140"/>
      <c r="E112" s="144"/>
      <c r="F112" s="140"/>
      <c r="G112" s="139"/>
      <c r="H112" s="140"/>
      <c r="I112" s="136"/>
      <c r="J112" s="140"/>
      <c r="K112" s="139"/>
      <c r="L112" s="140"/>
      <c r="M112" s="136"/>
      <c r="N112" s="137"/>
      <c r="O112" s="88"/>
    </row>
    <row r="113" spans="1:15">
      <c r="A113" s="87">
        <v>12</v>
      </c>
      <c r="B113" s="120" t="s">
        <v>74</v>
      </c>
      <c r="C113" s="143"/>
      <c r="D113" s="134"/>
      <c r="E113" s="143"/>
      <c r="F113" s="134"/>
      <c r="G113" s="132"/>
      <c r="H113" s="134"/>
      <c r="I113" s="125"/>
      <c r="J113" s="134"/>
      <c r="K113" s="132"/>
      <c r="L113" s="134"/>
      <c r="M113" s="125"/>
      <c r="N113" s="126">
        <v>11</v>
      </c>
      <c r="O113" s="88" t="s">
        <v>74</v>
      </c>
    </row>
    <row r="114" spans="1:15">
      <c r="A114" s="87"/>
      <c r="B114" s="141"/>
      <c r="C114" s="143"/>
      <c r="D114" s="134"/>
      <c r="E114" s="143"/>
      <c r="F114" s="134"/>
      <c r="G114" s="132"/>
      <c r="H114" s="134"/>
      <c r="I114" s="125"/>
      <c r="J114" s="134"/>
      <c r="K114" s="132"/>
      <c r="L114" s="134"/>
      <c r="M114" s="125"/>
      <c r="N114" s="126"/>
      <c r="O114" s="88"/>
    </row>
    <row r="115" spans="1:15">
      <c r="A115" s="87"/>
      <c r="B115" s="141"/>
      <c r="C115" s="143"/>
      <c r="D115" s="134"/>
      <c r="E115" s="143"/>
      <c r="F115" s="134"/>
      <c r="G115" s="132"/>
      <c r="H115" s="134"/>
      <c r="I115" s="125"/>
      <c r="J115" s="134"/>
      <c r="K115" s="132"/>
      <c r="L115" s="134"/>
      <c r="M115" s="125"/>
      <c r="N115" s="126"/>
      <c r="O115" s="88"/>
    </row>
    <row r="116" spans="1:15">
      <c r="A116" s="87"/>
      <c r="B116" s="141"/>
      <c r="C116" s="143"/>
      <c r="D116" s="134"/>
      <c r="E116" s="143"/>
      <c r="F116" s="134"/>
      <c r="G116" s="132"/>
      <c r="H116" s="134"/>
      <c r="I116" s="125"/>
      <c r="J116" s="134"/>
      <c r="K116" s="132"/>
      <c r="L116" s="134"/>
      <c r="M116" s="125"/>
      <c r="N116" s="126"/>
      <c r="O116" s="88"/>
    </row>
    <row r="117" spans="1:15">
      <c r="A117" s="87"/>
      <c r="B117" s="141"/>
      <c r="C117" s="143"/>
      <c r="D117" s="134"/>
      <c r="E117" s="143"/>
      <c r="F117" s="134"/>
      <c r="G117" s="132"/>
      <c r="H117" s="134"/>
      <c r="I117" s="125"/>
      <c r="J117" s="134"/>
      <c r="K117" s="132"/>
      <c r="L117" s="134"/>
      <c r="M117" s="125"/>
      <c r="N117" s="126"/>
      <c r="O117" s="88"/>
    </row>
    <row r="118" spans="1:15">
      <c r="A118" s="87"/>
      <c r="B118" s="141"/>
      <c r="C118" s="143"/>
      <c r="D118" s="134"/>
      <c r="E118" s="143"/>
      <c r="F118" s="134"/>
      <c r="G118" s="132"/>
      <c r="H118" s="134"/>
      <c r="I118" s="125"/>
      <c r="J118" s="134"/>
      <c r="K118" s="132"/>
      <c r="L118" s="134"/>
      <c r="M118" s="125"/>
      <c r="N118" s="126"/>
      <c r="O118" s="88"/>
    </row>
    <row r="119" spans="1:15">
      <c r="A119" s="87"/>
      <c r="B119" s="141"/>
      <c r="C119" s="143"/>
      <c r="D119" s="134"/>
      <c r="E119" s="143"/>
      <c r="F119" s="134"/>
      <c r="G119" s="132"/>
      <c r="H119" s="134"/>
      <c r="I119" s="125"/>
      <c r="J119" s="134"/>
      <c r="K119" s="132"/>
      <c r="L119" s="134"/>
      <c r="M119" s="125"/>
      <c r="N119" s="126"/>
      <c r="O119" s="88"/>
    </row>
    <row r="120" spans="1:15">
      <c r="A120" s="87"/>
      <c r="B120" s="141"/>
      <c r="C120" s="143"/>
      <c r="D120" s="134"/>
      <c r="E120" s="143"/>
      <c r="F120" s="134"/>
      <c r="G120" s="132"/>
      <c r="H120" s="134"/>
      <c r="I120" s="125"/>
      <c r="J120" s="134"/>
      <c r="K120" s="132"/>
      <c r="L120" s="134"/>
      <c r="M120" s="125"/>
      <c r="N120" s="126"/>
      <c r="O120" s="88"/>
    </row>
    <row r="121" spans="1:15">
      <c r="A121" s="87"/>
      <c r="B121" s="141"/>
      <c r="C121" s="143"/>
      <c r="D121" s="134"/>
      <c r="E121" s="143"/>
      <c r="F121" s="134"/>
      <c r="G121" s="132"/>
      <c r="H121" s="134"/>
      <c r="I121" s="125"/>
      <c r="J121" s="134"/>
      <c r="K121" s="132"/>
      <c r="L121" s="134"/>
      <c r="M121" s="125"/>
      <c r="N121" s="126"/>
      <c r="O121" s="88"/>
    </row>
    <row r="122" spans="1:15">
      <c r="A122" s="87"/>
      <c r="B122" s="123"/>
      <c r="C122" s="144"/>
      <c r="D122" s="140"/>
      <c r="E122" s="144"/>
      <c r="F122" s="140"/>
      <c r="G122" s="139"/>
      <c r="H122" s="140"/>
      <c r="I122" s="136"/>
      <c r="J122" s="140"/>
      <c r="K122" s="139"/>
      <c r="L122" s="140"/>
      <c r="M122" s="136"/>
      <c r="N122" s="137"/>
      <c r="O122" s="88"/>
    </row>
    <row r="123" spans="1:15">
      <c r="A123" s="87">
        <v>13</v>
      </c>
      <c r="B123" s="120" t="s">
        <v>75</v>
      </c>
      <c r="C123" s="143"/>
      <c r="D123" s="134"/>
      <c r="E123" s="143"/>
      <c r="F123" s="134"/>
      <c r="G123" s="132"/>
      <c r="H123" s="134"/>
      <c r="I123" s="125"/>
      <c r="J123" s="134"/>
      <c r="K123" s="132"/>
      <c r="L123" s="134"/>
      <c r="M123" s="125"/>
      <c r="N123" s="126">
        <v>4</v>
      </c>
      <c r="O123" s="88" t="s">
        <v>75</v>
      </c>
    </row>
    <row r="124" spans="1:15">
      <c r="A124" s="87"/>
      <c r="B124" s="141"/>
      <c r="C124" s="143"/>
      <c r="D124" s="134"/>
      <c r="E124" s="143"/>
      <c r="F124" s="134"/>
      <c r="G124" s="132"/>
      <c r="H124" s="134"/>
      <c r="I124" s="125"/>
      <c r="J124" s="134"/>
      <c r="K124" s="132"/>
      <c r="L124" s="134"/>
      <c r="M124" s="125"/>
      <c r="N124" s="126"/>
      <c r="O124" s="88"/>
    </row>
    <row r="125" spans="1:15">
      <c r="A125" s="87"/>
      <c r="B125" s="141"/>
      <c r="C125" s="143"/>
      <c r="D125" s="134"/>
      <c r="E125" s="143"/>
      <c r="F125" s="134"/>
      <c r="G125" s="132"/>
      <c r="H125" s="134"/>
      <c r="I125" s="125"/>
      <c r="J125" s="134"/>
      <c r="K125" s="132"/>
      <c r="L125" s="134"/>
      <c r="M125" s="125"/>
      <c r="N125" s="126"/>
      <c r="O125" s="88"/>
    </row>
    <row r="126" spans="1:15">
      <c r="A126" s="87"/>
      <c r="B126" s="141"/>
      <c r="C126" s="143"/>
      <c r="D126" s="134"/>
      <c r="E126" s="143"/>
      <c r="F126" s="134"/>
      <c r="G126" s="132"/>
      <c r="H126" s="134"/>
      <c r="I126" s="125"/>
      <c r="J126" s="134"/>
      <c r="K126" s="132"/>
      <c r="L126" s="134"/>
      <c r="M126" s="125"/>
      <c r="N126" s="126"/>
      <c r="O126" s="88"/>
    </row>
    <row r="127" spans="1:15">
      <c r="A127" s="87"/>
      <c r="B127" s="141"/>
      <c r="C127" s="143"/>
      <c r="D127" s="134"/>
      <c r="E127" s="143"/>
      <c r="F127" s="134"/>
      <c r="G127" s="132"/>
      <c r="H127" s="134"/>
      <c r="I127" s="125"/>
      <c r="J127" s="134"/>
      <c r="K127" s="132"/>
      <c r="L127" s="134"/>
      <c r="M127" s="125"/>
      <c r="N127" s="126"/>
      <c r="O127" s="88"/>
    </row>
    <row r="128" spans="1:15">
      <c r="A128" s="87"/>
      <c r="B128" s="141"/>
      <c r="C128" s="143"/>
      <c r="D128" s="134"/>
      <c r="E128" s="143"/>
      <c r="F128" s="134"/>
      <c r="G128" s="132"/>
      <c r="H128" s="134"/>
      <c r="I128" s="125"/>
      <c r="J128" s="134"/>
      <c r="K128" s="132"/>
      <c r="L128" s="134"/>
      <c r="M128" s="125"/>
      <c r="N128" s="126"/>
      <c r="O128" s="88"/>
    </row>
    <row r="129" spans="1:15">
      <c r="A129" s="87"/>
      <c r="B129" s="141"/>
      <c r="C129" s="143"/>
      <c r="D129" s="134"/>
      <c r="E129" s="143"/>
      <c r="F129" s="134"/>
      <c r="G129" s="132"/>
      <c r="H129" s="134"/>
      <c r="I129" s="125"/>
      <c r="J129" s="134"/>
      <c r="K129" s="132"/>
      <c r="L129" s="134"/>
      <c r="M129" s="125"/>
      <c r="N129" s="126"/>
      <c r="O129" s="88"/>
    </row>
    <row r="130" spans="1:15">
      <c r="A130" s="87"/>
      <c r="B130" s="141"/>
      <c r="C130" s="143"/>
      <c r="D130" s="134"/>
      <c r="E130" s="143"/>
      <c r="F130" s="134"/>
      <c r="G130" s="132"/>
      <c r="H130" s="134"/>
      <c r="I130" s="125"/>
      <c r="J130" s="134"/>
      <c r="K130" s="132"/>
      <c r="L130" s="134"/>
      <c r="M130" s="125"/>
      <c r="N130" s="126"/>
      <c r="O130" s="88"/>
    </row>
    <row r="131" spans="1:15">
      <c r="A131" s="87"/>
      <c r="B131" s="141"/>
      <c r="C131" s="143"/>
      <c r="D131" s="134"/>
      <c r="E131" s="143"/>
      <c r="F131" s="134"/>
      <c r="G131" s="132"/>
      <c r="H131" s="134"/>
      <c r="I131" s="125"/>
      <c r="J131" s="134"/>
      <c r="K131" s="132"/>
      <c r="L131" s="134"/>
      <c r="M131" s="125"/>
      <c r="N131" s="126"/>
      <c r="O131" s="88"/>
    </row>
    <row r="132" spans="1:15">
      <c r="A132" s="87"/>
      <c r="B132" s="123"/>
      <c r="C132" s="144"/>
      <c r="D132" s="140"/>
      <c r="E132" s="144"/>
      <c r="F132" s="140"/>
      <c r="G132" s="139"/>
      <c r="H132" s="140"/>
      <c r="I132" s="136"/>
      <c r="J132" s="140"/>
      <c r="K132" s="139"/>
      <c r="L132" s="140"/>
      <c r="M132" s="136"/>
      <c r="N132" s="137"/>
      <c r="O132" s="88"/>
    </row>
  </sheetData>
  <mergeCells count="257">
    <mergeCell ref="Y1:Z1"/>
    <mergeCell ref="AA1:AB1"/>
    <mergeCell ref="A2:B2"/>
    <mergeCell ref="C2:D2"/>
    <mergeCell ref="E2:F2"/>
    <mergeCell ref="G2:H2"/>
    <mergeCell ref="I2:J2"/>
    <mergeCell ref="K2:L2"/>
    <mergeCell ref="M2:N2"/>
    <mergeCell ref="Q2:R2"/>
    <mergeCell ref="A1:B1"/>
    <mergeCell ref="E1:N1"/>
    <mergeCell ref="Q1:R1"/>
    <mergeCell ref="S1:T1"/>
    <mergeCell ref="U1:V1"/>
    <mergeCell ref="W1:X1"/>
    <mergeCell ref="S2:T2"/>
    <mergeCell ref="U2:V2"/>
    <mergeCell ref="W2:X2"/>
    <mergeCell ref="Y2:Z2"/>
    <mergeCell ref="AA2:AB2"/>
    <mergeCell ref="P3:P8"/>
    <mergeCell ref="Q3:R8"/>
    <mergeCell ref="S3:T8"/>
    <mergeCell ref="U3:V8"/>
    <mergeCell ref="W3:X8"/>
    <mergeCell ref="Y3:Z8"/>
    <mergeCell ref="AA3:AB8"/>
    <mergeCell ref="A4:A12"/>
    <mergeCell ref="B4:B12"/>
    <mergeCell ref="C4:C12"/>
    <mergeCell ref="D4:D12"/>
    <mergeCell ref="E4:E12"/>
    <mergeCell ref="F4:F12"/>
    <mergeCell ref="G4:G12"/>
    <mergeCell ref="H4:H12"/>
    <mergeCell ref="L13:L22"/>
    <mergeCell ref="M13:M22"/>
    <mergeCell ref="N13:N22"/>
    <mergeCell ref="O13:O22"/>
    <mergeCell ref="O4:O12"/>
    <mergeCell ref="A13:A22"/>
    <mergeCell ref="B13:B22"/>
    <mergeCell ref="C13:C22"/>
    <mergeCell ref="D13:D22"/>
    <mergeCell ref="E13:E22"/>
    <mergeCell ref="F13:F22"/>
    <mergeCell ref="G13:G22"/>
    <mergeCell ref="H13:H22"/>
    <mergeCell ref="I13:I22"/>
    <mergeCell ref="I4:I12"/>
    <mergeCell ref="J4:J12"/>
    <mergeCell ref="K4:K12"/>
    <mergeCell ref="L4:L12"/>
    <mergeCell ref="M4:M12"/>
    <mergeCell ref="N4:N12"/>
    <mergeCell ref="J23:J32"/>
    <mergeCell ref="K23:K32"/>
    <mergeCell ref="L23:L32"/>
    <mergeCell ref="M23:M32"/>
    <mergeCell ref="N23:N32"/>
    <mergeCell ref="O23:O32"/>
    <mergeCell ref="AA22:AB42"/>
    <mergeCell ref="A23:A32"/>
    <mergeCell ref="B23:B32"/>
    <mergeCell ref="C23:C32"/>
    <mergeCell ref="D23:D32"/>
    <mergeCell ref="E23:E32"/>
    <mergeCell ref="F23:F32"/>
    <mergeCell ref="G23:G32"/>
    <mergeCell ref="H23:H32"/>
    <mergeCell ref="I23:I32"/>
    <mergeCell ref="P22:P42"/>
    <mergeCell ref="Q22:R42"/>
    <mergeCell ref="S22:T42"/>
    <mergeCell ref="U22:V42"/>
    <mergeCell ref="W22:X42"/>
    <mergeCell ref="Y22:Z42"/>
    <mergeCell ref="J13:J22"/>
    <mergeCell ref="K13:K22"/>
    <mergeCell ref="A43:A52"/>
    <mergeCell ref="B43:B52"/>
    <mergeCell ref="C43:C52"/>
    <mergeCell ref="D43:D52"/>
    <mergeCell ref="E43:E52"/>
    <mergeCell ref="F43:F52"/>
    <mergeCell ref="G43:G52"/>
    <mergeCell ref="G33:G42"/>
    <mergeCell ref="H33:H42"/>
    <mergeCell ref="A33:A42"/>
    <mergeCell ref="B33:B42"/>
    <mergeCell ref="C33:C42"/>
    <mergeCell ref="D33:D42"/>
    <mergeCell ref="E33:E42"/>
    <mergeCell ref="F33:F42"/>
    <mergeCell ref="D53:D62"/>
    <mergeCell ref="E53:E62"/>
    <mergeCell ref="F53:F62"/>
    <mergeCell ref="G53:G62"/>
    <mergeCell ref="H53:H62"/>
    <mergeCell ref="H43:H52"/>
    <mergeCell ref="M33:M42"/>
    <mergeCell ref="N33:N42"/>
    <mergeCell ref="O33:O42"/>
    <mergeCell ref="I33:I42"/>
    <mergeCell ref="J33:J42"/>
    <mergeCell ref="K33:K42"/>
    <mergeCell ref="L33:L42"/>
    <mergeCell ref="N43:N52"/>
    <mergeCell ref="O43:O52"/>
    <mergeCell ref="I43:I52"/>
    <mergeCell ref="J43:J52"/>
    <mergeCell ref="K43:K52"/>
    <mergeCell ref="L43:L52"/>
    <mergeCell ref="M43:M52"/>
    <mergeCell ref="O53:O62"/>
    <mergeCell ref="I53:I62"/>
    <mergeCell ref="J53:J62"/>
    <mergeCell ref="K53:K62"/>
    <mergeCell ref="J63:J73"/>
    <mergeCell ref="K63:K73"/>
    <mergeCell ref="L63:L73"/>
    <mergeCell ref="M63:M73"/>
    <mergeCell ref="F74:F83"/>
    <mergeCell ref="N84:N93"/>
    <mergeCell ref="O84:O93"/>
    <mergeCell ref="N63:N73"/>
    <mergeCell ref="O63:O73"/>
    <mergeCell ref="O74:O83"/>
    <mergeCell ref="M84:M93"/>
    <mergeCell ref="A63:A73"/>
    <mergeCell ref="B63:B73"/>
    <mergeCell ref="C63:C73"/>
    <mergeCell ref="D63:D73"/>
    <mergeCell ref="E63:E73"/>
    <mergeCell ref="F63:F73"/>
    <mergeCell ref="G63:G73"/>
    <mergeCell ref="H63:H73"/>
    <mergeCell ref="I63:I73"/>
    <mergeCell ref="L53:L62"/>
    <mergeCell ref="M53:M62"/>
    <mergeCell ref="N53:N62"/>
    <mergeCell ref="A53:A62"/>
    <mergeCell ref="B53:B62"/>
    <mergeCell ref="C53:C62"/>
    <mergeCell ref="G94:G103"/>
    <mergeCell ref="H94:H103"/>
    <mergeCell ref="H84:H93"/>
    <mergeCell ref="M74:M83"/>
    <mergeCell ref="N74:N83"/>
    <mergeCell ref="A84:A93"/>
    <mergeCell ref="B84:B93"/>
    <mergeCell ref="C84:C93"/>
    <mergeCell ref="D84:D93"/>
    <mergeCell ref="E84:E93"/>
    <mergeCell ref="F84:F93"/>
    <mergeCell ref="G84:G93"/>
    <mergeCell ref="G74:G83"/>
    <mergeCell ref="H74:H83"/>
    <mergeCell ref="I74:I83"/>
    <mergeCell ref="J74:J83"/>
    <mergeCell ref="K74:K83"/>
    <mergeCell ref="L74:L83"/>
    <mergeCell ref="A74:A83"/>
    <mergeCell ref="B74:B83"/>
    <mergeCell ref="C74:C83"/>
    <mergeCell ref="D74:D83"/>
    <mergeCell ref="E74:E83"/>
    <mergeCell ref="I84:I93"/>
    <mergeCell ref="J84:J93"/>
    <mergeCell ref="K84:K93"/>
    <mergeCell ref="L84:L93"/>
    <mergeCell ref="J104:J112"/>
    <mergeCell ref="K104:K112"/>
    <mergeCell ref="L104:L112"/>
    <mergeCell ref="M104:M112"/>
    <mergeCell ref="N104:N112"/>
    <mergeCell ref="O104:O112"/>
    <mergeCell ref="O94:O103"/>
    <mergeCell ref="A104:A112"/>
    <mergeCell ref="B104:B112"/>
    <mergeCell ref="C104:C112"/>
    <mergeCell ref="D104:D112"/>
    <mergeCell ref="E104:E112"/>
    <mergeCell ref="F104:F112"/>
    <mergeCell ref="G104:G112"/>
    <mergeCell ref="H104:H112"/>
    <mergeCell ref="I104:I112"/>
    <mergeCell ref="I94:I103"/>
    <mergeCell ref="J94:J103"/>
    <mergeCell ref="K94:K103"/>
    <mergeCell ref="L94:L103"/>
    <mergeCell ref="M94:M103"/>
    <mergeCell ref="N94:N103"/>
    <mergeCell ref="A94:A103"/>
    <mergeCell ref="B94:B103"/>
    <mergeCell ref="C94:C103"/>
    <mergeCell ref="D94:D103"/>
    <mergeCell ref="E94:E103"/>
    <mergeCell ref="F94:F103"/>
    <mergeCell ref="A123:A132"/>
    <mergeCell ref="B123:B132"/>
    <mergeCell ref="C123:C132"/>
    <mergeCell ref="D123:D132"/>
    <mergeCell ref="E123:E132"/>
    <mergeCell ref="F123:F132"/>
    <mergeCell ref="G123:G132"/>
    <mergeCell ref="G113:G122"/>
    <mergeCell ref="H113:H122"/>
    <mergeCell ref="A113:A122"/>
    <mergeCell ref="B113:B122"/>
    <mergeCell ref="C113:C122"/>
    <mergeCell ref="D113:D122"/>
    <mergeCell ref="E113:E122"/>
    <mergeCell ref="F113:F122"/>
    <mergeCell ref="N123:N132"/>
    <mergeCell ref="O123:O132"/>
    <mergeCell ref="H123:H132"/>
    <mergeCell ref="I123:I132"/>
    <mergeCell ref="J123:J132"/>
    <mergeCell ref="K123:K132"/>
    <mergeCell ref="L123:L132"/>
    <mergeCell ref="M123:M132"/>
    <mergeCell ref="M113:M122"/>
    <mergeCell ref="N113:N122"/>
    <mergeCell ref="O113:O122"/>
    <mergeCell ref="I113:I122"/>
    <mergeCell ref="J113:J122"/>
    <mergeCell ref="K113:K122"/>
    <mergeCell ref="L113:L122"/>
    <mergeCell ref="V55:AA55"/>
    <mergeCell ref="V56:AA56"/>
    <mergeCell ref="V57:AA57"/>
    <mergeCell ref="V58:AA58"/>
    <mergeCell ref="V59:AA59"/>
    <mergeCell ref="V60:AA61"/>
    <mergeCell ref="S61:U61"/>
    <mergeCell ref="V62:AA62"/>
    <mergeCell ref="R63:R69"/>
    <mergeCell ref="V63:AA63"/>
    <mergeCell ref="V64:AA64"/>
    <mergeCell ref="V65:AA65"/>
    <mergeCell ref="V66:AA66"/>
    <mergeCell ref="V67:AA67"/>
    <mergeCell ref="V68:AA68"/>
    <mergeCell ref="V69:AA69"/>
    <mergeCell ref="S75:U75"/>
    <mergeCell ref="V75:AA75"/>
    <mergeCell ref="V76:AA76"/>
    <mergeCell ref="R77:R83"/>
    <mergeCell ref="V77:AA77"/>
    <mergeCell ref="V78:AA78"/>
    <mergeCell ref="V79:AA79"/>
    <mergeCell ref="V80:AA80"/>
    <mergeCell ref="V81:AA81"/>
    <mergeCell ref="V82:AA82"/>
    <mergeCell ref="V83:AA83"/>
  </mergeCells>
  <dataValidations count="1">
    <dataValidation type="list" allowBlank="1" showInputMessage="1" showErrorMessage="1" sqref="F4:F132 H4:H132 J4:J132 L4:L132 N4:N132 D4:D132" xr:uid="{C22872E9-0C55-4469-A86E-8CF62CD9174F}">
      <formula1>$A$4:$A$132</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DB35-5DA2-4550-8246-BE665756F134}">
  <dimension ref="A1:AT132"/>
  <sheetViews>
    <sheetView workbookViewId="0">
      <pane xSplit="2" topLeftCell="AC9" activePane="topRight" state="frozen"/>
      <selection pane="topRight" activeCell="AC9" sqref="AC9"/>
    </sheetView>
  </sheetViews>
  <sheetFormatPr defaultColWidth="9.140625" defaultRowHeight="15"/>
  <cols>
    <col min="2" max="4" width="18.5703125" customWidth="1"/>
    <col min="5" max="5" width="56.85546875" customWidth="1"/>
    <col min="6" max="6" width="11.5703125" customWidth="1"/>
    <col min="7" max="7" width="39.42578125" customWidth="1"/>
    <col min="8" max="8" width="12.42578125" customWidth="1"/>
    <col min="9" max="9" width="10.85546875" customWidth="1"/>
    <col min="10" max="10" width="13" customWidth="1"/>
    <col min="11" max="11" width="31.5703125" customWidth="1"/>
    <col min="12" max="12" width="10.5703125" customWidth="1"/>
    <col min="13" max="13" width="11" customWidth="1"/>
    <col min="14" max="14" width="11.7109375" customWidth="1"/>
    <col min="15" max="15" width="11.7109375" hidden="1" customWidth="1"/>
    <col min="18" max="18" width="15.7109375" customWidth="1"/>
    <col min="22" max="22" width="19.140625" customWidth="1"/>
    <col min="24" max="24" width="19.85546875" customWidth="1"/>
    <col min="26" max="26" width="14" customWidth="1"/>
    <col min="28" max="28" width="30.140625" customWidth="1"/>
  </cols>
  <sheetData>
    <row r="1" spans="1:46">
      <c r="A1" s="129"/>
      <c r="B1" s="130"/>
      <c r="C1" s="9"/>
      <c r="D1" s="9"/>
      <c r="E1" s="135" t="s">
        <v>76</v>
      </c>
      <c r="F1" s="135"/>
      <c r="G1" s="135"/>
      <c r="H1" s="135"/>
      <c r="I1" s="135"/>
      <c r="J1" s="135"/>
      <c r="K1" s="135"/>
      <c r="L1" s="135"/>
      <c r="M1" s="135"/>
      <c r="N1" s="135"/>
      <c r="O1" s="8"/>
      <c r="P1" s="18" t="s">
        <v>77</v>
      </c>
      <c r="Q1" s="102">
        <v>7</v>
      </c>
      <c r="R1" s="104"/>
      <c r="S1" s="102">
        <v>4</v>
      </c>
      <c r="T1" s="104"/>
      <c r="U1" s="102">
        <v>4</v>
      </c>
      <c r="V1" s="104"/>
      <c r="W1" s="102">
        <v>4</v>
      </c>
      <c r="X1" s="104"/>
      <c r="Y1" s="102">
        <v>4</v>
      </c>
      <c r="Z1" s="104"/>
      <c r="AA1" s="102">
        <v>5</v>
      </c>
      <c r="AB1" s="104"/>
    </row>
    <row r="2" spans="1:46" ht="72.75" customHeight="1">
      <c r="A2" s="103" t="s">
        <v>78</v>
      </c>
      <c r="B2" s="103"/>
      <c r="C2" s="87" t="s">
        <v>79</v>
      </c>
      <c r="D2" s="87"/>
      <c r="E2" s="87" t="s">
        <v>80</v>
      </c>
      <c r="F2" s="87"/>
      <c r="G2" s="87" t="s">
        <v>81</v>
      </c>
      <c r="H2" s="87"/>
      <c r="I2" s="87" t="s">
        <v>82</v>
      </c>
      <c r="J2" s="87"/>
      <c r="K2" s="87" t="s">
        <v>83</v>
      </c>
      <c r="L2" s="87"/>
      <c r="M2" s="87" t="s">
        <v>84</v>
      </c>
      <c r="N2" s="87"/>
      <c r="O2" s="6"/>
      <c r="P2" s="10"/>
      <c r="Q2" s="87" t="str">
        <f>C2</f>
        <v>Stickiness</v>
      </c>
      <c r="R2" s="87"/>
      <c r="S2" s="87" t="str">
        <f>E2</f>
        <v>Involved Technology's Readiness. (complexity is also involved)</v>
      </c>
      <c r="T2" s="87"/>
      <c r="U2" s="87" t="str">
        <f>G2</f>
        <v>Energy per unit captured</v>
      </c>
      <c r="V2" s="87"/>
      <c r="W2" s="87" t="str">
        <f>I2</f>
        <v>Risk involved especially the possibilty to generate more Space Debris.</v>
      </c>
      <c r="X2" s="87"/>
      <c r="Y2" s="87" t="str">
        <f>K2</f>
        <v>Mass sent in space vs mass that can be repositioned/captured</v>
      </c>
      <c r="Z2" s="87"/>
      <c r="AA2" s="87" t="str">
        <f>M2</f>
        <v>Suitability for Small SDs</v>
      </c>
      <c r="AB2" s="87"/>
    </row>
    <row r="3" spans="1:46">
      <c r="A3" s="4" t="s">
        <v>0</v>
      </c>
      <c r="B3" s="5" t="s">
        <v>1</v>
      </c>
      <c r="C3" s="7" t="s">
        <v>85</v>
      </c>
      <c r="D3" s="7" t="s">
        <v>86</v>
      </c>
      <c r="E3" s="7" t="s">
        <v>85</v>
      </c>
      <c r="F3" s="7" t="s">
        <v>86</v>
      </c>
      <c r="G3" s="7" t="s">
        <v>85</v>
      </c>
      <c r="H3" s="7" t="s">
        <v>86</v>
      </c>
      <c r="I3" s="7" t="s">
        <v>85</v>
      </c>
      <c r="J3" s="7" t="s">
        <v>86</v>
      </c>
      <c r="K3" s="7" t="s">
        <v>85</v>
      </c>
      <c r="L3" s="7" t="s">
        <v>86</v>
      </c>
      <c r="M3" s="7" t="s">
        <v>85</v>
      </c>
      <c r="N3" s="7" t="s">
        <v>86</v>
      </c>
      <c r="O3" s="5" t="s">
        <v>1</v>
      </c>
      <c r="P3" s="116" t="s">
        <v>87</v>
      </c>
      <c r="Q3" s="88" t="s">
        <v>88</v>
      </c>
      <c r="R3" s="88"/>
      <c r="S3" s="88" t="s">
        <v>88</v>
      </c>
      <c r="T3" s="88"/>
      <c r="U3" s="88" t="s">
        <v>89</v>
      </c>
      <c r="V3" s="88"/>
      <c r="W3" s="88" t="s">
        <v>90</v>
      </c>
      <c r="X3" s="88"/>
      <c r="Y3" s="88" t="s">
        <v>91</v>
      </c>
      <c r="Z3" s="88"/>
      <c r="AA3" s="88" t="s">
        <v>92</v>
      </c>
      <c r="AB3" s="88"/>
      <c r="AM3">
        <f>Q1</f>
        <v>7</v>
      </c>
      <c r="AN3">
        <f>S1</f>
        <v>4</v>
      </c>
      <c r="AO3">
        <f>U1</f>
        <v>4</v>
      </c>
      <c r="AP3">
        <f>W1</f>
        <v>4</v>
      </c>
      <c r="AQ3">
        <v>1</v>
      </c>
      <c r="AR3">
        <f>AA1</f>
        <v>5</v>
      </c>
    </row>
    <row r="4" spans="1:46" ht="15" customHeight="1">
      <c r="A4" s="87">
        <v>1</v>
      </c>
      <c r="B4" s="88" t="str">
        <f>'Table of Capture Methods'!B2</f>
        <v>Controlled Net</v>
      </c>
      <c r="C4" s="138"/>
      <c r="D4" s="133">
        <v>1</v>
      </c>
      <c r="E4" s="138"/>
      <c r="F4" s="133"/>
      <c r="G4" s="138"/>
      <c r="H4" s="133"/>
      <c r="I4" s="145"/>
      <c r="J4" s="133"/>
      <c r="K4" s="131"/>
      <c r="L4" s="133"/>
      <c r="M4" s="127"/>
      <c r="N4" s="128">
        <v>4</v>
      </c>
      <c r="O4" s="88" t="s">
        <v>8</v>
      </c>
      <c r="P4" s="117"/>
      <c r="Q4" s="88"/>
      <c r="R4" s="88"/>
      <c r="S4" s="88"/>
      <c r="T4" s="88"/>
      <c r="U4" s="88"/>
      <c r="V4" s="88"/>
      <c r="W4" s="88"/>
      <c r="X4" s="88"/>
      <c r="Y4" s="88"/>
      <c r="Z4" s="88"/>
      <c r="AA4" s="88"/>
      <c r="AB4" s="88"/>
      <c r="AF4" t="s">
        <v>79</v>
      </c>
      <c r="AG4" t="s">
        <v>176</v>
      </c>
      <c r="AH4" t="s">
        <v>97</v>
      </c>
      <c r="AI4" t="s">
        <v>98</v>
      </c>
      <c r="AJ4" t="s">
        <v>99</v>
      </c>
      <c r="AK4" t="s">
        <v>100</v>
      </c>
      <c r="AM4" t="s">
        <v>79</v>
      </c>
      <c r="AN4" t="s">
        <v>176</v>
      </c>
      <c r="AO4" t="s">
        <v>97</v>
      </c>
      <c r="AP4" t="s">
        <v>98</v>
      </c>
      <c r="AQ4" t="s">
        <v>99</v>
      </c>
      <c r="AR4" t="s">
        <v>100</v>
      </c>
      <c r="AS4" t="s">
        <v>102</v>
      </c>
      <c r="AT4" t="s">
        <v>103</v>
      </c>
    </row>
    <row r="5" spans="1:46">
      <c r="A5" s="87"/>
      <c r="B5" s="88"/>
      <c r="C5" s="132"/>
      <c r="D5" s="134"/>
      <c r="E5" s="132"/>
      <c r="F5" s="134"/>
      <c r="G5" s="132"/>
      <c r="H5" s="134"/>
      <c r="I5" s="125"/>
      <c r="J5" s="134"/>
      <c r="K5" s="132"/>
      <c r="L5" s="134"/>
      <c r="M5" s="125"/>
      <c r="N5" s="126"/>
      <c r="O5" s="88"/>
      <c r="P5" s="117"/>
      <c r="Q5" s="88"/>
      <c r="R5" s="88"/>
      <c r="S5" s="88"/>
      <c r="T5" s="88"/>
      <c r="U5" s="88"/>
      <c r="V5" s="88"/>
      <c r="W5" s="88"/>
      <c r="X5" s="88"/>
      <c r="Y5" s="88"/>
      <c r="Z5" s="88"/>
      <c r="AA5" s="88"/>
      <c r="AB5" s="88"/>
      <c r="AE5" t="str">
        <f>B4</f>
        <v>Controlled Net</v>
      </c>
      <c r="AF5">
        <f t="shared" ref="AF5" si="0">D4</f>
        <v>1</v>
      </c>
      <c r="AG5">
        <f>F4</f>
        <v>0</v>
      </c>
      <c r="AH5">
        <f>H4</f>
        <v>0</v>
      </c>
      <c r="AI5">
        <f>J4</f>
        <v>0</v>
      </c>
      <c r="AJ5">
        <f>L4</f>
        <v>0</v>
      </c>
      <c r="AK5">
        <f>N4</f>
        <v>4</v>
      </c>
      <c r="AL5" t="str">
        <f>AE5</f>
        <v>Controlled Net</v>
      </c>
      <c r="AM5">
        <f>ROUND((-5*AF5+65)/6, 3)</f>
        <v>10</v>
      </c>
      <c r="AN5">
        <f>ROUND((-5*AG5+65)/6, 3)</f>
        <v>10.833</v>
      </c>
      <c r="AO5">
        <f t="shared" ref="AO5:AR17" si="1">ROUND((-5*AH5+65)/6, 3)</f>
        <v>10.833</v>
      </c>
      <c r="AP5">
        <f t="shared" si="1"/>
        <v>10.833</v>
      </c>
      <c r="AQ5">
        <f t="shared" si="1"/>
        <v>10.833</v>
      </c>
      <c r="AR5">
        <f t="shared" si="1"/>
        <v>7.5</v>
      </c>
      <c r="AS5">
        <f>ROUND(SUM(AM5:AR5)/6, 3)</f>
        <v>10.138999999999999</v>
      </c>
      <c r="AT5">
        <f>ROUND(($AM$3*AM5+$AR$3*AR5+$AQ$3*AQ5+$AP$3*AP5+$AO$3*AO5+$AN$3*AN5)/(SUM($AM$3:$AR$3)), 3)</f>
        <v>9.9329999999999998</v>
      </c>
    </row>
    <row r="6" spans="1:46">
      <c r="A6" s="87"/>
      <c r="B6" s="88"/>
      <c r="C6" s="132"/>
      <c r="D6" s="134"/>
      <c r="E6" s="132"/>
      <c r="F6" s="134"/>
      <c r="G6" s="132"/>
      <c r="H6" s="134"/>
      <c r="I6" s="125"/>
      <c r="J6" s="134"/>
      <c r="K6" s="132"/>
      <c r="L6" s="134"/>
      <c r="M6" s="125"/>
      <c r="N6" s="126"/>
      <c r="O6" s="88"/>
      <c r="P6" s="117"/>
      <c r="Q6" s="88"/>
      <c r="R6" s="88"/>
      <c r="S6" s="88"/>
      <c r="T6" s="88"/>
      <c r="U6" s="88"/>
      <c r="V6" s="88"/>
      <c r="W6" s="88"/>
      <c r="X6" s="88"/>
      <c r="Y6" s="88"/>
      <c r="Z6" s="88"/>
      <c r="AA6" s="88"/>
      <c r="AB6" s="88"/>
      <c r="AE6" t="str">
        <f>B13</f>
        <v>Inflated Method</v>
      </c>
      <c r="AF6">
        <f t="shared" ref="AF6" si="2">D13</f>
        <v>13</v>
      </c>
      <c r="AG6">
        <f>F13</f>
        <v>0</v>
      </c>
      <c r="AH6">
        <f>H13</f>
        <v>0</v>
      </c>
      <c r="AI6">
        <f>J13</f>
        <v>0</v>
      </c>
      <c r="AJ6">
        <f>L13</f>
        <v>0</v>
      </c>
      <c r="AK6">
        <f>N13</f>
        <v>8</v>
      </c>
      <c r="AL6" t="str">
        <f t="shared" ref="AL6:AL17" si="3">AE6</f>
        <v>Inflated Method</v>
      </c>
      <c r="AM6">
        <f t="shared" ref="AM6:AN17" si="4">ROUND((-5*AF6+65)/6, 3)</f>
        <v>0</v>
      </c>
      <c r="AN6">
        <f t="shared" si="4"/>
        <v>10.833</v>
      </c>
      <c r="AO6">
        <f t="shared" si="1"/>
        <v>10.833</v>
      </c>
      <c r="AP6">
        <f t="shared" si="1"/>
        <v>10.833</v>
      </c>
      <c r="AQ6">
        <f t="shared" si="1"/>
        <v>10.833</v>
      </c>
      <c r="AR6">
        <f t="shared" si="1"/>
        <v>4.1669999999999998</v>
      </c>
      <c r="AS6">
        <f t="shared" ref="AS6:AS17" si="5">ROUND(SUM(AM6:AR6)/6, 3)</f>
        <v>7.9169999999999998</v>
      </c>
      <c r="AT6">
        <f t="shared" ref="AT6:AT17" si="6">ROUND(($AM$3*AM6+$AR$3*AR6+$AQ$3*AQ6+$AP$3*AP6+$AO$3*AO6+$AN$3*AN6)/(SUM($AM$3:$AR$3)), 3)</f>
        <v>6.4669999999999996</v>
      </c>
    </row>
    <row r="7" spans="1:46">
      <c r="A7" s="87"/>
      <c r="B7" s="88"/>
      <c r="C7" s="132"/>
      <c r="D7" s="134"/>
      <c r="E7" s="132"/>
      <c r="F7" s="134"/>
      <c r="G7" s="132"/>
      <c r="H7" s="134"/>
      <c r="I7" s="125"/>
      <c r="J7" s="134"/>
      <c r="K7" s="132"/>
      <c r="L7" s="134"/>
      <c r="M7" s="125"/>
      <c r="N7" s="126"/>
      <c r="O7" s="88"/>
      <c r="P7" s="117"/>
      <c r="Q7" s="88"/>
      <c r="R7" s="88"/>
      <c r="S7" s="88"/>
      <c r="T7" s="88"/>
      <c r="U7" s="88"/>
      <c r="V7" s="88"/>
      <c r="W7" s="88"/>
      <c r="X7" s="88"/>
      <c r="Y7" s="88"/>
      <c r="Z7" s="88"/>
      <c r="AA7" s="88"/>
      <c r="AB7" s="88"/>
      <c r="AE7" t="str">
        <f>B23</f>
        <v>Foam Method</v>
      </c>
      <c r="AF7">
        <f t="shared" ref="AF7" si="7">D23</f>
        <v>8</v>
      </c>
      <c r="AG7">
        <f>F23</f>
        <v>0</v>
      </c>
      <c r="AH7">
        <f>H23</f>
        <v>0</v>
      </c>
      <c r="AI7">
        <f>J23</f>
        <v>0</v>
      </c>
      <c r="AJ7">
        <f>L23</f>
        <v>0</v>
      </c>
      <c r="AK7">
        <f>N23</f>
        <v>9</v>
      </c>
      <c r="AL7" t="str">
        <f t="shared" si="3"/>
        <v>Foam Method</v>
      </c>
      <c r="AM7">
        <f t="shared" si="4"/>
        <v>4.1669999999999998</v>
      </c>
      <c r="AN7">
        <f t="shared" si="4"/>
        <v>10.833</v>
      </c>
      <c r="AO7">
        <f t="shared" si="1"/>
        <v>10.833</v>
      </c>
      <c r="AP7">
        <f t="shared" si="1"/>
        <v>10.833</v>
      </c>
      <c r="AQ7">
        <f t="shared" si="1"/>
        <v>10.833</v>
      </c>
      <c r="AR7">
        <f t="shared" si="1"/>
        <v>3.3330000000000002</v>
      </c>
      <c r="AS7">
        <f t="shared" si="5"/>
        <v>8.4719999999999995</v>
      </c>
      <c r="AT7">
        <f t="shared" si="6"/>
        <v>7.4669999999999996</v>
      </c>
    </row>
    <row r="8" spans="1:46" ht="19.5" customHeight="1">
      <c r="A8" s="87"/>
      <c r="B8" s="88"/>
      <c r="C8" s="132"/>
      <c r="D8" s="134"/>
      <c r="E8" s="132"/>
      <c r="F8" s="134"/>
      <c r="G8" s="132"/>
      <c r="H8" s="134"/>
      <c r="I8" s="125"/>
      <c r="J8" s="134"/>
      <c r="K8" s="132"/>
      <c r="L8" s="134"/>
      <c r="M8" s="125"/>
      <c r="N8" s="126"/>
      <c r="O8" s="88"/>
      <c r="P8" s="118"/>
      <c r="Q8" s="120"/>
      <c r="R8" s="120"/>
      <c r="S8" s="120"/>
      <c r="T8" s="120"/>
      <c r="U8" s="120"/>
      <c r="V8" s="120"/>
      <c r="W8" s="120"/>
      <c r="X8" s="120"/>
      <c r="Y8" s="120"/>
      <c r="Z8" s="120"/>
      <c r="AA8" s="120"/>
      <c r="AB8" s="120"/>
      <c r="AE8" t="str">
        <f>B33</f>
        <v>"Adhesive" Method</v>
      </c>
      <c r="AF8">
        <f t="shared" ref="AF8" si="8">D33</f>
        <v>7</v>
      </c>
      <c r="AG8">
        <f>F33</f>
        <v>0</v>
      </c>
      <c r="AH8">
        <f>H33</f>
        <v>0</v>
      </c>
      <c r="AI8">
        <f>J33</f>
        <v>0</v>
      </c>
      <c r="AJ8">
        <f>L33</f>
        <v>0</v>
      </c>
      <c r="AK8">
        <f>N33</f>
        <v>3</v>
      </c>
      <c r="AL8" t="str">
        <f t="shared" si="3"/>
        <v>"Adhesive" Method</v>
      </c>
      <c r="AM8">
        <f t="shared" si="4"/>
        <v>5</v>
      </c>
      <c r="AN8">
        <f t="shared" si="4"/>
        <v>10.833</v>
      </c>
      <c r="AO8">
        <f t="shared" si="1"/>
        <v>10.833</v>
      </c>
      <c r="AP8">
        <f t="shared" si="1"/>
        <v>10.833</v>
      </c>
      <c r="AQ8">
        <f t="shared" si="1"/>
        <v>10.833</v>
      </c>
      <c r="AR8">
        <f t="shared" si="1"/>
        <v>8.3330000000000002</v>
      </c>
      <c r="AS8">
        <f t="shared" si="5"/>
        <v>9.4440000000000008</v>
      </c>
      <c r="AT8">
        <f t="shared" si="6"/>
        <v>8.6999999999999993</v>
      </c>
    </row>
    <row r="9" spans="1:46">
      <c r="A9" s="87"/>
      <c r="B9" s="88"/>
      <c r="C9" s="132"/>
      <c r="D9" s="134"/>
      <c r="E9" s="132"/>
      <c r="F9" s="134"/>
      <c r="G9" s="132"/>
      <c r="H9" s="134"/>
      <c r="I9" s="125"/>
      <c r="J9" s="134"/>
      <c r="K9" s="132"/>
      <c r="L9" s="134"/>
      <c r="M9" s="125"/>
      <c r="N9" s="134"/>
      <c r="O9" s="121"/>
      <c r="P9" s="17">
        <v>1</v>
      </c>
      <c r="Q9" s="12" t="str">
        <f>VLOOKUP(P9,$D$3:$O$132,12,FALSE)</f>
        <v>Controlled Net</v>
      </c>
      <c r="R9" s="12"/>
      <c r="S9" s="12" t="e">
        <f>VLOOKUP(P9,$F$3:$O$132,10,FALSE)</f>
        <v>#N/A</v>
      </c>
      <c r="T9" s="12"/>
      <c r="U9" s="12" t="e">
        <f>VLOOKUP(P9,$H$3:$O$132,8,FALSE)</f>
        <v>#N/A</v>
      </c>
      <c r="V9" s="12"/>
      <c r="W9" s="12" t="e">
        <f>VLOOKUP(P9,$J$3:$O$132,6,FALSE)</f>
        <v>#N/A</v>
      </c>
      <c r="X9" s="12"/>
      <c r="Y9" s="12" t="e">
        <f>VLOOKUP(P9,$L$3:$O$132,4,FALSE)</f>
        <v>#N/A</v>
      </c>
      <c r="Z9" s="12"/>
      <c r="AA9" s="12" t="str">
        <f>VLOOKUP(P9,$N$3:$O$132,2,FALSE)</f>
        <v>Robotic Arms (multiple on one system)</v>
      </c>
      <c r="AB9" s="12"/>
      <c r="AE9" t="str">
        <f>B43</f>
        <v>Tether + Adhesive Thread + Damper</v>
      </c>
      <c r="AF9">
        <f t="shared" ref="AF9" si="9">D43</f>
        <v>2</v>
      </c>
      <c r="AG9">
        <f>F43</f>
        <v>0</v>
      </c>
      <c r="AH9">
        <f>H43</f>
        <v>0</v>
      </c>
      <c r="AI9">
        <f>J43</f>
        <v>0</v>
      </c>
      <c r="AJ9">
        <f>L43</f>
        <v>0</v>
      </c>
      <c r="AK9">
        <f>N43</f>
        <v>2</v>
      </c>
      <c r="AL9" t="str">
        <f t="shared" si="3"/>
        <v>Tether + Adhesive Thread + Damper</v>
      </c>
      <c r="AM9">
        <f t="shared" si="4"/>
        <v>9.1669999999999998</v>
      </c>
      <c r="AN9">
        <f t="shared" si="4"/>
        <v>10.833</v>
      </c>
      <c r="AO9">
        <f t="shared" si="1"/>
        <v>10.833</v>
      </c>
      <c r="AP9">
        <f t="shared" si="1"/>
        <v>10.833</v>
      </c>
      <c r="AQ9">
        <f t="shared" si="1"/>
        <v>10.833</v>
      </c>
      <c r="AR9">
        <f t="shared" si="1"/>
        <v>9.1669999999999998</v>
      </c>
      <c r="AS9">
        <f t="shared" si="5"/>
        <v>10.278</v>
      </c>
      <c r="AT9">
        <f t="shared" si="6"/>
        <v>10.032999999999999</v>
      </c>
    </row>
    <row r="10" spans="1:46">
      <c r="A10" s="87"/>
      <c r="B10" s="88"/>
      <c r="C10" s="132"/>
      <c r="D10" s="134"/>
      <c r="E10" s="132"/>
      <c r="F10" s="134"/>
      <c r="G10" s="132"/>
      <c r="H10" s="134"/>
      <c r="I10" s="125"/>
      <c r="J10" s="134"/>
      <c r="K10" s="132"/>
      <c r="L10" s="134"/>
      <c r="M10" s="125"/>
      <c r="N10" s="134"/>
      <c r="O10" s="121"/>
      <c r="P10" s="11">
        <v>2</v>
      </c>
      <c r="Q10" s="12" t="str">
        <f>VLOOKUP(P10,$D$3:$O$132,12,FALSE)</f>
        <v>Tether + Adhesive Thread + Damper</v>
      </c>
      <c r="R10" s="12"/>
      <c r="S10" s="12" t="e">
        <f>VLOOKUP(P10,$F$3:$O$132,10,FALSE)</f>
        <v>#N/A</v>
      </c>
      <c r="T10" s="12"/>
      <c r="U10" s="12" t="e">
        <f>VLOOKUP(P10,$H$3:$O$132,8,FALSE)</f>
        <v>#N/A</v>
      </c>
      <c r="V10" s="12"/>
      <c r="W10" s="12" t="e">
        <f>VLOOKUP(P10,$J$3:$O$132,6,FALSE)</f>
        <v>#N/A</v>
      </c>
      <c r="X10" s="12"/>
      <c r="Y10" s="12" t="e">
        <f>VLOOKUP(P10,$L$3:$O$132,4,FALSE)</f>
        <v>#N/A</v>
      </c>
      <c r="Z10" s="12"/>
      <c r="AA10" s="12" t="str">
        <f>VLOOKUP(P10,$N$3:$O$132,2,FALSE)</f>
        <v>Tether + Adhesive Thread + Damper</v>
      </c>
      <c r="AB10" s="12"/>
      <c r="AE10" t="str">
        <f>B53</f>
        <v>Slingshot and Catch</v>
      </c>
      <c r="AF10">
        <f t="shared" ref="AF10" si="10">D53</f>
        <v>6</v>
      </c>
      <c r="AG10">
        <f>F53</f>
        <v>0</v>
      </c>
      <c r="AH10">
        <f>H53</f>
        <v>0</v>
      </c>
      <c r="AI10">
        <f>J53</f>
        <v>0</v>
      </c>
      <c r="AJ10">
        <f>L53</f>
        <v>0</v>
      </c>
      <c r="AK10">
        <f>N53</f>
        <v>7</v>
      </c>
      <c r="AL10" t="str">
        <f t="shared" si="3"/>
        <v>Slingshot and Catch</v>
      </c>
      <c r="AM10">
        <f t="shared" si="4"/>
        <v>5.8330000000000002</v>
      </c>
      <c r="AN10">
        <f t="shared" si="4"/>
        <v>10.833</v>
      </c>
      <c r="AO10">
        <f t="shared" si="1"/>
        <v>10.833</v>
      </c>
      <c r="AP10">
        <f t="shared" si="1"/>
        <v>10.833</v>
      </c>
      <c r="AQ10">
        <f t="shared" si="1"/>
        <v>10.833</v>
      </c>
      <c r="AR10">
        <f t="shared" si="1"/>
        <v>5</v>
      </c>
      <c r="AS10">
        <f t="shared" si="5"/>
        <v>9.0280000000000005</v>
      </c>
      <c r="AT10">
        <f t="shared" si="6"/>
        <v>8.266</v>
      </c>
    </row>
    <row r="11" spans="1:46">
      <c r="A11" s="87"/>
      <c r="B11" s="88"/>
      <c r="C11" s="132"/>
      <c r="D11" s="134"/>
      <c r="E11" s="132"/>
      <c r="F11" s="134"/>
      <c r="G11" s="132"/>
      <c r="H11" s="134"/>
      <c r="I11" s="125"/>
      <c r="J11" s="134"/>
      <c r="K11" s="132"/>
      <c r="L11" s="134"/>
      <c r="M11" s="125"/>
      <c r="N11" s="134"/>
      <c r="O11" s="121"/>
      <c r="P11" s="11">
        <v>3</v>
      </c>
      <c r="Q11" s="12" t="str">
        <f>VLOOKUP(P11,$D$3:$O$132,12,FALSE)</f>
        <v>Ion Beam Shepherd</v>
      </c>
      <c r="R11" s="12"/>
      <c r="S11" s="12" t="e">
        <f>VLOOKUP(P11,$F$3:$O$132,10,FALSE)</f>
        <v>#N/A</v>
      </c>
      <c r="T11" s="12"/>
      <c r="U11" s="12" t="e">
        <f>VLOOKUP(P11,$H$3:$O$132,8,FALSE)</f>
        <v>#N/A</v>
      </c>
      <c r="V11" s="12"/>
      <c r="W11" s="12" t="e">
        <f>VLOOKUP(P11,$J$3:$O$132,6,FALSE)</f>
        <v>#N/A</v>
      </c>
      <c r="X11" s="12"/>
      <c r="Y11" s="12" t="e">
        <f>VLOOKUP(P11,$L$3:$O$132,4,FALSE)</f>
        <v>#N/A</v>
      </c>
      <c r="Z11" s="12"/>
      <c r="AA11" s="12" t="str">
        <f>VLOOKUP(P11,$N$3:$O$132,2,FALSE)</f>
        <v>"Adhesive" Method</v>
      </c>
      <c r="AB11" s="12"/>
      <c r="AE11" t="str">
        <f>B63</f>
        <v>Magnetic</v>
      </c>
      <c r="AF11">
        <f t="shared" ref="AF11" si="11">D63</f>
        <v>9</v>
      </c>
      <c r="AG11">
        <f>F63</f>
        <v>0</v>
      </c>
      <c r="AH11">
        <f>H63</f>
        <v>0</v>
      </c>
      <c r="AI11">
        <f>J63</f>
        <v>0</v>
      </c>
      <c r="AJ11">
        <f>L63</f>
        <v>0</v>
      </c>
      <c r="AK11">
        <f>N63</f>
        <v>11</v>
      </c>
      <c r="AL11" t="str">
        <f t="shared" si="3"/>
        <v>Magnetic</v>
      </c>
      <c r="AM11">
        <f t="shared" si="4"/>
        <v>3.3330000000000002</v>
      </c>
      <c r="AN11">
        <f t="shared" si="4"/>
        <v>10.833</v>
      </c>
      <c r="AO11">
        <f t="shared" si="1"/>
        <v>10.833</v>
      </c>
      <c r="AP11">
        <f t="shared" si="1"/>
        <v>10.833</v>
      </c>
      <c r="AQ11">
        <f t="shared" si="1"/>
        <v>10.833</v>
      </c>
      <c r="AR11">
        <f t="shared" si="1"/>
        <v>1.667</v>
      </c>
      <c r="AS11">
        <f t="shared" si="5"/>
        <v>8.0549999999999997</v>
      </c>
      <c r="AT11">
        <f t="shared" si="6"/>
        <v>6.9</v>
      </c>
    </row>
    <row r="12" spans="1:46">
      <c r="A12" s="87"/>
      <c r="B12" s="88"/>
      <c r="C12" s="132"/>
      <c r="D12" s="134"/>
      <c r="E12" s="132"/>
      <c r="F12" s="134"/>
      <c r="G12" s="132"/>
      <c r="H12" s="134"/>
      <c r="I12" s="125"/>
      <c r="J12" s="134"/>
      <c r="K12" s="132"/>
      <c r="L12" s="134"/>
      <c r="M12" s="125"/>
      <c r="N12" s="134"/>
      <c r="O12" s="121"/>
      <c r="P12" s="11">
        <v>4</v>
      </c>
      <c r="Q12" s="12" t="str">
        <f>VLOOKUP(P12,$D$3:$O$132,12,FALSE)</f>
        <v>Lasers</v>
      </c>
      <c r="R12" s="12"/>
      <c r="S12" s="12" t="e">
        <f>VLOOKUP(P12,$F$3:$O$132,10,FALSE)</f>
        <v>#N/A</v>
      </c>
      <c r="T12" s="12"/>
      <c r="U12" s="12" t="e">
        <f>VLOOKUP(P12,$H$3:$O$132,8,FALSE)</f>
        <v>#N/A</v>
      </c>
      <c r="V12" s="12"/>
      <c r="W12" s="12" t="e">
        <f>VLOOKUP(P12,$J$3:$O$132,6,FALSE)</f>
        <v>#N/A</v>
      </c>
      <c r="X12" s="12"/>
      <c r="Y12" s="12" t="e">
        <f>VLOOKUP(P12,$L$3:$O$132,4,FALSE)</f>
        <v>#N/A</v>
      </c>
      <c r="Z12" s="12"/>
      <c r="AA12" s="12" t="str">
        <f>VLOOKUP(P12,$N$3:$O$132,2,FALSE)</f>
        <v>Controlled Net</v>
      </c>
      <c r="AB12" s="12"/>
      <c r="AE12" t="str">
        <f>B74</f>
        <v>Ion Beam Shepherd</v>
      </c>
      <c r="AF12">
        <f t="shared" ref="AF12" si="12">D74</f>
        <v>3</v>
      </c>
      <c r="AG12">
        <f>F74</f>
        <v>0</v>
      </c>
      <c r="AH12">
        <f>H74</f>
        <v>0</v>
      </c>
      <c r="AI12">
        <f>J74</f>
        <v>0</v>
      </c>
      <c r="AJ12">
        <f>L74</f>
        <v>0</v>
      </c>
      <c r="AK12">
        <f>N74</f>
        <v>5</v>
      </c>
      <c r="AL12" t="str">
        <f t="shared" si="3"/>
        <v>Ion Beam Shepherd</v>
      </c>
      <c r="AM12">
        <f t="shared" si="4"/>
        <v>8.3330000000000002</v>
      </c>
      <c r="AN12">
        <f t="shared" si="4"/>
        <v>10.833</v>
      </c>
      <c r="AO12">
        <f t="shared" si="1"/>
        <v>10.833</v>
      </c>
      <c r="AP12">
        <f t="shared" si="1"/>
        <v>10.833</v>
      </c>
      <c r="AQ12">
        <f t="shared" si="1"/>
        <v>10.833</v>
      </c>
      <c r="AR12">
        <f t="shared" si="1"/>
        <v>6.6669999999999998</v>
      </c>
      <c r="AS12">
        <f t="shared" si="5"/>
        <v>9.7219999999999995</v>
      </c>
      <c r="AT12">
        <f t="shared" si="6"/>
        <v>9.3000000000000007</v>
      </c>
    </row>
    <row r="13" spans="1:46">
      <c r="A13" s="87">
        <v>2</v>
      </c>
      <c r="B13" s="120" t="s">
        <v>16</v>
      </c>
      <c r="C13" s="142"/>
      <c r="D13" s="133">
        <v>13</v>
      </c>
      <c r="E13" s="142"/>
      <c r="F13" s="133"/>
      <c r="G13" s="138"/>
      <c r="H13" s="133"/>
      <c r="I13" s="127"/>
      <c r="J13" s="133"/>
      <c r="K13" s="131"/>
      <c r="L13" s="133"/>
      <c r="M13" s="127"/>
      <c r="N13" s="133">
        <v>8</v>
      </c>
      <c r="O13" s="121" t="s">
        <v>16</v>
      </c>
      <c r="P13" s="11">
        <v>5</v>
      </c>
      <c r="Q13" s="12" t="str">
        <f>VLOOKUP(P13,$D$3:$O$132,12,FALSE)</f>
        <v>Robotic Arms (multiple on one system)</v>
      </c>
      <c r="R13" s="12"/>
      <c r="S13" s="12" t="e">
        <f>VLOOKUP(P13,$F$3:$O$132,10,FALSE)</f>
        <v>#N/A</v>
      </c>
      <c r="T13" s="12"/>
      <c r="U13" s="12" t="e">
        <f>VLOOKUP(P13,$H$3:$O$132,8,FALSE)</f>
        <v>#N/A</v>
      </c>
      <c r="V13" s="12"/>
      <c r="W13" s="12" t="e">
        <f>VLOOKUP(P13,$J$3:$O$132,6,FALSE)</f>
        <v>#N/A</v>
      </c>
      <c r="X13" s="12"/>
      <c r="Y13" s="12" t="e">
        <f>VLOOKUP(P13,$L$3:$O$132,4,FALSE)</f>
        <v>#N/A</v>
      </c>
      <c r="Z13" s="12"/>
      <c r="AA13" s="12" t="str">
        <f>VLOOKUP(P13,$N$3:$O$132,2,FALSE)</f>
        <v>Ion Beam Shepherd</v>
      </c>
      <c r="AB13" s="12"/>
      <c r="AE13" t="str">
        <f>B84</f>
        <v>Cold Welding</v>
      </c>
      <c r="AF13">
        <f t="shared" ref="AF13" si="13">D84</f>
        <v>10</v>
      </c>
      <c r="AG13">
        <f>F84</f>
        <v>0</v>
      </c>
      <c r="AH13">
        <f>H84</f>
        <v>0</v>
      </c>
      <c r="AI13">
        <f>J84</f>
        <v>0</v>
      </c>
      <c r="AJ13">
        <f>L84</f>
        <v>0</v>
      </c>
      <c r="AK13">
        <f>N84</f>
        <v>12</v>
      </c>
      <c r="AL13" t="str">
        <f t="shared" si="3"/>
        <v>Cold Welding</v>
      </c>
      <c r="AM13">
        <f t="shared" si="4"/>
        <v>2.5</v>
      </c>
      <c r="AN13">
        <f t="shared" si="4"/>
        <v>10.833</v>
      </c>
      <c r="AO13">
        <f t="shared" si="1"/>
        <v>10.833</v>
      </c>
      <c r="AP13">
        <f t="shared" si="1"/>
        <v>10.833</v>
      </c>
      <c r="AQ13">
        <f t="shared" si="1"/>
        <v>10.833</v>
      </c>
      <c r="AR13">
        <f t="shared" si="1"/>
        <v>0.83299999999999996</v>
      </c>
      <c r="AS13">
        <f t="shared" si="5"/>
        <v>7.7779999999999996</v>
      </c>
      <c r="AT13">
        <f t="shared" si="6"/>
        <v>6.5</v>
      </c>
    </row>
    <row r="14" spans="1:46">
      <c r="A14" s="87"/>
      <c r="B14" s="141"/>
      <c r="C14" s="143"/>
      <c r="D14" s="134"/>
      <c r="E14" s="143"/>
      <c r="F14" s="134"/>
      <c r="G14" s="132"/>
      <c r="H14" s="134"/>
      <c r="I14" s="125"/>
      <c r="J14" s="134"/>
      <c r="K14" s="132"/>
      <c r="L14" s="134"/>
      <c r="M14" s="125"/>
      <c r="N14" s="134"/>
      <c r="O14" s="121"/>
      <c r="P14" s="11">
        <v>6</v>
      </c>
      <c r="Q14" s="12" t="str">
        <f>VLOOKUP(P14,$D$3:$O$132,12,FALSE)</f>
        <v>Slingshot and Catch</v>
      </c>
      <c r="R14" s="12"/>
      <c r="S14" s="12" t="e">
        <f>VLOOKUP(P14,$F$3:$O$132,10,FALSE)</f>
        <v>#N/A</v>
      </c>
      <c r="T14" s="12"/>
      <c r="U14" s="12" t="e">
        <f>VLOOKUP(P14,$H$3:$O$132,8,FALSE)</f>
        <v>#N/A</v>
      </c>
      <c r="V14" s="12"/>
      <c r="W14" s="12" t="e">
        <f>VLOOKUP(P14,$J$3:$O$132,6,FALSE)</f>
        <v>#N/A</v>
      </c>
      <c r="X14" s="12"/>
      <c r="Y14" s="12" t="e">
        <f>VLOOKUP(P14,$L$3:$O$132,4,FALSE)</f>
        <v>#N/A</v>
      </c>
      <c r="Z14" s="12"/>
      <c r="AA14" s="12" t="str">
        <f>VLOOKUP(P14,$N$3:$O$132,2,FALSE)</f>
        <v>Lasers</v>
      </c>
      <c r="AB14" s="12"/>
      <c r="AE14" t="str">
        <f>B94</f>
        <v>Robotic Arms (multiple on one system)</v>
      </c>
      <c r="AF14">
        <f t="shared" ref="AF14" si="14">D94</f>
        <v>5</v>
      </c>
      <c r="AG14">
        <f>F94</f>
        <v>0</v>
      </c>
      <c r="AH14">
        <f>H94</f>
        <v>0</v>
      </c>
      <c r="AI14">
        <f>J94</f>
        <v>0</v>
      </c>
      <c r="AJ14">
        <f>L94</f>
        <v>0</v>
      </c>
      <c r="AK14">
        <f>N94</f>
        <v>1</v>
      </c>
      <c r="AL14" t="str">
        <f t="shared" si="3"/>
        <v>Robotic Arms (multiple on one system)</v>
      </c>
      <c r="AM14">
        <f t="shared" si="4"/>
        <v>6.6669999999999998</v>
      </c>
      <c r="AN14">
        <f t="shared" si="4"/>
        <v>10.833</v>
      </c>
      <c r="AO14">
        <f t="shared" si="1"/>
        <v>10.833</v>
      </c>
      <c r="AP14">
        <f t="shared" si="1"/>
        <v>10.833</v>
      </c>
      <c r="AQ14">
        <f t="shared" si="1"/>
        <v>10.833</v>
      </c>
      <c r="AR14">
        <f t="shared" si="1"/>
        <v>10</v>
      </c>
      <c r="AS14">
        <f t="shared" si="5"/>
        <v>10</v>
      </c>
      <c r="AT14">
        <f t="shared" si="6"/>
        <v>9.5</v>
      </c>
    </row>
    <row r="15" spans="1:46">
      <c r="A15" s="87"/>
      <c r="B15" s="141"/>
      <c r="C15" s="143"/>
      <c r="D15" s="134"/>
      <c r="E15" s="143"/>
      <c r="F15" s="134"/>
      <c r="G15" s="132"/>
      <c r="H15" s="134"/>
      <c r="I15" s="125"/>
      <c r="J15" s="134"/>
      <c r="K15" s="132"/>
      <c r="L15" s="134"/>
      <c r="M15" s="125"/>
      <c r="N15" s="126"/>
      <c r="O15" s="121"/>
      <c r="P15" s="11">
        <v>7</v>
      </c>
      <c r="Q15" s="12" t="str">
        <f>VLOOKUP(P15,$D$3:$O$132,12,FALSE)</f>
        <v>"Adhesive" Method</v>
      </c>
      <c r="R15" s="12"/>
      <c r="S15" s="12" t="e">
        <f>VLOOKUP(P15,$F$3:$O$132,10,FALSE)</f>
        <v>#N/A</v>
      </c>
      <c r="T15" s="12"/>
      <c r="U15" s="12" t="e">
        <f>VLOOKUP(P15,$H$3:$O$132,8,FALSE)</f>
        <v>#N/A</v>
      </c>
      <c r="V15" s="12"/>
      <c r="W15" s="12" t="e">
        <f>VLOOKUP(P15,$J$3:$O$132,6,FALSE)</f>
        <v>#N/A</v>
      </c>
      <c r="X15" s="12"/>
      <c r="Y15" s="12" t="e">
        <f>VLOOKUP(P15,$L$3:$O$132,4,FALSE)</f>
        <v>#N/A</v>
      </c>
      <c r="Z15" s="12"/>
      <c r="AA15" s="12" t="str">
        <f>VLOOKUP(P15,$N$3:$O$132,2,FALSE)</f>
        <v>Slingshot and Catch</v>
      </c>
      <c r="AB15" s="12"/>
      <c r="AE15" t="str">
        <f>B104</f>
        <v>Electrostatic charge induced capture</v>
      </c>
      <c r="AF15">
        <f t="shared" ref="AF15" si="15">D104</f>
        <v>11</v>
      </c>
      <c r="AG15">
        <f>F104</f>
        <v>0</v>
      </c>
      <c r="AH15">
        <f>H104</f>
        <v>0</v>
      </c>
      <c r="AI15">
        <f>J104</f>
        <v>0</v>
      </c>
      <c r="AJ15">
        <f>L104</f>
        <v>0</v>
      </c>
      <c r="AK15">
        <f>N104</f>
        <v>13</v>
      </c>
      <c r="AL15" t="str">
        <f t="shared" si="3"/>
        <v>Electrostatic charge induced capture</v>
      </c>
      <c r="AM15">
        <f t="shared" si="4"/>
        <v>1.667</v>
      </c>
      <c r="AN15">
        <f t="shared" si="4"/>
        <v>10.833</v>
      </c>
      <c r="AO15">
        <f t="shared" si="1"/>
        <v>10.833</v>
      </c>
      <c r="AP15">
        <f t="shared" si="1"/>
        <v>10.833</v>
      </c>
      <c r="AQ15">
        <f t="shared" si="1"/>
        <v>10.833</v>
      </c>
      <c r="AR15">
        <f t="shared" si="1"/>
        <v>0</v>
      </c>
      <c r="AS15">
        <f t="shared" si="5"/>
        <v>7.5</v>
      </c>
      <c r="AT15">
        <f t="shared" si="6"/>
        <v>6.1</v>
      </c>
    </row>
    <row r="16" spans="1:46">
      <c r="A16" s="87"/>
      <c r="B16" s="141"/>
      <c r="C16" s="143"/>
      <c r="D16" s="134"/>
      <c r="E16" s="143"/>
      <c r="F16" s="134"/>
      <c r="G16" s="132"/>
      <c r="H16" s="134"/>
      <c r="I16" s="125"/>
      <c r="J16" s="134"/>
      <c r="K16" s="132"/>
      <c r="L16" s="134"/>
      <c r="M16" s="125"/>
      <c r="N16" s="126"/>
      <c r="O16" s="121"/>
      <c r="P16" s="11">
        <v>8</v>
      </c>
      <c r="Q16" s="12" t="str">
        <f>VLOOKUP(P16,$D$3:$O$132,12,FALSE)</f>
        <v>Foam Method</v>
      </c>
      <c r="R16" s="12"/>
      <c r="S16" s="12" t="e">
        <f>VLOOKUP(P16,$F$3:$O$132,10,FALSE)</f>
        <v>#N/A</v>
      </c>
      <c r="T16" s="12"/>
      <c r="U16" s="12" t="e">
        <f>VLOOKUP(P16,$H$3:$O$132,8,FALSE)</f>
        <v>#N/A</v>
      </c>
      <c r="V16" s="12"/>
      <c r="W16" s="12" t="e">
        <f>VLOOKUP(P16,$J$3:$O$132,6,FALSE)</f>
        <v>#N/A</v>
      </c>
      <c r="X16" s="12"/>
      <c r="Y16" s="12" t="e">
        <f>VLOOKUP(P16,$L$3:$O$132,4,FALSE)</f>
        <v>#N/A</v>
      </c>
      <c r="Z16" s="12"/>
      <c r="AA16" s="12" t="str">
        <f>VLOOKUP(P16,$N$3:$O$132,2,FALSE)</f>
        <v>Inflated Method</v>
      </c>
      <c r="AB16" s="12"/>
      <c r="AE16" t="str">
        <f>B113</f>
        <v>Solar Sails</v>
      </c>
      <c r="AF16">
        <f t="shared" ref="AF16" si="16">D113</f>
        <v>12</v>
      </c>
      <c r="AG16">
        <f>F113</f>
        <v>0</v>
      </c>
      <c r="AH16">
        <f>H113</f>
        <v>0</v>
      </c>
      <c r="AI16">
        <f>J113</f>
        <v>0</v>
      </c>
      <c r="AJ16">
        <f>L113</f>
        <v>0</v>
      </c>
      <c r="AK16">
        <f>N113</f>
        <v>10</v>
      </c>
      <c r="AL16" t="str">
        <f t="shared" si="3"/>
        <v>Solar Sails</v>
      </c>
      <c r="AM16">
        <f t="shared" si="4"/>
        <v>0.83299999999999996</v>
      </c>
      <c r="AN16">
        <f t="shared" si="4"/>
        <v>10.833</v>
      </c>
      <c r="AO16">
        <f t="shared" si="1"/>
        <v>10.833</v>
      </c>
      <c r="AP16">
        <f t="shared" si="1"/>
        <v>10.833</v>
      </c>
      <c r="AQ16">
        <f t="shared" si="1"/>
        <v>10.833</v>
      </c>
      <c r="AR16">
        <f t="shared" si="1"/>
        <v>2.5</v>
      </c>
      <c r="AS16">
        <f t="shared" si="5"/>
        <v>7.7779999999999996</v>
      </c>
      <c r="AT16">
        <f t="shared" si="6"/>
        <v>6.3659999999999997</v>
      </c>
    </row>
    <row r="17" spans="1:46">
      <c r="A17" s="87"/>
      <c r="B17" s="141"/>
      <c r="C17" s="143"/>
      <c r="D17" s="134"/>
      <c r="E17" s="143"/>
      <c r="F17" s="134"/>
      <c r="G17" s="132"/>
      <c r="H17" s="134"/>
      <c r="I17" s="125"/>
      <c r="J17" s="134"/>
      <c r="K17" s="132"/>
      <c r="L17" s="134"/>
      <c r="M17" s="125"/>
      <c r="N17" s="126"/>
      <c r="O17" s="121"/>
      <c r="P17" s="11">
        <v>9</v>
      </c>
      <c r="Q17" s="12" t="str">
        <f>VLOOKUP(P17,$D$3:$O$132,12,FALSE)</f>
        <v>Magnetic</v>
      </c>
      <c r="R17" s="12"/>
      <c r="S17" s="12" t="e">
        <f>VLOOKUP(P17,$F$3:$O$132,10,FALSE)</f>
        <v>#N/A</v>
      </c>
      <c r="T17" s="12"/>
      <c r="U17" s="12" t="e">
        <f>VLOOKUP(P17,$H$3:$O$132,8,FALSE)</f>
        <v>#N/A</v>
      </c>
      <c r="V17" s="12"/>
      <c r="W17" s="12" t="e">
        <f>VLOOKUP(P17,$J$3:$O$132,6,FALSE)</f>
        <v>#N/A</v>
      </c>
      <c r="X17" s="12"/>
      <c r="Y17" s="12" t="e">
        <f>VLOOKUP(P17,$L$3:$O$132,4,FALSE)</f>
        <v>#N/A</v>
      </c>
      <c r="Z17" s="12"/>
      <c r="AA17" s="12" t="str">
        <f>VLOOKUP(P17,$N$3:$O$132,2,FALSE)</f>
        <v>Foam Method</v>
      </c>
      <c r="AB17" s="12"/>
      <c r="AE17" t="str">
        <f>B123</f>
        <v>Lasers</v>
      </c>
      <c r="AF17">
        <f t="shared" ref="AF17" si="17">D123</f>
        <v>4</v>
      </c>
      <c r="AG17">
        <f>F123</f>
        <v>0</v>
      </c>
      <c r="AH17">
        <f>H123</f>
        <v>0</v>
      </c>
      <c r="AI17">
        <f>J123</f>
        <v>0</v>
      </c>
      <c r="AJ17">
        <f>L123</f>
        <v>0</v>
      </c>
      <c r="AK17">
        <f>N123</f>
        <v>6</v>
      </c>
      <c r="AL17" t="str">
        <f t="shared" si="3"/>
        <v>Lasers</v>
      </c>
      <c r="AM17">
        <f t="shared" si="4"/>
        <v>7.5</v>
      </c>
      <c r="AN17">
        <f t="shared" si="4"/>
        <v>10.833</v>
      </c>
      <c r="AO17">
        <f t="shared" si="1"/>
        <v>10.833</v>
      </c>
      <c r="AP17">
        <f t="shared" si="1"/>
        <v>10.833</v>
      </c>
      <c r="AQ17">
        <f t="shared" si="1"/>
        <v>10.833</v>
      </c>
      <c r="AR17">
        <f t="shared" si="1"/>
        <v>5.8330000000000002</v>
      </c>
      <c r="AS17">
        <f t="shared" si="5"/>
        <v>9.4440000000000008</v>
      </c>
      <c r="AT17">
        <f t="shared" si="6"/>
        <v>8.9</v>
      </c>
    </row>
    <row r="18" spans="1:46">
      <c r="A18" s="87"/>
      <c r="B18" s="141"/>
      <c r="C18" s="143"/>
      <c r="D18" s="134"/>
      <c r="E18" s="143"/>
      <c r="F18" s="134"/>
      <c r="G18" s="132"/>
      <c r="H18" s="134"/>
      <c r="I18" s="125"/>
      <c r="J18" s="134"/>
      <c r="K18" s="132"/>
      <c r="L18" s="134"/>
      <c r="M18" s="125"/>
      <c r="N18" s="126"/>
      <c r="O18" s="121"/>
      <c r="P18" s="11">
        <v>10</v>
      </c>
      <c r="Q18" s="12" t="str">
        <f>VLOOKUP(P18,$D$3:$O$132,12,FALSE)</f>
        <v>Cold Welding</v>
      </c>
      <c r="R18" s="12"/>
      <c r="S18" s="12" t="e">
        <f>VLOOKUP(P18,$F$3:$O$132,10,FALSE)</f>
        <v>#N/A</v>
      </c>
      <c r="T18" s="12"/>
      <c r="U18" s="12" t="e">
        <f>VLOOKUP(P18,$H$3:$O$132,8,FALSE)</f>
        <v>#N/A</v>
      </c>
      <c r="V18" s="12"/>
      <c r="W18" s="12" t="e">
        <f>VLOOKUP(P18,$J$3:$O$132,6,FALSE)</f>
        <v>#N/A</v>
      </c>
      <c r="X18" s="12"/>
      <c r="Y18" s="12" t="e">
        <f>VLOOKUP(P18,$L$3:$O$132,4,FALSE)</f>
        <v>#N/A</v>
      </c>
      <c r="Z18" s="12"/>
      <c r="AA18" s="12" t="str">
        <f>VLOOKUP(P18,$N$3:$O$132,2,FALSE)</f>
        <v>Solar Sails</v>
      </c>
      <c r="AB18" s="12"/>
    </row>
    <row r="19" spans="1:46">
      <c r="A19" s="87"/>
      <c r="B19" s="141"/>
      <c r="C19" s="143"/>
      <c r="D19" s="134"/>
      <c r="E19" s="143"/>
      <c r="F19" s="134"/>
      <c r="G19" s="132"/>
      <c r="H19" s="134"/>
      <c r="I19" s="125"/>
      <c r="J19" s="134"/>
      <c r="K19" s="132"/>
      <c r="L19" s="134"/>
      <c r="M19" s="125"/>
      <c r="N19" s="126"/>
      <c r="O19" s="121"/>
      <c r="P19" s="11">
        <v>11</v>
      </c>
      <c r="Q19" s="12" t="str">
        <f>VLOOKUP(P19,$D$3:$O$132,12,FALSE)</f>
        <v>Electrostatic charge induced capture</v>
      </c>
      <c r="R19" s="12"/>
      <c r="S19" s="12" t="e">
        <f>VLOOKUP(P19,$F$3:$O$132,10,FALSE)</f>
        <v>#N/A</v>
      </c>
      <c r="T19" s="12"/>
      <c r="U19" s="12" t="e">
        <f>VLOOKUP(P19,$H$3:$O$132,8,FALSE)</f>
        <v>#N/A</v>
      </c>
      <c r="V19" s="12"/>
      <c r="W19" s="12" t="e">
        <f>VLOOKUP(P19,$J$3:$O$132,6,FALSE)</f>
        <v>#N/A</v>
      </c>
      <c r="X19" s="12"/>
      <c r="Y19" s="12" t="e">
        <f>VLOOKUP(P19,$L$3:$O$132,4,FALSE)</f>
        <v>#N/A</v>
      </c>
      <c r="Z19" s="12"/>
      <c r="AA19" s="12" t="str">
        <f>VLOOKUP(P19,$N$3:$O$132,2,FALSE)</f>
        <v>Magnetic</v>
      </c>
      <c r="AB19" s="12"/>
    </row>
    <row r="20" spans="1:46">
      <c r="A20" s="87"/>
      <c r="B20" s="141"/>
      <c r="C20" s="143"/>
      <c r="D20" s="134"/>
      <c r="E20" s="143"/>
      <c r="F20" s="134"/>
      <c r="G20" s="132"/>
      <c r="H20" s="134"/>
      <c r="I20" s="125"/>
      <c r="J20" s="134"/>
      <c r="K20" s="132"/>
      <c r="L20" s="134"/>
      <c r="M20" s="125"/>
      <c r="N20" s="126"/>
      <c r="O20" s="121"/>
      <c r="P20" s="11">
        <v>12</v>
      </c>
      <c r="Q20" s="12" t="str">
        <f>VLOOKUP(P20,$D$3:$O$132,12,FALSE)</f>
        <v>Solar Sails</v>
      </c>
      <c r="R20" s="12"/>
      <c r="S20" s="12" t="e">
        <f>VLOOKUP(P20,$F$3:$O$132,10,FALSE)</f>
        <v>#N/A</v>
      </c>
      <c r="T20" s="12"/>
      <c r="U20" s="12" t="e">
        <f>VLOOKUP(P20,$H$3:$O$132,8,FALSE)</f>
        <v>#N/A</v>
      </c>
      <c r="V20" s="12"/>
      <c r="W20" s="12" t="e">
        <f>VLOOKUP(P20,$J$3:$O$132,6,FALSE)</f>
        <v>#N/A</v>
      </c>
      <c r="X20" s="12"/>
      <c r="Y20" s="12" t="e">
        <f>VLOOKUP(P20,$L$3:$O$132,4,FALSE)</f>
        <v>#N/A</v>
      </c>
      <c r="Z20" s="12"/>
      <c r="AA20" s="12" t="str">
        <f>VLOOKUP(P20,$N$3:$O$132,2,FALSE)</f>
        <v>Cold Welding</v>
      </c>
      <c r="AB20" s="12"/>
    </row>
    <row r="21" spans="1:46">
      <c r="A21" s="87"/>
      <c r="B21" s="141"/>
      <c r="C21" s="143"/>
      <c r="D21" s="134"/>
      <c r="E21" s="143"/>
      <c r="F21" s="134"/>
      <c r="G21" s="132"/>
      <c r="H21" s="134"/>
      <c r="I21" s="125"/>
      <c r="J21" s="134"/>
      <c r="K21" s="132"/>
      <c r="L21" s="134"/>
      <c r="M21" s="125"/>
      <c r="N21" s="126"/>
      <c r="O21" s="121"/>
      <c r="P21" s="16">
        <v>13</v>
      </c>
      <c r="Q21" s="13" t="str">
        <f>VLOOKUP(P21,$D$3:$O$132,12,FALSE)</f>
        <v>Inflated Method</v>
      </c>
      <c r="R21" s="13"/>
      <c r="S21" s="13" t="e">
        <f>VLOOKUP(P21,$F$3:$O$132,10,FALSE)</f>
        <v>#N/A</v>
      </c>
      <c r="T21" s="13"/>
      <c r="U21" s="13" t="e">
        <f>VLOOKUP(P21,$H$3:$O$132,8,FALSE)</f>
        <v>#N/A</v>
      </c>
      <c r="V21" s="13"/>
      <c r="W21" s="13" t="e">
        <f>VLOOKUP(P21,$J$3:$O$132,6,FALSE)</f>
        <v>#N/A</v>
      </c>
      <c r="X21" s="13"/>
      <c r="Y21" s="13" t="e">
        <f>VLOOKUP(P21,$L$3:$O$132,4,FALSE)</f>
        <v>#N/A</v>
      </c>
      <c r="Z21" s="13"/>
      <c r="AA21" s="13" t="str">
        <f>VLOOKUP(P21,$N$3:$O$132,2,FALSE)</f>
        <v>Electrostatic charge induced capture</v>
      </c>
      <c r="AB21" s="13"/>
    </row>
    <row r="22" spans="1:46" ht="15" customHeight="1">
      <c r="A22" s="87"/>
      <c r="B22" s="123"/>
      <c r="C22" s="144"/>
      <c r="D22" s="140"/>
      <c r="E22" s="144"/>
      <c r="F22" s="140"/>
      <c r="G22" s="139"/>
      <c r="H22" s="140"/>
      <c r="I22" s="136"/>
      <c r="J22" s="140"/>
      <c r="K22" s="139"/>
      <c r="L22" s="140"/>
      <c r="M22" s="136"/>
      <c r="N22" s="137"/>
      <c r="O22" s="122"/>
      <c r="P22" s="119"/>
      <c r="Q22" s="85" t="s">
        <v>106</v>
      </c>
      <c r="R22" s="85"/>
      <c r="S22" s="85" t="s">
        <v>107</v>
      </c>
      <c r="T22" s="85"/>
      <c r="U22" s="85" t="s">
        <v>108</v>
      </c>
      <c r="V22" s="85"/>
      <c r="W22" s="85" t="s">
        <v>109</v>
      </c>
      <c r="X22" s="85"/>
      <c r="Y22" s="85" t="s">
        <v>110</v>
      </c>
      <c r="Z22" s="85"/>
      <c r="AA22" s="85" t="s">
        <v>111</v>
      </c>
      <c r="AB22" s="85"/>
    </row>
    <row r="23" spans="1:46">
      <c r="A23" s="87">
        <v>3</v>
      </c>
      <c r="B23" s="120" t="s">
        <v>23</v>
      </c>
      <c r="C23" s="143"/>
      <c r="D23" s="134">
        <v>8</v>
      </c>
      <c r="E23" s="143"/>
      <c r="F23" s="134"/>
      <c r="G23" s="132"/>
      <c r="H23" s="134"/>
      <c r="I23" s="125"/>
      <c r="J23" s="134"/>
      <c r="K23" s="132"/>
      <c r="L23" s="134"/>
      <c r="M23" s="125"/>
      <c r="N23" s="126">
        <v>9</v>
      </c>
      <c r="O23" s="121" t="s">
        <v>23</v>
      </c>
      <c r="P23" s="119"/>
      <c r="Q23" s="85"/>
      <c r="R23" s="85"/>
      <c r="S23" s="85"/>
      <c r="T23" s="85"/>
      <c r="U23" s="85"/>
      <c r="V23" s="85"/>
      <c r="W23" s="85"/>
      <c r="X23" s="85"/>
      <c r="Y23" s="85"/>
      <c r="Z23" s="85"/>
      <c r="AA23" s="85"/>
      <c r="AB23" s="85"/>
    </row>
    <row r="24" spans="1:46">
      <c r="A24" s="87"/>
      <c r="B24" s="141"/>
      <c r="C24" s="143"/>
      <c r="D24" s="134"/>
      <c r="E24" s="143"/>
      <c r="F24" s="134"/>
      <c r="G24" s="132"/>
      <c r="H24" s="134"/>
      <c r="I24" s="125"/>
      <c r="J24" s="134"/>
      <c r="K24" s="132"/>
      <c r="L24" s="134"/>
      <c r="M24" s="125"/>
      <c r="N24" s="126"/>
      <c r="O24" s="121"/>
      <c r="P24" s="119"/>
      <c r="Q24" s="85"/>
      <c r="R24" s="85"/>
      <c r="S24" s="85"/>
      <c r="T24" s="85"/>
      <c r="U24" s="85"/>
      <c r="V24" s="85"/>
      <c r="W24" s="85"/>
      <c r="X24" s="85"/>
      <c r="Y24" s="85"/>
      <c r="Z24" s="85"/>
      <c r="AA24" s="85"/>
      <c r="AB24" s="85"/>
    </row>
    <row r="25" spans="1:46">
      <c r="A25" s="87"/>
      <c r="B25" s="141"/>
      <c r="C25" s="143"/>
      <c r="D25" s="134"/>
      <c r="E25" s="143"/>
      <c r="F25" s="134"/>
      <c r="G25" s="132"/>
      <c r="H25" s="134"/>
      <c r="I25" s="125"/>
      <c r="J25" s="134"/>
      <c r="K25" s="132"/>
      <c r="L25" s="134"/>
      <c r="M25" s="125"/>
      <c r="N25" s="126"/>
      <c r="O25" s="121"/>
      <c r="P25" s="119"/>
      <c r="Q25" s="85"/>
      <c r="R25" s="85"/>
      <c r="S25" s="85"/>
      <c r="T25" s="85"/>
      <c r="U25" s="85"/>
      <c r="V25" s="85"/>
      <c r="W25" s="85"/>
      <c r="X25" s="85"/>
      <c r="Y25" s="85"/>
      <c r="Z25" s="85"/>
      <c r="AA25" s="85"/>
      <c r="AB25" s="85"/>
    </row>
    <row r="26" spans="1:46">
      <c r="A26" s="87"/>
      <c r="B26" s="141"/>
      <c r="C26" s="143"/>
      <c r="D26" s="134"/>
      <c r="E26" s="143"/>
      <c r="F26" s="134"/>
      <c r="G26" s="132"/>
      <c r="H26" s="134"/>
      <c r="I26" s="125"/>
      <c r="J26" s="134"/>
      <c r="K26" s="132"/>
      <c r="L26" s="134"/>
      <c r="M26" s="125"/>
      <c r="N26" s="126"/>
      <c r="O26" s="121"/>
      <c r="P26" s="119"/>
      <c r="Q26" s="85"/>
      <c r="R26" s="85"/>
      <c r="S26" s="85"/>
      <c r="T26" s="85"/>
      <c r="U26" s="85"/>
      <c r="V26" s="85"/>
      <c r="W26" s="85"/>
      <c r="X26" s="85"/>
      <c r="Y26" s="85"/>
      <c r="Z26" s="85"/>
      <c r="AA26" s="85"/>
      <c r="AB26" s="85"/>
    </row>
    <row r="27" spans="1:46">
      <c r="A27" s="87"/>
      <c r="B27" s="141"/>
      <c r="C27" s="143"/>
      <c r="D27" s="134"/>
      <c r="E27" s="143"/>
      <c r="F27" s="134"/>
      <c r="G27" s="132"/>
      <c r="H27" s="134"/>
      <c r="I27" s="125"/>
      <c r="J27" s="134"/>
      <c r="K27" s="132"/>
      <c r="L27" s="134"/>
      <c r="M27" s="125"/>
      <c r="N27" s="126"/>
      <c r="O27" s="121"/>
      <c r="P27" s="119"/>
      <c r="Q27" s="85"/>
      <c r="R27" s="85"/>
      <c r="S27" s="85"/>
      <c r="T27" s="85"/>
      <c r="U27" s="85"/>
      <c r="V27" s="85"/>
      <c r="W27" s="85"/>
      <c r="X27" s="85"/>
      <c r="Y27" s="85"/>
      <c r="Z27" s="85"/>
      <c r="AA27" s="85"/>
      <c r="AB27" s="85"/>
    </row>
    <row r="28" spans="1:46">
      <c r="A28" s="87"/>
      <c r="B28" s="141"/>
      <c r="C28" s="143"/>
      <c r="D28" s="134"/>
      <c r="E28" s="143"/>
      <c r="F28" s="134"/>
      <c r="G28" s="132"/>
      <c r="H28" s="134"/>
      <c r="I28" s="125"/>
      <c r="J28" s="134"/>
      <c r="K28" s="132"/>
      <c r="L28" s="134"/>
      <c r="M28" s="125"/>
      <c r="N28" s="126"/>
      <c r="O28" s="121"/>
      <c r="P28" s="119"/>
      <c r="Q28" s="85"/>
      <c r="R28" s="85"/>
      <c r="S28" s="85"/>
      <c r="T28" s="85"/>
      <c r="U28" s="85"/>
      <c r="V28" s="85"/>
      <c r="W28" s="85"/>
      <c r="X28" s="85"/>
      <c r="Y28" s="85"/>
      <c r="Z28" s="85"/>
      <c r="AA28" s="85"/>
      <c r="AB28" s="85"/>
    </row>
    <row r="29" spans="1:46">
      <c r="A29" s="87"/>
      <c r="B29" s="141"/>
      <c r="C29" s="143"/>
      <c r="D29" s="134"/>
      <c r="E29" s="143"/>
      <c r="F29" s="134"/>
      <c r="G29" s="132"/>
      <c r="H29" s="134"/>
      <c r="I29" s="125"/>
      <c r="J29" s="134"/>
      <c r="K29" s="132"/>
      <c r="L29" s="134"/>
      <c r="M29" s="125"/>
      <c r="N29" s="126"/>
      <c r="O29" s="121"/>
      <c r="P29" s="119"/>
      <c r="Q29" s="85"/>
      <c r="R29" s="85"/>
      <c r="S29" s="85"/>
      <c r="T29" s="85"/>
      <c r="U29" s="85"/>
      <c r="V29" s="85"/>
      <c r="W29" s="85"/>
      <c r="X29" s="85"/>
      <c r="Y29" s="85"/>
      <c r="Z29" s="85"/>
      <c r="AA29" s="85"/>
      <c r="AB29" s="85"/>
    </row>
    <row r="30" spans="1:46">
      <c r="A30" s="87"/>
      <c r="B30" s="141"/>
      <c r="C30" s="143"/>
      <c r="D30" s="134"/>
      <c r="E30" s="143"/>
      <c r="F30" s="134"/>
      <c r="G30" s="132"/>
      <c r="H30" s="134"/>
      <c r="I30" s="125"/>
      <c r="J30" s="134"/>
      <c r="K30" s="132"/>
      <c r="L30" s="134"/>
      <c r="M30" s="125"/>
      <c r="N30" s="126"/>
      <c r="O30" s="121"/>
      <c r="P30" s="119"/>
      <c r="Q30" s="85"/>
      <c r="R30" s="85"/>
      <c r="S30" s="85"/>
      <c r="T30" s="85"/>
      <c r="U30" s="85"/>
      <c r="V30" s="85"/>
      <c r="W30" s="85"/>
      <c r="X30" s="85"/>
      <c r="Y30" s="85"/>
      <c r="Z30" s="85"/>
      <c r="AA30" s="85"/>
      <c r="AB30" s="85"/>
    </row>
    <row r="31" spans="1:46">
      <c r="A31" s="87"/>
      <c r="B31" s="141"/>
      <c r="C31" s="143"/>
      <c r="D31" s="134"/>
      <c r="E31" s="143"/>
      <c r="F31" s="134"/>
      <c r="G31" s="132"/>
      <c r="H31" s="134"/>
      <c r="I31" s="125"/>
      <c r="J31" s="134"/>
      <c r="K31" s="132"/>
      <c r="L31" s="134"/>
      <c r="M31" s="125"/>
      <c r="N31" s="126"/>
      <c r="O31" s="121"/>
      <c r="P31" s="119"/>
      <c r="Q31" s="85"/>
      <c r="R31" s="85"/>
      <c r="S31" s="85"/>
      <c r="T31" s="85"/>
      <c r="U31" s="85"/>
      <c r="V31" s="85"/>
      <c r="W31" s="85"/>
      <c r="X31" s="85"/>
      <c r="Y31" s="85"/>
      <c r="Z31" s="85"/>
      <c r="AA31" s="85"/>
      <c r="AB31" s="85"/>
    </row>
    <row r="32" spans="1:46">
      <c r="A32" s="87"/>
      <c r="B32" s="123"/>
      <c r="C32" s="143"/>
      <c r="D32" s="134"/>
      <c r="E32" s="143"/>
      <c r="F32" s="134"/>
      <c r="G32" s="132"/>
      <c r="H32" s="134"/>
      <c r="I32" s="125"/>
      <c r="J32" s="134"/>
      <c r="K32" s="132"/>
      <c r="L32" s="134"/>
      <c r="M32" s="125"/>
      <c r="N32" s="126"/>
      <c r="O32" s="121"/>
      <c r="P32" s="119"/>
      <c r="Q32" s="85"/>
      <c r="R32" s="85"/>
      <c r="S32" s="85"/>
      <c r="T32" s="85"/>
      <c r="U32" s="85"/>
      <c r="V32" s="85"/>
      <c r="W32" s="85"/>
      <c r="X32" s="85"/>
      <c r="Y32" s="85"/>
      <c r="Z32" s="85"/>
      <c r="AA32" s="85"/>
      <c r="AB32" s="85"/>
    </row>
    <row r="33" spans="1:28">
      <c r="A33" s="87">
        <v>4</v>
      </c>
      <c r="B33" s="120" t="s">
        <v>30</v>
      </c>
      <c r="C33" s="138"/>
      <c r="D33" s="133">
        <v>7</v>
      </c>
      <c r="E33" s="138"/>
      <c r="F33" s="133"/>
      <c r="G33" s="138"/>
      <c r="H33" s="133"/>
      <c r="I33" s="127"/>
      <c r="J33" s="133"/>
      <c r="K33" s="138"/>
      <c r="L33" s="133"/>
      <c r="M33" s="127"/>
      <c r="N33" s="128">
        <v>3</v>
      </c>
      <c r="O33" s="124" t="s">
        <v>30</v>
      </c>
      <c r="P33" s="119"/>
      <c r="Q33" s="85"/>
      <c r="R33" s="85"/>
      <c r="S33" s="85"/>
      <c r="T33" s="85"/>
      <c r="U33" s="85"/>
      <c r="V33" s="85"/>
      <c r="W33" s="85"/>
      <c r="X33" s="85"/>
      <c r="Y33" s="85"/>
      <c r="Z33" s="85"/>
      <c r="AA33" s="85"/>
      <c r="AB33" s="85"/>
    </row>
    <row r="34" spans="1:28">
      <c r="A34" s="87"/>
      <c r="B34" s="141"/>
      <c r="C34" s="132"/>
      <c r="D34" s="134"/>
      <c r="E34" s="132"/>
      <c r="F34" s="134"/>
      <c r="G34" s="132"/>
      <c r="H34" s="134"/>
      <c r="I34" s="125"/>
      <c r="J34" s="134"/>
      <c r="K34" s="132"/>
      <c r="L34" s="134"/>
      <c r="M34" s="125"/>
      <c r="N34" s="126"/>
      <c r="O34" s="121"/>
      <c r="P34" s="119"/>
      <c r="Q34" s="85"/>
      <c r="R34" s="85"/>
      <c r="S34" s="85"/>
      <c r="T34" s="85"/>
      <c r="U34" s="85"/>
      <c r="V34" s="85"/>
      <c r="W34" s="85"/>
      <c r="X34" s="85"/>
      <c r="Y34" s="85"/>
      <c r="Z34" s="85"/>
      <c r="AA34" s="85"/>
      <c r="AB34" s="85"/>
    </row>
    <row r="35" spans="1:28">
      <c r="A35" s="87"/>
      <c r="B35" s="141"/>
      <c r="C35" s="132"/>
      <c r="D35" s="134"/>
      <c r="E35" s="132"/>
      <c r="F35" s="134"/>
      <c r="G35" s="132"/>
      <c r="H35" s="134"/>
      <c r="I35" s="125"/>
      <c r="J35" s="134"/>
      <c r="K35" s="132"/>
      <c r="L35" s="134"/>
      <c r="M35" s="125"/>
      <c r="N35" s="126"/>
      <c r="O35" s="121"/>
      <c r="P35" s="119"/>
      <c r="Q35" s="85"/>
      <c r="R35" s="85"/>
      <c r="S35" s="85"/>
      <c r="T35" s="85"/>
      <c r="U35" s="85"/>
      <c r="V35" s="85"/>
      <c r="W35" s="85"/>
      <c r="X35" s="85"/>
      <c r="Y35" s="85"/>
      <c r="Z35" s="85"/>
      <c r="AA35" s="85"/>
      <c r="AB35" s="85"/>
    </row>
    <row r="36" spans="1:28">
      <c r="A36" s="87"/>
      <c r="B36" s="141"/>
      <c r="C36" s="132"/>
      <c r="D36" s="134"/>
      <c r="E36" s="132"/>
      <c r="F36" s="134"/>
      <c r="G36" s="132"/>
      <c r="H36" s="134"/>
      <c r="I36" s="125"/>
      <c r="J36" s="134"/>
      <c r="K36" s="132"/>
      <c r="L36" s="134"/>
      <c r="M36" s="125"/>
      <c r="N36" s="126"/>
      <c r="O36" s="121"/>
      <c r="P36" s="119"/>
      <c r="Q36" s="85"/>
      <c r="R36" s="85"/>
      <c r="S36" s="85"/>
      <c r="T36" s="85"/>
      <c r="U36" s="85"/>
      <c r="V36" s="85"/>
      <c r="W36" s="85"/>
      <c r="X36" s="85"/>
      <c r="Y36" s="85"/>
      <c r="Z36" s="85"/>
      <c r="AA36" s="85"/>
      <c r="AB36" s="85"/>
    </row>
    <row r="37" spans="1:28">
      <c r="A37" s="87"/>
      <c r="B37" s="141"/>
      <c r="C37" s="132"/>
      <c r="D37" s="134"/>
      <c r="E37" s="132"/>
      <c r="F37" s="134"/>
      <c r="G37" s="132"/>
      <c r="H37" s="134"/>
      <c r="I37" s="125"/>
      <c r="J37" s="134"/>
      <c r="K37" s="132"/>
      <c r="L37" s="134"/>
      <c r="M37" s="125"/>
      <c r="N37" s="126"/>
      <c r="O37" s="121"/>
      <c r="P37" s="119"/>
      <c r="Q37" s="85"/>
      <c r="R37" s="85"/>
      <c r="S37" s="85"/>
      <c r="T37" s="85"/>
      <c r="U37" s="85"/>
      <c r="V37" s="85"/>
      <c r="W37" s="85"/>
      <c r="X37" s="85"/>
      <c r="Y37" s="85"/>
      <c r="Z37" s="85"/>
      <c r="AA37" s="85"/>
      <c r="AB37" s="85"/>
    </row>
    <row r="38" spans="1:28">
      <c r="A38" s="87"/>
      <c r="B38" s="141"/>
      <c r="C38" s="132"/>
      <c r="D38" s="134"/>
      <c r="E38" s="132"/>
      <c r="F38" s="134"/>
      <c r="G38" s="132"/>
      <c r="H38" s="134"/>
      <c r="I38" s="125"/>
      <c r="J38" s="134"/>
      <c r="K38" s="132"/>
      <c r="L38" s="134"/>
      <c r="M38" s="125"/>
      <c r="N38" s="126"/>
      <c r="O38" s="121"/>
      <c r="P38" s="119"/>
      <c r="Q38" s="85"/>
      <c r="R38" s="85"/>
      <c r="S38" s="85"/>
      <c r="T38" s="85"/>
      <c r="U38" s="85"/>
      <c r="V38" s="85"/>
      <c r="W38" s="85"/>
      <c r="X38" s="85"/>
      <c r="Y38" s="85"/>
      <c r="Z38" s="85"/>
      <c r="AA38" s="85"/>
      <c r="AB38" s="85"/>
    </row>
    <row r="39" spans="1:28">
      <c r="A39" s="87"/>
      <c r="B39" s="141"/>
      <c r="C39" s="132"/>
      <c r="D39" s="134"/>
      <c r="E39" s="132"/>
      <c r="F39" s="134"/>
      <c r="G39" s="132"/>
      <c r="H39" s="134"/>
      <c r="I39" s="125"/>
      <c r="J39" s="134"/>
      <c r="K39" s="132"/>
      <c r="L39" s="134"/>
      <c r="M39" s="125"/>
      <c r="N39" s="126"/>
      <c r="O39" s="121"/>
      <c r="P39" s="119"/>
      <c r="Q39" s="85"/>
      <c r="R39" s="85"/>
      <c r="S39" s="85"/>
      <c r="T39" s="85"/>
      <c r="U39" s="85"/>
      <c r="V39" s="85"/>
      <c r="W39" s="85"/>
      <c r="X39" s="85"/>
      <c r="Y39" s="85"/>
      <c r="Z39" s="85"/>
      <c r="AA39" s="85"/>
      <c r="AB39" s="85"/>
    </row>
    <row r="40" spans="1:28">
      <c r="A40" s="87"/>
      <c r="B40" s="141"/>
      <c r="C40" s="132"/>
      <c r="D40" s="134"/>
      <c r="E40" s="132"/>
      <c r="F40" s="134"/>
      <c r="G40" s="132"/>
      <c r="H40" s="134"/>
      <c r="I40" s="125"/>
      <c r="J40" s="134"/>
      <c r="K40" s="132"/>
      <c r="L40" s="134"/>
      <c r="M40" s="125"/>
      <c r="N40" s="126"/>
      <c r="O40" s="121"/>
      <c r="P40" s="119"/>
      <c r="Q40" s="85"/>
      <c r="R40" s="85"/>
      <c r="S40" s="85"/>
      <c r="T40" s="85"/>
      <c r="U40" s="85"/>
      <c r="V40" s="85"/>
      <c r="W40" s="85"/>
      <c r="X40" s="85"/>
      <c r="Y40" s="85"/>
      <c r="Z40" s="85"/>
      <c r="AA40" s="85"/>
      <c r="AB40" s="85"/>
    </row>
    <row r="41" spans="1:28">
      <c r="A41" s="87"/>
      <c r="B41" s="141"/>
      <c r="C41" s="132"/>
      <c r="D41" s="134"/>
      <c r="E41" s="132"/>
      <c r="F41" s="134"/>
      <c r="G41" s="132"/>
      <c r="H41" s="134"/>
      <c r="I41" s="125"/>
      <c r="J41" s="134"/>
      <c r="K41" s="132"/>
      <c r="L41" s="134"/>
      <c r="M41" s="125"/>
      <c r="N41" s="126"/>
      <c r="O41" s="121"/>
      <c r="P41" s="119"/>
      <c r="Q41" s="85"/>
      <c r="R41" s="85"/>
      <c r="S41" s="85"/>
      <c r="T41" s="85"/>
      <c r="U41" s="85"/>
      <c r="V41" s="85"/>
      <c r="W41" s="85"/>
      <c r="X41" s="85"/>
      <c r="Y41" s="85"/>
      <c r="Z41" s="85"/>
      <c r="AA41" s="85"/>
      <c r="AB41" s="85"/>
    </row>
    <row r="42" spans="1:28">
      <c r="A42" s="87"/>
      <c r="B42" s="123"/>
      <c r="C42" s="132"/>
      <c r="D42" s="134"/>
      <c r="E42" s="132"/>
      <c r="F42" s="134"/>
      <c r="G42" s="132"/>
      <c r="H42" s="134"/>
      <c r="I42" s="125"/>
      <c r="J42" s="134"/>
      <c r="K42" s="132"/>
      <c r="L42" s="134"/>
      <c r="M42" s="125"/>
      <c r="N42" s="126"/>
      <c r="O42" s="121"/>
      <c r="P42" s="119"/>
      <c r="Q42" s="85"/>
      <c r="R42" s="85"/>
      <c r="S42" s="85"/>
      <c r="T42" s="85"/>
      <c r="U42" s="85"/>
      <c r="V42" s="85"/>
      <c r="W42" s="85"/>
      <c r="X42" s="85"/>
      <c r="Y42" s="85"/>
      <c r="Z42" s="85"/>
      <c r="AA42" s="85"/>
      <c r="AB42" s="85"/>
    </row>
    <row r="43" spans="1:28">
      <c r="A43" s="87">
        <v>5</v>
      </c>
      <c r="B43" s="120" t="s">
        <v>36</v>
      </c>
      <c r="C43" s="138"/>
      <c r="D43" s="133">
        <v>2</v>
      </c>
      <c r="E43" s="138"/>
      <c r="F43" s="133"/>
      <c r="G43" s="138"/>
      <c r="H43" s="133"/>
      <c r="I43" s="127"/>
      <c r="J43" s="133"/>
      <c r="K43" s="138"/>
      <c r="L43" s="133"/>
      <c r="M43" s="127"/>
      <c r="N43" s="128">
        <v>2</v>
      </c>
      <c r="O43" s="88" t="s">
        <v>36</v>
      </c>
    </row>
    <row r="44" spans="1:28">
      <c r="A44" s="87"/>
      <c r="B44" s="141"/>
      <c r="C44" s="132"/>
      <c r="D44" s="134"/>
      <c r="E44" s="132"/>
      <c r="F44" s="134"/>
      <c r="G44" s="132"/>
      <c r="H44" s="134"/>
      <c r="I44" s="125"/>
      <c r="J44" s="134"/>
      <c r="K44" s="132"/>
      <c r="L44" s="134"/>
      <c r="M44" s="125"/>
      <c r="N44" s="126"/>
      <c r="O44" s="88"/>
    </row>
    <row r="45" spans="1:28">
      <c r="A45" s="87"/>
      <c r="B45" s="141"/>
      <c r="C45" s="132"/>
      <c r="D45" s="134"/>
      <c r="E45" s="132"/>
      <c r="F45" s="134"/>
      <c r="G45" s="132"/>
      <c r="H45" s="134"/>
      <c r="I45" s="125"/>
      <c r="J45" s="134"/>
      <c r="K45" s="132"/>
      <c r="L45" s="134"/>
      <c r="M45" s="125"/>
      <c r="N45" s="126"/>
      <c r="O45" s="88"/>
    </row>
    <row r="46" spans="1:28">
      <c r="A46" s="87"/>
      <c r="B46" s="141"/>
      <c r="C46" s="132"/>
      <c r="D46" s="134"/>
      <c r="E46" s="132"/>
      <c r="F46" s="134"/>
      <c r="G46" s="132"/>
      <c r="H46" s="134"/>
      <c r="I46" s="125"/>
      <c r="J46" s="134"/>
      <c r="K46" s="132"/>
      <c r="L46" s="134"/>
      <c r="M46" s="125"/>
      <c r="N46" s="126"/>
      <c r="O46" s="88"/>
    </row>
    <row r="47" spans="1:28">
      <c r="A47" s="87"/>
      <c r="B47" s="141"/>
      <c r="C47" s="132"/>
      <c r="D47" s="134"/>
      <c r="E47" s="132"/>
      <c r="F47" s="134"/>
      <c r="G47" s="132"/>
      <c r="H47" s="134"/>
      <c r="I47" s="125"/>
      <c r="J47" s="134"/>
      <c r="K47" s="132"/>
      <c r="L47" s="134"/>
      <c r="M47" s="125"/>
      <c r="N47" s="126"/>
      <c r="O47" s="88"/>
    </row>
    <row r="48" spans="1:28">
      <c r="A48" s="87"/>
      <c r="B48" s="141"/>
      <c r="C48" s="132"/>
      <c r="D48" s="134"/>
      <c r="E48" s="132"/>
      <c r="F48" s="134"/>
      <c r="G48" s="132"/>
      <c r="H48" s="134"/>
      <c r="I48" s="125"/>
      <c r="J48" s="134"/>
      <c r="K48" s="132"/>
      <c r="L48" s="134"/>
      <c r="M48" s="125"/>
      <c r="N48" s="126"/>
      <c r="O48" s="88"/>
      <c r="V48" t="s">
        <v>120</v>
      </c>
    </row>
    <row r="49" spans="1:28">
      <c r="A49" s="87"/>
      <c r="B49" s="141"/>
      <c r="C49" s="132"/>
      <c r="D49" s="134"/>
      <c r="E49" s="132"/>
      <c r="F49" s="134"/>
      <c r="G49" s="132"/>
      <c r="H49" s="134"/>
      <c r="I49" s="125"/>
      <c r="J49" s="134"/>
      <c r="K49" s="132"/>
      <c r="L49" s="134"/>
      <c r="M49" s="125"/>
      <c r="N49" s="126"/>
      <c r="O49" s="88"/>
      <c r="V49" t="s">
        <v>121</v>
      </c>
    </row>
    <row r="50" spans="1:28">
      <c r="A50" s="87"/>
      <c r="B50" s="141"/>
      <c r="C50" s="132"/>
      <c r="D50" s="134"/>
      <c r="E50" s="132"/>
      <c r="F50" s="134"/>
      <c r="G50" s="132"/>
      <c r="H50" s="134"/>
      <c r="I50" s="125"/>
      <c r="J50" s="134"/>
      <c r="K50" s="132"/>
      <c r="L50" s="134"/>
      <c r="M50" s="125"/>
      <c r="N50" s="126"/>
      <c r="O50" s="88"/>
      <c r="V50" t="s">
        <v>122</v>
      </c>
    </row>
    <row r="51" spans="1:28">
      <c r="A51" s="87"/>
      <c r="B51" s="141"/>
      <c r="C51" s="132"/>
      <c r="D51" s="134"/>
      <c r="E51" s="132"/>
      <c r="F51" s="134"/>
      <c r="G51" s="132"/>
      <c r="H51" s="134"/>
      <c r="I51" s="125"/>
      <c r="J51" s="134"/>
      <c r="K51" s="132"/>
      <c r="L51" s="134"/>
      <c r="M51" s="125"/>
      <c r="N51" s="126"/>
      <c r="O51" s="88"/>
      <c r="V51" t="s">
        <v>123</v>
      </c>
    </row>
    <row r="52" spans="1:28">
      <c r="A52" s="87"/>
      <c r="B52" s="123"/>
      <c r="C52" s="132"/>
      <c r="D52" s="134"/>
      <c r="E52" s="132"/>
      <c r="F52" s="134"/>
      <c r="G52" s="132"/>
      <c r="H52" s="134"/>
      <c r="I52" s="125"/>
      <c r="J52" s="134"/>
      <c r="K52" s="132"/>
      <c r="L52" s="134"/>
      <c r="M52" s="125"/>
      <c r="N52" s="126"/>
      <c r="O52" s="88"/>
      <c r="V52" t="s">
        <v>124</v>
      </c>
    </row>
    <row r="53" spans="1:28">
      <c r="A53" s="87">
        <v>6</v>
      </c>
      <c r="B53" s="120" t="s">
        <v>43</v>
      </c>
      <c r="C53" s="142"/>
      <c r="D53" s="133">
        <v>6</v>
      </c>
      <c r="E53" s="142"/>
      <c r="F53" s="133"/>
      <c r="G53" s="138"/>
      <c r="H53" s="133"/>
      <c r="I53" s="127"/>
      <c r="J53" s="133"/>
      <c r="K53" s="138"/>
      <c r="L53" s="133"/>
      <c r="M53" s="127"/>
      <c r="N53" s="128">
        <v>7</v>
      </c>
      <c r="O53" s="88" t="s">
        <v>43</v>
      </c>
    </row>
    <row r="54" spans="1:28">
      <c r="A54" s="87"/>
      <c r="B54" s="141"/>
      <c r="C54" s="143"/>
      <c r="D54" s="134"/>
      <c r="E54" s="143"/>
      <c r="F54" s="134"/>
      <c r="G54" s="132"/>
      <c r="H54" s="134"/>
      <c r="I54" s="125"/>
      <c r="J54" s="134"/>
      <c r="K54" s="132"/>
      <c r="L54" s="134"/>
      <c r="M54" s="125"/>
      <c r="N54" s="126"/>
      <c r="O54" s="88"/>
    </row>
    <row r="55" spans="1:28">
      <c r="A55" s="87"/>
      <c r="B55" s="141"/>
      <c r="C55" s="143"/>
      <c r="D55" s="134"/>
      <c r="E55" s="143"/>
      <c r="F55" s="134"/>
      <c r="G55" s="132"/>
      <c r="H55" s="134"/>
      <c r="I55" s="125"/>
      <c r="J55" s="134"/>
      <c r="K55" s="132"/>
      <c r="L55" s="134"/>
      <c r="M55" s="125"/>
      <c r="N55" s="126"/>
      <c r="O55" s="88"/>
      <c r="V55" s="102" t="s">
        <v>127</v>
      </c>
      <c r="W55" s="103"/>
      <c r="X55" s="103"/>
      <c r="Y55" s="103"/>
      <c r="Z55" s="103"/>
      <c r="AA55" s="104"/>
    </row>
    <row r="56" spans="1:28">
      <c r="A56" s="87"/>
      <c r="B56" s="141"/>
      <c r="C56" s="143"/>
      <c r="D56" s="134"/>
      <c r="E56" s="143"/>
      <c r="F56" s="134"/>
      <c r="G56" s="132"/>
      <c r="H56" s="134"/>
      <c r="I56" s="125"/>
      <c r="J56" s="134"/>
      <c r="K56" s="132"/>
      <c r="L56" s="134"/>
      <c r="M56" s="125"/>
      <c r="N56" s="126"/>
      <c r="O56" s="88"/>
      <c r="V56" s="112" t="s">
        <v>128</v>
      </c>
      <c r="W56" s="109"/>
      <c r="X56" s="109"/>
      <c r="Y56" s="109"/>
      <c r="Z56" s="109"/>
      <c r="AA56" s="110"/>
    </row>
    <row r="57" spans="1:28">
      <c r="A57" s="87"/>
      <c r="B57" s="141"/>
      <c r="C57" s="143"/>
      <c r="D57" s="134"/>
      <c r="E57" s="143"/>
      <c r="F57" s="134"/>
      <c r="G57" s="132"/>
      <c r="H57" s="134"/>
      <c r="I57" s="125"/>
      <c r="J57" s="134"/>
      <c r="K57" s="132"/>
      <c r="L57" s="134"/>
      <c r="M57" s="125"/>
      <c r="N57" s="126"/>
      <c r="O57" s="88"/>
      <c r="V57" s="112" t="s">
        <v>129</v>
      </c>
      <c r="W57" s="109"/>
      <c r="X57" s="109"/>
      <c r="Y57" s="109"/>
      <c r="Z57" s="109"/>
      <c r="AA57" s="110"/>
    </row>
    <row r="58" spans="1:28">
      <c r="A58" s="87"/>
      <c r="B58" s="141"/>
      <c r="C58" s="143"/>
      <c r="D58" s="134"/>
      <c r="E58" s="143"/>
      <c r="F58" s="134"/>
      <c r="G58" s="132"/>
      <c r="H58" s="134"/>
      <c r="I58" s="125"/>
      <c r="J58" s="134"/>
      <c r="K58" s="132"/>
      <c r="L58" s="134"/>
      <c r="M58" s="125"/>
      <c r="N58" s="126"/>
      <c r="O58" s="88"/>
      <c r="V58" s="102" t="s">
        <v>130</v>
      </c>
      <c r="W58" s="103"/>
      <c r="X58" s="103"/>
      <c r="Y58" s="103"/>
      <c r="Z58" s="103"/>
      <c r="AA58" s="104"/>
    </row>
    <row r="59" spans="1:28">
      <c r="A59" s="87"/>
      <c r="B59" s="141"/>
      <c r="C59" s="143"/>
      <c r="D59" s="134"/>
      <c r="E59" s="143"/>
      <c r="F59" s="134"/>
      <c r="G59" s="132"/>
      <c r="H59" s="134"/>
      <c r="I59" s="125"/>
      <c r="J59" s="134"/>
      <c r="K59" s="132"/>
      <c r="L59" s="134"/>
      <c r="M59" s="125"/>
      <c r="N59" s="126"/>
      <c r="O59" s="88"/>
      <c r="V59" s="112" t="s">
        <v>131</v>
      </c>
      <c r="W59" s="109"/>
      <c r="X59" s="109"/>
      <c r="Y59" s="109"/>
      <c r="Z59" s="109"/>
      <c r="AA59" s="110"/>
    </row>
    <row r="60" spans="1:28">
      <c r="A60" s="87"/>
      <c r="B60" s="141"/>
      <c r="C60" s="143"/>
      <c r="D60" s="134"/>
      <c r="E60" s="143"/>
      <c r="F60" s="134"/>
      <c r="G60" s="132"/>
      <c r="H60" s="134"/>
      <c r="I60" s="125"/>
      <c r="J60" s="134"/>
      <c r="K60" s="132"/>
      <c r="L60" s="134"/>
      <c r="M60" s="125"/>
      <c r="N60" s="126"/>
      <c r="O60" s="88"/>
      <c r="V60" s="113" t="s">
        <v>132</v>
      </c>
      <c r="W60" s="107"/>
      <c r="X60" s="107"/>
      <c r="Y60" s="107"/>
      <c r="Z60" s="107"/>
      <c r="AA60" s="108"/>
    </row>
    <row r="61" spans="1:28">
      <c r="A61" s="87"/>
      <c r="B61" s="141"/>
      <c r="C61" s="143"/>
      <c r="D61" s="134"/>
      <c r="E61" s="143"/>
      <c r="F61" s="134"/>
      <c r="G61" s="132"/>
      <c r="H61" s="134"/>
      <c r="I61" s="125"/>
      <c r="J61" s="134"/>
      <c r="K61" s="132"/>
      <c r="L61" s="134"/>
      <c r="M61" s="125"/>
      <c r="N61" s="126"/>
      <c r="O61" s="88"/>
      <c r="S61" s="102" t="s">
        <v>133</v>
      </c>
      <c r="T61" s="103"/>
      <c r="U61" s="104"/>
      <c r="V61" s="107"/>
      <c r="W61" s="107"/>
      <c r="X61" s="107"/>
      <c r="Y61" s="107"/>
      <c r="Z61" s="107"/>
      <c r="AA61" s="108"/>
    </row>
    <row r="62" spans="1:28">
      <c r="A62" s="87"/>
      <c r="B62" s="123"/>
      <c r="C62" s="144"/>
      <c r="D62" s="140"/>
      <c r="E62" s="144"/>
      <c r="F62" s="140"/>
      <c r="G62" s="139"/>
      <c r="H62" s="140"/>
      <c r="I62" s="136"/>
      <c r="J62" s="140"/>
      <c r="K62" s="139"/>
      <c r="L62" s="140"/>
      <c r="M62" s="136"/>
      <c r="N62" s="137"/>
      <c r="O62" s="88"/>
      <c r="S62" s="29" t="s">
        <v>134</v>
      </c>
      <c r="T62" s="30" t="s">
        <v>135</v>
      </c>
      <c r="U62" s="31" t="s">
        <v>136</v>
      </c>
      <c r="V62" s="103" t="s">
        <v>137</v>
      </c>
      <c r="W62" s="103"/>
      <c r="X62" s="103"/>
      <c r="Y62" s="103"/>
      <c r="Z62" s="103"/>
      <c r="AA62" s="104"/>
      <c r="AB62" s="25" t="s">
        <v>138</v>
      </c>
    </row>
    <row r="63" spans="1:28">
      <c r="A63" s="87">
        <v>7</v>
      </c>
      <c r="B63" s="120" t="s">
        <v>50</v>
      </c>
      <c r="C63" s="143"/>
      <c r="D63" s="134">
        <v>9</v>
      </c>
      <c r="E63" s="143"/>
      <c r="F63" s="134"/>
      <c r="G63" s="132"/>
      <c r="H63" s="134"/>
      <c r="I63" s="125"/>
      <c r="J63" s="134"/>
      <c r="K63" s="132"/>
      <c r="L63" s="134"/>
      <c r="M63" s="125"/>
      <c r="N63" s="126">
        <v>11</v>
      </c>
      <c r="O63" s="88" t="s">
        <v>50</v>
      </c>
      <c r="R63" s="99" t="s">
        <v>140</v>
      </c>
      <c r="U63" s="10"/>
      <c r="V63" s="114" t="s">
        <v>141</v>
      </c>
      <c r="W63" s="114"/>
      <c r="X63" s="114"/>
      <c r="Y63" s="114"/>
      <c r="Z63" s="114"/>
      <c r="AA63" s="115"/>
    </row>
    <row r="64" spans="1:28">
      <c r="A64" s="87"/>
      <c r="B64" s="141"/>
      <c r="C64" s="143"/>
      <c r="D64" s="134"/>
      <c r="E64" s="143"/>
      <c r="F64" s="134"/>
      <c r="G64" s="132"/>
      <c r="H64" s="134"/>
      <c r="I64" s="125"/>
      <c r="J64" s="134"/>
      <c r="K64" s="132"/>
      <c r="L64" s="134"/>
      <c r="M64" s="125"/>
      <c r="N64" s="126"/>
      <c r="O64" s="88"/>
      <c r="R64" s="100"/>
      <c r="U64" s="10"/>
      <c r="V64" s="107" t="s">
        <v>142</v>
      </c>
      <c r="W64" s="107"/>
      <c r="X64" s="107"/>
      <c r="Y64" s="107"/>
      <c r="Z64" s="107"/>
      <c r="AA64" s="108"/>
    </row>
    <row r="65" spans="1:28">
      <c r="A65" s="87"/>
      <c r="B65" s="141"/>
      <c r="C65" s="143"/>
      <c r="D65" s="134"/>
      <c r="E65" s="143"/>
      <c r="F65" s="134"/>
      <c r="G65" s="132"/>
      <c r="H65" s="134"/>
      <c r="I65" s="125"/>
      <c r="J65" s="134"/>
      <c r="K65" s="132"/>
      <c r="L65" s="134"/>
      <c r="M65" s="125"/>
      <c r="N65" s="126"/>
      <c r="O65" s="88"/>
      <c r="R65" s="100"/>
      <c r="T65" s="19"/>
      <c r="U65" s="26"/>
      <c r="V65" s="107" t="s">
        <v>143</v>
      </c>
      <c r="W65" s="107"/>
      <c r="X65" s="107"/>
      <c r="Y65" s="107"/>
      <c r="Z65" s="107"/>
      <c r="AA65" s="108"/>
      <c r="AB65" s="13" t="s">
        <v>144</v>
      </c>
    </row>
    <row r="66" spans="1:28">
      <c r="A66" s="87"/>
      <c r="B66" s="141"/>
      <c r="C66" s="143"/>
      <c r="D66" s="134"/>
      <c r="E66" s="143"/>
      <c r="F66" s="134"/>
      <c r="G66" s="132"/>
      <c r="H66" s="134"/>
      <c r="I66" s="125"/>
      <c r="J66" s="134"/>
      <c r="K66" s="132"/>
      <c r="L66" s="134"/>
      <c r="M66" s="125"/>
      <c r="N66" s="126"/>
      <c r="O66" s="88"/>
      <c r="R66" s="100"/>
      <c r="T66" s="21"/>
      <c r="U66" s="10"/>
      <c r="V66" s="107" t="s">
        <v>145</v>
      </c>
      <c r="W66" s="107"/>
      <c r="X66" s="107"/>
      <c r="Y66" s="107"/>
      <c r="Z66" s="107"/>
      <c r="AA66" s="108"/>
      <c r="AB66" s="23" t="s">
        <v>146</v>
      </c>
    </row>
    <row r="67" spans="1:28">
      <c r="A67" s="87"/>
      <c r="B67" s="141"/>
      <c r="C67" s="143"/>
      <c r="D67" s="134"/>
      <c r="E67" s="143"/>
      <c r="F67" s="134"/>
      <c r="G67" s="132"/>
      <c r="H67" s="134"/>
      <c r="I67" s="125"/>
      <c r="J67" s="134"/>
      <c r="K67" s="132"/>
      <c r="L67" s="134"/>
      <c r="M67" s="125"/>
      <c r="N67" s="126"/>
      <c r="O67" s="88"/>
      <c r="R67" s="100"/>
      <c r="U67" s="26"/>
      <c r="V67" s="107" t="s">
        <v>147</v>
      </c>
      <c r="W67" s="107"/>
      <c r="X67" s="107"/>
      <c r="Y67" s="107"/>
      <c r="Z67" s="107"/>
      <c r="AA67" s="108"/>
      <c r="AB67" s="23" t="s">
        <v>79</v>
      </c>
    </row>
    <row r="68" spans="1:28">
      <c r="A68" s="87"/>
      <c r="B68" s="141"/>
      <c r="C68" s="143"/>
      <c r="D68" s="134"/>
      <c r="E68" s="143"/>
      <c r="F68" s="134"/>
      <c r="G68" s="132"/>
      <c r="H68" s="134"/>
      <c r="I68" s="125"/>
      <c r="J68" s="134"/>
      <c r="K68" s="132"/>
      <c r="L68" s="134"/>
      <c r="M68" s="125"/>
      <c r="N68" s="126"/>
      <c r="O68" s="88"/>
      <c r="R68" s="100"/>
      <c r="S68" s="20"/>
      <c r="T68" s="20"/>
      <c r="U68" s="10"/>
      <c r="V68" s="107" t="s">
        <v>148</v>
      </c>
      <c r="W68" s="107"/>
      <c r="X68" s="107"/>
      <c r="Y68" s="107"/>
      <c r="Z68" s="107"/>
      <c r="AA68" s="108"/>
      <c r="AB68" s="23" t="s">
        <v>149</v>
      </c>
    </row>
    <row r="69" spans="1:28">
      <c r="A69" s="87"/>
      <c r="B69" s="141"/>
      <c r="C69" s="143"/>
      <c r="D69" s="134"/>
      <c r="E69" s="143"/>
      <c r="F69" s="134"/>
      <c r="G69" s="132"/>
      <c r="H69" s="134"/>
      <c r="I69" s="125"/>
      <c r="J69" s="134"/>
      <c r="K69" s="132"/>
      <c r="L69" s="134"/>
      <c r="M69" s="125"/>
      <c r="N69" s="126"/>
      <c r="O69" s="88"/>
      <c r="R69" s="101"/>
      <c r="S69" s="27"/>
      <c r="T69" s="27"/>
      <c r="U69" s="28"/>
      <c r="V69" s="105" t="s">
        <v>150</v>
      </c>
      <c r="W69" s="105"/>
      <c r="X69" s="105"/>
      <c r="Y69" s="105"/>
      <c r="Z69" s="105"/>
      <c r="AA69" s="106"/>
      <c r="AB69" s="24" t="s">
        <v>98</v>
      </c>
    </row>
    <row r="70" spans="1:28">
      <c r="A70" s="87"/>
      <c r="B70" s="141"/>
      <c r="C70" s="143"/>
      <c r="D70" s="134"/>
      <c r="E70" s="143"/>
      <c r="F70" s="134"/>
      <c r="G70" s="132"/>
      <c r="H70" s="134"/>
      <c r="I70" s="125"/>
      <c r="J70" s="134"/>
      <c r="K70" s="132"/>
      <c r="L70" s="134"/>
      <c r="M70" s="125"/>
      <c r="N70" s="126"/>
      <c r="O70" s="88"/>
      <c r="V70" t="s">
        <v>151</v>
      </c>
      <c r="W70" t="s">
        <v>151</v>
      </c>
      <c r="X70" s="15">
        <v>5</v>
      </c>
    </row>
    <row r="71" spans="1:28">
      <c r="A71" s="87"/>
      <c r="B71" s="141"/>
      <c r="C71" s="143"/>
      <c r="D71" s="134"/>
      <c r="E71" s="143"/>
      <c r="F71" s="134"/>
      <c r="G71" s="132"/>
      <c r="H71" s="134"/>
      <c r="I71" s="125"/>
      <c r="J71" s="134"/>
      <c r="K71" s="132"/>
      <c r="L71" s="134"/>
      <c r="M71" s="125"/>
      <c r="N71" s="126"/>
      <c r="O71" s="88"/>
      <c r="V71" t="s">
        <v>149</v>
      </c>
      <c r="W71" t="s">
        <v>152</v>
      </c>
      <c r="X71" s="15">
        <v>4</v>
      </c>
    </row>
    <row r="72" spans="1:28">
      <c r="A72" s="87"/>
      <c r="B72" s="141"/>
      <c r="C72" s="143"/>
      <c r="D72" s="134"/>
      <c r="E72" s="143"/>
      <c r="F72" s="134"/>
      <c r="G72" s="132"/>
      <c r="H72" s="134"/>
      <c r="I72" s="125"/>
      <c r="J72" s="134"/>
      <c r="K72" s="132"/>
      <c r="L72" s="134"/>
      <c r="M72" s="125"/>
      <c r="N72" s="126"/>
      <c r="O72" s="88"/>
      <c r="V72" t="s">
        <v>153</v>
      </c>
      <c r="W72" t="s">
        <v>153</v>
      </c>
      <c r="X72" s="15">
        <v>3</v>
      </c>
    </row>
    <row r="73" spans="1:28">
      <c r="A73" s="87"/>
      <c r="B73" s="123"/>
      <c r="C73" s="143"/>
      <c r="D73" s="134"/>
      <c r="E73" s="143"/>
      <c r="F73" s="134"/>
      <c r="G73" s="132"/>
      <c r="H73" s="134"/>
      <c r="I73" s="125"/>
      <c r="J73" s="134"/>
      <c r="K73" s="132"/>
      <c r="L73" s="134"/>
      <c r="M73" s="125"/>
      <c r="N73" s="126"/>
      <c r="O73" s="88"/>
      <c r="W73" t="s">
        <v>154</v>
      </c>
      <c r="X73" s="15">
        <v>1</v>
      </c>
    </row>
    <row r="74" spans="1:28">
      <c r="A74" s="87">
        <v>8</v>
      </c>
      <c r="B74" s="120" t="s">
        <v>54</v>
      </c>
      <c r="C74" s="138"/>
      <c r="D74" s="133">
        <v>3</v>
      </c>
      <c r="E74" s="138"/>
      <c r="F74" s="133"/>
      <c r="G74" s="138"/>
      <c r="H74" s="133"/>
      <c r="I74" s="127"/>
      <c r="J74" s="133"/>
      <c r="K74" s="138"/>
      <c r="L74" s="133"/>
      <c r="M74" s="127"/>
      <c r="N74" s="128">
        <v>5</v>
      </c>
      <c r="O74" s="88" t="s">
        <v>54</v>
      </c>
    </row>
    <row r="75" spans="1:28">
      <c r="A75" s="87"/>
      <c r="B75" s="141"/>
      <c r="C75" s="132"/>
      <c r="D75" s="134"/>
      <c r="E75" s="132"/>
      <c r="F75" s="134"/>
      <c r="G75" s="132"/>
      <c r="H75" s="134"/>
      <c r="I75" s="125"/>
      <c r="J75" s="134"/>
      <c r="K75" s="132"/>
      <c r="L75" s="134"/>
      <c r="M75" s="125"/>
      <c r="N75" s="126"/>
      <c r="O75" s="88"/>
      <c r="S75" s="102" t="s">
        <v>133</v>
      </c>
      <c r="T75" s="103"/>
      <c r="U75" s="104"/>
      <c r="V75" s="111"/>
      <c r="W75" s="111"/>
      <c r="X75" s="111"/>
      <c r="Y75" s="111"/>
      <c r="Z75" s="111"/>
      <c r="AA75" s="111"/>
      <c r="AB75" s="22"/>
    </row>
    <row r="76" spans="1:28">
      <c r="A76" s="87"/>
      <c r="B76" s="141"/>
      <c r="C76" s="132"/>
      <c r="D76" s="134"/>
      <c r="E76" s="132"/>
      <c r="F76" s="134"/>
      <c r="G76" s="132"/>
      <c r="H76" s="134"/>
      <c r="I76" s="125"/>
      <c r="J76" s="134"/>
      <c r="K76" s="132"/>
      <c r="L76" s="134"/>
      <c r="M76" s="125"/>
      <c r="N76" s="126"/>
      <c r="O76" s="88"/>
      <c r="S76" s="14" t="s">
        <v>134</v>
      </c>
      <c r="T76" s="6" t="s">
        <v>135</v>
      </c>
      <c r="U76" s="6" t="s">
        <v>136</v>
      </c>
      <c r="V76" s="102" t="s">
        <v>137</v>
      </c>
      <c r="W76" s="103"/>
      <c r="X76" s="103"/>
      <c r="Y76" s="103"/>
      <c r="Z76" s="103"/>
      <c r="AA76" s="103"/>
      <c r="AB76" s="25" t="s">
        <v>138</v>
      </c>
    </row>
    <row r="77" spans="1:28">
      <c r="A77" s="87"/>
      <c r="B77" s="141"/>
      <c r="C77" s="132"/>
      <c r="D77" s="134"/>
      <c r="E77" s="132"/>
      <c r="F77" s="134"/>
      <c r="G77" s="132"/>
      <c r="H77" s="134"/>
      <c r="I77" s="125"/>
      <c r="J77" s="134"/>
      <c r="K77" s="132"/>
      <c r="L77" s="134"/>
      <c r="M77" s="125"/>
      <c r="N77" s="126"/>
      <c r="O77" s="88"/>
      <c r="R77" s="99" t="s">
        <v>140</v>
      </c>
      <c r="U77" s="10"/>
      <c r="V77" s="107" t="s">
        <v>141</v>
      </c>
      <c r="W77" s="107"/>
      <c r="X77" s="107"/>
      <c r="Y77" s="107"/>
      <c r="Z77" s="107"/>
      <c r="AA77" s="108"/>
    </row>
    <row r="78" spans="1:28">
      <c r="A78" s="87"/>
      <c r="B78" s="141"/>
      <c r="C78" s="132"/>
      <c r="D78" s="134"/>
      <c r="E78" s="132"/>
      <c r="F78" s="134"/>
      <c r="G78" s="132"/>
      <c r="H78" s="134"/>
      <c r="I78" s="125"/>
      <c r="J78" s="134"/>
      <c r="K78" s="132"/>
      <c r="L78" s="134"/>
      <c r="M78" s="125"/>
      <c r="N78" s="126"/>
      <c r="O78" s="88"/>
      <c r="R78" s="100"/>
      <c r="U78" s="10"/>
      <c r="V78" s="107" t="s">
        <v>142</v>
      </c>
      <c r="W78" s="107"/>
      <c r="X78" s="107"/>
      <c r="Y78" s="107"/>
      <c r="Z78" s="107"/>
      <c r="AA78" s="108"/>
    </row>
    <row r="79" spans="1:28">
      <c r="A79" s="87"/>
      <c r="B79" s="141"/>
      <c r="C79" s="132"/>
      <c r="D79" s="134"/>
      <c r="E79" s="132"/>
      <c r="F79" s="134"/>
      <c r="G79" s="132"/>
      <c r="H79" s="134"/>
      <c r="I79" s="125"/>
      <c r="J79" s="134"/>
      <c r="K79" s="132"/>
      <c r="L79" s="134"/>
      <c r="M79" s="125"/>
      <c r="N79" s="126"/>
      <c r="O79" s="88"/>
      <c r="R79" s="100"/>
      <c r="T79" s="19"/>
      <c r="U79" s="26"/>
      <c r="V79" s="107" t="s">
        <v>143</v>
      </c>
      <c r="W79" s="107"/>
      <c r="X79" s="107"/>
      <c r="Y79" s="107"/>
      <c r="Z79" s="107"/>
      <c r="AA79" s="108"/>
      <c r="AB79" s="13" t="s">
        <v>144</v>
      </c>
    </row>
    <row r="80" spans="1:28">
      <c r="A80" s="87"/>
      <c r="B80" s="141"/>
      <c r="C80" s="132"/>
      <c r="D80" s="134"/>
      <c r="E80" s="132"/>
      <c r="F80" s="134"/>
      <c r="G80" s="132"/>
      <c r="H80" s="134"/>
      <c r="I80" s="125"/>
      <c r="J80" s="134"/>
      <c r="K80" s="132"/>
      <c r="L80" s="134"/>
      <c r="M80" s="125"/>
      <c r="N80" s="126"/>
      <c r="O80" s="88"/>
      <c r="R80" s="100"/>
      <c r="S80" s="20"/>
      <c r="T80" s="21"/>
      <c r="U80" s="10"/>
      <c r="V80" s="107" t="s">
        <v>145</v>
      </c>
      <c r="W80" s="107"/>
      <c r="X80" s="107"/>
      <c r="Y80" s="107"/>
      <c r="Z80" s="107"/>
      <c r="AA80" s="108"/>
      <c r="AB80" s="23" t="s">
        <v>146</v>
      </c>
    </row>
    <row r="81" spans="1:28">
      <c r="A81" s="87"/>
      <c r="B81" s="141"/>
      <c r="C81" s="132"/>
      <c r="D81" s="134"/>
      <c r="E81" s="132"/>
      <c r="F81" s="134"/>
      <c r="G81" s="132"/>
      <c r="H81" s="134"/>
      <c r="I81" s="125"/>
      <c r="J81" s="134"/>
      <c r="K81" s="132"/>
      <c r="L81" s="134"/>
      <c r="M81" s="125"/>
      <c r="N81" s="126"/>
      <c r="O81" s="88"/>
      <c r="R81" s="100"/>
      <c r="U81" s="26"/>
      <c r="V81" s="107" t="s">
        <v>147</v>
      </c>
      <c r="W81" s="107"/>
      <c r="X81" s="107"/>
      <c r="Y81" s="107"/>
      <c r="Z81" s="107"/>
      <c r="AA81" s="108"/>
      <c r="AB81" s="23" t="s">
        <v>79</v>
      </c>
    </row>
    <row r="82" spans="1:28">
      <c r="A82" s="87"/>
      <c r="B82" s="141"/>
      <c r="C82" s="132"/>
      <c r="D82" s="134"/>
      <c r="E82" s="132"/>
      <c r="F82" s="134"/>
      <c r="G82" s="132"/>
      <c r="H82" s="134"/>
      <c r="I82" s="125"/>
      <c r="J82" s="134"/>
      <c r="K82" s="132"/>
      <c r="L82" s="134"/>
      <c r="M82" s="125"/>
      <c r="N82" s="126"/>
      <c r="O82" s="88"/>
      <c r="R82" s="100"/>
      <c r="S82" s="20"/>
      <c r="T82" s="20"/>
      <c r="U82" s="10"/>
      <c r="V82" s="107" t="s">
        <v>148</v>
      </c>
      <c r="W82" s="107"/>
      <c r="X82" s="107"/>
      <c r="Y82" s="107"/>
      <c r="Z82" s="107"/>
      <c r="AA82" s="108"/>
      <c r="AB82" s="23" t="s">
        <v>149</v>
      </c>
    </row>
    <row r="83" spans="1:28">
      <c r="A83" s="87"/>
      <c r="B83" s="123"/>
      <c r="C83" s="132"/>
      <c r="D83" s="134"/>
      <c r="E83" s="132"/>
      <c r="F83" s="134"/>
      <c r="G83" s="132"/>
      <c r="H83" s="134"/>
      <c r="I83" s="125"/>
      <c r="J83" s="134"/>
      <c r="K83" s="132"/>
      <c r="L83" s="134"/>
      <c r="M83" s="125"/>
      <c r="N83" s="126"/>
      <c r="O83" s="120"/>
      <c r="R83" s="101"/>
      <c r="S83" s="27"/>
      <c r="T83" s="27"/>
      <c r="U83" s="28"/>
      <c r="V83" s="105" t="s">
        <v>150</v>
      </c>
      <c r="W83" s="105"/>
      <c r="X83" s="105"/>
      <c r="Y83" s="105"/>
      <c r="Z83" s="105"/>
      <c r="AA83" s="106"/>
      <c r="AB83" s="24" t="s">
        <v>98</v>
      </c>
    </row>
    <row r="84" spans="1:28">
      <c r="A84" s="87">
        <v>9</v>
      </c>
      <c r="B84" s="120" t="s">
        <v>59</v>
      </c>
      <c r="C84" s="142"/>
      <c r="D84" s="133">
        <v>10</v>
      </c>
      <c r="E84" s="142"/>
      <c r="F84" s="133"/>
      <c r="G84" s="138"/>
      <c r="H84" s="133"/>
      <c r="I84" s="127"/>
      <c r="J84" s="133"/>
      <c r="K84" s="138"/>
      <c r="L84" s="133"/>
      <c r="M84" s="127"/>
      <c r="N84" s="128">
        <v>12</v>
      </c>
      <c r="O84" s="88" t="s">
        <v>59</v>
      </c>
      <c r="V84" t="s">
        <v>151</v>
      </c>
      <c r="W84" s="15">
        <v>5</v>
      </c>
    </row>
    <row r="85" spans="1:28">
      <c r="A85" s="87"/>
      <c r="B85" s="141"/>
      <c r="C85" s="143"/>
      <c r="D85" s="134"/>
      <c r="E85" s="143"/>
      <c r="F85" s="134"/>
      <c r="G85" s="132"/>
      <c r="H85" s="134"/>
      <c r="I85" s="125"/>
      <c r="J85" s="134"/>
      <c r="K85" s="132"/>
      <c r="L85" s="134"/>
      <c r="M85" s="125"/>
      <c r="N85" s="126"/>
      <c r="O85" s="88"/>
      <c r="V85" t="s">
        <v>152</v>
      </c>
      <c r="W85" s="15">
        <v>4</v>
      </c>
    </row>
    <row r="86" spans="1:28">
      <c r="A86" s="87"/>
      <c r="B86" s="141"/>
      <c r="C86" s="143"/>
      <c r="D86" s="134"/>
      <c r="E86" s="143"/>
      <c r="F86" s="134"/>
      <c r="G86" s="132"/>
      <c r="H86" s="134"/>
      <c r="I86" s="125"/>
      <c r="J86" s="134"/>
      <c r="K86" s="132"/>
      <c r="L86" s="134"/>
      <c r="M86" s="125"/>
      <c r="N86" s="126"/>
      <c r="O86" s="88"/>
      <c r="V86" t="s">
        <v>153</v>
      </c>
      <c r="W86" s="15">
        <v>3</v>
      </c>
    </row>
    <row r="87" spans="1:28">
      <c r="A87" s="87"/>
      <c r="B87" s="141"/>
      <c r="C87" s="143"/>
      <c r="D87" s="134"/>
      <c r="E87" s="143"/>
      <c r="F87" s="134"/>
      <c r="G87" s="132"/>
      <c r="H87" s="134"/>
      <c r="I87" s="125"/>
      <c r="J87" s="134"/>
      <c r="K87" s="132"/>
      <c r="L87" s="134"/>
      <c r="M87" s="125"/>
      <c r="N87" s="126"/>
      <c r="O87" s="88"/>
      <c r="V87" t="s">
        <v>154</v>
      </c>
      <c r="W87" s="15">
        <v>1</v>
      </c>
    </row>
    <row r="88" spans="1:28">
      <c r="A88" s="87"/>
      <c r="B88" s="141"/>
      <c r="C88" s="143"/>
      <c r="D88" s="134"/>
      <c r="E88" s="143"/>
      <c r="F88" s="134"/>
      <c r="G88" s="132"/>
      <c r="H88" s="134"/>
      <c r="I88" s="125"/>
      <c r="J88" s="134"/>
      <c r="K88" s="132"/>
      <c r="L88" s="134"/>
      <c r="M88" s="125"/>
      <c r="N88" s="126"/>
      <c r="O88" s="88"/>
    </row>
    <row r="89" spans="1:28">
      <c r="A89" s="87"/>
      <c r="B89" s="141"/>
      <c r="C89" s="143"/>
      <c r="D89" s="134"/>
      <c r="E89" s="143"/>
      <c r="F89" s="134"/>
      <c r="G89" s="132"/>
      <c r="H89" s="134"/>
      <c r="I89" s="125"/>
      <c r="J89" s="134"/>
      <c r="K89" s="132"/>
      <c r="L89" s="134"/>
      <c r="M89" s="125"/>
      <c r="N89" s="126"/>
      <c r="O89" s="88"/>
    </row>
    <row r="90" spans="1:28">
      <c r="A90" s="87"/>
      <c r="B90" s="141"/>
      <c r="C90" s="143"/>
      <c r="D90" s="134"/>
      <c r="E90" s="143"/>
      <c r="F90" s="134"/>
      <c r="G90" s="132"/>
      <c r="H90" s="134"/>
      <c r="I90" s="125"/>
      <c r="J90" s="134"/>
      <c r="K90" s="132"/>
      <c r="L90" s="134"/>
      <c r="M90" s="125"/>
      <c r="N90" s="126"/>
      <c r="O90" s="88"/>
    </row>
    <row r="91" spans="1:28">
      <c r="A91" s="87"/>
      <c r="B91" s="141"/>
      <c r="C91" s="143"/>
      <c r="D91" s="134"/>
      <c r="E91" s="143"/>
      <c r="F91" s="134"/>
      <c r="G91" s="132"/>
      <c r="H91" s="134"/>
      <c r="I91" s="125"/>
      <c r="J91" s="134"/>
      <c r="K91" s="132"/>
      <c r="L91" s="134"/>
      <c r="M91" s="125"/>
      <c r="N91" s="126"/>
      <c r="O91" s="88"/>
      <c r="V91" t="s">
        <v>167</v>
      </c>
    </row>
    <row r="92" spans="1:28">
      <c r="A92" s="87"/>
      <c r="B92" s="141"/>
      <c r="C92" s="143"/>
      <c r="D92" s="134"/>
      <c r="E92" s="143"/>
      <c r="F92" s="134"/>
      <c r="G92" s="132"/>
      <c r="H92" s="134"/>
      <c r="I92" s="125"/>
      <c r="J92" s="134"/>
      <c r="K92" s="132"/>
      <c r="L92" s="134"/>
      <c r="M92" s="125"/>
      <c r="N92" s="126"/>
      <c r="O92" s="88"/>
    </row>
    <row r="93" spans="1:28">
      <c r="A93" s="87"/>
      <c r="B93" s="123"/>
      <c r="C93" s="144"/>
      <c r="D93" s="134"/>
      <c r="E93" s="144"/>
      <c r="F93" s="134"/>
      <c r="G93" s="132"/>
      <c r="H93" s="134"/>
      <c r="I93" s="125"/>
      <c r="J93" s="134"/>
      <c r="K93" s="132"/>
      <c r="L93" s="134"/>
      <c r="M93" s="125"/>
      <c r="N93" s="137"/>
      <c r="O93" s="88"/>
    </row>
    <row r="94" spans="1:28" ht="15" customHeight="1">
      <c r="A94" s="87">
        <v>10</v>
      </c>
      <c r="B94" s="120" t="s">
        <v>64</v>
      </c>
      <c r="C94" s="132"/>
      <c r="D94" s="133">
        <v>5</v>
      </c>
      <c r="E94" s="132"/>
      <c r="F94" s="133"/>
      <c r="G94" s="138"/>
      <c r="H94" s="133"/>
      <c r="I94" s="127"/>
      <c r="J94" s="133"/>
      <c r="K94" s="138"/>
      <c r="L94" s="133"/>
      <c r="M94" s="127"/>
      <c r="N94" s="126">
        <v>1</v>
      </c>
      <c r="O94" s="123" t="s">
        <v>64</v>
      </c>
    </row>
    <row r="95" spans="1:28">
      <c r="A95" s="87"/>
      <c r="B95" s="141"/>
      <c r="C95" s="132"/>
      <c r="D95" s="134"/>
      <c r="E95" s="132"/>
      <c r="F95" s="134"/>
      <c r="G95" s="132"/>
      <c r="H95" s="134"/>
      <c r="I95" s="125"/>
      <c r="J95" s="134"/>
      <c r="K95" s="132"/>
      <c r="L95" s="134"/>
      <c r="M95" s="125"/>
      <c r="N95" s="126"/>
      <c r="O95" s="88"/>
    </row>
    <row r="96" spans="1:28">
      <c r="A96" s="87"/>
      <c r="B96" s="141"/>
      <c r="C96" s="132"/>
      <c r="D96" s="134"/>
      <c r="E96" s="132"/>
      <c r="F96" s="134"/>
      <c r="G96" s="132"/>
      <c r="H96" s="134"/>
      <c r="I96" s="125"/>
      <c r="J96" s="134"/>
      <c r="K96" s="132"/>
      <c r="L96" s="134"/>
      <c r="M96" s="125"/>
      <c r="N96" s="126"/>
      <c r="O96" s="88"/>
    </row>
    <row r="97" spans="1:15">
      <c r="A97" s="87"/>
      <c r="B97" s="141"/>
      <c r="C97" s="132"/>
      <c r="D97" s="134"/>
      <c r="E97" s="132"/>
      <c r="F97" s="134"/>
      <c r="G97" s="132"/>
      <c r="H97" s="134"/>
      <c r="I97" s="125"/>
      <c r="J97" s="134"/>
      <c r="K97" s="132"/>
      <c r="L97" s="134"/>
      <c r="M97" s="125"/>
      <c r="N97" s="126"/>
      <c r="O97" s="88"/>
    </row>
    <row r="98" spans="1:15">
      <c r="A98" s="87"/>
      <c r="B98" s="141"/>
      <c r="C98" s="132"/>
      <c r="D98" s="134"/>
      <c r="E98" s="132"/>
      <c r="F98" s="134"/>
      <c r="G98" s="132"/>
      <c r="H98" s="134"/>
      <c r="I98" s="125"/>
      <c r="J98" s="134"/>
      <c r="K98" s="132"/>
      <c r="L98" s="134"/>
      <c r="M98" s="125"/>
      <c r="N98" s="126"/>
      <c r="O98" s="88"/>
    </row>
    <row r="99" spans="1:15">
      <c r="A99" s="87"/>
      <c r="B99" s="141"/>
      <c r="C99" s="132"/>
      <c r="D99" s="134"/>
      <c r="E99" s="132"/>
      <c r="F99" s="134"/>
      <c r="G99" s="132"/>
      <c r="H99" s="134"/>
      <c r="I99" s="125"/>
      <c r="J99" s="134"/>
      <c r="K99" s="132"/>
      <c r="L99" s="134"/>
      <c r="M99" s="125"/>
      <c r="N99" s="126"/>
      <c r="O99" s="88"/>
    </row>
    <row r="100" spans="1:15">
      <c r="A100" s="87"/>
      <c r="B100" s="141"/>
      <c r="C100" s="132"/>
      <c r="D100" s="134"/>
      <c r="E100" s="132"/>
      <c r="F100" s="134"/>
      <c r="G100" s="132"/>
      <c r="H100" s="134"/>
      <c r="I100" s="125"/>
      <c r="J100" s="134"/>
      <c r="K100" s="132"/>
      <c r="L100" s="134"/>
      <c r="M100" s="125"/>
      <c r="N100" s="126"/>
      <c r="O100" s="88"/>
    </row>
    <row r="101" spans="1:15">
      <c r="A101" s="87"/>
      <c r="B101" s="141"/>
      <c r="C101" s="132"/>
      <c r="D101" s="134"/>
      <c r="E101" s="132"/>
      <c r="F101" s="134"/>
      <c r="G101" s="132"/>
      <c r="H101" s="134"/>
      <c r="I101" s="125"/>
      <c r="J101" s="134"/>
      <c r="K101" s="132"/>
      <c r="L101" s="134"/>
      <c r="M101" s="125"/>
      <c r="N101" s="126"/>
      <c r="O101" s="88"/>
    </row>
    <row r="102" spans="1:15">
      <c r="A102" s="87"/>
      <c r="B102" s="141"/>
      <c r="C102" s="132"/>
      <c r="D102" s="134"/>
      <c r="E102" s="132"/>
      <c r="F102" s="134"/>
      <c r="G102" s="132"/>
      <c r="H102" s="134"/>
      <c r="I102" s="125"/>
      <c r="J102" s="134"/>
      <c r="K102" s="132"/>
      <c r="L102" s="134"/>
      <c r="M102" s="125"/>
      <c r="N102" s="126"/>
      <c r="O102" s="88"/>
    </row>
    <row r="103" spans="1:15">
      <c r="A103" s="87"/>
      <c r="B103" s="123"/>
      <c r="C103" s="132"/>
      <c r="D103" s="140"/>
      <c r="E103" s="132"/>
      <c r="F103" s="140"/>
      <c r="G103" s="139"/>
      <c r="H103" s="140"/>
      <c r="I103" s="136"/>
      <c r="J103" s="140"/>
      <c r="K103" s="139"/>
      <c r="L103" s="140"/>
      <c r="M103" s="136"/>
      <c r="N103" s="126"/>
      <c r="O103" s="88"/>
    </row>
    <row r="104" spans="1:15">
      <c r="A104" s="87">
        <v>11</v>
      </c>
      <c r="B104" s="120" t="s">
        <v>69</v>
      </c>
      <c r="C104" s="142"/>
      <c r="D104" s="134">
        <v>11</v>
      </c>
      <c r="E104" s="142"/>
      <c r="F104" s="134"/>
      <c r="G104" s="132"/>
      <c r="H104" s="134"/>
      <c r="I104" s="125"/>
      <c r="J104" s="134"/>
      <c r="K104" s="132"/>
      <c r="L104" s="134"/>
      <c r="M104" s="125"/>
      <c r="N104" s="128">
        <v>13</v>
      </c>
      <c r="O104" s="88" t="s">
        <v>69</v>
      </c>
    </row>
    <row r="105" spans="1:15">
      <c r="A105" s="87"/>
      <c r="B105" s="141"/>
      <c r="C105" s="143"/>
      <c r="D105" s="134"/>
      <c r="E105" s="143"/>
      <c r="F105" s="134"/>
      <c r="G105" s="132"/>
      <c r="H105" s="134"/>
      <c r="I105" s="125"/>
      <c r="J105" s="134"/>
      <c r="K105" s="132"/>
      <c r="L105" s="134"/>
      <c r="M105" s="125"/>
      <c r="N105" s="126"/>
      <c r="O105" s="88"/>
    </row>
    <row r="106" spans="1:15">
      <c r="A106" s="87"/>
      <c r="B106" s="141"/>
      <c r="C106" s="143"/>
      <c r="D106" s="134"/>
      <c r="E106" s="143"/>
      <c r="F106" s="134"/>
      <c r="G106" s="132"/>
      <c r="H106" s="134"/>
      <c r="I106" s="125"/>
      <c r="J106" s="134"/>
      <c r="K106" s="132"/>
      <c r="L106" s="134"/>
      <c r="M106" s="125"/>
      <c r="N106" s="126"/>
      <c r="O106" s="88"/>
    </row>
    <row r="107" spans="1:15">
      <c r="A107" s="87"/>
      <c r="B107" s="141"/>
      <c r="C107" s="143"/>
      <c r="D107" s="134"/>
      <c r="E107" s="143"/>
      <c r="F107" s="134"/>
      <c r="G107" s="132"/>
      <c r="H107" s="134"/>
      <c r="I107" s="125"/>
      <c r="J107" s="134"/>
      <c r="K107" s="132"/>
      <c r="L107" s="134"/>
      <c r="M107" s="125"/>
      <c r="N107" s="126"/>
      <c r="O107" s="88"/>
    </row>
    <row r="108" spans="1:15">
      <c r="A108" s="87"/>
      <c r="B108" s="141"/>
      <c r="C108" s="143"/>
      <c r="D108" s="134"/>
      <c r="E108" s="143"/>
      <c r="F108" s="134"/>
      <c r="G108" s="132"/>
      <c r="H108" s="134"/>
      <c r="I108" s="125"/>
      <c r="J108" s="134"/>
      <c r="K108" s="132"/>
      <c r="L108" s="134"/>
      <c r="M108" s="125"/>
      <c r="N108" s="126"/>
      <c r="O108" s="88"/>
    </row>
    <row r="109" spans="1:15">
      <c r="A109" s="87"/>
      <c r="B109" s="141"/>
      <c r="C109" s="143"/>
      <c r="D109" s="134"/>
      <c r="E109" s="143"/>
      <c r="F109" s="134"/>
      <c r="G109" s="132"/>
      <c r="H109" s="134"/>
      <c r="I109" s="125"/>
      <c r="J109" s="134"/>
      <c r="K109" s="132"/>
      <c r="L109" s="134"/>
      <c r="M109" s="125"/>
      <c r="N109" s="126"/>
      <c r="O109" s="88"/>
    </row>
    <row r="110" spans="1:15">
      <c r="A110" s="87"/>
      <c r="B110" s="141"/>
      <c r="C110" s="143"/>
      <c r="D110" s="134"/>
      <c r="E110" s="143"/>
      <c r="F110" s="134"/>
      <c r="G110" s="132"/>
      <c r="H110" s="134"/>
      <c r="I110" s="125"/>
      <c r="J110" s="134"/>
      <c r="K110" s="132"/>
      <c r="L110" s="134"/>
      <c r="M110" s="125"/>
      <c r="N110" s="126"/>
      <c r="O110" s="88"/>
    </row>
    <row r="111" spans="1:15">
      <c r="A111" s="87"/>
      <c r="B111" s="141"/>
      <c r="C111" s="143"/>
      <c r="D111" s="134"/>
      <c r="E111" s="143"/>
      <c r="F111" s="134"/>
      <c r="G111" s="132"/>
      <c r="H111" s="134"/>
      <c r="I111" s="125"/>
      <c r="J111" s="134"/>
      <c r="K111" s="132"/>
      <c r="L111" s="134"/>
      <c r="M111" s="125"/>
      <c r="N111" s="126"/>
      <c r="O111" s="88"/>
    </row>
    <row r="112" spans="1:15">
      <c r="A112" s="87"/>
      <c r="B112" s="123"/>
      <c r="C112" s="144"/>
      <c r="D112" s="140"/>
      <c r="E112" s="144"/>
      <c r="F112" s="140"/>
      <c r="G112" s="139"/>
      <c r="H112" s="140"/>
      <c r="I112" s="136"/>
      <c r="J112" s="140"/>
      <c r="K112" s="139"/>
      <c r="L112" s="140"/>
      <c r="M112" s="136"/>
      <c r="N112" s="137"/>
      <c r="O112" s="88"/>
    </row>
    <row r="113" spans="1:15">
      <c r="A113" s="87">
        <v>12</v>
      </c>
      <c r="B113" s="120" t="s">
        <v>74</v>
      </c>
      <c r="C113" s="143"/>
      <c r="D113" s="134">
        <v>12</v>
      </c>
      <c r="E113" s="143"/>
      <c r="F113" s="134"/>
      <c r="G113" s="132"/>
      <c r="H113" s="134"/>
      <c r="I113" s="125"/>
      <c r="J113" s="134"/>
      <c r="K113" s="132"/>
      <c r="L113" s="134"/>
      <c r="M113" s="125"/>
      <c r="N113" s="126">
        <v>10</v>
      </c>
      <c r="O113" s="88" t="s">
        <v>74</v>
      </c>
    </row>
    <row r="114" spans="1:15">
      <c r="A114" s="87"/>
      <c r="B114" s="141"/>
      <c r="C114" s="143"/>
      <c r="D114" s="134"/>
      <c r="E114" s="143"/>
      <c r="F114" s="134"/>
      <c r="G114" s="132"/>
      <c r="H114" s="134"/>
      <c r="I114" s="125"/>
      <c r="J114" s="134"/>
      <c r="K114" s="132"/>
      <c r="L114" s="134"/>
      <c r="M114" s="125"/>
      <c r="N114" s="126"/>
      <c r="O114" s="88"/>
    </row>
    <row r="115" spans="1:15">
      <c r="A115" s="87"/>
      <c r="B115" s="141"/>
      <c r="C115" s="143"/>
      <c r="D115" s="134"/>
      <c r="E115" s="143"/>
      <c r="F115" s="134"/>
      <c r="G115" s="132"/>
      <c r="H115" s="134"/>
      <c r="I115" s="125"/>
      <c r="J115" s="134"/>
      <c r="K115" s="132"/>
      <c r="L115" s="134"/>
      <c r="M115" s="125"/>
      <c r="N115" s="126"/>
      <c r="O115" s="88"/>
    </row>
    <row r="116" spans="1:15">
      <c r="A116" s="87"/>
      <c r="B116" s="141"/>
      <c r="C116" s="143"/>
      <c r="D116" s="134"/>
      <c r="E116" s="143"/>
      <c r="F116" s="134"/>
      <c r="G116" s="132"/>
      <c r="H116" s="134"/>
      <c r="I116" s="125"/>
      <c r="J116" s="134"/>
      <c r="K116" s="132"/>
      <c r="L116" s="134"/>
      <c r="M116" s="125"/>
      <c r="N116" s="126"/>
      <c r="O116" s="88"/>
    </row>
    <row r="117" spans="1:15">
      <c r="A117" s="87"/>
      <c r="B117" s="141"/>
      <c r="C117" s="143"/>
      <c r="D117" s="134"/>
      <c r="E117" s="143"/>
      <c r="F117" s="134"/>
      <c r="G117" s="132"/>
      <c r="H117" s="134"/>
      <c r="I117" s="125"/>
      <c r="J117" s="134"/>
      <c r="K117" s="132"/>
      <c r="L117" s="134"/>
      <c r="M117" s="125"/>
      <c r="N117" s="126"/>
      <c r="O117" s="88"/>
    </row>
    <row r="118" spans="1:15">
      <c r="A118" s="87"/>
      <c r="B118" s="141"/>
      <c r="C118" s="143"/>
      <c r="D118" s="134"/>
      <c r="E118" s="143"/>
      <c r="F118" s="134"/>
      <c r="G118" s="132"/>
      <c r="H118" s="134"/>
      <c r="I118" s="125"/>
      <c r="J118" s="134"/>
      <c r="K118" s="132"/>
      <c r="L118" s="134"/>
      <c r="M118" s="125"/>
      <c r="N118" s="126"/>
      <c r="O118" s="88"/>
    </row>
    <row r="119" spans="1:15">
      <c r="A119" s="87"/>
      <c r="B119" s="141"/>
      <c r="C119" s="143"/>
      <c r="D119" s="134"/>
      <c r="E119" s="143"/>
      <c r="F119" s="134"/>
      <c r="G119" s="132"/>
      <c r="H119" s="134"/>
      <c r="I119" s="125"/>
      <c r="J119" s="134"/>
      <c r="K119" s="132"/>
      <c r="L119" s="134"/>
      <c r="M119" s="125"/>
      <c r="N119" s="126"/>
      <c r="O119" s="88"/>
    </row>
    <row r="120" spans="1:15">
      <c r="A120" s="87"/>
      <c r="B120" s="141"/>
      <c r="C120" s="143"/>
      <c r="D120" s="134"/>
      <c r="E120" s="143"/>
      <c r="F120" s="134"/>
      <c r="G120" s="132"/>
      <c r="H120" s="134"/>
      <c r="I120" s="125"/>
      <c r="J120" s="134"/>
      <c r="K120" s="132"/>
      <c r="L120" s="134"/>
      <c r="M120" s="125"/>
      <c r="N120" s="126"/>
      <c r="O120" s="88"/>
    </row>
    <row r="121" spans="1:15">
      <c r="A121" s="87"/>
      <c r="B121" s="141"/>
      <c r="C121" s="143"/>
      <c r="D121" s="134"/>
      <c r="E121" s="143"/>
      <c r="F121" s="134"/>
      <c r="G121" s="132"/>
      <c r="H121" s="134"/>
      <c r="I121" s="125"/>
      <c r="J121" s="134"/>
      <c r="K121" s="132"/>
      <c r="L121" s="134"/>
      <c r="M121" s="125"/>
      <c r="N121" s="126"/>
      <c r="O121" s="88"/>
    </row>
    <row r="122" spans="1:15">
      <c r="A122" s="87"/>
      <c r="B122" s="123"/>
      <c r="C122" s="144"/>
      <c r="D122" s="140"/>
      <c r="E122" s="144"/>
      <c r="F122" s="140"/>
      <c r="G122" s="139"/>
      <c r="H122" s="140"/>
      <c r="I122" s="136"/>
      <c r="J122" s="140"/>
      <c r="K122" s="139"/>
      <c r="L122" s="140"/>
      <c r="M122" s="136"/>
      <c r="N122" s="137"/>
      <c r="O122" s="88"/>
    </row>
    <row r="123" spans="1:15">
      <c r="A123" s="87">
        <v>13</v>
      </c>
      <c r="B123" s="120" t="s">
        <v>75</v>
      </c>
      <c r="C123" s="143"/>
      <c r="D123" s="134">
        <v>4</v>
      </c>
      <c r="E123" s="143"/>
      <c r="F123" s="134"/>
      <c r="G123" s="132"/>
      <c r="H123" s="134"/>
      <c r="I123" s="125"/>
      <c r="J123" s="134"/>
      <c r="K123" s="132"/>
      <c r="L123" s="134"/>
      <c r="M123" s="125"/>
      <c r="N123" s="126">
        <v>6</v>
      </c>
      <c r="O123" s="88" t="s">
        <v>75</v>
      </c>
    </row>
    <row r="124" spans="1:15">
      <c r="A124" s="87"/>
      <c r="B124" s="141"/>
      <c r="C124" s="143"/>
      <c r="D124" s="134"/>
      <c r="E124" s="143"/>
      <c r="F124" s="134"/>
      <c r="G124" s="132"/>
      <c r="H124" s="134"/>
      <c r="I124" s="125"/>
      <c r="J124" s="134"/>
      <c r="K124" s="132"/>
      <c r="L124" s="134"/>
      <c r="M124" s="125"/>
      <c r="N124" s="126"/>
      <c r="O124" s="88"/>
    </row>
    <row r="125" spans="1:15">
      <c r="A125" s="87"/>
      <c r="B125" s="141"/>
      <c r="C125" s="143"/>
      <c r="D125" s="134"/>
      <c r="E125" s="143"/>
      <c r="F125" s="134"/>
      <c r="G125" s="132"/>
      <c r="H125" s="134"/>
      <c r="I125" s="125"/>
      <c r="J125" s="134"/>
      <c r="K125" s="132"/>
      <c r="L125" s="134"/>
      <c r="M125" s="125"/>
      <c r="N125" s="126"/>
      <c r="O125" s="88"/>
    </row>
    <row r="126" spans="1:15">
      <c r="A126" s="87"/>
      <c r="B126" s="141"/>
      <c r="C126" s="143"/>
      <c r="D126" s="134"/>
      <c r="E126" s="143"/>
      <c r="F126" s="134"/>
      <c r="G126" s="132"/>
      <c r="H126" s="134"/>
      <c r="I126" s="125"/>
      <c r="J126" s="134"/>
      <c r="K126" s="132"/>
      <c r="L126" s="134"/>
      <c r="M126" s="125"/>
      <c r="N126" s="126"/>
      <c r="O126" s="88"/>
    </row>
    <row r="127" spans="1:15">
      <c r="A127" s="87"/>
      <c r="B127" s="141"/>
      <c r="C127" s="143"/>
      <c r="D127" s="134"/>
      <c r="E127" s="143"/>
      <c r="F127" s="134"/>
      <c r="G127" s="132"/>
      <c r="H127" s="134"/>
      <c r="I127" s="125"/>
      <c r="J127" s="134"/>
      <c r="K127" s="132"/>
      <c r="L127" s="134"/>
      <c r="M127" s="125"/>
      <c r="N127" s="126"/>
      <c r="O127" s="88"/>
    </row>
    <row r="128" spans="1:15">
      <c r="A128" s="87"/>
      <c r="B128" s="141"/>
      <c r="C128" s="143"/>
      <c r="D128" s="134"/>
      <c r="E128" s="143"/>
      <c r="F128" s="134"/>
      <c r="G128" s="132"/>
      <c r="H128" s="134"/>
      <c r="I128" s="125"/>
      <c r="J128" s="134"/>
      <c r="K128" s="132"/>
      <c r="L128" s="134"/>
      <c r="M128" s="125"/>
      <c r="N128" s="126"/>
      <c r="O128" s="88"/>
    </row>
    <row r="129" spans="1:15">
      <c r="A129" s="87"/>
      <c r="B129" s="141"/>
      <c r="C129" s="143"/>
      <c r="D129" s="134"/>
      <c r="E129" s="143"/>
      <c r="F129" s="134"/>
      <c r="G129" s="132"/>
      <c r="H129" s="134"/>
      <c r="I129" s="125"/>
      <c r="J129" s="134"/>
      <c r="K129" s="132"/>
      <c r="L129" s="134"/>
      <c r="M129" s="125"/>
      <c r="N129" s="126"/>
      <c r="O129" s="88"/>
    </row>
    <row r="130" spans="1:15">
      <c r="A130" s="87"/>
      <c r="B130" s="141"/>
      <c r="C130" s="143"/>
      <c r="D130" s="134"/>
      <c r="E130" s="143"/>
      <c r="F130" s="134"/>
      <c r="G130" s="132"/>
      <c r="H130" s="134"/>
      <c r="I130" s="125"/>
      <c r="J130" s="134"/>
      <c r="K130" s="132"/>
      <c r="L130" s="134"/>
      <c r="M130" s="125"/>
      <c r="N130" s="126"/>
      <c r="O130" s="88"/>
    </row>
    <row r="131" spans="1:15">
      <c r="A131" s="87"/>
      <c r="B131" s="141"/>
      <c r="C131" s="143"/>
      <c r="D131" s="134"/>
      <c r="E131" s="143"/>
      <c r="F131" s="134"/>
      <c r="G131" s="132"/>
      <c r="H131" s="134"/>
      <c r="I131" s="125"/>
      <c r="J131" s="134"/>
      <c r="K131" s="132"/>
      <c r="L131" s="134"/>
      <c r="M131" s="125"/>
      <c r="N131" s="126"/>
      <c r="O131" s="88"/>
    </row>
    <row r="132" spans="1:15">
      <c r="A132" s="87"/>
      <c r="B132" s="123"/>
      <c r="C132" s="144"/>
      <c r="D132" s="140"/>
      <c r="E132" s="144"/>
      <c r="F132" s="140"/>
      <c r="G132" s="139"/>
      <c r="H132" s="140"/>
      <c r="I132" s="136"/>
      <c r="J132" s="140"/>
      <c r="K132" s="139"/>
      <c r="L132" s="140"/>
      <c r="M132" s="136"/>
      <c r="N132" s="137"/>
      <c r="O132" s="88"/>
    </row>
  </sheetData>
  <mergeCells count="257">
    <mergeCell ref="J123:J132"/>
    <mergeCell ref="K123:K132"/>
    <mergeCell ref="L123:L132"/>
    <mergeCell ref="M123:M132"/>
    <mergeCell ref="N123:N132"/>
    <mergeCell ref="O123:O132"/>
    <mergeCell ref="O113:O122"/>
    <mergeCell ref="A123:A132"/>
    <mergeCell ref="B123:B132"/>
    <mergeCell ref="C123:C132"/>
    <mergeCell ref="D123:D132"/>
    <mergeCell ref="E123:E132"/>
    <mergeCell ref="F123:F132"/>
    <mergeCell ref="G123:G132"/>
    <mergeCell ref="H123:H132"/>
    <mergeCell ref="I123:I132"/>
    <mergeCell ref="I113:I122"/>
    <mergeCell ref="J113:J122"/>
    <mergeCell ref="K113:K122"/>
    <mergeCell ref="L113:L122"/>
    <mergeCell ref="M113:M122"/>
    <mergeCell ref="N113:N122"/>
    <mergeCell ref="A113:A122"/>
    <mergeCell ref="B113:B122"/>
    <mergeCell ref="G113:G122"/>
    <mergeCell ref="H113:H122"/>
    <mergeCell ref="C113:C122"/>
    <mergeCell ref="D113:D122"/>
    <mergeCell ref="E113:E122"/>
    <mergeCell ref="H104:H112"/>
    <mergeCell ref="M94:M103"/>
    <mergeCell ref="N94:N103"/>
    <mergeCell ref="F113:F122"/>
    <mergeCell ref="A104:A112"/>
    <mergeCell ref="B104:B112"/>
    <mergeCell ref="C104:C112"/>
    <mergeCell ref="D104:D112"/>
    <mergeCell ref="E104:E112"/>
    <mergeCell ref="F104:F112"/>
    <mergeCell ref="G104:G112"/>
    <mergeCell ref="G94:G103"/>
    <mergeCell ref="H94:H103"/>
    <mergeCell ref="A94:A103"/>
    <mergeCell ref="B94:B103"/>
    <mergeCell ref="C94:C103"/>
    <mergeCell ref="D94:D103"/>
    <mergeCell ref="E94:E103"/>
    <mergeCell ref="F94:F103"/>
    <mergeCell ref="J84:J93"/>
    <mergeCell ref="K84:K93"/>
    <mergeCell ref="L84:L93"/>
    <mergeCell ref="M84:M93"/>
    <mergeCell ref="N84:N93"/>
    <mergeCell ref="O84:O93"/>
    <mergeCell ref="I104:I112"/>
    <mergeCell ref="J104:J112"/>
    <mergeCell ref="K104:K112"/>
    <mergeCell ref="L104:L112"/>
    <mergeCell ref="M104:M112"/>
    <mergeCell ref="O94:O103"/>
    <mergeCell ref="I94:I103"/>
    <mergeCell ref="J94:J103"/>
    <mergeCell ref="K94:K103"/>
    <mergeCell ref="L94:L103"/>
    <mergeCell ref="N104:N112"/>
    <mergeCell ref="O104:O112"/>
    <mergeCell ref="V83:AA83"/>
    <mergeCell ref="A84:A93"/>
    <mergeCell ref="B84:B93"/>
    <mergeCell ref="C84:C93"/>
    <mergeCell ref="D84:D93"/>
    <mergeCell ref="E84:E93"/>
    <mergeCell ref="F84:F93"/>
    <mergeCell ref="G84:G93"/>
    <mergeCell ref="H84:H93"/>
    <mergeCell ref="I84:I93"/>
    <mergeCell ref="J74:J83"/>
    <mergeCell ref="K74:K83"/>
    <mergeCell ref="L74:L83"/>
    <mergeCell ref="M74:M83"/>
    <mergeCell ref="N74:N83"/>
    <mergeCell ref="O74:O83"/>
    <mergeCell ref="S75:U75"/>
    <mergeCell ref="V75:AA75"/>
    <mergeCell ref="V76:AA76"/>
    <mergeCell ref="R77:R83"/>
    <mergeCell ref="V77:AA77"/>
    <mergeCell ref="V78:AA78"/>
    <mergeCell ref="V79:AA79"/>
    <mergeCell ref="V80:AA80"/>
    <mergeCell ref="V81:AA81"/>
    <mergeCell ref="V82:AA82"/>
    <mergeCell ref="V69:AA69"/>
    <mergeCell ref="A74:A83"/>
    <mergeCell ref="B74:B83"/>
    <mergeCell ref="C74:C83"/>
    <mergeCell ref="D74:D83"/>
    <mergeCell ref="E74:E83"/>
    <mergeCell ref="F74:F83"/>
    <mergeCell ref="G74:G83"/>
    <mergeCell ref="H74:H83"/>
    <mergeCell ref="I74:I83"/>
    <mergeCell ref="M63:M73"/>
    <mergeCell ref="N63:N73"/>
    <mergeCell ref="O63:O73"/>
    <mergeCell ref="R63:R69"/>
    <mergeCell ref="V63:AA63"/>
    <mergeCell ref="V64:AA64"/>
    <mergeCell ref="V65:AA65"/>
    <mergeCell ref="V66:AA66"/>
    <mergeCell ref="V67:AA67"/>
    <mergeCell ref="V68:AA68"/>
    <mergeCell ref="G63:G73"/>
    <mergeCell ref="H63:H73"/>
    <mergeCell ref="I63:I73"/>
    <mergeCell ref="J63:J73"/>
    <mergeCell ref="K63:K73"/>
    <mergeCell ref="L63:L73"/>
    <mergeCell ref="A63:A73"/>
    <mergeCell ref="B63:B73"/>
    <mergeCell ref="C63:C73"/>
    <mergeCell ref="D63:D73"/>
    <mergeCell ref="E63:E73"/>
    <mergeCell ref="F63:F73"/>
    <mergeCell ref="I43:I52"/>
    <mergeCell ref="J43:J52"/>
    <mergeCell ref="K43:K52"/>
    <mergeCell ref="L43:L52"/>
    <mergeCell ref="M43:M52"/>
    <mergeCell ref="V55:AA55"/>
    <mergeCell ref="V56:AA56"/>
    <mergeCell ref="V57:AA57"/>
    <mergeCell ref="V58:AA58"/>
    <mergeCell ref="O53:O62"/>
    <mergeCell ref="V59:AA59"/>
    <mergeCell ref="V60:AA61"/>
    <mergeCell ref="S61:U61"/>
    <mergeCell ref="V62:AA62"/>
    <mergeCell ref="I53:I62"/>
    <mergeCell ref="J53:J62"/>
    <mergeCell ref="K53:K62"/>
    <mergeCell ref="L53:L62"/>
    <mergeCell ref="M53:M62"/>
    <mergeCell ref="N53:N62"/>
    <mergeCell ref="A53:A62"/>
    <mergeCell ref="B53:B62"/>
    <mergeCell ref="C53:C62"/>
    <mergeCell ref="D53:D62"/>
    <mergeCell ref="E53:E62"/>
    <mergeCell ref="F53:F62"/>
    <mergeCell ref="G53:G62"/>
    <mergeCell ref="H53:H62"/>
    <mergeCell ref="H43:H52"/>
    <mergeCell ref="M33:M42"/>
    <mergeCell ref="N33:N42"/>
    <mergeCell ref="O33:O42"/>
    <mergeCell ref="A43:A52"/>
    <mergeCell ref="B43:B52"/>
    <mergeCell ref="C43:C52"/>
    <mergeCell ref="D43:D52"/>
    <mergeCell ref="E43:E52"/>
    <mergeCell ref="F43:F52"/>
    <mergeCell ref="G43:G52"/>
    <mergeCell ref="G33:G42"/>
    <mergeCell ref="H33:H42"/>
    <mergeCell ref="I33:I42"/>
    <mergeCell ref="J33:J42"/>
    <mergeCell ref="K33:K42"/>
    <mergeCell ref="L33:L42"/>
    <mergeCell ref="A33:A42"/>
    <mergeCell ref="B33:B42"/>
    <mergeCell ref="C33:C42"/>
    <mergeCell ref="D33:D42"/>
    <mergeCell ref="E33:E42"/>
    <mergeCell ref="F33:F42"/>
    <mergeCell ref="N43:N52"/>
    <mergeCell ref="O43:O52"/>
    <mergeCell ref="J23:J32"/>
    <mergeCell ref="K23:K32"/>
    <mergeCell ref="L23:L32"/>
    <mergeCell ref="M23:M32"/>
    <mergeCell ref="N23:N32"/>
    <mergeCell ref="O23:O32"/>
    <mergeCell ref="AA22:AB42"/>
    <mergeCell ref="A23:A32"/>
    <mergeCell ref="B23:B32"/>
    <mergeCell ref="C23:C32"/>
    <mergeCell ref="D23:D32"/>
    <mergeCell ref="E23:E32"/>
    <mergeCell ref="F23:F32"/>
    <mergeCell ref="G23:G32"/>
    <mergeCell ref="H23:H32"/>
    <mergeCell ref="I23:I32"/>
    <mergeCell ref="P22:P42"/>
    <mergeCell ref="Q22:R42"/>
    <mergeCell ref="S22:T42"/>
    <mergeCell ref="U22:V42"/>
    <mergeCell ref="W22:X42"/>
    <mergeCell ref="Y22:Z42"/>
    <mergeCell ref="J13:J22"/>
    <mergeCell ref="K13:K22"/>
    <mergeCell ref="L13:L22"/>
    <mergeCell ref="M13:M22"/>
    <mergeCell ref="N13:N22"/>
    <mergeCell ref="O13:O22"/>
    <mergeCell ref="O4:O12"/>
    <mergeCell ref="A13:A22"/>
    <mergeCell ref="B13:B22"/>
    <mergeCell ref="C13:C22"/>
    <mergeCell ref="D13:D22"/>
    <mergeCell ref="E13:E22"/>
    <mergeCell ref="F13:F22"/>
    <mergeCell ref="G13:G22"/>
    <mergeCell ref="H13:H22"/>
    <mergeCell ref="I13:I22"/>
    <mergeCell ref="I4:I12"/>
    <mergeCell ref="J4:J12"/>
    <mergeCell ref="K4:K12"/>
    <mergeCell ref="L4:L12"/>
    <mergeCell ref="M4:M12"/>
    <mergeCell ref="N4:N12"/>
    <mergeCell ref="P3:P8"/>
    <mergeCell ref="Q3:R8"/>
    <mergeCell ref="S3:T8"/>
    <mergeCell ref="U3:V8"/>
    <mergeCell ref="W3:X8"/>
    <mergeCell ref="Y3:Z8"/>
    <mergeCell ref="AA3:AB8"/>
    <mergeCell ref="A4:A12"/>
    <mergeCell ref="B4:B12"/>
    <mergeCell ref="C4:C12"/>
    <mergeCell ref="D4:D12"/>
    <mergeCell ref="E4:E12"/>
    <mergeCell ref="F4:F12"/>
    <mergeCell ref="G4:G12"/>
    <mergeCell ref="H4:H12"/>
    <mergeCell ref="Y1:Z1"/>
    <mergeCell ref="AA1:AB1"/>
    <mergeCell ref="A2:B2"/>
    <mergeCell ref="C2:D2"/>
    <mergeCell ref="E2:F2"/>
    <mergeCell ref="G2:H2"/>
    <mergeCell ref="I2:J2"/>
    <mergeCell ref="K2:L2"/>
    <mergeCell ref="M2:N2"/>
    <mergeCell ref="Q2:R2"/>
    <mergeCell ref="A1:B1"/>
    <mergeCell ref="E1:N1"/>
    <mergeCell ref="Q1:R1"/>
    <mergeCell ref="S1:T1"/>
    <mergeCell ref="U1:V1"/>
    <mergeCell ref="W1:X1"/>
    <mergeCell ref="S2:T2"/>
    <mergeCell ref="U2:V2"/>
    <mergeCell ref="W2:X2"/>
    <mergeCell ref="Y2:Z2"/>
    <mergeCell ref="AA2:AB2"/>
  </mergeCells>
  <dataValidations count="1">
    <dataValidation type="list" allowBlank="1" showInputMessage="1" showErrorMessage="1" sqref="F4:F132 H4:H132 J4:J132 L4:L132 N4:N132 D4:D132" xr:uid="{96B8EB8F-8BA8-45EA-AB22-79DD9A6A38C0}">
      <formula1>$A$4:$A$132</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611C7-1895-4912-9C2E-64C4ABFF6B56}">
  <dimension ref="A1:P41"/>
  <sheetViews>
    <sheetView workbookViewId="0">
      <pane ySplit="2" topLeftCell="R21" activePane="bottomLeft" state="frozen"/>
      <selection pane="bottomLeft" activeCell="R21" sqref="R21"/>
    </sheetView>
  </sheetViews>
  <sheetFormatPr defaultRowHeight="15"/>
  <sheetData>
    <row r="1" spans="1:16">
      <c r="A1" s="147"/>
      <c r="B1" s="146" t="s">
        <v>178</v>
      </c>
      <c r="C1" s="146" t="str">
        <f>'Small SD'!AF4</f>
        <v>Stickiness</v>
      </c>
      <c r="D1" s="146"/>
      <c r="E1" s="148" t="str">
        <f>'Small SD'!AG4</f>
        <v xml:space="preserve">TRL </v>
      </c>
      <c r="F1" s="149"/>
      <c r="G1" s="148" t="str">
        <f>'Small SD'!AH4</f>
        <v>E/C</v>
      </c>
      <c r="H1" s="149"/>
      <c r="I1" s="148" t="str">
        <f>'Small SD'!AI4</f>
        <v>Risk</v>
      </c>
      <c r="J1" s="149"/>
      <c r="K1" s="148" t="str">
        <f>'Small SD'!AJ4</f>
        <v>Mp/Mc</v>
      </c>
      <c r="L1" s="149"/>
      <c r="M1" s="148" t="str">
        <f>'Small SD'!AK4</f>
        <v>Suitability</v>
      </c>
      <c r="N1" s="149"/>
    </row>
    <row r="2" spans="1:16">
      <c r="A2" s="147"/>
      <c r="B2" s="146"/>
      <c r="C2" s="146"/>
      <c r="D2" s="146"/>
      <c r="E2" s="150"/>
      <c r="F2" s="151"/>
      <c r="G2" s="150"/>
      <c r="H2" s="151"/>
      <c r="I2" s="150"/>
      <c r="J2" s="151"/>
      <c r="K2" s="150"/>
      <c r="L2" s="151"/>
      <c r="M2" s="150"/>
      <c r="N2" s="151"/>
    </row>
    <row r="3" spans="1:16">
      <c r="A3" s="146" t="s">
        <v>179</v>
      </c>
      <c r="B3" s="47">
        <f>'Small SD'!P9</f>
        <v>1</v>
      </c>
      <c r="C3" s="33" t="str">
        <f>'Small SD'!Q9</f>
        <v>Inflated Method</v>
      </c>
      <c r="D3" s="33"/>
      <c r="E3" s="33" t="str">
        <f>'Small SD'!S9</f>
        <v>Robotic Arms (multiple on one system)</v>
      </c>
      <c r="F3" s="33"/>
      <c r="G3" s="33" t="str">
        <f>'Small SD'!U9</f>
        <v>Solar Sails</v>
      </c>
      <c r="H3" s="33"/>
      <c r="I3" s="54" t="str">
        <f>'Small SD'!W9</f>
        <v>Ion Beam Shepherd</v>
      </c>
      <c r="J3" s="33"/>
      <c r="K3" s="54" t="str">
        <f>'Small SD'!Y9</f>
        <v>Controlled Net</v>
      </c>
      <c r="L3" s="33"/>
      <c r="M3" s="33" t="str">
        <f>'Small SD'!AA9</f>
        <v>Controlled Net</v>
      </c>
      <c r="N3" s="34"/>
    </row>
    <row r="4" spans="1:16">
      <c r="A4" s="146"/>
      <c r="B4" s="47">
        <f>'Small SD'!P10</f>
        <v>2</v>
      </c>
      <c r="C4" s="33" t="str">
        <f>'Small SD'!Q10</f>
        <v>Foam Method</v>
      </c>
      <c r="D4" s="33"/>
      <c r="E4" s="33" t="str">
        <f>'Small SD'!S10</f>
        <v>"Adhesive" Method</v>
      </c>
      <c r="F4" s="33"/>
      <c r="G4" s="54" t="str">
        <f>'Small SD'!U10</f>
        <v>Tether + Adhesive Thread + Damper</v>
      </c>
      <c r="H4" s="33"/>
      <c r="I4" s="33" t="str">
        <f>'Small SD'!W10</f>
        <v>Lasers</v>
      </c>
      <c r="J4" s="33"/>
      <c r="K4" s="33" t="str">
        <f>'Small SD'!Y10</f>
        <v>Inflated Method</v>
      </c>
      <c r="L4" s="33"/>
      <c r="M4" s="33" t="str">
        <f>'Small SD'!AA10</f>
        <v>Magnetic</v>
      </c>
      <c r="N4" s="34"/>
      <c r="P4" t="str">
        <f>'Small SD'!W70</f>
        <v>TRL, Suitability</v>
      </c>
    </row>
    <row r="5" spans="1:16">
      <c r="A5" s="146"/>
      <c r="B5" s="47">
        <f>'Small SD'!P11</f>
        <v>3</v>
      </c>
      <c r="C5" s="54" t="str">
        <f>'Small SD'!Q11</f>
        <v>Tether + Adhesive Thread + Damper</v>
      </c>
      <c r="D5" s="33"/>
      <c r="E5" s="54" t="str">
        <f>'Small SD'!S11</f>
        <v>Ion Beam Shepherd</v>
      </c>
      <c r="F5" s="33"/>
      <c r="G5" s="33" t="str">
        <f>'Small SD'!U11</f>
        <v>"Adhesive" Method</v>
      </c>
      <c r="H5" s="33"/>
      <c r="I5" s="33" t="str">
        <f>'Small SD'!W11</f>
        <v>Electrostatic charge induced capture</v>
      </c>
      <c r="J5" s="33"/>
      <c r="K5" s="33" t="str">
        <f>'Small SD'!Y11</f>
        <v>Foam Method</v>
      </c>
      <c r="L5" s="33"/>
      <c r="M5" s="54" t="str">
        <f>'Small SD'!AA11</f>
        <v>Ion Beam Shepherd</v>
      </c>
      <c r="N5" s="34"/>
      <c r="P5" t="str">
        <f>'Small SD'!W71</f>
        <v>Energy per</v>
      </c>
    </row>
    <row r="6" spans="1:16">
      <c r="A6" s="146"/>
      <c r="B6" s="47">
        <f>'Small SD'!P12</f>
        <v>4</v>
      </c>
      <c r="C6" s="53" t="str">
        <f>'Small SD'!Q12</f>
        <v>Controlled Net</v>
      </c>
      <c r="D6" s="33"/>
      <c r="E6" s="54" t="str">
        <f>'Small SD'!S12</f>
        <v>Controlled Net</v>
      </c>
      <c r="F6" s="33"/>
      <c r="G6" s="33" t="str">
        <f>'Small SD'!U12</f>
        <v>Robotic Arms (multiple on one system)</v>
      </c>
      <c r="H6" s="33"/>
      <c r="I6" s="33" t="str">
        <f>'Small SD'!W12</f>
        <v>Magnetic</v>
      </c>
      <c r="J6" s="33"/>
      <c r="K6" s="54" t="str">
        <f>'Small SD'!Y12</f>
        <v>Ion Beam Shepherd</v>
      </c>
      <c r="L6" s="33"/>
      <c r="M6" s="33" t="str">
        <f>'Small SD'!AA12</f>
        <v>Lasers</v>
      </c>
      <c r="N6" s="34"/>
      <c r="P6" t="str">
        <f>'Small SD'!W72</f>
        <v>Stickiness, Risk</v>
      </c>
    </row>
    <row r="7" spans="1:16">
      <c r="A7" s="146"/>
      <c r="B7" s="48">
        <f>'Small SD'!P13</f>
        <v>5</v>
      </c>
      <c r="C7" s="54" t="str">
        <f>'Small SD'!Q13</f>
        <v>Ion Beam Shepherd</v>
      </c>
      <c r="D7" s="38"/>
      <c r="E7" s="54" t="str">
        <f>'Small SD'!S13</f>
        <v>Tether + Adhesive Thread + Damper</v>
      </c>
      <c r="F7" s="38"/>
      <c r="G7" s="38" t="str">
        <f>'Small SD'!U13</f>
        <v>Foam Method</v>
      </c>
      <c r="H7" s="38"/>
      <c r="I7" s="38" t="str">
        <f>'Small SD'!W13</f>
        <v>Foam Method</v>
      </c>
      <c r="J7" s="38"/>
      <c r="K7" s="38" t="str">
        <f>'Small SD'!Y13</f>
        <v>Lasers</v>
      </c>
      <c r="L7" s="38"/>
      <c r="M7" s="38" t="str">
        <f>'Small SD'!AA13</f>
        <v>Cold Welding</v>
      </c>
      <c r="N7" s="39"/>
      <c r="P7" t="str">
        <f>'Small SD'!W73</f>
        <v>Mass Ratio</v>
      </c>
    </row>
    <row r="8" spans="1:16">
      <c r="A8" s="146"/>
      <c r="B8" s="48">
        <f>'Small SD'!P14</f>
        <v>6</v>
      </c>
      <c r="C8" s="38" t="str">
        <f>'Small SD'!Q14</f>
        <v>Magnetic</v>
      </c>
      <c r="D8" s="38"/>
      <c r="E8" s="38" t="str">
        <f>'Small SD'!S14</f>
        <v>Slingshot and Catch</v>
      </c>
      <c r="F8" s="38"/>
      <c r="G8" s="38" t="str">
        <f>'Small SD'!U14</f>
        <v>Inflated Method</v>
      </c>
      <c r="H8" s="38"/>
      <c r="I8" s="38" t="str">
        <f>'Small SD'!W14</f>
        <v>Inflated Method</v>
      </c>
      <c r="J8" s="38"/>
      <c r="K8" s="38" t="str">
        <f>'Small SD'!Y14</f>
        <v>Magnetic</v>
      </c>
      <c r="L8" s="38"/>
      <c r="M8" s="38" t="str">
        <f>'Small SD'!AA14</f>
        <v>Inflated Method</v>
      </c>
      <c r="N8" s="39"/>
    </row>
    <row r="9" spans="1:16">
      <c r="A9" s="146"/>
      <c r="B9" s="48">
        <f>'Small SD'!P15</f>
        <v>7</v>
      </c>
      <c r="C9" s="38" t="str">
        <f>'Small SD'!Q15</f>
        <v>Cold Welding</v>
      </c>
      <c r="D9" s="38"/>
      <c r="E9" s="38" t="str">
        <f>'Small SD'!S15</f>
        <v>Lasers</v>
      </c>
      <c r="F9" s="38"/>
      <c r="G9" s="54" t="str">
        <f>'Small SD'!U15</f>
        <v>Controlled Net</v>
      </c>
      <c r="H9" s="38"/>
      <c r="I9" s="38" t="str">
        <f>'Small SD'!W15</f>
        <v>Robotic Arms (multiple on one system)</v>
      </c>
      <c r="J9" s="38"/>
      <c r="K9" s="38" t="str">
        <f>'Small SD'!Y15</f>
        <v>Electrostatic charge induced capture</v>
      </c>
      <c r="L9" s="38"/>
      <c r="M9" s="38" t="str">
        <f>'Small SD'!AA15</f>
        <v>Electrostatic charge induced capture</v>
      </c>
      <c r="N9" s="39"/>
    </row>
    <row r="10" spans="1:16">
      <c r="A10" s="146"/>
      <c r="B10" s="48">
        <f>'Small SD'!P16</f>
        <v>8</v>
      </c>
      <c r="C10" s="38" t="str">
        <f>'Small SD'!Q16</f>
        <v>"Adhesive" Method</v>
      </c>
      <c r="D10" s="38"/>
      <c r="E10" s="38" t="str">
        <f>'Small SD'!S16</f>
        <v>Electrostatic charge induced capture</v>
      </c>
      <c r="F10" s="38"/>
      <c r="G10" s="54" t="str">
        <f>'Small SD'!U16</f>
        <v>Ion Beam Shepherd</v>
      </c>
      <c r="H10" s="38"/>
      <c r="I10" s="38" t="str">
        <f>'Small SD'!W16</f>
        <v>"Adhesive" Method</v>
      </c>
      <c r="J10" s="38"/>
      <c r="K10" s="38" t="str">
        <f>'Small SD'!Y16</f>
        <v>Slingshot and Catch</v>
      </c>
      <c r="L10" s="38"/>
      <c r="M10" s="38" t="str">
        <f>'Small SD'!AA16</f>
        <v>Foam Method</v>
      </c>
      <c r="N10" s="39"/>
    </row>
    <row r="11" spans="1:16">
      <c r="A11" s="146"/>
      <c r="B11" s="49">
        <f>'Small SD'!P17</f>
        <v>9</v>
      </c>
      <c r="C11" s="41" t="str">
        <f>'Small SD'!Q17</f>
        <v>Slingshot and Catch</v>
      </c>
      <c r="D11" s="41"/>
      <c r="E11" s="41" t="str">
        <f>'Small SD'!S17</f>
        <v>Solar Sails</v>
      </c>
      <c r="F11" s="41"/>
      <c r="G11" s="41" t="str">
        <f>'Small SD'!U17</f>
        <v>Lasers</v>
      </c>
      <c r="H11" s="41"/>
      <c r="I11" s="54" t="str">
        <f>'Small SD'!W17</f>
        <v>Tether + Adhesive Thread + Damper</v>
      </c>
      <c r="J11" s="41"/>
      <c r="K11" s="41" t="str">
        <f>'Small SD'!Y17</f>
        <v>Solar Sails</v>
      </c>
      <c r="L11" s="41"/>
      <c r="M11" s="41" t="str">
        <f>'Small SD'!AA17</f>
        <v>Slingshot and Catch</v>
      </c>
      <c r="N11" s="42"/>
    </row>
    <row r="12" spans="1:16">
      <c r="A12" s="146"/>
      <c r="B12" s="49">
        <f>'Small SD'!P18</f>
        <v>10</v>
      </c>
      <c r="C12" s="41" t="str">
        <f>'Small SD'!Q18</f>
        <v>Robotic Arms (multiple on one system)</v>
      </c>
      <c r="D12" s="41"/>
      <c r="E12" s="41" t="str">
        <f>'Small SD'!S18</f>
        <v>Cold Welding</v>
      </c>
      <c r="F12" s="41"/>
      <c r="G12" s="41" t="str">
        <f>'Small SD'!U18</f>
        <v>Cold Welding</v>
      </c>
      <c r="H12" s="41"/>
      <c r="I12" s="41" t="str">
        <f>'Small SD'!W18</f>
        <v>Solar Sails</v>
      </c>
      <c r="J12" s="41"/>
      <c r="K12" s="41" t="str">
        <f>'Small SD'!Y18</f>
        <v>Robotic Arms (multiple on one system)</v>
      </c>
      <c r="L12" s="41"/>
      <c r="M12" s="54" t="str">
        <f>'Small SD'!AA18</f>
        <v>Tether + Adhesive Thread + Damper</v>
      </c>
      <c r="N12" s="42"/>
    </row>
    <row r="13" spans="1:16">
      <c r="A13" s="146"/>
      <c r="B13" s="49">
        <f>'Small SD'!P19</f>
        <v>11</v>
      </c>
      <c r="C13" s="41" t="str">
        <f>'Small SD'!Q19</f>
        <v>Solar Sails</v>
      </c>
      <c r="D13" s="41"/>
      <c r="E13" s="41" t="str">
        <f>'Small SD'!S19</f>
        <v>Magnetic</v>
      </c>
      <c r="F13" s="41"/>
      <c r="G13" s="41" t="str">
        <f>'Small SD'!U19</f>
        <v>Slingshot and Catch</v>
      </c>
      <c r="H13" s="41"/>
      <c r="I13" s="54" t="str">
        <f>'Small SD'!W19</f>
        <v>Controlled Net</v>
      </c>
      <c r="J13" s="41"/>
      <c r="K13" s="54" t="str">
        <f>'Small SD'!Y19</f>
        <v>Tether + Adhesive Thread + Damper</v>
      </c>
      <c r="L13" s="41"/>
      <c r="M13" s="41" t="str">
        <f>'Small SD'!AA19</f>
        <v>"Adhesive" Method</v>
      </c>
      <c r="N13" s="42"/>
    </row>
    <row r="14" spans="1:16">
      <c r="A14" s="146"/>
      <c r="B14" s="49">
        <f>'Small SD'!P20</f>
        <v>12</v>
      </c>
      <c r="C14" s="41" t="str">
        <f>'Small SD'!Q20</f>
        <v>Lasers</v>
      </c>
      <c r="D14" s="41"/>
      <c r="E14" s="41" t="str">
        <f>'Small SD'!S20</f>
        <v>Inflated Method</v>
      </c>
      <c r="F14" s="41"/>
      <c r="G14" s="41" t="str">
        <f>'Small SD'!U20</f>
        <v>Electrostatic charge induced capture</v>
      </c>
      <c r="H14" s="41"/>
      <c r="I14" s="41" t="str">
        <f>'Small SD'!W20</f>
        <v>Slingshot and Catch</v>
      </c>
      <c r="J14" s="41"/>
      <c r="K14" s="41" t="str">
        <f>'Small SD'!Y20</f>
        <v>Cold Welding</v>
      </c>
      <c r="L14" s="41"/>
      <c r="M14" s="41" t="str">
        <f>'Small SD'!AA20</f>
        <v>Solar Sails</v>
      </c>
      <c r="N14" s="42"/>
    </row>
    <row r="15" spans="1:16">
      <c r="A15" s="146"/>
      <c r="B15" s="50">
        <f>'Small SD'!P21</f>
        <v>13</v>
      </c>
      <c r="C15" s="43" t="str">
        <f>'Small SD'!Q21</f>
        <v>Electrostatic charge induced capture</v>
      </c>
      <c r="D15" s="43"/>
      <c r="E15" s="43" t="str">
        <f>'Small SD'!S21</f>
        <v>Foam Method</v>
      </c>
      <c r="F15" s="43"/>
      <c r="G15" s="43" t="str">
        <f>'Small SD'!U21</f>
        <v>Magnetic</v>
      </c>
      <c r="H15" s="43"/>
      <c r="I15" s="43" t="str">
        <f>'Small SD'!W21</f>
        <v>Cold Welding</v>
      </c>
      <c r="J15" s="43"/>
      <c r="K15" s="43" t="str">
        <f>'Small SD'!Y21</f>
        <v>"Adhesive" Method</v>
      </c>
      <c r="L15" s="43"/>
      <c r="M15" s="43" t="str">
        <f>'Small SD'!AA21</f>
        <v>Robotic Arms (multiple on one system)</v>
      </c>
      <c r="N15" s="44"/>
    </row>
    <row r="16" spans="1:16">
      <c r="A16" s="146" t="s">
        <v>180</v>
      </c>
      <c r="B16" s="47">
        <f t="shared" ref="B16:B28" si="0">B3</f>
        <v>1</v>
      </c>
      <c r="C16" s="33" t="str">
        <f t="shared" ref="C16:L16" si="1">C3</f>
        <v>Inflated Method</v>
      </c>
      <c r="D16" s="33"/>
      <c r="E16" s="33" t="str">
        <f t="shared" si="1"/>
        <v>Robotic Arms (multiple on one system)</v>
      </c>
      <c r="F16" s="33"/>
      <c r="G16" s="33" t="str">
        <f t="shared" si="1"/>
        <v>Solar Sails</v>
      </c>
      <c r="H16" s="33"/>
      <c r="I16" s="33" t="str">
        <f t="shared" si="1"/>
        <v>Ion Beam Shepherd</v>
      </c>
      <c r="J16" s="33"/>
      <c r="K16" s="54" t="str">
        <f t="shared" si="1"/>
        <v>Controlled Net</v>
      </c>
      <c r="L16" s="33"/>
      <c r="M16" s="54" t="str">
        <f>'Medium SD'!AA9</f>
        <v>Controlled Net</v>
      </c>
      <c r="N16" s="34"/>
    </row>
    <row r="17" spans="1:14">
      <c r="A17" s="146"/>
      <c r="B17" s="47">
        <f t="shared" si="0"/>
        <v>2</v>
      </c>
      <c r="C17" s="33" t="str">
        <f t="shared" ref="C17:L17" si="2">C4</f>
        <v>Foam Method</v>
      </c>
      <c r="D17" s="33"/>
      <c r="E17" s="33" t="str">
        <f t="shared" si="2"/>
        <v>"Adhesive" Method</v>
      </c>
      <c r="F17" s="33"/>
      <c r="G17" s="54" t="str">
        <f t="shared" si="2"/>
        <v>Tether + Adhesive Thread + Damper</v>
      </c>
      <c r="H17" s="33"/>
      <c r="I17" s="33" t="str">
        <f t="shared" si="2"/>
        <v>Lasers</v>
      </c>
      <c r="J17" s="33"/>
      <c r="K17" s="33" t="str">
        <f t="shared" si="2"/>
        <v>Inflated Method</v>
      </c>
      <c r="L17" s="33"/>
      <c r="M17" s="33" t="str">
        <f>'Medium SD'!AA10</f>
        <v>Magnetic</v>
      </c>
      <c r="N17" s="34"/>
    </row>
    <row r="18" spans="1:14">
      <c r="A18" s="146"/>
      <c r="B18" s="47">
        <f t="shared" si="0"/>
        <v>3</v>
      </c>
      <c r="C18" s="54" t="str">
        <f t="shared" ref="C18:L18" si="3">C5</f>
        <v>Tether + Adhesive Thread + Damper</v>
      </c>
      <c r="D18" s="33"/>
      <c r="E18" s="54" t="str">
        <f t="shared" si="3"/>
        <v>Ion Beam Shepherd</v>
      </c>
      <c r="F18" s="33"/>
      <c r="G18" s="33" t="str">
        <f t="shared" si="3"/>
        <v>"Adhesive" Method</v>
      </c>
      <c r="H18" s="33"/>
      <c r="I18" s="33" t="str">
        <f t="shared" si="3"/>
        <v>Electrostatic charge induced capture</v>
      </c>
      <c r="J18" s="33"/>
      <c r="K18" s="33" t="str">
        <f t="shared" si="3"/>
        <v>Foam Method</v>
      </c>
      <c r="L18" s="33"/>
      <c r="M18" s="54" t="str">
        <f>'Medium SD'!AA11</f>
        <v>Ion Beam Shepherd</v>
      </c>
      <c r="N18" s="34"/>
    </row>
    <row r="19" spans="1:14">
      <c r="A19" s="146"/>
      <c r="B19" s="47">
        <f t="shared" si="0"/>
        <v>4</v>
      </c>
      <c r="C19" s="54" t="str">
        <f t="shared" ref="C19:L19" si="4">C6</f>
        <v>Controlled Net</v>
      </c>
      <c r="D19" s="33"/>
      <c r="E19" s="54" t="str">
        <f t="shared" si="4"/>
        <v>Controlled Net</v>
      </c>
      <c r="F19" s="33"/>
      <c r="G19" s="33" t="str">
        <f t="shared" si="4"/>
        <v>Robotic Arms (multiple on one system)</v>
      </c>
      <c r="H19" s="33"/>
      <c r="I19" s="33" t="str">
        <f t="shared" si="4"/>
        <v>Magnetic</v>
      </c>
      <c r="J19" s="33"/>
      <c r="K19" s="54" t="str">
        <f t="shared" si="4"/>
        <v>Ion Beam Shepherd</v>
      </c>
      <c r="L19" s="33"/>
      <c r="M19" s="33" t="str">
        <f>'Medium SD'!AA12</f>
        <v>Lasers</v>
      </c>
      <c r="N19" s="34"/>
    </row>
    <row r="20" spans="1:14">
      <c r="A20" s="146"/>
      <c r="B20" s="48">
        <f t="shared" si="0"/>
        <v>5</v>
      </c>
      <c r="C20" s="54" t="str">
        <f t="shared" ref="C20:L20" si="5">C7</f>
        <v>Ion Beam Shepherd</v>
      </c>
      <c r="D20" s="38"/>
      <c r="E20" s="54" t="str">
        <f t="shared" si="5"/>
        <v>Tether + Adhesive Thread + Damper</v>
      </c>
      <c r="F20" s="38"/>
      <c r="G20" s="38" t="str">
        <f t="shared" si="5"/>
        <v>Foam Method</v>
      </c>
      <c r="H20" s="38"/>
      <c r="I20" s="38" t="str">
        <f t="shared" si="5"/>
        <v>Foam Method</v>
      </c>
      <c r="J20" s="38"/>
      <c r="K20" s="38" t="str">
        <f t="shared" si="5"/>
        <v>Lasers</v>
      </c>
      <c r="L20" s="38"/>
      <c r="M20" s="38" t="str">
        <f>'Medium SD'!AA13</f>
        <v>Cold Welding</v>
      </c>
      <c r="N20" s="39"/>
    </row>
    <row r="21" spans="1:14">
      <c r="A21" s="146"/>
      <c r="B21" s="48">
        <f t="shared" si="0"/>
        <v>6</v>
      </c>
      <c r="C21" s="38" t="str">
        <f t="shared" ref="C21:L21" si="6">C8</f>
        <v>Magnetic</v>
      </c>
      <c r="D21" s="38"/>
      <c r="E21" s="38" t="str">
        <f t="shared" si="6"/>
        <v>Slingshot and Catch</v>
      </c>
      <c r="F21" s="38"/>
      <c r="G21" s="38" t="str">
        <f t="shared" si="6"/>
        <v>Inflated Method</v>
      </c>
      <c r="H21" s="38"/>
      <c r="I21" s="38" t="str">
        <f t="shared" si="6"/>
        <v>Inflated Method</v>
      </c>
      <c r="J21" s="38"/>
      <c r="K21" s="38" t="str">
        <f t="shared" si="6"/>
        <v>Magnetic</v>
      </c>
      <c r="L21" s="38"/>
      <c r="M21" s="54" t="str">
        <f>'Medium SD'!AA14</f>
        <v>Tether + Adhesive Thread + Damper</v>
      </c>
      <c r="N21" s="39"/>
    </row>
    <row r="22" spans="1:14">
      <c r="A22" s="146"/>
      <c r="B22" s="48">
        <f t="shared" si="0"/>
        <v>7</v>
      </c>
      <c r="C22" s="38" t="str">
        <f t="shared" ref="C22:L22" si="7">C9</f>
        <v>Cold Welding</v>
      </c>
      <c r="D22" s="38"/>
      <c r="E22" s="38" t="str">
        <f t="shared" si="7"/>
        <v>Lasers</v>
      </c>
      <c r="F22" s="38"/>
      <c r="G22" s="54" t="str">
        <f t="shared" si="7"/>
        <v>Controlled Net</v>
      </c>
      <c r="H22" s="38"/>
      <c r="I22" s="38" t="str">
        <f t="shared" si="7"/>
        <v>Robotic Arms (multiple on one system)</v>
      </c>
      <c r="J22" s="38"/>
      <c r="K22" s="38" t="str">
        <f t="shared" si="7"/>
        <v>Electrostatic charge induced capture</v>
      </c>
      <c r="L22" s="38"/>
      <c r="M22" s="38" t="str">
        <f>'Medium SD'!AA15</f>
        <v>Slingshot and Catch</v>
      </c>
      <c r="N22" s="39"/>
    </row>
    <row r="23" spans="1:14">
      <c r="A23" s="146"/>
      <c r="B23" s="48">
        <f t="shared" si="0"/>
        <v>8</v>
      </c>
      <c r="C23" s="38" t="str">
        <f t="shared" ref="C23:L23" si="8">C10</f>
        <v>"Adhesive" Method</v>
      </c>
      <c r="D23" s="38"/>
      <c r="E23" s="38" t="str">
        <f t="shared" si="8"/>
        <v>Electrostatic charge induced capture</v>
      </c>
      <c r="F23" s="38"/>
      <c r="G23" s="54" t="str">
        <f t="shared" si="8"/>
        <v>Ion Beam Shepherd</v>
      </c>
      <c r="H23" s="38"/>
      <c r="I23" s="38" t="str">
        <f t="shared" si="8"/>
        <v>"Adhesive" Method</v>
      </c>
      <c r="J23" s="38"/>
      <c r="K23" s="38" t="str">
        <f t="shared" si="8"/>
        <v>Slingshot and Catch</v>
      </c>
      <c r="L23" s="38"/>
      <c r="M23" s="38" t="str">
        <f>'Medium SD'!AA16</f>
        <v>Inflated Method</v>
      </c>
      <c r="N23" s="39"/>
    </row>
    <row r="24" spans="1:14">
      <c r="A24" s="146"/>
      <c r="B24" s="49">
        <f t="shared" si="0"/>
        <v>9</v>
      </c>
      <c r="C24" s="41" t="str">
        <f t="shared" ref="C24:L24" si="9">C11</f>
        <v>Slingshot and Catch</v>
      </c>
      <c r="D24" s="41"/>
      <c r="E24" s="41" t="str">
        <f t="shared" si="9"/>
        <v>Solar Sails</v>
      </c>
      <c r="F24" s="41"/>
      <c r="G24" s="41" t="str">
        <f t="shared" si="9"/>
        <v>Lasers</v>
      </c>
      <c r="H24" s="41"/>
      <c r="I24" s="41" t="str">
        <f t="shared" si="9"/>
        <v>Tether + Adhesive Thread + Damper</v>
      </c>
      <c r="J24" s="41"/>
      <c r="K24" s="41" t="str">
        <f t="shared" si="9"/>
        <v>Solar Sails</v>
      </c>
      <c r="L24" s="41"/>
      <c r="M24" s="41" t="str">
        <f>'Medium SD'!AA17</f>
        <v>Foam Method</v>
      </c>
      <c r="N24" s="42"/>
    </row>
    <row r="25" spans="1:14">
      <c r="A25" s="146"/>
      <c r="B25" s="49">
        <f t="shared" si="0"/>
        <v>10</v>
      </c>
      <c r="C25" s="41" t="str">
        <f t="shared" ref="C25:L25" si="10">C12</f>
        <v>Robotic Arms (multiple on one system)</v>
      </c>
      <c r="D25" s="41"/>
      <c r="E25" s="41" t="str">
        <f t="shared" si="10"/>
        <v>Cold Welding</v>
      </c>
      <c r="F25" s="41"/>
      <c r="G25" s="41" t="str">
        <f t="shared" si="10"/>
        <v>Cold Welding</v>
      </c>
      <c r="H25" s="41"/>
      <c r="I25" s="41" t="str">
        <f t="shared" si="10"/>
        <v>Solar Sails</v>
      </c>
      <c r="J25" s="41"/>
      <c r="K25" s="41" t="str">
        <f t="shared" si="10"/>
        <v>Robotic Arms (multiple on one system)</v>
      </c>
      <c r="L25" s="41"/>
      <c r="M25" s="41" t="str">
        <f>'Medium SD'!AA18</f>
        <v>"Adhesive" Method</v>
      </c>
      <c r="N25" s="42"/>
    </row>
    <row r="26" spans="1:14">
      <c r="A26" s="146"/>
      <c r="B26" s="49">
        <f t="shared" si="0"/>
        <v>11</v>
      </c>
      <c r="C26" s="41" t="str">
        <f t="shared" ref="C26:L26" si="11">C13</f>
        <v>Solar Sails</v>
      </c>
      <c r="D26" s="41"/>
      <c r="E26" s="41" t="str">
        <f t="shared" si="11"/>
        <v>Magnetic</v>
      </c>
      <c r="F26" s="41"/>
      <c r="G26" s="41" t="str">
        <f t="shared" si="11"/>
        <v>Slingshot and Catch</v>
      </c>
      <c r="H26" s="41"/>
      <c r="I26" s="54" t="str">
        <f t="shared" si="11"/>
        <v>Controlled Net</v>
      </c>
      <c r="J26" s="41"/>
      <c r="K26" s="54" t="str">
        <f t="shared" si="11"/>
        <v>Tether + Adhesive Thread + Damper</v>
      </c>
      <c r="L26" s="41"/>
      <c r="M26" s="41" t="str">
        <f>'Medium SD'!AA19</f>
        <v>Solar Sails</v>
      </c>
      <c r="N26" s="42"/>
    </row>
    <row r="27" spans="1:14">
      <c r="A27" s="146"/>
      <c r="B27" s="49">
        <f t="shared" si="0"/>
        <v>12</v>
      </c>
      <c r="C27" s="41" t="str">
        <f t="shared" ref="C27:L27" si="12">C14</f>
        <v>Lasers</v>
      </c>
      <c r="D27" s="41"/>
      <c r="E27" s="41" t="str">
        <f t="shared" si="12"/>
        <v>Inflated Method</v>
      </c>
      <c r="F27" s="41"/>
      <c r="G27" s="41" t="str">
        <f t="shared" si="12"/>
        <v>Electrostatic charge induced capture</v>
      </c>
      <c r="H27" s="41"/>
      <c r="I27" s="41" t="str">
        <f t="shared" si="12"/>
        <v>Slingshot and Catch</v>
      </c>
      <c r="J27" s="41"/>
      <c r="K27" s="41" t="str">
        <f t="shared" si="12"/>
        <v>Cold Welding</v>
      </c>
      <c r="L27" s="41"/>
      <c r="M27" s="41" t="str">
        <f>'Medium SD'!AA20</f>
        <v>Robotic Arms (multiple on one system)</v>
      </c>
      <c r="N27" s="42"/>
    </row>
    <row r="28" spans="1:14">
      <c r="A28" s="146"/>
      <c r="B28" s="49">
        <f t="shared" si="0"/>
        <v>13</v>
      </c>
      <c r="C28" s="41" t="str">
        <f t="shared" ref="C28:L28" si="13">C15</f>
        <v>Electrostatic charge induced capture</v>
      </c>
      <c r="D28" s="41"/>
      <c r="E28" s="41" t="str">
        <f t="shared" si="13"/>
        <v>Foam Method</v>
      </c>
      <c r="F28" s="41"/>
      <c r="G28" s="41" t="str">
        <f t="shared" si="13"/>
        <v>Magnetic</v>
      </c>
      <c r="H28" s="41"/>
      <c r="I28" s="41" t="str">
        <f t="shared" si="13"/>
        <v>Cold Welding</v>
      </c>
      <c r="J28" s="41"/>
      <c r="K28" s="41" t="str">
        <f t="shared" si="13"/>
        <v>"Adhesive" Method</v>
      </c>
      <c r="L28" s="41"/>
      <c r="M28" s="41" t="str">
        <f>'Medium SD'!AA21</f>
        <v>Electrostatic charge induced capture</v>
      </c>
      <c r="N28" s="42"/>
    </row>
    <row r="29" spans="1:14">
      <c r="A29" s="146" t="s">
        <v>181</v>
      </c>
      <c r="B29" s="51">
        <f t="shared" ref="B29:B41" si="14">B3</f>
        <v>1</v>
      </c>
      <c r="C29" s="55" t="str">
        <f>'Large SD'!Q9</f>
        <v>Controlled Net</v>
      </c>
      <c r="D29" s="35"/>
      <c r="E29" s="57" t="str">
        <f t="shared" ref="E29:L41" si="15">E16</f>
        <v>Robotic Arms (multiple on one system)</v>
      </c>
      <c r="F29" s="35"/>
      <c r="G29" s="35" t="str">
        <f t="shared" si="15"/>
        <v>Solar Sails</v>
      </c>
      <c r="H29" s="35"/>
      <c r="I29" s="55" t="str">
        <f t="shared" si="15"/>
        <v>Ion Beam Shepherd</v>
      </c>
      <c r="J29" s="35"/>
      <c r="K29" s="55" t="str">
        <f t="shared" si="15"/>
        <v>Controlled Net</v>
      </c>
      <c r="L29" s="35"/>
      <c r="M29" s="57" t="str">
        <f>'Large SD'!AA9</f>
        <v>Robotic Arms (multiple on one system)</v>
      </c>
      <c r="N29" s="36"/>
    </row>
    <row r="30" spans="1:14">
      <c r="A30" s="146"/>
      <c r="B30" s="47">
        <f t="shared" si="14"/>
        <v>2</v>
      </c>
      <c r="C30" s="54" t="str">
        <f>'Large SD'!Q10</f>
        <v>Tether + Adhesive Thread + Damper</v>
      </c>
      <c r="D30" s="33"/>
      <c r="E30" s="33" t="str">
        <f t="shared" si="15"/>
        <v>"Adhesive" Method</v>
      </c>
      <c r="F30" s="33"/>
      <c r="G30" s="54" t="str">
        <f t="shared" si="15"/>
        <v>Tether + Adhesive Thread + Damper</v>
      </c>
      <c r="H30" s="33"/>
      <c r="I30" s="33" t="str">
        <f t="shared" si="15"/>
        <v>Lasers</v>
      </c>
      <c r="J30" s="33"/>
      <c r="K30" s="33" t="str">
        <f t="shared" si="15"/>
        <v>Inflated Method</v>
      </c>
      <c r="L30" s="33"/>
      <c r="M30" s="54" t="str">
        <f>'Large SD'!AA10</f>
        <v>Tether + Adhesive Thread + Damper</v>
      </c>
      <c r="N30" s="37"/>
    </row>
    <row r="31" spans="1:14">
      <c r="A31" s="146"/>
      <c r="B31" s="47">
        <f t="shared" si="14"/>
        <v>3</v>
      </c>
      <c r="C31" s="54" t="str">
        <f>'Large SD'!Q11</f>
        <v>Ion Beam Shepherd</v>
      </c>
      <c r="D31" s="33"/>
      <c r="E31" s="54" t="str">
        <f t="shared" si="15"/>
        <v>Ion Beam Shepherd</v>
      </c>
      <c r="F31" s="33"/>
      <c r="G31" s="33" t="str">
        <f t="shared" si="15"/>
        <v>"Adhesive" Method</v>
      </c>
      <c r="H31" s="33"/>
      <c r="I31" s="33" t="str">
        <f t="shared" si="15"/>
        <v>Electrostatic charge induced capture</v>
      </c>
      <c r="J31" s="33"/>
      <c r="K31" s="33" t="str">
        <f t="shared" si="15"/>
        <v>Foam Method</v>
      </c>
      <c r="L31" s="33"/>
      <c r="M31" s="33" t="str">
        <f>'Large SD'!AA11</f>
        <v>"Adhesive" Method</v>
      </c>
      <c r="N31" s="37"/>
    </row>
    <row r="32" spans="1:14">
      <c r="A32" s="146"/>
      <c r="B32" s="47">
        <f t="shared" si="14"/>
        <v>4</v>
      </c>
      <c r="C32" s="33" t="str">
        <f>'Large SD'!Q12</f>
        <v>Lasers</v>
      </c>
      <c r="D32" s="33"/>
      <c r="E32" s="54" t="str">
        <f t="shared" si="15"/>
        <v>Controlled Net</v>
      </c>
      <c r="F32" s="33"/>
      <c r="G32" s="56" t="str">
        <f t="shared" si="15"/>
        <v>Robotic Arms (multiple on one system)</v>
      </c>
      <c r="H32" s="33"/>
      <c r="I32" s="33" t="str">
        <f t="shared" si="15"/>
        <v>Magnetic</v>
      </c>
      <c r="J32" s="33"/>
      <c r="K32" s="54" t="str">
        <f t="shared" si="15"/>
        <v>Ion Beam Shepherd</v>
      </c>
      <c r="L32" s="33"/>
      <c r="M32" s="54" t="str">
        <f>'Large SD'!AA12</f>
        <v>Controlled Net</v>
      </c>
      <c r="N32" s="37"/>
    </row>
    <row r="33" spans="1:14">
      <c r="A33" s="146"/>
      <c r="B33" s="48">
        <f t="shared" si="14"/>
        <v>5</v>
      </c>
      <c r="C33" s="56" t="str">
        <f>'Large SD'!Q13</f>
        <v>Robotic Arms (multiple on one system)</v>
      </c>
      <c r="D33" s="38"/>
      <c r="E33" s="54" t="str">
        <f t="shared" si="15"/>
        <v>Tether + Adhesive Thread + Damper</v>
      </c>
      <c r="F33" s="38"/>
      <c r="G33" s="38" t="str">
        <f t="shared" si="15"/>
        <v>Foam Method</v>
      </c>
      <c r="H33" s="38"/>
      <c r="I33" s="38" t="str">
        <f t="shared" si="15"/>
        <v>Foam Method</v>
      </c>
      <c r="J33" s="38"/>
      <c r="K33" s="38" t="str">
        <f t="shared" si="15"/>
        <v>Lasers</v>
      </c>
      <c r="L33" s="38"/>
      <c r="M33" s="54" t="str">
        <f>'Large SD'!AA13</f>
        <v>Ion Beam Shepherd</v>
      </c>
      <c r="N33" s="40"/>
    </row>
    <row r="34" spans="1:14">
      <c r="A34" s="146"/>
      <c r="B34" s="48">
        <f t="shared" si="14"/>
        <v>6</v>
      </c>
      <c r="C34" s="38" t="str">
        <f>'Large SD'!Q14</f>
        <v>Slingshot and Catch</v>
      </c>
      <c r="D34" s="38"/>
      <c r="E34" s="38" t="str">
        <f t="shared" si="15"/>
        <v>Slingshot and Catch</v>
      </c>
      <c r="F34" s="38"/>
      <c r="G34" s="38" t="str">
        <f t="shared" si="15"/>
        <v>Inflated Method</v>
      </c>
      <c r="H34" s="38"/>
      <c r="I34" s="38" t="str">
        <f t="shared" si="15"/>
        <v>Inflated Method</v>
      </c>
      <c r="J34" s="38"/>
      <c r="K34" s="38" t="str">
        <f t="shared" si="15"/>
        <v>Magnetic</v>
      </c>
      <c r="L34" s="38"/>
      <c r="M34" s="38" t="str">
        <f>'Large SD'!AA14</f>
        <v>Lasers</v>
      </c>
      <c r="N34" s="40"/>
    </row>
    <row r="35" spans="1:14">
      <c r="A35" s="146"/>
      <c r="B35" s="48">
        <f t="shared" si="14"/>
        <v>7</v>
      </c>
      <c r="C35" s="38" t="str">
        <f>'Large SD'!Q15</f>
        <v>"Adhesive" Method</v>
      </c>
      <c r="D35" s="38"/>
      <c r="E35" s="38" t="str">
        <f t="shared" si="15"/>
        <v>Lasers</v>
      </c>
      <c r="F35" s="38"/>
      <c r="G35" s="54" t="str">
        <f t="shared" si="15"/>
        <v>Controlled Net</v>
      </c>
      <c r="H35" s="38"/>
      <c r="I35" s="56" t="str">
        <f t="shared" si="15"/>
        <v>Robotic Arms (multiple on one system)</v>
      </c>
      <c r="J35" s="38"/>
      <c r="K35" s="38" t="str">
        <f t="shared" si="15"/>
        <v>Electrostatic charge induced capture</v>
      </c>
      <c r="L35" s="38"/>
      <c r="M35" s="38" t="str">
        <f>'Large SD'!AA15</f>
        <v>Slingshot and Catch</v>
      </c>
      <c r="N35" s="40"/>
    </row>
    <row r="36" spans="1:14">
      <c r="A36" s="146"/>
      <c r="B36" s="48">
        <f t="shared" si="14"/>
        <v>8</v>
      </c>
      <c r="C36" s="38" t="str">
        <f>'Large SD'!Q16</f>
        <v>Foam Method</v>
      </c>
      <c r="D36" s="38"/>
      <c r="E36" s="38" t="str">
        <f t="shared" si="15"/>
        <v>Electrostatic charge induced capture</v>
      </c>
      <c r="F36" s="38"/>
      <c r="G36" s="54" t="str">
        <f t="shared" si="15"/>
        <v>Ion Beam Shepherd</v>
      </c>
      <c r="H36" s="38"/>
      <c r="I36" s="38" t="str">
        <f t="shared" si="15"/>
        <v>"Adhesive" Method</v>
      </c>
      <c r="J36" s="38"/>
      <c r="K36" s="38" t="str">
        <f t="shared" si="15"/>
        <v>Slingshot and Catch</v>
      </c>
      <c r="L36" s="38"/>
      <c r="M36" s="38" t="str">
        <f>'Large SD'!AA16</f>
        <v>Inflated Method</v>
      </c>
      <c r="N36" s="40"/>
    </row>
    <row r="37" spans="1:14">
      <c r="A37" s="146"/>
      <c r="B37" s="49">
        <f t="shared" si="14"/>
        <v>9</v>
      </c>
      <c r="C37" s="41" t="str">
        <f>'Large SD'!Q17</f>
        <v>Magnetic</v>
      </c>
      <c r="D37" s="41"/>
      <c r="E37" s="41" t="str">
        <f t="shared" si="15"/>
        <v>Solar Sails</v>
      </c>
      <c r="F37" s="41"/>
      <c r="G37" s="41" t="str">
        <f t="shared" si="15"/>
        <v>Lasers</v>
      </c>
      <c r="H37" s="41"/>
      <c r="I37" s="54" t="str">
        <f t="shared" si="15"/>
        <v>Tether + Adhesive Thread + Damper</v>
      </c>
      <c r="J37" s="41"/>
      <c r="K37" s="41" t="str">
        <f t="shared" si="15"/>
        <v>Solar Sails</v>
      </c>
      <c r="L37" s="41"/>
      <c r="M37" s="41" t="str">
        <f>'Large SD'!AA17</f>
        <v>Foam Method</v>
      </c>
      <c r="N37" s="45"/>
    </row>
    <row r="38" spans="1:14">
      <c r="A38" s="146"/>
      <c r="B38" s="49">
        <f t="shared" si="14"/>
        <v>10</v>
      </c>
      <c r="C38" s="41" t="str">
        <f>'Large SD'!Q18</f>
        <v>Cold Welding</v>
      </c>
      <c r="D38" s="41"/>
      <c r="E38" s="41" t="str">
        <f t="shared" si="15"/>
        <v>Cold Welding</v>
      </c>
      <c r="F38" s="41"/>
      <c r="G38" s="41" t="str">
        <f t="shared" si="15"/>
        <v>Cold Welding</v>
      </c>
      <c r="H38" s="41"/>
      <c r="I38" s="41" t="str">
        <f t="shared" si="15"/>
        <v>Solar Sails</v>
      </c>
      <c r="J38" s="41"/>
      <c r="K38" s="56" t="str">
        <f t="shared" si="15"/>
        <v>Robotic Arms (multiple on one system)</v>
      </c>
      <c r="L38" s="41"/>
      <c r="M38" s="41" t="str">
        <f>'Large SD'!AA18</f>
        <v>Solar Sails</v>
      </c>
      <c r="N38" s="45"/>
    </row>
    <row r="39" spans="1:14">
      <c r="A39" s="146"/>
      <c r="B39" s="49">
        <f t="shared" si="14"/>
        <v>11</v>
      </c>
      <c r="C39" s="41" t="str">
        <f>'Large SD'!Q19</f>
        <v>Electrostatic charge induced capture</v>
      </c>
      <c r="D39" s="41"/>
      <c r="E39" s="41" t="str">
        <f t="shared" si="15"/>
        <v>Magnetic</v>
      </c>
      <c r="F39" s="41"/>
      <c r="G39" s="41" t="str">
        <f t="shared" si="15"/>
        <v>Slingshot and Catch</v>
      </c>
      <c r="H39" s="41"/>
      <c r="I39" s="54" t="str">
        <f t="shared" si="15"/>
        <v>Controlled Net</v>
      </c>
      <c r="J39" s="41"/>
      <c r="K39" s="54" t="str">
        <f t="shared" si="15"/>
        <v>Tether + Adhesive Thread + Damper</v>
      </c>
      <c r="L39" s="41"/>
      <c r="M39" s="41" t="str">
        <f>'Large SD'!AA19</f>
        <v>Magnetic</v>
      </c>
      <c r="N39" s="45"/>
    </row>
    <row r="40" spans="1:14">
      <c r="A40" s="146"/>
      <c r="B40" s="49">
        <f t="shared" si="14"/>
        <v>12</v>
      </c>
      <c r="C40" s="41" t="str">
        <f>'Large SD'!Q20</f>
        <v>Solar Sails</v>
      </c>
      <c r="D40" s="41"/>
      <c r="E40" s="41" t="str">
        <f t="shared" si="15"/>
        <v>Inflated Method</v>
      </c>
      <c r="F40" s="41"/>
      <c r="G40" s="41" t="str">
        <f t="shared" si="15"/>
        <v>Electrostatic charge induced capture</v>
      </c>
      <c r="H40" s="41"/>
      <c r="I40" s="41" t="str">
        <f t="shared" si="15"/>
        <v>Slingshot and Catch</v>
      </c>
      <c r="J40" s="41"/>
      <c r="K40" s="41" t="str">
        <f t="shared" si="15"/>
        <v>Cold Welding</v>
      </c>
      <c r="L40" s="41"/>
      <c r="M40" s="41" t="str">
        <f>'Large SD'!AA20</f>
        <v>Cold Welding</v>
      </c>
      <c r="N40" s="45"/>
    </row>
    <row r="41" spans="1:14">
      <c r="A41" s="146"/>
      <c r="B41" s="50">
        <f t="shared" si="14"/>
        <v>13</v>
      </c>
      <c r="C41" s="43" t="str">
        <f>'Large SD'!Q21</f>
        <v>Inflated Method</v>
      </c>
      <c r="D41" s="43"/>
      <c r="E41" s="43" t="str">
        <f t="shared" si="15"/>
        <v>Foam Method</v>
      </c>
      <c r="F41" s="43"/>
      <c r="G41" s="43" t="str">
        <f t="shared" si="15"/>
        <v>Magnetic</v>
      </c>
      <c r="H41" s="43"/>
      <c r="I41" s="43" t="str">
        <f t="shared" si="15"/>
        <v>Cold Welding</v>
      </c>
      <c r="J41" s="43"/>
      <c r="K41" s="43" t="str">
        <f t="shared" si="15"/>
        <v>"Adhesive" Method</v>
      </c>
      <c r="L41" s="43"/>
      <c r="M41" s="43" t="str">
        <f>'Large SD'!AA21</f>
        <v>Electrostatic charge induced capture</v>
      </c>
      <c r="N41" s="46"/>
    </row>
  </sheetData>
  <mergeCells count="11">
    <mergeCell ref="M1:N2"/>
    <mergeCell ref="C1:D2"/>
    <mergeCell ref="E1:F2"/>
    <mergeCell ref="G1:H2"/>
    <mergeCell ref="I1:J2"/>
    <mergeCell ref="K1:L2"/>
    <mergeCell ref="A3:A15"/>
    <mergeCell ref="A16:A28"/>
    <mergeCell ref="A29:A41"/>
    <mergeCell ref="B1:B2"/>
    <mergeCell ref="A1:A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4DB5E-D78F-451B-889F-CB31811BB331}">
  <dimension ref="A1:K86"/>
  <sheetViews>
    <sheetView topLeftCell="A17" workbookViewId="0">
      <selection activeCell="D35" sqref="D35"/>
    </sheetView>
  </sheetViews>
  <sheetFormatPr defaultRowHeight="15"/>
  <cols>
    <col min="10" max="10" width="13.140625" customWidth="1"/>
    <col min="11" max="11" width="16.140625" customWidth="1"/>
  </cols>
  <sheetData>
    <row r="1" spans="1:1">
      <c r="A1" t="s">
        <v>182</v>
      </c>
    </row>
    <row r="2" spans="1:1">
      <c r="A2" t="s">
        <v>183</v>
      </c>
    </row>
    <row r="3" spans="1:1">
      <c r="A3" t="s">
        <v>184</v>
      </c>
    </row>
    <row r="4" spans="1:1">
      <c r="A4" t="s">
        <v>185</v>
      </c>
    </row>
    <row r="5" spans="1:1">
      <c r="A5" t="s">
        <v>186</v>
      </c>
    </row>
    <row r="6" spans="1:1">
      <c r="A6" t="s">
        <v>187</v>
      </c>
    </row>
    <row r="7" spans="1:1">
      <c r="A7" t="s">
        <v>188</v>
      </c>
    </row>
    <row r="8" spans="1:1">
      <c r="A8" t="s">
        <v>189</v>
      </c>
    </row>
    <row r="9" spans="1:1">
      <c r="A9" t="s">
        <v>190</v>
      </c>
    </row>
    <row r="10" spans="1:1">
      <c r="A10" t="s">
        <v>191</v>
      </c>
    </row>
    <row r="11" spans="1:1">
      <c r="A11" t="s">
        <v>192</v>
      </c>
    </row>
    <row r="12" spans="1:1">
      <c r="A12" t="s">
        <v>193</v>
      </c>
    </row>
    <row r="13" spans="1:1">
      <c r="A13" t="s">
        <v>194</v>
      </c>
    </row>
    <row r="14" spans="1:1">
      <c r="A14" t="s">
        <v>195</v>
      </c>
    </row>
    <row r="15" spans="1:1">
      <c r="A15" t="s">
        <v>196</v>
      </c>
    </row>
    <row r="16" spans="1:1">
      <c r="A16" s="52" t="s">
        <v>197</v>
      </c>
    </row>
    <row r="20" spans="1:11">
      <c r="A20" s="59" t="s">
        <v>198</v>
      </c>
      <c r="B20" s="59">
        <v>620</v>
      </c>
      <c r="C20" s="59" t="s">
        <v>199</v>
      </c>
      <c r="J20" s="152" t="s">
        <v>200</v>
      </c>
      <c r="K20" s="152"/>
    </row>
    <row r="21" spans="1:11">
      <c r="A21" t="s">
        <v>201</v>
      </c>
      <c r="B21">
        <v>398589.4</v>
      </c>
      <c r="C21" t="s">
        <v>202</v>
      </c>
      <c r="D21" t="s">
        <v>203</v>
      </c>
      <c r="E21">
        <v>6378</v>
      </c>
      <c r="F21" t="s">
        <v>204</v>
      </c>
      <c r="J21" s="59" t="s">
        <v>205</v>
      </c>
      <c r="K21" s="59" t="s">
        <v>206</v>
      </c>
    </row>
    <row r="22" spans="1:11">
      <c r="A22" t="s">
        <v>207</v>
      </c>
      <c r="B22" t="s">
        <v>208</v>
      </c>
      <c r="J22" s="59">
        <v>250</v>
      </c>
      <c r="K22" s="59">
        <v>50</v>
      </c>
    </row>
    <row r="23" spans="1:11">
      <c r="A23" t="s">
        <v>209</v>
      </c>
      <c r="B23">
        <v>1436</v>
      </c>
      <c r="C23" t="s">
        <v>210</v>
      </c>
      <c r="D23">
        <f>B23*1000</f>
        <v>1436000</v>
      </c>
      <c r="E23" t="s">
        <v>199</v>
      </c>
      <c r="F23" s="134" t="s">
        <v>211</v>
      </c>
      <c r="G23" s="134">
        <f>D23/B24</f>
        <v>1486.5424430641822</v>
      </c>
      <c r="H23" s="134" t="s">
        <v>212</v>
      </c>
      <c r="J23" s="59">
        <v>500</v>
      </c>
      <c r="K23" s="59">
        <v>100</v>
      </c>
    </row>
    <row r="24" spans="1:11">
      <c r="A24" t="s">
        <v>213</v>
      </c>
      <c r="B24">
        <v>966</v>
      </c>
      <c r="C24" s="153"/>
      <c r="D24" s="153"/>
      <c r="E24" s="153"/>
      <c r="F24" s="134"/>
      <c r="G24" s="134"/>
      <c r="H24" s="134"/>
    </row>
    <row r="25" spans="1:11">
      <c r="A25" t="s">
        <v>214</v>
      </c>
      <c r="B25" s="58">
        <v>11465.4</v>
      </c>
      <c r="C25" t="s">
        <v>215</v>
      </c>
      <c r="F25" t="s">
        <v>216</v>
      </c>
      <c r="G25">
        <f>B25/B24</f>
        <v>11.868944099378881</v>
      </c>
      <c r="H25" t="s">
        <v>215</v>
      </c>
      <c r="I25">
        <f>SQRT(G25)</f>
        <v>3.4451333935537067</v>
      </c>
      <c r="J25" t="s">
        <v>217</v>
      </c>
    </row>
    <row r="26" spans="1:11">
      <c r="A26" t="s">
        <v>200</v>
      </c>
      <c r="B26" t="s">
        <v>218</v>
      </c>
      <c r="C26" t="s">
        <v>219</v>
      </c>
      <c r="D26" t="s">
        <v>220</v>
      </c>
      <c r="F26" t="s">
        <v>221</v>
      </c>
      <c r="G26">
        <f>G23/G25</f>
        <v>125.24639349695607</v>
      </c>
      <c r="H26" t="s">
        <v>222</v>
      </c>
    </row>
    <row r="27" spans="1:11">
      <c r="C27" t="s">
        <v>223</v>
      </c>
      <c r="D27" t="s">
        <v>220</v>
      </c>
    </row>
    <row r="29" spans="1:11">
      <c r="A29" s="59" t="s">
        <v>205</v>
      </c>
      <c r="B29" s="59">
        <v>250</v>
      </c>
      <c r="C29" s="59" t="s">
        <v>204</v>
      </c>
      <c r="D29" s="59" t="s">
        <v>224</v>
      </c>
      <c r="E29" s="59">
        <f>E30*E30/2 - (B21/(B29+E21))</f>
        <v>-30.068602896801448</v>
      </c>
      <c r="F29" s="59" t="s">
        <v>225</v>
      </c>
    </row>
    <row r="30" spans="1:11">
      <c r="A30" s="59" t="s">
        <v>206</v>
      </c>
      <c r="B30" s="59">
        <v>50</v>
      </c>
      <c r="C30" s="59" t="s">
        <v>226</v>
      </c>
      <c r="D30" s="59" t="s">
        <v>227</v>
      </c>
      <c r="E30" s="59">
        <f>SQRT(B21/(B29+E21))</f>
        <v>7.7548182308551183</v>
      </c>
      <c r="F30" s="59" t="s">
        <v>228</v>
      </c>
    </row>
    <row r="32" spans="1:11">
      <c r="A32" s="59" t="s">
        <v>198</v>
      </c>
      <c r="B32" s="59">
        <v>650</v>
      </c>
      <c r="C32" s="59" t="s">
        <v>199</v>
      </c>
    </row>
    <row r="33" spans="1:11">
      <c r="A33" t="s">
        <v>201</v>
      </c>
      <c r="B33">
        <v>398589.4</v>
      </c>
      <c r="C33" t="s">
        <v>202</v>
      </c>
      <c r="D33" t="s">
        <v>203</v>
      </c>
      <c r="E33">
        <v>6378</v>
      </c>
      <c r="F33" t="s">
        <v>204</v>
      </c>
    </row>
    <row r="34" spans="1:11">
      <c r="A34" t="s">
        <v>207</v>
      </c>
      <c r="B34" t="s">
        <v>229</v>
      </c>
    </row>
    <row r="35" spans="1:11">
      <c r="A35" t="s">
        <v>209</v>
      </c>
      <c r="B35">
        <v>10.1</v>
      </c>
      <c r="C35" t="s">
        <v>210</v>
      </c>
      <c r="D35">
        <f>B35*1000</f>
        <v>10100</v>
      </c>
      <c r="E35" t="s">
        <v>199</v>
      </c>
      <c r="F35" s="134" t="s">
        <v>211</v>
      </c>
      <c r="G35" s="134">
        <f>D35/B36</f>
        <v>45.291479820627799</v>
      </c>
      <c r="H35" s="134" t="s">
        <v>212</v>
      </c>
    </row>
    <row r="36" spans="1:11">
      <c r="A36" t="s">
        <v>213</v>
      </c>
      <c r="B36">
        <v>223</v>
      </c>
      <c r="C36" s="153"/>
      <c r="D36" s="153"/>
      <c r="E36" s="153"/>
      <c r="F36" s="134"/>
      <c r="G36" s="134"/>
      <c r="H36" s="134"/>
    </row>
    <row r="37" spans="1:11">
      <c r="A37" t="s">
        <v>214</v>
      </c>
      <c r="B37" s="58">
        <v>79.099999999999994</v>
      </c>
      <c r="C37" t="s">
        <v>215</v>
      </c>
      <c r="F37" t="s">
        <v>216</v>
      </c>
      <c r="G37">
        <f>B37/B36</f>
        <v>0.35470852017937216</v>
      </c>
      <c r="H37" t="s">
        <v>215</v>
      </c>
      <c r="I37">
        <f>SQRT(G37)</f>
        <v>0.59557410972890024</v>
      </c>
      <c r="J37" t="s">
        <v>217</v>
      </c>
    </row>
    <row r="38" spans="1:11">
      <c r="A38" t="s">
        <v>200</v>
      </c>
      <c r="B38" t="s">
        <v>218</v>
      </c>
      <c r="C38" t="s">
        <v>219</v>
      </c>
      <c r="D38" t="s">
        <v>220</v>
      </c>
      <c r="F38" t="s">
        <v>221</v>
      </c>
      <c r="G38">
        <f>G35/G37</f>
        <v>127.68647281921619</v>
      </c>
      <c r="H38" t="s">
        <v>222</v>
      </c>
    </row>
    <row r="39" spans="1:11">
      <c r="C39" t="s">
        <v>223</v>
      </c>
      <c r="D39" t="s">
        <v>220</v>
      </c>
    </row>
    <row r="41" spans="1:11">
      <c r="A41" s="59" t="s">
        <v>205</v>
      </c>
      <c r="B41" s="59">
        <v>250</v>
      </c>
      <c r="C41" s="59" t="s">
        <v>204</v>
      </c>
      <c r="D41" s="59" t="s">
        <v>224</v>
      </c>
      <c r="E41" s="59">
        <f>E42*E42/2 - (B33/(B41+E33))</f>
        <v>-30.068602896801448</v>
      </c>
      <c r="F41" s="59" t="s">
        <v>225</v>
      </c>
    </row>
    <row r="42" spans="1:11">
      <c r="A42" s="59" t="s">
        <v>206</v>
      </c>
      <c r="B42" s="59">
        <v>50</v>
      </c>
      <c r="C42" s="59" t="s">
        <v>226</v>
      </c>
      <c r="D42" s="59" t="s">
        <v>227</v>
      </c>
      <c r="E42" s="59">
        <f>SQRT(B33/(B41+E33))</f>
        <v>7.7548182308551183</v>
      </c>
      <c r="F42" s="59" t="s">
        <v>228</v>
      </c>
    </row>
    <row r="43" spans="1:11">
      <c r="E43" t="s">
        <v>230</v>
      </c>
      <c r="F43" t="s">
        <v>230</v>
      </c>
      <c r="G43" t="s">
        <v>231</v>
      </c>
      <c r="H43" t="s">
        <v>232</v>
      </c>
      <c r="I43" t="s">
        <v>233</v>
      </c>
      <c r="K43" t="s">
        <v>230</v>
      </c>
    </row>
    <row r="44" spans="1:11" ht="18.75">
      <c r="C44" t="s">
        <v>234</v>
      </c>
      <c r="D44" t="s">
        <v>235</v>
      </c>
      <c r="E44" s="82" t="s">
        <v>236</v>
      </c>
      <c r="F44" s="82" t="s">
        <v>237</v>
      </c>
      <c r="G44" s="82" t="s">
        <v>238</v>
      </c>
      <c r="H44" s="82" t="s">
        <v>239</v>
      </c>
      <c r="I44" s="82" t="s">
        <v>240</v>
      </c>
      <c r="J44" s="82" t="s">
        <v>241</v>
      </c>
      <c r="K44" s="82" t="s">
        <v>242</v>
      </c>
    </row>
    <row r="45" spans="1:11" ht="18.75">
      <c r="A45" t="s">
        <v>243</v>
      </c>
      <c r="B45">
        <v>1408</v>
      </c>
      <c r="G45" t="s">
        <v>244</v>
      </c>
      <c r="H45" s="60">
        <v>1</v>
      </c>
      <c r="I45" t="s">
        <v>245</v>
      </c>
    </row>
    <row r="46" spans="1:11">
      <c r="A46">
        <v>2</v>
      </c>
      <c r="B46">
        <v>13552</v>
      </c>
      <c r="C46">
        <v>364</v>
      </c>
      <c r="D46">
        <v>344</v>
      </c>
      <c r="E46">
        <f>($B$21/(4*PI()*PI()*K46*K46/(86400*86400)))^(1/3)</f>
        <v>6732.2972635571632</v>
      </c>
      <c r="F46">
        <v>1.4614000000000001E-3</v>
      </c>
      <c r="G46">
        <v>82.552199999999999</v>
      </c>
      <c r="H46">
        <v>196.1754</v>
      </c>
      <c r="I46">
        <v>155.37270000000001</v>
      </c>
      <c r="J46">
        <v>204.8237</v>
      </c>
      <c r="K46">
        <v>15.716354661522701</v>
      </c>
    </row>
    <row r="47" spans="1:11" ht="18.75">
      <c r="A47" t="s">
        <v>243</v>
      </c>
      <c r="B47">
        <v>1408</v>
      </c>
      <c r="G47" t="s">
        <v>244</v>
      </c>
      <c r="H47" s="60">
        <v>2</v>
      </c>
    </row>
    <row r="48" spans="1:11">
      <c r="A48">
        <v>2</v>
      </c>
      <c r="B48">
        <v>49527</v>
      </c>
      <c r="C48">
        <v>908</v>
      </c>
      <c r="D48">
        <v>441</v>
      </c>
      <c r="E48">
        <f t="shared" ref="E47:E86" si="0">($B$21/(4*PI()*PI()*K48*K48/(86400*86400)))^(1/3)</f>
        <v>7052.704349690981</v>
      </c>
      <c r="F48">
        <v>3.3095600000000003E-2</v>
      </c>
      <c r="G48">
        <v>82.377700000000004</v>
      </c>
      <c r="H48">
        <v>333.05439999999999</v>
      </c>
      <c r="I48">
        <v>301.39690000000002</v>
      </c>
      <c r="J48">
        <v>55.525100000000002</v>
      </c>
      <c r="K48">
        <v>14.657612251413701</v>
      </c>
    </row>
    <row r="49" spans="1:11" ht="18.75">
      <c r="A49" t="s">
        <v>243</v>
      </c>
      <c r="B49">
        <v>1408</v>
      </c>
      <c r="G49" t="s">
        <v>244</v>
      </c>
      <c r="H49" s="60">
        <v>3</v>
      </c>
    </row>
    <row r="50" spans="1:11">
      <c r="A50">
        <v>2</v>
      </c>
      <c r="B50">
        <v>49537</v>
      </c>
      <c r="C50">
        <v>580</v>
      </c>
      <c r="D50">
        <v>431</v>
      </c>
      <c r="E50">
        <f t="shared" si="0"/>
        <v>6883.5308453418811</v>
      </c>
      <c r="F50">
        <v>1.07949E-2</v>
      </c>
      <c r="G50">
        <v>82.549499999999995</v>
      </c>
      <c r="H50">
        <v>251.05590000000001</v>
      </c>
      <c r="I50">
        <v>270.65429999999998</v>
      </c>
      <c r="J50">
        <v>88.232399999999998</v>
      </c>
      <c r="K50">
        <v>15.201269281484</v>
      </c>
    </row>
    <row r="51" spans="1:11" ht="18.75">
      <c r="A51" t="s">
        <v>243</v>
      </c>
      <c r="B51">
        <v>1408</v>
      </c>
      <c r="G51" t="s">
        <v>244</v>
      </c>
      <c r="H51" s="60">
        <v>4</v>
      </c>
    </row>
    <row r="52" spans="1:11">
      <c r="A52">
        <v>2</v>
      </c>
      <c r="B52">
        <v>49539</v>
      </c>
      <c r="C52">
        <v>810</v>
      </c>
      <c r="D52">
        <v>431</v>
      </c>
      <c r="E52">
        <f t="shared" si="0"/>
        <v>6998.7340636006229</v>
      </c>
      <c r="F52">
        <v>2.7055300000000001E-2</v>
      </c>
      <c r="G52">
        <v>82.188699999999997</v>
      </c>
      <c r="H52">
        <v>312.73590000000002</v>
      </c>
      <c r="I52">
        <v>327.71480000000003</v>
      </c>
      <c r="J52">
        <v>30.7744</v>
      </c>
      <c r="K52">
        <v>14.827485541410301</v>
      </c>
    </row>
    <row r="53" spans="1:11" ht="18.75">
      <c r="A53" t="s">
        <v>243</v>
      </c>
      <c r="B53">
        <v>1408</v>
      </c>
      <c r="G53" t="s">
        <v>244</v>
      </c>
      <c r="H53" s="60">
        <v>5</v>
      </c>
    </row>
    <row r="54" spans="1:11">
      <c r="A54">
        <v>2</v>
      </c>
      <c r="B54">
        <v>49619</v>
      </c>
      <c r="C54">
        <v>812</v>
      </c>
      <c r="D54">
        <v>430</v>
      </c>
      <c r="E54">
        <f t="shared" si="0"/>
        <v>6998.7916746902874</v>
      </c>
      <c r="F54">
        <v>2.7300499999999998E-2</v>
      </c>
      <c r="G54">
        <v>81.957099999999997</v>
      </c>
      <c r="H54">
        <v>278.35590000000002</v>
      </c>
      <c r="I54">
        <v>331.86869999999999</v>
      </c>
      <c r="J54">
        <v>26.799399999999999</v>
      </c>
      <c r="K54">
        <v>14.8273024614129</v>
      </c>
    </row>
    <row r="55" spans="1:11" ht="18.75">
      <c r="A55" t="s">
        <v>243</v>
      </c>
      <c r="B55">
        <v>1408</v>
      </c>
      <c r="G55" t="s">
        <v>244</v>
      </c>
      <c r="H55" s="60">
        <v>6</v>
      </c>
    </row>
    <row r="56" spans="1:11">
      <c r="A56">
        <v>2</v>
      </c>
      <c r="B56">
        <v>50032</v>
      </c>
      <c r="C56">
        <v>462</v>
      </c>
      <c r="D56">
        <v>439</v>
      </c>
      <c r="E56">
        <f t="shared" si="0"/>
        <v>6828.5226526526085</v>
      </c>
      <c r="F56">
        <v>1.7209E-3</v>
      </c>
      <c r="G56">
        <v>82.564700000000002</v>
      </c>
      <c r="H56">
        <v>208.5745</v>
      </c>
      <c r="I56">
        <v>215.66810000000001</v>
      </c>
      <c r="J56">
        <v>144.3416</v>
      </c>
      <c r="K56">
        <v>15.3853228814893</v>
      </c>
    </row>
    <row r="57" spans="1:11" ht="18.75">
      <c r="A57" t="s">
        <v>243</v>
      </c>
      <c r="B57">
        <v>1408</v>
      </c>
      <c r="G57" t="s">
        <v>244</v>
      </c>
      <c r="H57" s="60">
        <v>7</v>
      </c>
    </row>
    <row r="58" spans="1:11">
      <c r="A58">
        <v>2</v>
      </c>
      <c r="B58">
        <v>50058</v>
      </c>
      <c r="C58">
        <v>471</v>
      </c>
      <c r="D58">
        <v>429</v>
      </c>
      <c r="E58">
        <f t="shared" si="0"/>
        <v>6827.6344198360985</v>
      </c>
      <c r="F58">
        <v>3.0825000000000002E-3</v>
      </c>
      <c r="G58">
        <v>82.615099999999998</v>
      </c>
      <c r="H58">
        <v>222.99180000000001</v>
      </c>
      <c r="I58">
        <v>131.3691</v>
      </c>
      <c r="J58">
        <v>229.0213</v>
      </c>
      <c r="K58">
        <v>15.3883252815044</v>
      </c>
    </row>
    <row r="59" spans="1:11" ht="18.75">
      <c r="A59" t="s">
        <v>243</v>
      </c>
      <c r="B59">
        <v>1408</v>
      </c>
      <c r="G59" t="s">
        <v>244</v>
      </c>
      <c r="H59" s="60">
        <v>8</v>
      </c>
    </row>
    <row r="60" spans="1:11">
      <c r="A60">
        <v>2</v>
      </c>
      <c r="B60">
        <v>50123</v>
      </c>
      <c r="C60">
        <v>350</v>
      </c>
      <c r="D60">
        <v>335</v>
      </c>
      <c r="E60">
        <f t="shared" si="0"/>
        <v>6720.6668083501054</v>
      </c>
      <c r="F60">
        <v>1.0663000000000001E-3</v>
      </c>
      <c r="G60">
        <v>82.551299999999998</v>
      </c>
      <c r="H60">
        <v>196.60890000000001</v>
      </c>
      <c r="I60">
        <v>107.5244</v>
      </c>
      <c r="J60">
        <v>252.71870000000001</v>
      </c>
      <c r="K60">
        <v>15.7571692315194</v>
      </c>
    </row>
    <row r="61" spans="1:11" ht="18.75">
      <c r="A61" t="s">
        <v>243</v>
      </c>
      <c r="B61">
        <v>1408</v>
      </c>
      <c r="G61" t="s">
        <v>244</v>
      </c>
      <c r="H61" s="60">
        <v>9</v>
      </c>
    </row>
    <row r="62" spans="1:11">
      <c r="A62">
        <v>2</v>
      </c>
      <c r="B62">
        <v>50351</v>
      </c>
      <c r="C62">
        <v>565</v>
      </c>
      <c r="D62">
        <v>409</v>
      </c>
      <c r="E62">
        <f t="shared" si="0"/>
        <v>6865.4222324580414</v>
      </c>
      <c r="F62">
        <v>1.1347599999999999E-2</v>
      </c>
      <c r="G62">
        <v>82.518100000000004</v>
      </c>
      <c r="H62">
        <v>254.3329</v>
      </c>
      <c r="I62">
        <v>291.8809</v>
      </c>
      <c r="J62">
        <v>67.039299999999997</v>
      </c>
      <c r="K62">
        <v>15.2614524714803</v>
      </c>
    </row>
    <row r="63" spans="1:11" ht="18.75">
      <c r="A63" t="s">
        <v>243</v>
      </c>
      <c r="B63">
        <v>1408</v>
      </c>
      <c r="G63" t="s">
        <v>244</v>
      </c>
      <c r="H63" s="60">
        <v>10</v>
      </c>
    </row>
    <row r="64" spans="1:11">
      <c r="A64">
        <v>2</v>
      </c>
      <c r="B64">
        <v>50363</v>
      </c>
      <c r="C64">
        <v>437</v>
      </c>
      <c r="D64">
        <v>378</v>
      </c>
      <c r="E64">
        <f t="shared" si="0"/>
        <v>6785.7532413112267</v>
      </c>
      <c r="F64">
        <v>4.3693999999999998E-3</v>
      </c>
      <c r="G64">
        <v>82.403899999999993</v>
      </c>
      <c r="H64">
        <v>214.33410000000001</v>
      </c>
      <c r="I64">
        <v>245.97980000000001</v>
      </c>
      <c r="J64">
        <v>113.6879</v>
      </c>
      <c r="K64">
        <v>15.531008321465899</v>
      </c>
    </row>
    <row r="65" spans="1:11" ht="18.75">
      <c r="A65" t="s">
        <v>243</v>
      </c>
      <c r="B65">
        <v>1408</v>
      </c>
      <c r="G65" t="s">
        <v>244</v>
      </c>
      <c r="H65" s="60">
        <v>11</v>
      </c>
    </row>
    <row r="66" spans="1:11">
      <c r="A66">
        <v>2</v>
      </c>
      <c r="B66">
        <v>50404</v>
      </c>
      <c r="C66">
        <v>1033</v>
      </c>
      <c r="D66">
        <v>451</v>
      </c>
      <c r="E66">
        <f t="shared" si="0"/>
        <v>7120.2239769899688</v>
      </c>
      <c r="F66">
        <v>4.0888500000000001E-2</v>
      </c>
      <c r="G66">
        <v>82.243399999999994</v>
      </c>
      <c r="H66">
        <v>337.93169999999998</v>
      </c>
      <c r="I66">
        <v>22.923500000000001</v>
      </c>
      <c r="J66">
        <v>338.96370000000002</v>
      </c>
      <c r="K66">
        <v>14.449614601380899</v>
      </c>
    </row>
    <row r="67" spans="1:11" ht="18.75">
      <c r="A67" t="s">
        <v>243</v>
      </c>
      <c r="B67">
        <v>1408</v>
      </c>
      <c r="G67" t="s">
        <v>244</v>
      </c>
      <c r="H67" s="60">
        <v>12</v>
      </c>
    </row>
    <row r="68" spans="1:11">
      <c r="A68">
        <v>2</v>
      </c>
      <c r="B68">
        <v>50578</v>
      </c>
      <c r="C68">
        <v>372</v>
      </c>
      <c r="D68">
        <v>347</v>
      </c>
      <c r="E68">
        <f t="shared" si="0"/>
        <v>6737.434524914911</v>
      </c>
      <c r="F68">
        <v>1.8721E-3</v>
      </c>
      <c r="G68">
        <v>82.703000000000003</v>
      </c>
      <c r="H68">
        <v>226.5051</v>
      </c>
      <c r="I68">
        <v>136.67590000000001</v>
      </c>
      <c r="J68">
        <v>223.59790000000001</v>
      </c>
      <c r="K68">
        <v>15.6983826214709</v>
      </c>
    </row>
    <row r="69" spans="1:11" ht="18.75">
      <c r="A69" t="s">
        <v>243</v>
      </c>
      <c r="B69">
        <v>1408</v>
      </c>
      <c r="G69" t="s">
        <v>244</v>
      </c>
      <c r="H69" s="60">
        <v>13</v>
      </c>
    </row>
    <row r="70" spans="1:11">
      <c r="A70">
        <v>2</v>
      </c>
      <c r="B70">
        <v>50621</v>
      </c>
      <c r="C70">
        <v>499</v>
      </c>
      <c r="D70">
        <v>433</v>
      </c>
      <c r="E70">
        <f t="shared" si="0"/>
        <v>6843.9582112948347</v>
      </c>
      <c r="F70">
        <v>4.8294000000000002E-3</v>
      </c>
      <c r="G70">
        <v>82.576999999999998</v>
      </c>
      <c r="H70">
        <v>225.47149999999999</v>
      </c>
      <c r="I70">
        <v>165.12639999999999</v>
      </c>
      <c r="J70">
        <v>195.1413</v>
      </c>
      <c r="K70">
        <v>15.333303181452701</v>
      </c>
    </row>
    <row r="71" spans="1:11" ht="18.75">
      <c r="A71" t="s">
        <v>243</v>
      </c>
      <c r="B71">
        <v>1408</v>
      </c>
      <c r="G71" t="s">
        <v>244</v>
      </c>
      <c r="H71" s="60">
        <v>14</v>
      </c>
    </row>
    <row r="72" spans="1:11">
      <c r="A72">
        <v>2</v>
      </c>
      <c r="B72">
        <v>50689</v>
      </c>
      <c r="C72">
        <v>433</v>
      </c>
      <c r="D72">
        <v>380</v>
      </c>
      <c r="E72">
        <f t="shared" si="0"/>
        <v>6784.7308775098372</v>
      </c>
      <c r="F72">
        <v>3.8603999999999999E-3</v>
      </c>
      <c r="G72">
        <v>82.508700000000005</v>
      </c>
      <c r="H72">
        <v>199.8287</v>
      </c>
      <c r="I72">
        <v>75.093599999999995</v>
      </c>
      <c r="J72">
        <v>285.45870000000002</v>
      </c>
      <c r="K72">
        <v>15.534518911452301</v>
      </c>
    </row>
    <row r="73" spans="1:11" ht="18.75">
      <c r="A73" t="s">
        <v>243</v>
      </c>
      <c r="B73">
        <v>1408</v>
      </c>
      <c r="G73" t="s">
        <v>244</v>
      </c>
      <c r="H73" s="60">
        <v>15</v>
      </c>
    </row>
    <row r="74" spans="1:11">
      <c r="A74">
        <v>2</v>
      </c>
      <c r="B74">
        <v>50730</v>
      </c>
      <c r="C74">
        <v>368</v>
      </c>
      <c r="D74">
        <v>348</v>
      </c>
      <c r="E74">
        <f t="shared" si="0"/>
        <v>6736.5077695712362</v>
      </c>
      <c r="F74">
        <v>1.4909999999999999E-3</v>
      </c>
      <c r="G74">
        <v>82.551599999999993</v>
      </c>
      <c r="H74">
        <v>202.19749999999999</v>
      </c>
      <c r="I74">
        <v>118.7606</v>
      </c>
      <c r="J74">
        <v>241.51560000000001</v>
      </c>
      <c r="K74">
        <v>15.701622221461699</v>
      </c>
    </row>
    <row r="75" spans="1:11" ht="18.75">
      <c r="A75" t="s">
        <v>243</v>
      </c>
      <c r="B75">
        <v>1408</v>
      </c>
      <c r="G75" t="s">
        <v>244</v>
      </c>
      <c r="H75" s="60">
        <v>16</v>
      </c>
    </row>
    <row r="76" spans="1:11">
      <c r="A76">
        <v>2</v>
      </c>
      <c r="B76">
        <v>51184</v>
      </c>
      <c r="C76">
        <v>426</v>
      </c>
      <c r="D76">
        <v>398</v>
      </c>
      <c r="E76">
        <f t="shared" si="0"/>
        <v>6790.2310848344878</v>
      </c>
      <c r="F76">
        <v>2.0772999999999998E-3</v>
      </c>
      <c r="G76">
        <v>82.491100000000003</v>
      </c>
      <c r="H76">
        <v>195.7603</v>
      </c>
      <c r="I76">
        <v>81.247100000000003</v>
      </c>
      <c r="J76">
        <v>279.11329999999998</v>
      </c>
      <c r="K76">
        <v>15.515647881432001</v>
      </c>
    </row>
    <row r="77" spans="1:11" ht="18.75">
      <c r="A77" t="s">
        <v>243</v>
      </c>
      <c r="B77">
        <v>1408</v>
      </c>
      <c r="G77" t="s">
        <v>244</v>
      </c>
      <c r="H77" s="60">
        <v>17</v>
      </c>
    </row>
    <row r="78" spans="1:11">
      <c r="A78">
        <v>2</v>
      </c>
      <c r="B78">
        <v>51225</v>
      </c>
      <c r="C78">
        <v>396</v>
      </c>
      <c r="D78">
        <v>350</v>
      </c>
      <c r="E78">
        <f t="shared" si="0"/>
        <v>6750.8039118394436</v>
      </c>
      <c r="F78">
        <v>3.3912E-3</v>
      </c>
      <c r="G78">
        <v>82.455699999999993</v>
      </c>
      <c r="H78">
        <v>196.17779999999999</v>
      </c>
      <c r="I78">
        <v>200.9915</v>
      </c>
      <c r="J78">
        <v>158.99549999999999</v>
      </c>
      <c r="K78">
        <v>15.651771771438799</v>
      </c>
    </row>
    <row r="79" spans="1:11" ht="18.75">
      <c r="A79" t="s">
        <v>243</v>
      </c>
      <c r="B79">
        <v>1408</v>
      </c>
      <c r="G79" t="s">
        <v>244</v>
      </c>
      <c r="H79" s="60">
        <v>18</v>
      </c>
    </row>
    <row r="80" spans="1:11">
      <c r="A80">
        <v>2</v>
      </c>
      <c r="B80">
        <v>51435</v>
      </c>
      <c r="C80">
        <v>478</v>
      </c>
      <c r="D80">
        <v>408</v>
      </c>
      <c r="E80">
        <f t="shared" si="0"/>
        <v>6821.221817620878</v>
      </c>
      <c r="F80">
        <v>5.1437000000000002E-3</v>
      </c>
      <c r="G80">
        <v>82.552300000000002</v>
      </c>
      <c r="H80">
        <v>226.3357</v>
      </c>
      <c r="I80">
        <v>185.41659999999999</v>
      </c>
      <c r="J80">
        <v>174.6532</v>
      </c>
      <c r="K80">
        <v>15.4100301314067</v>
      </c>
    </row>
    <row r="81" spans="1:11" ht="18.75">
      <c r="A81" t="s">
        <v>243</v>
      </c>
      <c r="B81">
        <v>1408</v>
      </c>
      <c r="G81" t="s">
        <v>244</v>
      </c>
      <c r="H81" s="60">
        <v>19</v>
      </c>
    </row>
    <row r="82" spans="1:11">
      <c r="A82">
        <v>2</v>
      </c>
      <c r="B82">
        <v>51579</v>
      </c>
      <c r="C82">
        <v>407</v>
      </c>
      <c r="D82">
        <v>369</v>
      </c>
      <c r="E82">
        <f t="shared" si="0"/>
        <v>6765.7521025110145</v>
      </c>
      <c r="F82">
        <v>2.8057999999999998E-3</v>
      </c>
      <c r="G82">
        <v>82.483099999999993</v>
      </c>
      <c r="H82">
        <v>211.4427</v>
      </c>
      <c r="I82">
        <v>195.86850000000001</v>
      </c>
      <c r="J82">
        <v>164.1695</v>
      </c>
      <c r="K82">
        <v>15.599929111402499</v>
      </c>
    </row>
    <row r="83" spans="1:11" ht="18.75">
      <c r="A83" t="s">
        <v>243</v>
      </c>
      <c r="B83">
        <v>1408</v>
      </c>
      <c r="G83" t="s">
        <v>244</v>
      </c>
      <c r="H83" s="60">
        <v>20</v>
      </c>
    </row>
    <row r="84" spans="1:11">
      <c r="A84">
        <v>2</v>
      </c>
      <c r="B84">
        <v>51582</v>
      </c>
      <c r="C84">
        <v>433</v>
      </c>
      <c r="D84">
        <v>371</v>
      </c>
      <c r="E84">
        <f t="shared" si="0"/>
        <v>6779.8290845141701</v>
      </c>
      <c r="F84">
        <v>4.5484000000000002E-3</v>
      </c>
      <c r="G84">
        <v>82.553600000000003</v>
      </c>
      <c r="H84">
        <v>223.64879999999999</v>
      </c>
      <c r="I84">
        <v>163.1403</v>
      </c>
      <c r="J84">
        <v>197.13759999999999</v>
      </c>
      <c r="K84">
        <v>15.551369061409099</v>
      </c>
    </row>
    <row r="85" spans="1:11" ht="18.75">
      <c r="A85" t="s">
        <v>243</v>
      </c>
      <c r="B85">
        <v>1408</v>
      </c>
      <c r="G85" t="s">
        <v>244</v>
      </c>
      <c r="H85" s="60">
        <v>21</v>
      </c>
    </row>
    <row r="86" spans="1:11">
      <c r="A86">
        <v>2</v>
      </c>
      <c r="B86">
        <v>52066</v>
      </c>
      <c r="C86">
        <v>602</v>
      </c>
      <c r="D86">
        <v>421</v>
      </c>
      <c r="E86">
        <f t="shared" si="0"/>
        <v>6889.4019356844283</v>
      </c>
      <c r="F86">
        <v>1.3112800000000001E-2</v>
      </c>
      <c r="G86">
        <v>82.514499999999998</v>
      </c>
      <c r="H86">
        <v>260.7946</v>
      </c>
      <c r="I86">
        <v>326.29790000000003</v>
      </c>
      <c r="J86">
        <v>32.996400000000001</v>
      </c>
      <c r="K86">
        <v>15.181841831329301</v>
      </c>
    </row>
  </sheetData>
  <mergeCells count="9">
    <mergeCell ref="J20:K20"/>
    <mergeCell ref="F35:F36"/>
    <mergeCell ref="G35:G36"/>
    <mergeCell ref="H35:H36"/>
    <mergeCell ref="C36:E36"/>
    <mergeCell ref="F23:F24"/>
    <mergeCell ref="G23:G24"/>
    <mergeCell ref="H23:H24"/>
    <mergeCell ref="C24:E24"/>
  </mergeCells>
  <dataValidations count="2">
    <dataValidation type="list" allowBlank="1" showInputMessage="1" showErrorMessage="1" sqref="B29 B41" xr:uid="{3D46C6F3-8CBC-4332-A3CB-30DCBBDF80D4}">
      <formula1>$J$22:$J$23</formula1>
    </dataValidation>
    <dataValidation type="list" allowBlank="1" showInputMessage="1" showErrorMessage="1" sqref="B30 B42" xr:uid="{FE69B5AC-597A-4241-ACA9-71422F9ED551}">
      <formula1>$K$22:$K$23</formula1>
    </dataValidation>
  </dataValidations>
  <hyperlinks>
    <hyperlink ref="A16" r:id="rId1" xr:uid="{014FEEA5-71B8-4243-A56D-6D95254BFF40}"/>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6D69C-2D25-4332-9591-6446D79EEFC2}">
  <dimension ref="A1:AE13"/>
  <sheetViews>
    <sheetView topLeftCell="F1" workbookViewId="0">
      <selection activeCell="AA3" sqref="AA3:AA7"/>
    </sheetView>
  </sheetViews>
  <sheetFormatPr defaultRowHeight="15"/>
  <cols>
    <col min="4" max="5" width="9.140625" customWidth="1"/>
    <col min="9" max="9" width="9.28515625" bestFit="1" customWidth="1"/>
    <col min="18" max="18" width="0" hidden="1" customWidth="1"/>
  </cols>
  <sheetData>
    <row r="1" spans="1:31" ht="15" customHeight="1">
      <c r="D1" s="68" t="s">
        <v>234</v>
      </c>
      <c r="E1" s="68" t="s">
        <v>235</v>
      </c>
      <c r="F1" s="22" t="s">
        <v>236</v>
      </c>
      <c r="G1" s="22" t="s">
        <v>237</v>
      </c>
      <c r="H1" s="22" t="s">
        <v>238</v>
      </c>
      <c r="I1" s="22" t="s">
        <v>239</v>
      </c>
      <c r="J1" s="22" t="s">
        <v>240</v>
      </c>
      <c r="K1" s="22" t="s">
        <v>241</v>
      </c>
      <c r="L1" s="22" t="s">
        <v>242</v>
      </c>
      <c r="M1" s="111" t="s">
        <v>246</v>
      </c>
      <c r="N1" s="111"/>
      <c r="O1" s="111"/>
      <c r="P1" s="111"/>
      <c r="Q1" s="68"/>
      <c r="R1" s="22"/>
      <c r="S1" s="157" t="s">
        <v>247</v>
      </c>
      <c r="T1" s="157" t="s">
        <v>248</v>
      </c>
      <c r="U1" s="157" t="s">
        <v>249</v>
      </c>
      <c r="V1" s="157" t="s">
        <v>250</v>
      </c>
      <c r="W1" s="157" t="s">
        <v>251</v>
      </c>
      <c r="X1" s="158" t="s">
        <v>252</v>
      </c>
      <c r="Y1" s="157" t="s">
        <v>253</v>
      </c>
      <c r="Z1" s="158" t="s">
        <v>254</v>
      </c>
      <c r="AA1" s="158" t="s">
        <v>255</v>
      </c>
      <c r="AB1" s="158" t="s">
        <v>256</v>
      </c>
      <c r="AD1" s="157" t="s">
        <v>257</v>
      </c>
      <c r="AE1" s="158" t="s">
        <v>258</v>
      </c>
    </row>
    <row r="2" spans="1:31" ht="60" customHeight="1">
      <c r="A2" s="62" t="s">
        <v>243</v>
      </c>
      <c r="B2" s="62">
        <v>1408</v>
      </c>
      <c r="C2" s="62"/>
      <c r="D2" s="62"/>
      <c r="E2" s="62"/>
      <c r="F2" s="62"/>
      <c r="G2" s="62"/>
      <c r="H2" s="62" t="s">
        <v>244</v>
      </c>
      <c r="I2" s="63">
        <v>1</v>
      </c>
      <c r="J2" s="62" t="s">
        <v>245</v>
      </c>
      <c r="K2" s="62"/>
      <c r="L2" s="62"/>
      <c r="S2" s="157"/>
      <c r="T2" s="157"/>
      <c r="U2" s="157"/>
      <c r="V2" s="157"/>
      <c r="W2" s="157"/>
      <c r="X2" s="158"/>
      <c r="Y2" s="157"/>
      <c r="Z2" s="158"/>
      <c r="AA2" s="158"/>
      <c r="AB2" s="158"/>
      <c r="AD2" s="157"/>
      <c r="AE2" s="158"/>
    </row>
    <row r="3" spans="1:31">
      <c r="A3" s="62">
        <v>2</v>
      </c>
      <c r="B3" s="62">
        <v>13552</v>
      </c>
      <c r="C3" s="62">
        <v>1</v>
      </c>
      <c r="D3" s="62">
        <v>364</v>
      </c>
      <c r="E3" s="62">
        <v>344</v>
      </c>
      <c r="F3" s="62">
        <v>6732</v>
      </c>
      <c r="G3" s="62">
        <v>1.4614000000000001E-3</v>
      </c>
      <c r="H3" s="62">
        <v>82.552199999999999</v>
      </c>
      <c r="I3" s="62">
        <v>196.1754</v>
      </c>
      <c r="J3" s="62">
        <v>155.37270000000001</v>
      </c>
      <c r="K3" s="62">
        <v>204.8237</v>
      </c>
      <c r="L3" s="62">
        <v>15.71635466</v>
      </c>
      <c r="M3" s="67" t="s">
        <v>259</v>
      </c>
      <c r="Q3" s="76" t="str">
        <f>M3</f>
        <v>1 to 2</v>
      </c>
      <c r="R3">
        <f>S3+Y3</f>
        <v>1</v>
      </c>
      <c r="S3">
        <f>V3/(V3+$B$5-SUM($W$3:W3))</f>
        <v>0.24576591236100179</v>
      </c>
      <c r="T3">
        <v>795</v>
      </c>
      <c r="U3" s="65">
        <v>50</v>
      </c>
      <c r="V3">
        <f>T3+SUM($U$3:U3)</f>
        <v>845</v>
      </c>
      <c r="W3">
        <f>(V3+B5)*(1-EXP((-M4/($B$4*9.81))))</f>
        <v>106.76891301836663</v>
      </c>
      <c r="X3">
        <f>(AA3+$B$5)*(1-EXP((-M4/($B$4*9.81))))</f>
        <v>105.26300451317104</v>
      </c>
      <c r="Y3">
        <f>($B$5-SUM($W$3:W3))/(V3+$B$5-SUM($W$3:W3))</f>
        <v>0.75423408763899824</v>
      </c>
      <c r="Z3">
        <f>($B$5-SUM($X$3:X3))/(AA3+$B$5-SUM($X$3:X3))</f>
        <v>0.7654685301371521</v>
      </c>
      <c r="AA3">
        <v>795</v>
      </c>
      <c r="AB3">
        <f>AA3/(AA3+$B$5-SUM($X$3:X3))</f>
        <v>0.23453146986284795</v>
      </c>
      <c r="AC3">
        <f>Z3+AB3</f>
        <v>1</v>
      </c>
      <c r="AD3">
        <f>($B$5-SUM($W$3:W3))/Y3</f>
        <v>3438.2310869816333</v>
      </c>
      <c r="AE3">
        <f>($B$5-SUM($X$3:X3))/Z3</f>
        <v>3389.7369954868291</v>
      </c>
    </row>
    <row r="4" spans="1:31">
      <c r="A4" t="s">
        <v>260</v>
      </c>
      <c r="B4">
        <v>500</v>
      </c>
      <c r="C4">
        <v>2</v>
      </c>
      <c r="D4">
        <v>900</v>
      </c>
      <c r="E4">
        <v>344</v>
      </c>
      <c r="F4">
        <f t="shared" ref="F4:F8" si="0">(D4+E4+2*6378)/2</f>
        <v>7000</v>
      </c>
      <c r="G4" s="62">
        <v>1.4614000000000001E-3</v>
      </c>
      <c r="H4" s="62">
        <v>82.552199999999999</v>
      </c>
      <c r="I4" s="62">
        <v>196.1754</v>
      </c>
      <c r="J4" s="62">
        <v>155.37270000000001</v>
      </c>
      <c r="K4" s="62">
        <v>204.8237</v>
      </c>
      <c r="L4" s="62">
        <v>15.71635466</v>
      </c>
      <c r="M4" s="154">
        <f>0.15*1000</f>
        <v>150</v>
      </c>
      <c r="N4" s="64" t="s">
        <v>261</v>
      </c>
      <c r="Q4" s="76" t="str">
        <f>N4</f>
        <v>2 to 3</v>
      </c>
      <c r="R4">
        <f>S4+Y4</f>
        <v>1</v>
      </c>
      <c r="S4">
        <f>V4/(V4+$B$5-SUM($W$3:W4))</f>
        <v>0.26182962293814827</v>
      </c>
      <c r="T4">
        <v>795</v>
      </c>
      <c r="U4" s="65">
        <v>50</v>
      </c>
      <c r="V4">
        <f>T4+SUM($U$3:U4)</f>
        <v>895</v>
      </c>
      <c r="W4">
        <f>(V4+$B$5-SUM(W3:W3))*(1-EXP((-N5/($B$4*9.81))))</f>
        <v>69.977682509424469</v>
      </c>
      <c r="X4">
        <f>(AA4+$B$5-SUM(X3:X3))*(1-EXP((-N5/($B$4*9.81))))</f>
        <v>68.001784671290807</v>
      </c>
      <c r="Y4">
        <f>($B$5-SUM($W$3:W4))/(V4+$B$5-SUM($W$3:W4))</f>
        <v>0.73817037706185173</v>
      </c>
      <c r="Z4">
        <f>($B$5-SUM($X$3:X4))/(AA4+$B$5-SUM($X$3:X4))</f>
        <v>0.76066725685675141</v>
      </c>
      <c r="AA4">
        <v>795</v>
      </c>
      <c r="AB4">
        <f>AA4/(AA4+$B$5-SUM($X$3:X4))</f>
        <v>0.23933274314324862</v>
      </c>
      <c r="AC4">
        <f t="shared" ref="AC4:AC7" si="1">Z4+AB4</f>
        <v>1</v>
      </c>
      <c r="AD4">
        <f>($B$5-SUM($W$3:W4))/Y4</f>
        <v>3418.2534044722088</v>
      </c>
      <c r="AE4">
        <f>($B$5-SUM($X$3:X4))/Z4</f>
        <v>3321.7352108155383</v>
      </c>
    </row>
    <row r="5" spans="1:31">
      <c r="B5">
        <v>2700</v>
      </c>
      <c r="C5">
        <v>3</v>
      </c>
      <c r="D5">
        <v>1300</v>
      </c>
      <c r="E5">
        <v>344</v>
      </c>
      <c r="F5">
        <f t="shared" si="0"/>
        <v>7200</v>
      </c>
      <c r="G5" s="62">
        <v>1.4614000000000001E-3</v>
      </c>
      <c r="H5" s="62">
        <v>82.552199999999999</v>
      </c>
      <c r="I5" s="62">
        <v>196.1754</v>
      </c>
      <c r="J5" s="62">
        <v>155.37270000000001</v>
      </c>
      <c r="K5" s="62">
        <v>204.8237</v>
      </c>
      <c r="L5" s="62">
        <v>15.71635466</v>
      </c>
      <c r="M5" s="156"/>
      <c r="N5" s="154">
        <f>0.0994*1000</f>
        <v>99.4</v>
      </c>
      <c r="O5" s="64" t="s">
        <v>262</v>
      </c>
      <c r="Q5" s="76" t="str">
        <f>O5</f>
        <v>3 to 4</v>
      </c>
      <c r="R5">
        <f>S5+Y5</f>
        <v>1</v>
      </c>
      <c r="S5">
        <f>V5/(V5+$B$5-SUM($W$3:W5))</f>
        <v>0.27770949796881372</v>
      </c>
      <c r="T5">
        <v>795</v>
      </c>
      <c r="U5" s="65">
        <v>50</v>
      </c>
      <c r="V5">
        <f>T5+SUM($U$3:U5)</f>
        <v>945</v>
      </c>
      <c r="W5">
        <f>(V5+$B$5-SUM(W3:W4))*(1-EXP((-O6/($B$4*9.81))))</f>
        <v>65.416962392284944</v>
      </c>
      <c r="X5">
        <f>(AA5+$B$5-SUM(X3:X4))*(1-EXP((-O6/($B$4*9.81))))</f>
        <v>62.65338832590772</v>
      </c>
      <c r="Y5">
        <f>($B$5-SUM($W$3:W5))/(V5+$B$5-SUM($W$3:W5))</f>
        <v>0.72229050203118628</v>
      </c>
      <c r="Z5">
        <f>($B$5-SUM($X$3:X5))/(AA5+$B$5-SUM($X$3:X5))</f>
        <v>0.7560662655002951</v>
      </c>
      <c r="AA5">
        <v>795</v>
      </c>
      <c r="AB5">
        <f>AA5/(AA5+$B$5-SUM($X$3:X5))</f>
        <v>0.24393373449970496</v>
      </c>
      <c r="AC5">
        <f t="shared" si="1"/>
        <v>1</v>
      </c>
      <c r="AD5">
        <f>($B$5-SUM($W$3:W5))/Y5</f>
        <v>3402.8364420799239</v>
      </c>
      <c r="AE5">
        <f>($B$5-SUM($X$3:X5))/Z5</f>
        <v>3259.0818224896302</v>
      </c>
    </row>
    <row r="6" spans="1:31">
      <c r="B6">
        <f>B5+T3</f>
        <v>3495</v>
      </c>
      <c r="C6">
        <v>4</v>
      </c>
      <c r="D6">
        <v>1700</v>
      </c>
      <c r="E6">
        <v>344</v>
      </c>
      <c r="F6">
        <f t="shared" si="0"/>
        <v>7400</v>
      </c>
      <c r="G6" s="62">
        <v>1.4614000000000001E-3</v>
      </c>
      <c r="H6" s="62">
        <v>82.552199999999999</v>
      </c>
      <c r="I6" s="62">
        <v>196.1754</v>
      </c>
      <c r="J6" s="62">
        <v>155.37270000000001</v>
      </c>
      <c r="K6" s="62">
        <v>204.8237</v>
      </c>
      <c r="L6" s="62">
        <v>15.71635466</v>
      </c>
      <c r="M6" s="66" t="s">
        <v>259</v>
      </c>
      <c r="N6" s="126"/>
      <c r="O6" s="154">
        <f>0.0934*1000</f>
        <v>93.399999999999991</v>
      </c>
      <c r="P6" s="74" t="s">
        <v>263</v>
      </c>
      <c r="Q6" s="76" t="str">
        <f>P6</f>
        <v>4 to 5</v>
      </c>
      <c r="R6">
        <f>S6+Y6</f>
        <v>1</v>
      </c>
      <c r="S6">
        <f>V6/(V6+$B$5-SUM($W$3:W6))</f>
        <v>0.29332572760094633</v>
      </c>
      <c r="T6">
        <v>795</v>
      </c>
      <c r="U6" s="65">
        <v>50</v>
      </c>
      <c r="V6">
        <f>T6+SUM($U$3:U6)</f>
        <v>995</v>
      </c>
      <c r="W6">
        <f>(V6+$B$5-SUM(W3:W5))*(1-EXP((-P7/($B$4*9.81))))</f>
        <v>60.703034151781516</v>
      </c>
      <c r="X6">
        <f>(AA6+B5-SUM(X3:X5))*(1-EXP((-P7/($B$4*9.81))))</f>
        <v>57.296706198705884</v>
      </c>
      <c r="Y6">
        <f>($B$5-SUM($W$3:W6))/(V6+$B$5-SUM($W$3:W6))</f>
        <v>0.70667427239905367</v>
      </c>
      <c r="Z6">
        <f>($B$5-SUM($X$3:X6))/(AA6+$B$5-SUM($X$3:X6))</f>
        <v>0.75170101330192962</v>
      </c>
      <c r="AA6">
        <v>795</v>
      </c>
      <c r="AB6">
        <f>AA6/(AA6+$B$5-SUM($X$3:X6))</f>
        <v>0.24829898669807038</v>
      </c>
      <c r="AC6">
        <f t="shared" si="1"/>
        <v>1</v>
      </c>
      <c r="AD6">
        <f>($B$5-SUM($W$3:W6))/Y6</f>
        <v>3392.1334079281423</v>
      </c>
      <c r="AE6">
        <f>($B$5-SUM($X$3:X6))/Z6</f>
        <v>3201.7851162909246</v>
      </c>
    </row>
    <row r="7" spans="1:31">
      <c r="C7">
        <v>5</v>
      </c>
      <c r="D7">
        <v>2100</v>
      </c>
      <c r="E7">
        <v>344</v>
      </c>
      <c r="F7">
        <f t="shared" si="0"/>
        <v>7600</v>
      </c>
      <c r="G7" s="62">
        <v>1.4614000000000001E-3</v>
      </c>
      <c r="H7" s="62">
        <v>82.552199999999999</v>
      </c>
      <c r="I7" s="62">
        <v>196.1754</v>
      </c>
      <c r="J7" s="62">
        <v>155.37270000000001</v>
      </c>
      <c r="K7" s="62">
        <v>204.8237</v>
      </c>
      <c r="L7" s="62">
        <v>15.71635466</v>
      </c>
      <c r="N7" s="66" t="s">
        <v>261</v>
      </c>
      <c r="O7" s="126"/>
      <c r="P7" s="155">
        <f>0.087*1000</f>
        <v>87</v>
      </c>
      <c r="Q7" s="66" t="s">
        <v>264</v>
      </c>
      <c r="R7">
        <f>S7+Y7</f>
        <v>1</v>
      </c>
      <c r="S7">
        <f>V7/(V7+$B$5-SUM($W$3:W7))</f>
        <v>0.30872135870347728</v>
      </c>
      <c r="T7">
        <v>795</v>
      </c>
      <c r="U7" s="65">
        <v>50</v>
      </c>
      <c r="V7">
        <f>T7+SUM($U$3:U7)</f>
        <v>1045</v>
      </c>
      <c r="W7">
        <f>(V7+$B$5-SUM(W3:W6))*(1-EXP((-Q8/($B$4*9.81))))</f>
        <v>57.204019211281874</v>
      </c>
      <c r="X7">
        <f>(AA7+$B$5-SUM(X3:X6))*(1-EXP((-Q8/($B$4*9.81))))</f>
        <v>53.209726526243323</v>
      </c>
      <c r="Y7">
        <f>($B$5-SUM($W$3:W7))/(V7+$B$5-SUM($W$3:W7))</f>
        <v>0.69127864129652272</v>
      </c>
      <c r="Z7">
        <f>($B$5-SUM($X$3:X7))/(AA7+$B$5-SUM($X$3:X7))</f>
        <v>0.74750485486726215</v>
      </c>
      <c r="AA7">
        <v>795</v>
      </c>
      <c r="AB7">
        <f>AA7/(AA7+$B$5-SUM($X$3:X7))</f>
        <v>0.25249514513273791</v>
      </c>
      <c r="AC7">
        <f t="shared" si="1"/>
        <v>1</v>
      </c>
      <c r="AD7">
        <f>($B$5-SUM($W$3:W7))/Y7</f>
        <v>3384.9293887168606</v>
      </c>
      <c r="AE7">
        <f>($B$5-SUM($X$3:X7))/Z7</f>
        <v>3148.5753897646814</v>
      </c>
    </row>
    <row r="8" spans="1:31">
      <c r="C8">
        <v>6</v>
      </c>
      <c r="D8">
        <v>2500</v>
      </c>
      <c r="E8">
        <v>344</v>
      </c>
      <c r="F8">
        <f t="shared" si="0"/>
        <v>7800</v>
      </c>
      <c r="G8" s="62">
        <v>1.4614000000000001E-3</v>
      </c>
      <c r="H8" s="62">
        <v>82.552199999999999</v>
      </c>
      <c r="I8" s="62">
        <v>196.1754</v>
      </c>
      <c r="J8" s="62">
        <v>155.37270000000001</v>
      </c>
      <c r="K8" s="62">
        <v>204.8237</v>
      </c>
      <c r="L8" s="62">
        <v>15.71635466</v>
      </c>
      <c r="O8" s="66" t="s">
        <v>262</v>
      </c>
      <c r="P8" s="126"/>
      <c r="Q8" s="156">
        <f>0.0822*1000</f>
        <v>82.199999999999989</v>
      </c>
      <c r="R8" s="75"/>
      <c r="S8" s="75"/>
      <c r="W8" s="38">
        <f>SUM(W3:W7)</f>
        <v>360.07061128313944</v>
      </c>
      <c r="X8" s="71">
        <f>SUM(X3:X7)</f>
        <v>346.42461023531877</v>
      </c>
    </row>
    <row r="9" spans="1:31">
      <c r="P9" s="66" t="s">
        <v>263</v>
      </c>
      <c r="Q9" s="126"/>
      <c r="R9" s="75"/>
      <c r="S9" s="75"/>
      <c r="W9" s="72">
        <f>V7-T3-W8</f>
        <v>-110.07061128313944</v>
      </c>
    </row>
    <row r="10" spans="1:31" ht="15" customHeight="1">
      <c r="Q10" s="66" t="s">
        <v>264</v>
      </c>
      <c r="R10" s="75"/>
      <c r="S10" s="75"/>
    </row>
    <row r="13" spans="1:31" ht="17.25">
      <c r="B13" s="69" t="s">
        <v>10</v>
      </c>
      <c r="C13" s="69"/>
    </row>
  </sheetData>
  <mergeCells count="18">
    <mergeCell ref="S1:S2"/>
    <mergeCell ref="AB1:AB2"/>
    <mergeCell ref="AA1:AA2"/>
    <mergeCell ref="AD1:AD2"/>
    <mergeCell ref="AE1:AE2"/>
    <mergeCell ref="Y1:Y2"/>
    <mergeCell ref="Z1:Z2"/>
    <mergeCell ref="T1:T2"/>
    <mergeCell ref="U1:U2"/>
    <mergeCell ref="V1:V2"/>
    <mergeCell ref="W1:W2"/>
    <mergeCell ref="X1:X2"/>
    <mergeCell ref="M1:P1"/>
    <mergeCell ref="O6:O7"/>
    <mergeCell ref="P7:P8"/>
    <mergeCell ref="Q8:Q9"/>
    <mergeCell ref="M4:M5"/>
    <mergeCell ref="N5:N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0D163-1D8B-468E-A2F9-1B18157AC1E4}">
  <dimension ref="A1:W13"/>
  <sheetViews>
    <sheetView workbookViewId="0">
      <selection activeCell="R3" sqref="R3:R7"/>
    </sheetView>
  </sheetViews>
  <sheetFormatPr defaultRowHeight="15"/>
  <cols>
    <col min="4" max="5" width="0" hidden="1" customWidth="1"/>
    <col min="9" max="9" width="9.28515625" bestFit="1" customWidth="1"/>
  </cols>
  <sheetData>
    <row r="1" spans="1:23" ht="15" customHeight="1">
      <c r="D1" s="68" t="s">
        <v>234</v>
      </c>
      <c r="E1" s="68" t="s">
        <v>235</v>
      </c>
      <c r="F1" s="22" t="s">
        <v>236</v>
      </c>
      <c r="G1" s="22" t="s">
        <v>237</v>
      </c>
      <c r="H1" s="22" t="s">
        <v>238</v>
      </c>
      <c r="I1" s="22" t="s">
        <v>239</v>
      </c>
      <c r="J1" s="22" t="s">
        <v>240</v>
      </c>
      <c r="K1" s="22" t="s">
        <v>265</v>
      </c>
      <c r="L1" s="22" t="s">
        <v>242</v>
      </c>
      <c r="M1" s="111" t="s">
        <v>246</v>
      </c>
      <c r="N1" s="111"/>
      <c r="O1" s="111"/>
      <c r="P1" s="111"/>
      <c r="Q1" s="111"/>
      <c r="R1" s="159" t="s">
        <v>266</v>
      </c>
      <c r="S1" s="159" t="s">
        <v>249</v>
      </c>
      <c r="T1" s="159" t="s">
        <v>250</v>
      </c>
      <c r="U1" s="159" t="s">
        <v>267</v>
      </c>
      <c r="V1" s="159" t="s">
        <v>268</v>
      </c>
    </row>
    <row r="2" spans="1:23" ht="18.75">
      <c r="A2" s="62" t="s">
        <v>243</v>
      </c>
      <c r="B2" s="62">
        <v>1408</v>
      </c>
      <c r="C2" s="62"/>
      <c r="D2" s="62"/>
      <c r="E2" s="62"/>
      <c r="F2" s="62"/>
      <c r="G2" s="62"/>
      <c r="H2" s="62" t="s">
        <v>244</v>
      </c>
      <c r="I2" s="63">
        <v>1</v>
      </c>
      <c r="J2" s="62" t="s">
        <v>245</v>
      </c>
      <c r="K2" s="62"/>
      <c r="L2" s="62"/>
      <c r="R2" s="159"/>
      <c r="S2" s="159"/>
      <c r="T2" s="159"/>
      <c r="U2" s="159"/>
      <c r="V2" s="159"/>
    </row>
    <row r="3" spans="1:23">
      <c r="A3" s="62">
        <v>2</v>
      </c>
      <c r="B3" s="62">
        <v>13552</v>
      </c>
      <c r="C3" s="62">
        <v>1</v>
      </c>
      <c r="D3" s="62">
        <v>364</v>
      </c>
      <c r="E3" s="62">
        <v>344</v>
      </c>
      <c r="F3" s="62">
        <v>6732</v>
      </c>
      <c r="G3" s="62">
        <v>1.4614000000000001E-3</v>
      </c>
      <c r="H3" s="62">
        <v>82.552199999999999</v>
      </c>
      <c r="I3" s="62">
        <v>196.1754</v>
      </c>
      <c r="J3" s="62">
        <v>155.37270000000001</v>
      </c>
      <c r="K3" s="62">
        <v>204.8237</v>
      </c>
      <c r="L3" s="62">
        <v>15.71635466</v>
      </c>
      <c r="M3" s="67" t="s">
        <v>259</v>
      </c>
      <c r="R3">
        <v>975</v>
      </c>
      <c r="S3" s="65">
        <v>45.3</v>
      </c>
      <c r="T3">
        <f>R3+SUM($S$3:S3)</f>
        <v>1020.3</v>
      </c>
      <c r="U3">
        <f>T3*(1-EXP((-M4/($B$4*9.81))))</f>
        <v>25.673011556210646</v>
      </c>
      <c r="V3">
        <f>R3*(1-EXP((-M4/($B$4*9.81))))</f>
        <v>24.533163057243339</v>
      </c>
    </row>
    <row r="4" spans="1:23">
      <c r="A4" t="s">
        <v>260</v>
      </c>
      <c r="B4">
        <v>600</v>
      </c>
      <c r="C4">
        <v>2</v>
      </c>
      <c r="D4">
        <v>900</v>
      </c>
      <c r="E4">
        <v>344</v>
      </c>
      <c r="F4">
        <f t="shared" ref="F4:F8" si="0">(D4+E4+2*6378)/2</f>
        <v>7000</v>
      </c>
      <c r="G4" s="62">
        <v>1.4614000000000001E-3</v>
      </c>
      <c r="H4" s="62">
        <v>82.552199999999999</v>
      </c>
      <c r="I4" s="62">
        <v>196.1754</v>
      </c>
      <c r="J4" s="62">
        <v>155.37270000000001</v>
      </c>
      <c r="K4" s="62">
        <v>204.8237</v>
      </c>
      <c r="L4" s="62">
        <v>15.71635466</v>
      </c>
      <c r="M4" s="154">
        <f>0.15*1000</f>
        <v>150</v>
      </c>
      <c r="N4" s="64" t="s">
        <v>261</v>
      </c>
      <c r="R4">
        <v>975</v>
      </c>
      <c r="S4" s="65">
        <v>45.3</v>
      </c>
      <c r="T4">
        <f>R4+SUM($S$3:S4)</f>
        <v>1065.5999999999999</v>
      </c>
      <c r="U4">
        <f>(T4-SUM(U3:U3))*(1-EXP((-N5/($B$4*9.81))))</f>
        <v>17.414341468920981</v>
      </c>
      <c r="V4">
        <f>(R4-SUM(V3:V3))*(1-EXP((-N5/($B$4*9.81))))</f>
        <v>15.916265504538417</v>
      </c>
    </row>
    <row r="5" spans="1:23">
      <c r="C5">
        <v>3</v>
      </c>
      <c r="D5">
        <v>1300</v>
      </c>
      <c r="E5">
        <v>344</v>
      </c>
      <c r="F5">
        <f t="shared" si="0"/>
        <v>7200</v>
      </c>
      <c r="G5" s="62">
        <v>1.4614000000000001E-3</v>
      </c>
      <c r="H5" s="62">
        <v>82.552199999999999</v>
      </c>
      <c r="I5" s="62">
        <v>196.1754</v>
      </c>
      <c r="J5" s="62">
        <v>155.37270000000001</v>
      </c>
      <c r="K5" s="62">
        <v>204.8237</v>
      </c>
      <c r="L5" s="62">
        <v>15.71635466</v>
      </c>
      <c r="M5" s="156"/>
      <c r="N5" s="154">
        <f>0.0994*1000</f>
        <v>99.4</v>
      </c>
      <c r="O5" s="64" t="s">
        <v>262</v>
      </c>
      <c r="R5">
        <v>975</v>
      </c>
      <c r="S5" s="65">
        <v>45.3</v>
      </c>
      <c r="T5">
        <f>R5+SUM($S$3:S5)</f>
        <v>1110.9000000000001</v>
      </c>
      <c r="U5">
        <f>(T5-SUM(U3:U4))*(1-EXP((-O6/($B$4*9.81))))</f>
        <v>16.810495224619675</v>
      </c>
      <c r="V5">
        <f>(R5-SUM(V3:V4))*(1-EXP((-O6/($B$4*9.81))))</f>
        <v>14.712560263109065</v>
      </c>
    </row>
    <row r="6" spans="1:23">
      <c r="C6">
        <v>4</v>
      </c>
      <c r="D6">
        <v>1700</v>
      </c>
      <c r="E6">
        <v>344</v>
      </c>
      <c r="F6">
        <f t="shared" si="0"/>
        <v>7400</v>
      </c>
      <c r="G6" s="62">
        <v>1.4614000000000001E-3</v>
      </c>
      <c r="H6" s="62">
        <v>82.552199999999999</v>
      </c>
      <c r="I6" s="62">
        <v>196.1754</v>
      </c>
      <c r="J6" s="62">
        <v>155.37270000000001</v>
      </c>
      <c r="K6" s="62">
        <v>204.8237</v>
      </c>
      <c r="L6" s="62">
        <v>15.71635466</v>
      </c>
      <c r="M6" s="66" t="s">
        <v>259</v>
      </c>
      <c r="N6" s="126"/>
      <c r="O6" s="154">
        <f>0.0934*1000</f>
        <v>93.399999999999991</v>
      </c>
      <c r="P6" s="64" t="s">
        <v>263</v>
      </c>
      <c r="R6">
        <v>975</v>
      </c>
      <c r="S6" s="65">
        <v>45.3</v>
      </c>
      <c r="T6">
        <f>R6+SUM($S$3:S6)</f>
        <v>1156.2</v>
      </c>
      <c r="U6">
        <f>(T6-SUM(U3:U5))*(1-EXP((-P7/($B$4*9.81))))</f>
        <v>16.085093770612549</v>
      </c>
      <c r="V6">
        <f>(R6-SUM(V3:V5))*(1-EXP((-P7/($B$4*9.81))))</f>
        <v>13.495987980963141</v>
      </c>
    </row>
    <row r="7" spans="1:23">
      <c r="C7">
        <v>5</v>
      </c>
      <c r="D7">
        <v>2100</v>
      </c>
      <c r="E7">
        <v>344</v>
      </c>
      <c r="F7">
        <f t="shared" si="0"/>
        <v>7600</v>
      </c>
      <c r="G7" s="62">
        <v>1.4614000000000001E-3</v>
      </c>
      <c r="H7" s="62">
        <v>82.552199999999999</v>
      </c>
      <c r="I7" s="62">
        <v>196.1754</v>
      </c>
      <c r="J7" s="62">
        <v>155.37270000000001</v>
      </c>
      <c r="K7" s="62">
        <v>204.8237</v>
      </c>
      <c r="L7" s="62">
        <v>15.71635466</v>
      </c>
      <c r="N7" s="66" t="s">
        <v>261</v>
      </c>
      <c r="O7" s="126"/>
      <c r="P7" s="154">
        <f>0.087*1000</f>
        <v>87</v>
      </c>
      <c r="Q7" s="64" t="s">
        <v>264</v>
      </c>
      <c r="R7">
        <v>975</v>
      </c>
      <c r="S7" s="65">
        <v>45.3</v>
      </c>
      <c r="T7">
        <f>R7+SUM($S$3:S7)</f>
        <v>1201.5</v>
      </c>
      <c r="U7">
        <f>(T7-SUM(U3:U6))*(1-EXP((-Q8/($B$4*9.81))))</f>
        <v>15.608983984572056</v>
      </c>
      <c r="V7">
        <f>(R7-SUM(V3:V6))*(1-EXP((-Q8/($B$4*9.81))))</f>
        <v>12.569403568149228</v>
      </c>
    </row>
    <row r="8" spans="1:23">
      <c r="C8">
        <v>6</v>
      </c>
      <c r="D8">
        <v>2500</v>
      </c>
      <c r="E8">
        <v>344</v>
      </c>
      <c r="F8">
        <f t="shared" si="0"/>
        <v>7800</v>
      </c>
      <c r="G8" s="62">
        <v>1.4614000000000001E-3</v>
      </c>
      <c r="H8" s="62">
        <v>82.552199999999999</v>
      </c>
      <c r="I8" s="62">
        <v>196.1754</v>
      </c>
      <c r="J8" s="62">
        <v>155.37270000000001</v>
      </c>
      <c r="K8" s="62">
        <v>204.8237</v>
      </c>
      <c r="L8" s="62">
        <v>15.71635466</v>
      </c>
      <c r="O8" s="66" t="s">
        <v>262</v>
      </c>
      <c r="P8" s="126"/>
      <c r="Q8" s="154">
        <f>0.0822*1000</f>
        <v>82.199999999999989</v>
      </c>
      <c r="U8">
        <f>SUM(U3:U7)</f>
        <v>91.591926004935914</v>
      </c>
      <c r="V8">
        <f>SUM(V3:V7)</f>
        <v>81.227380374003189</v>
      </c>
      <c r="W8">
        <f>U8-V8</f>
        <v>10.364545630932724</v>
      </c>
    </row>
    <row r="9" spans="1:23">
      <c r="P9" s="66" t="s">
        <v>263</v>
      </c>
      <c r="Q9" s="126"/>
    </row>
    <row r="10" spans="1:23">
      <c r="Q10" s="66" t="s">
        <v>264</v>
      </c>
    </row>
    <row r="13" spans="1:23" ht="17.25">
      <c r="B13" s="69" t="s">
        <v>10</v>
      </c>
      <c r="C13" s="69"/>
    </row>
  </sheetData>
  <mergeCells count="11">
    <mergeCell ref="V1:V2"/>
    <mergeCell ref="M1:Q1"/>
    <mergeCell ref="R1:R2"/>
    <mergeCell ref="S1:S2"/>
    <mergeCell ref="T1:T2"/>
    <mergeCell ref="U1:U2"/>
    <mergeCell ref="M4:M5"/>
    <mergeCell ref="N5:N6"/>
    <mergeCell ref="O6:O7"/>
    <mergeCell ref="P7:P8"/>
    <mergeCell ref="Q8:Q9"/>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ABFE4-B19A-4609-9EEA-16600D4C76AE}">
  <dimension ref="A1:W13"/>
  <sheetViews>
    <sheetView workbookViewId="0">
      <selection activeCell="R3" sqref="R3:R7"/>
    </sheetView>
  </sheetViews>
  <sheetFormatPr defaultRowHeight="15"/>
  <cols>
    <col min="4" max="5" width="0" hidden="1" customWidth="1"/>
    <col min="9" max="9" width="9.28515625" bestFit="1" customWidth="1"/>
  </cols>
  <sheetData>
    <row r="1" spans="1:23" ht="15" customHeight="1">
      <c r="D1" s="68" t="s">
        <v>234</v>
      </c>
      <c r="E1" s="68" t="s">
        <v>235</v>
      </c>
      <c r="F1" s="22" t="s">
        <v>236</v>
      </c>
      <c r="G1" s="22" t="s">
        <v>237</v>
      </c>
      <c r="H1" s="22" t="s">
        <v>238</v>
      </c>
      <c r="I1" s="22" t="s">
        <v>239</v>
      </c>
      <c r="J1" s="22" t="s">
        <v>240</v>
      </c>
      <c r="K1" s="22" t="s">
        <v>265</v>
      </c>
      <c r="L1" s="22" t="s">
        <v>242</v>
      </c>
      <c r="M1" s="111" t="s">
        <v>246</v>
      </c>
      <c r="N1" s="111"/>
      <c r="O1" s="111"/>
      <c r="P1" s="111"/>
      <c r="Q1" s="111"/>
      <c r="R1" s="159" t="s">
        <v>266</v>
      </c>
      <c r="S1" s="159" t="s">
        <v>249</v>
      </c>
      <c r="T1" s="159" t="s">
        <v>250</v>
      </c>
      <c r="U1" s="159" t="s">
        <v>267</v>
      </c>
      <c r="V1" s="159" t="s">
        <v>268</v>
      </c>
    </row>
    <row r="2" spans="1:23" ht="18.75">
      <c r="A2" s="62" t="s">
        <v>243</v>
      </c>
      <c r="B2" s="62">
        <v>1408</v>
      </c>
      <c r="C2" s="62"/>
      <c r="D2" s="62"/>
      <c r="E2" s="62"/>
      <c r="F2" s="62"/>
      <c r="G2" s="62"/>
      <c r="H2" s="62" t="s">
        <v>244</v>
      </c>
      <c r="I2" s="63">
        <v>1</v>
      </c>
      <c r="J2" s="62" t="s">
        <v>245</v>
      </c>
      <c r="K2" s="62"/>
      <c r="L2" s="62"/>
      <c r="R2" s="159"/>
      <c r="S2" s="159"/>
      <c r="T2" s="159"/>
      <c r="U2" s="159"/>
      <c r="V2" s="159"/>
    </row>
    <row r="3" spans="1:23">
      <c r="A3" s="62">
        <v>2</v>
      </c>
      <c r="B3" s="62">
        <v>13552</v>
      </c>
      <c r="C3" s="62">
        <v>1</v>
      </c>
      <c r="D3" s="62">
        <v>364</v>
      </c>
      <c r="E3" s="62">
        <v>344</v>
      </c>
      <c r="F3" s="62">
        <v>6732</v>
      </c>
      <c r="G3" s="62">
        <v>1.4614000000000001E-3</v>
      </c>
      <c r="H3" s="62">
        <v>82.552199999999999</v>
      </c>
      <c r="I3" s="62">
        <v>196.1754</v>
      </c>
      <c r="J3" s="62">
        <v>155.37270000000001</v>
      </c>
      <c r="K3" s="62">
        <v>204.8237</v>
      </c>
      <c r="L3" s="62">
        <v>15.71635466</v>
      </c>
      <c r="M3" s="67" t="s">
        <v>259</v>
      </c>
      <c r="R3">
        <v>975</v>
      </c>
      <c r="S3" s="65">
        <v>45.3</v>
      </c>
      <c r="T3">
        <f>R3+SUM($S$3:S3)</f>
        <v>1020.3</v>
      </c>
      <c r="U3">
        <f>T3*(1-EXP((-M4/($B$4*9.81))))</f>
        <v>15.482249961142733</v>
      </c>
      <c r="V3">
        <f>R3*(1-EXP((-M4/($B$4*9.81))))</f>
        <v>14.79485809282972</v>
      </c>
    </row>
    <row r="4" spans="1:23">
      <c r="A4" t="s">
        <v>260</v>
      </c>
      <c r="B4">
        <v>1000</v>
      </c>
      <c r="C4">
        <v>2</v>
      </c>
      <c r="D4">
        <v>900</v>
      </c>
      <c r="E4">
        <v>344</v>
      </c>
      <c r="F4">
        <f t="shared" ref="F4:F8" si="0">(D4+E4+2*6378)/2</f>
        <v>7000</v>
      </c>
      <c r="G4" s="62">
        <v>1.4614000000000001E-3</v>
      </c>
      <c r="H4" s="62">
        <v>82.552199999999999</v>
      </c>
      <c r="I4" s="62">
        <v>196.1754</v>
      </c>
      <c r="J4" s="62">
        <v>155.37270000000001</v>
      </c>
      <c r="K4" s="62">
        <v>204.8237</v>
      </c>
      <c r="L4" s="62">
        <v>15.71635466</v>
      </c>
      <c r="M4" s="154">
        <f>0.15*1000</f>
        <v>150</v>
      </c>
      <c r="N4" s="64" t="s">
        <v>261</v>
      </c>
      <c r="R4">
        <v>975</v>
      </c>
      <c r="S4" s="65">
        <v>45.3</v>
      </c>
      <c r="T4">
        <f>R4+SUM($S$3:S4)</f>
        <v>1065.5999999999999</v>
      </c>
      <c r="U4">
        <f>(T4-SUM(U3:U3))*(1-EXP((-N5/($B$4*9.81))))</f>
        <v>10.586611743788525</v>
      </c>
      <c r="V4">
        <f>(R4-SUM(V3:V3))*(1-EXP((-N5/($B$4*9.81))))</f>
        <v>9.6801706583708675</v>
      </c>
    </row>
    <row r="5" spans="1:23">
      <c r="C5">
        <v>3</v>
      </c>
      <c r="D5">
        <v>1300</v>
      </c>
      <c r="E5">
        <v>344</v>
      </c>
      <c r="F5">
        <f t="shared" si="0"/>
        <v>7200</v>
      </c>
      <c r="G5" s="62">
        <v>1.4614000000000001E-3</v>
      </c>
      <c r="H5" s="62">
        <v>82.552199999999999</v>
      </c>
      <c r="I5" s="62">
        <v>196.1754</v>
      </c>
      <c r="J5" s="62">
        <v>155.37270000000001</v>
      </c>
      <c r="K5" s="62">
        <v>204.8237</v>
      </c>
      <c r="L5" s="62">
        <v>15.71635466</v>
      </c>
      <c r="M5" s="156"/>
      <c r="N5" s="154">
        <f>0.0994*1000</f>
        <v>99.4</v>
      </c>
      <c r="O5" s="64" t="s">
        <v>262</v>
      </c>
      <c r="R5">
        <v>975</v>
      </c>
      <c r="S5" s="65">
        <v>45.3</v>
      </c>
      <c r="T5">
        <f>R5+SUM($S$3:S5)</f>
        <v>1110.9000000000001</v>
      </c>
      <c r="U5">
        <f>(T5-SUM(U3:U4))*(1-EXP((-O6/($B$4*9.81))))</f>
        <v>10.279552645276768</v>
      </c>
      <c r="V5">
        <f>(R5-SUM(V3:V4))*(1-EXP((-O6/($B$4*9.81))))</f>
        <v>9.0069054414849976</v>
      </c>
    </row>
    <row r="6" spans="1:23">
      <c r="C6">
        <v>4</v>
      </c>
      <c r="D6">
        <v>1700</v>
      </c>
      <c r="E6">
        <v>344</v>
      </c>
      <c r="F6">
        <f t="shared" si="0"/>
        <v>7400</v>
      </c>
      <c r="G6" s="62">
        <v>1.4614000000000001E-3</v>
      </c>
      <c r="H6" s="62">
        <v>82.552199999999999</v>
      </c>
      <c r="I6" s="62">
        <v>196.1754</v>
      </c>
      <c r="J6" s="62">
        <v>155.37270000000001</v>
      </c>
      <c r="K6" s="62">
        <v>204.8237</v>
      </c>
      <c r="L6" s="62">
        <v>15.71635466</v>
      </c>
      <c r="M6" s="66" t="s">
        <v>259</v>
      </c>
      <c r="N6" s="126"/>
      <c r="O6" s="154">
        <f>0.0934*1000</f>
        <v>93.399999999999991</v>
      </c>
      <c r="P6" s="64" t="s">
        <v>263</v>
      </c>
      <c r="R6">
        <v>975</v>
      </c>
      <c r="S6" s="65">
        <v>45.3</v>
      </c>
      <c r="T6">
        <f>R6+SUM($S$3:S6)</f>
        <v>1156.2</v>
      </c>
      <c r="U6">
        <f>(T6-SUM(U3:U5))*(1-EXP((-P7/($B$4*9.81))))</f>
        <v>9.8874970537946698</v>
      </c>
      <c r="V6">
        <f>(R6-SUM(V3:V5))*(1-EXP((-P7/($B$4*9.81))))</f>
        <v>8.3129382688355058</v>
      </c>
    </row>
    <row r="7" spans="1:23">
      <c r="C7">
        <v>5</v>
      </c>
      <c r="D7">
        <v>2100</v>
      </c>
      <c r="E7">
        <v>344</v>
      </c>
      <c r="F7">
        <f t="shared" si="0"/>
        <v>7600</v>
      </c>
      <c r="G7" s="62">
        <v>1.4614000000000001E-3</v>
      </c>
      <c r="H7" s="62">
        <v>82.552199999999999</v>
      </c>
      <c r="I7" s="62">
        <v>196.1754</v>
      </c>
      <c r="J7" s="62">
        <v>155.37270000000001</v>
      </c>
      <c r="K7" s="62">
        <v>204.8237</v>
      </c>
      <c r="L7" s="62">
        <v>15.71635466</v>
      </c>
      <c r="N7" s="66" t="s">
        <v>261</v>
      </c>
      <c r="O7" s="126"/>
      <c r="P7" s="154">
        <f>0.087*1000</f>
        <v>87</v>
      </c>
      <c r="Q7" s="64" t="s">
        <v>264</v>
      </c>
      <c r="R7">
        <v>975</v>
      </c>
      <c r="S7" s="65">
        <v>45.3</v>
      </c>
      <c r="T7">
        <f>R7+SUM($S$3:S7)</f>
        <v>1201.5</v>
      </c>
      <c r="U7">
        <f>(T7-SUM(U3:U6))*(1-EXP((-Q8/($B$4*9.81))))</f>
        <v>9.639751376505421</v>
      </c>
      <c r="V7">
        <f>(R7-SUM(V3:V6))*(1-EXP((-Q8/($B$4*9.81))))</f>
        <v>7.7868476148027108</v>
      </c>
    </row>
    <row r="8" spans="1:23">
      <c r="C8">
        <v>6</v>
      </c>
      <c r="D8">
        <v>2500</v>
      </c>
      <c r="E8">
        <v>344</v>
      </c>
      <c r="F8">
        <f t="shared" si="0"/>
        <v>7800</v>
      </c>
      <c r="G8" s="62">
        <v>1.4614000000000001E-3</v>
      </c>
      <c r="H8" s="62">
        <v>82.552199999999999</v>
      </c>
      <c r="I8" s="62">
        <v>196.1754</v>
      </c>
      <c r="J8" s="62">
        <v>155.37270000000001</v>
      </c>
      <c r="K8" s="62">
        <v>204.8237</v>
      </c>
      <c r="L8" s="62">
        <v>15.71635466</v>
      </c>
      <c r="O8" s="66" t="s">
        <v>262</v>
      </c>
      <c r="P8" s="126"/>
      <c r="Q8" s="154">
        <f>0.0822*1000</f>
        <v>82.199999999999989</v>
      </c>
      <c r="U8">
        <f>SUM(U3:U7)</f>
        <v>55.875662780508115</v>
      </c>
      <c r="V8">
        <f>SUM(V3:V7)</f>
        <v>49.581720076323805</v>
      </c>
      <c r="W8">
        <f>U8-V8</f>
        <v>6.2939427041843103</v>
      </c>
    </row>
    <row r="9" spans="1:23">
      <c r="P9" s="66" t="s">
        <v>263</v>
      </c>
      <c r="Q9" s="126"/>
    </row>
    <row r="10" spans="1:23">
      <c r="Q10" s="66" t="s">
        <v>264</v>
      </c>
    </row>
    <row r="13" spans="1:23" ht="17.25">
      <c r="B13" s="69" t="s">
        <v>10</v>
      </c>
      <c r="C13" s="69"/>
    </row>
  </sheetData>
  <mergeCells count="11">
    <mergeCell ref="V1:V2"/>
    <mergeCell ref="M1:Q1"/>
    <mergeCell ref="R1:R2"/>
    <mergeCell ref="S1:S2"/>
    <mergeCell ref="T1:T2"/>
    <mergeCell ref="U1:U2"/>
    <mergeCell ref="M4:M5"/>
    <mergeCell ref="N5:N6"/>
    <mergeCell ref="O6:O7"/>
    <mergeCell ref="P7:P8"/>
    <mergeCell ref="Q8:Q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2024-06-26T17:52:04Z</dcterms:created>
  <dcterms:modified xsi:type="dcterms:W3CDTF">2024-08-30T20:01:36Z</dcterms:modified>
  <cp:category/>
  <cp:contentStatus/>
</cp:coreProperties>
</file>