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915"/>
  <workbookPr checkCompatibility="1"/>
  <mc:AlternateContent xmlns:mc="http://schemas.openxmlformats.org/markup-compatibility/2006">
    <mc:Choice Requires="x15">
      <x15ac:absPath xmlns:x15ac="http://schemas.microsoft.com/office/spreadsheetml/2010/11/ac" url="/Users/bran/Documents/projects/auditreports-old/"/>
    </mc:Choice>
  </mc:AlternateContent>
  <bookViews>
    <workbookView xWindow="45120" yWindow="8960" windowWidth="25600" windowHeight="15460" activeTab="1"/>
  </bookViews>
  <sheets>
    <sheet name="访谈内容" sheetId="1" r:id="rId1"/>
    <sheet name="拜访记录" sheetId="2" r:id="rId2"/>
    <sheet name="SOAP方法" sheetId="3" r:id="rId3"/>
    <sheet name="SMART定义" sheetId="4" r:id="rId4"/>
    <sheet name="权重" sheetId="9" r:id="rId5"/>
    <sheet name="病毒rep (2)" sheetId="10" r:id="rId6"/>
  </sheets>
  <externalReferences>
    <externalReference r:id="rId7"/>
  </externalReferences>
  <definedNames>
    <definedName name="拜访记录分值">[1]拜访记录!$G$2:$G$4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72" i="10" l="1"/>
  <c r="J71" i="10"/>
  <c r="J89" i="10"/>
  <c r="E89" i="10"/>
  <c r="J88" i="10"/>
  <c r="E88" i="10"/>
  <c r="J87" i="10"/>
  <c r="E87" i="10"/>
  <c r="J86" i="10"/>
  <c r="E86" i="10"/>
  <c r="J85" i="10"/>
  <c r="J81" i="10"/>
  <c r="E81" i="10"/>
  <c r="J80" i="10"/>
  <c r="E80" i="10"/>
  <c r="J79" i="10"/>
  <c r="E79" i="10"/>
  <c r="J78" i="10"/>
  <c r="E78" i="10"/>
  <c r="J77" i="10"/>
  <c r="J74" i="10"/>
  <c r="J73" i="10"/>
  <c r="E73" i="10"/>
  <c r="E72" i="10"/>
  <c r="E71" i="10"/>
  <c r="B40" i="9"/>
  <c r="D41" i="9"/>
  <c r="D43" i="9"/>
  <c r="D42" i="9"/>
  <c r="D44" i="9"/>
  <c r="J70" i="10"/>
  <c r="B22" i="9"/>
  <c r="D23" i="9"/>
  <c r="D24" i="9"/>
  <c r="D25" i="9"/>
  <c r="D26" i="9"/>
  <c r="D27" i="9"/>
  <c r="D28" i="9"/>
  <c r="E70" i="10"/>
  <c r="J69" i="10"/>
  <c r="J68" i="10"/>
  <c r="J67" i="10"/>
  <c r="J66" i="10"/>
  <c r="E66" i="10"/>
  <c r="J65" i="10"/>
  <c r="E65" i="10"/>
  <c r="J64" i="10"/>
  <c r="E64" i="10"/>
  <c r="J63" i="10"/>
  <c r="E63" i="10"/>
  <c r="J62" i="10"/>
  <c r="E62" i="10"/>
  <c r="B30" i="9"/>
  <c r="D31" i="9"/>
  <c r="D32" i="9"/>
  <c r="D33" i="9"/>
  <c r="D34" i="9"/>
  <c r="D35" i="9"/>
  <c r="D36" i="9"/>
  <c r="D37" i="9"/>
  <c r="D38" i="9"/>
  <c r="J61" i="10"/>
  <c r="B15" i="9"/>
  <c r="D16" i="9"/>
  <c r="D17" i="9"/>
  <c r="D18" i="9"/>
  <c r="D19" i="9"/>
  <c r="D20" i="9"/>
  <c r="E61" i="10"/>
  <c r="J60" i="10"/>
  <c r="I58" i="10"/>
  <c r="H58" i="10"/>
  <c r="G58" i="10"/>
  <c r="D58" i="10"/>
  <c r="C58" i="10"/>
  <c r="B58" i="10"/>
  <c r="I57" i="10"/>
  <c r="H57" i="10"/>
  <c r="G57" i="10"/>
  <c r="D57" i="10"/>
  <c r="C57" i="10"/>
  <c r="B57" i="10"/>
  <c r="I56" i="10"/>
  <c r="H56" i="10"/>
  <c r="G56" i="10"/>
  <c r="C56" i="10"/>
  <c r="B56" i="10"/>
  <c r="I55" i="10"/>
  <c r="H55" i="10"/>
  <c r="G55" i="10"/>
  <c r="C55" i="10"/>
  <c r="B55" i="10"/>
  <c r="I54" i="10"/>
  <c r="H54" i="10"/>
  <c r="G54" i="10"/>
  <c r="C54" i="10"/>
  <c r="B54" i="10"/>
  <c r="I53" i="10"/>
  <c r="H53" i="10"/>
  <c r="G53" i="10"/>
  <c r="C53" i="10"/>
  <c r="B53" i="10"/>
  <c r="I52" i="10"/>
  <c r="H52" i="10"/>
  <c r="G52" i="10"/>
  <c r="C52" i="10"/>
  <c r="B52" i="10"/>
  <c r="I51" i="10"/>
  <c r="H51" i="10"/>
  <c r="G51" i="10"/>
  <c r="C51" i="10"/>
  <c r="B51" i="10"/>
  <c r="I50" i="10"/>
  <c r="H50" i="10"/>
  <c r="G50" i="10"/>
  <c r="C50" i="10"/>
  <c r="B50" i="10"/>
  <c r="I49" i="10"/>
  <c r="H49" i="10"/>
  <c r="G49" i="10"/>
  <c r="C49" i="10"/>
  <c r="B49" i="10"/>
  <c r="I48" i="10"/>
  <c r="H48" i="10"/>
  <c r="G48" i="10"/>
  <c r="C48" i="10"/>
  <c r="B48" i="10"/>
  <c r="I47" i="10"/>
  <c r="H47" i="10"/>
  <c r="G47" i="10"/>
  <c r="C47" i="10"/>
  <c r="B47" i="10"/>
  <c r="J41" i="10"/>
  <c r="J42" i="10"/>
  <c r="J43" i="10"/>
  <c r="J44" i="10"/>
  <c r="C42" i="10"/>
  <c r="G33" i="10"/>
  <c r="C41" i="10"/>
  <c r="G31" i="10"/>
  <c r="C40" i="10"/>
  <c r="G30" i="10"/>
  <c r="I57" i="9"/>
  <c r="H57" i="9"/>
  <c r="G57" i="9"/>
  <c r="I56" i="9"/>
  <c r="H56" i="9"/>
  <c r="G56" i="9"/>
  <c r="C45" i="9"/>
</calcChain>
</file>

<file path=xl/sharedStrings.xml><?xml version="1.0" encoding="utf-8"?>
<sst xmlns="http://schemas.openxmlformats.org/spreadsheetml/2006/main" count="736" uniqueCount="392">
  <si>
    <t>STEM 顾问名字</t>
  </si>
  <si>
    <t>黄靖娱</t>
  </si>
  <si>
    <t>代表名字</t>
  </si>
  <si>
    <t>黄颖欣</t>
  </si>
  <si>
    <t>代表编码</t>
  </si>
  <si>
    <t>访谈日期</t>
  </si>
  <si>
    <t>02/23/2017</t>
  </si>
  <si>
    <t>访谈内容</t>
  </si>
  <si>
    <r>
      <rPr>
        <sz val="11"/>
        <color indexed="8"/>
        <rFont val="等线"/>
      </rPr>
      <t>评分选择</t>
    </r>
    <r>
      <rPr>
        <b/>
        <sz val="11"/>
        <color indexed="8"/>
        <rFont val="等线"/>
        <charset val="134"/>
      </rPr>
      <t xml:space="preserve"> 0</t>
    </r>
    <r>
      <rPr>
        <sz val="11"/>
        <color indexed="8"/>
        <rFont val="等线"/>
      </rPr>
      <t xml:space="preserve"> 或</t>
    </r>
    <r>
      <rPr>
        <b/>
        <sz val="11"/>
        <color indexed="8"/>
        <rFont val="等线"/>
        <charset val="134"/>
      </rPr>
      <t xml:space="preserve"> 1</t>
    </r>
    <r>
      <rPr>
        <sz val="11"/>
        <color indexed="8"/>
        <rFont val="等线"/>
      </rPr>
      <t xml:space="preserve"> 或 </t>
    </r>
    <r>
      <rPr>
        <b/>
        <sz val="11"/>
        <color indexed="8"/>
        <rFont val="等线"/>
        <charset val="134"/>
      </rPr>
      <t>2</t>
    </r>
  </si>
  <si>
    <t>评分方式</t>
  </si>
  <si>
    <t>请问目前您所负责的产品市场策略有哪些？</t>
  </si>
  <si>
    <t>3 个策略都完整无误提到 = 2   2个策略完整无误提到 = 1 1个策略完整无误提到 = 1 0个策略提到 = 0</t>
  </si>
  <si>
    <t>1. 延长博路定患者DOT</t>
  </si>
  <si>
    <r>
      <rPr>
        <sz val="11"/>
        <color indexed="8"/>
        <rFont val="等线"/>
      </rPr>
      <t xml:space="preserve">1. </t>
    </r>
    <r>
      <rPr>
        <sz val="11"/>
        <color indexed="8"/>
        <rFont val="宋体"/>
        <family val="3"/>
        <charset val="134"/>
      </rPr>
      <t>延长博路定患者</t>
    </r>
    <r>
      <rPr>
        <sz val="11"/>
        <color indexed="8"/>
        <rFont val="等线"/>
      </rPr>
      <t xml:space="preserve">DOT   2. </t>
    </r>
    <r>
      <rPr>
        <sz val="11"/>
        <color indexed="8"/>
        <rFont val="宋体"/>
        <family val="3"/>
        <charset val="134"/>
      </rPr>
      <t>细分优势人群。</t>
    </r>
    <r>
      <rPr>
        <sz val="11"/>
        <color indexed="8"/>
        <rFont val="等线"/>
      </rPr>
      <t xml:space="preserve">3. </t>
    </r>
    <r>
      <rPr>
        <sz val="11"/>
        <color indexed="8"/>
        <rFont val="宋体"/>
        <family val="3"/>
        <charset val="134"/>
      </rPr>
      <t>拓展消化科与肝胆外科</t>
    </r>
  </si>
  <si>
    <t>2. 锁定新患者，细分优势人群</t>
  </si>
  <si>
    <t>3. 拓展消化科与肝胆外科</t>
  </si>
  <si>
    <t>该产品的目标患者有哪些？</t>
  </si>
  <si>
    <t>3种患者类型包括优势人群里的3个类型都提到 = 2                    3种患者类型部分提到的 = 1                    3种患者类型都没有提到的 = 0</t>
  </si>
  <si>
    <t>正在使用博路定患者</t>
  </si>
  <si>
    <r>
      <rPr>
        <sz val="11"/>
        <color indexed="8"/>
        <rFont val="宋体"/>
        <family val="3"/>
        <charset val="134"/>
      </rPr>
      <t>优势人群</t>
    </r>
    <r>
      <rPr>
        <sz val="11"/>
        <color indexed="8"/>
        <rFont val="等线"/>
      </rPr>
      <t xml:space="preserve"> -                                                                                                                                                 i. </t>
    </r>
    <r>
      <rPr>
        <sz val="11"/>
        <color indexed="8"/>
        <rFont val="宋体"/>
        <family val="3"/>
        <charset val="134"/>
      </rPr>
      <t xml:space="preserve">中老年患者
</t>
    </r>
    <r>
      <rPr>
        <sz val="11"/>
        <color indexed="8"/>
        <rFont val="等线"/>
      </rPr>
      <t xml:space="preserve">ii. </t>
    </r>
    <r>
      <rPr>
        <sz val="11"/>
        <color indexed="8"/>
        <rFont val="宋体"/>
        <family val="3"/>
        <charset val="134"/>
      </rPr>
      <t xml:space="preserve">高病毒载量的患者
</t>
    </r>
    <r>
      <rPr>
        <sz val="11"/>
        <color indexed="8"/>
        <rFont val="等线"/>
      </rPr>
      <t>iii. DNA</t>
    </r>
    <r>
      <rPr>
        <sz val="11"/>
        <color indexed="8"/>
        <rFont val="宋体"/>
        <family val="3"/>
        <charset val="134"/>
      </rPr>
      <t>阳性、进展性肝纤维化</t>
    </r>
    <r>
      <rPr>
        <sz val="11"/>
        <color indexed="8"/>
        <rFont val="等线"/>
      </rPr>
      <t>/</t>
    </r>
    <r>
      <rPr>
        <sz val="11"/>
        <color indexed="8"/>
        <rFont val="宋体"/>
        <family val="3"/>
        <charset val="134"/>
      </rPr>
      <t>肝硬化患者</t>
    </r>
  </si>
  <si>
    <t>新患者</t>
  </si>
  <si>
    <t>优势人群 -                                                                                                                                                 i. 中老年患者
ii. 高病毒载量的患者
iii. DNA阳性、进展性肝纤维化/肝硬化患者</t>
  </si>
  <si>
    <t>该产品的关键信息有哪些？</t>
  </si>
  <si>
    <t>3 个关键信息都有提到 = 2    2个关键信息提到 = 1 1个关键信息提到 = 1  0个关键信息提到 = 0</t>
  </si>
  <si>
    <t>博路定强效持续抑制病毒，能逆转肝纤维化、延缓肝脏相关疾病进展。</t>
  </si>
  <si>
    <r>
      <rPr>
        <sz val="11"/>
        <color indexed="8"/>
        <rFont val="等线"/>
      </rPr>
      <t>1.</t>
    </r>
    <r>
      <rPr>
        <sz val="11"/>
        <color indexed="8"/>
        <rFont val="宋体"/>
        <family val="3"/>
        <charset val="134"/>
      </rPr>
      <t>临床实际用药和指南用药有出入，把差距缩小，尽量按指南要求使用。</t>
    </r>
    <r>
      <rPr>
        <sz val="11"/>
        <color indexed="8"/>
        <rFont val="等线"/>
      </rPr>
      <t>2.</t>
    </r>
    <r>
      <rPr>
        <sz val="11"/>
        <color indexed="8"/>
        <rFont val="宋体"/>
        <family val="3"/>
        <charset val="134"/>
      </rPr>
      <t>慢乙肝抗病毒治疗需要长期用药，博路定是国内外各大指南的一线推荐药物。</t>
    </r>
    <r>
      <rPr>
        <sz val="11"/>
        <color indexed="8"/>
        <rFont val="等线"/>
      </rPr>
      <t>3</t>
    </r>
    <r>
      <rPr>
        <sz val="11"/>
        <color indexed="8"/>
        <rFont val="宋体"/>
        <family val="3"/>
        <charset val="134"/>
      </rPr>
      <t>短期治疗，不管是高病毒载量还是低病毒载量，绝大部分都能够获得病毒学应答。</t>
    </r>
    <r>
      <rPr>
        <sz val="11"/>
        <color indexed="8"/>
        <rFont val="等线"/>
      </rPr>
      <t>4.6</t>
    </r>
    <r>
      <rPr>
        <sz val="11"/>
        <color indexed="8"/>
        <rFont val="宋体"/>
        <family val="3"/>
        <charset val="134"/>
      </rPr>
      <t>年的耐药率只有</t>
    </r>
    <r>
      <rPr>
        <sz val="11"/>
        <color indexed="8"/>
        <rFont val="等线"/>
      </rPr>
      <t>1.2% 5.</t>
    </r>
    <r>
      <rPr>
        <sz val="11"/>
        <color indexed="8"/>
        <rFont val="宋体"/>
        <family val="3"/>
        <charset val="134"/>
      </rPr>
      <t>长期治疗，</t>
    </r>
    <r>
      <rPr>
        <sz val="11"/>
        <color indexed="8"/>
        <rFont val="等线"/>
      </rPr>
      <t>100</t>
    </r>
    <r>
      <rPr>
        <sz val="11"/>
        <color indexed="8"/>
        <rFont val="宋体"/>
        <family val="3"/>
        <charset val="134"/>
      </rPr>
      <t>％患者都能获得组织学改善。</t>
    </r>
    <r>
      <rPr>
        <sz val="11"/>
        <color indexed="8"/>
        <rFont val="等线"/>
      </rPr>
      <t>6.5</t>
    </r>
    <r>
      <rPr>
        <sz val="11"/>
        <color indexed="8"/>
        <rFont val="宋体"/>
        <family val="3"/>
        <charset val="134"/>
      </rPr>
      <t>年的病毒学不可测率高达</t>
    </r>
    <r>
      <rPr>
        <sz val="11"/>
        <color indexed="8"/>
        <rFont val="等线"/>
      </rPr>
      <t>97%</t>
    </r>
    <r>
      <rPr>
        <sz val="11"/>
        <color indexed="8"/>
        <rFont val="宋体"/>
        <family val="3"/>
        <charset val="134"/>
      </rPr>
      <t>。</t>
    </r>
  </si>
  <si>
    <t>博路定长期使用安全性良好，确保患者能有更好的治疗依从性，从而保证临床持续获益。</t>
  </si>
  <si>
    <t>博路定在中国有超过十年临床经验，有以080/EVOLVE研究为代表的真实世界数据支持,是指南推荐的初治一线治疗药物。</t>
  </si>
  <si>
    <t>目前所覆盖的科室有哪些？</t>
  </si>
  <si>
    <t>提到3个目标科室里任何一个 = 2 没有提到3个目标科室的其中一个 = 0</t>
  </si>
  <si>
    <t>肝病科</t>
  </si>
  <si>
    <t>感染科，肝脏外科。</t>
  </si>
  <si>
    <t>感染科</t>
  </si>
  <si>
    <t>消化科/肝胆外科</t>
  </si>
  <si>
    <t>目前业务比例是如何分配的？</t>
  </si>
  <si>
    <t>请按照代表回答的百分比来填写，总共是100%</t>
  </si>
  <si>
    <t>感染科85%</t>
  </si>
  <si>
    <t>中医科，肾内和风湿科5%</t>
  </si>
  <si>
    <t>肝胆外科10%</t>
  </si>
  <si>
    <t>总和100%</t>
  </si>
  <si>
    <t>目前主要竞争产品是哪一个？</t>
  </si>
  <si>
    <t>提到3个竞争产品其中任何一个 = 2 没有提到3个竞争产品的其中一个 = 0</t>
  </si>
  <si>
    <t>非指南一线推荐的药物 (LAM/LDT/ADV)</t>
  </si>
  <si>
    <t>天丁(马来酸恩替卡韦片)    韦瑞德TDF</t>
  </si>
  <si>
    <t>替诺福韦（TDF）</t>
  </si>
  <si>
    <t>恩替卡韦仿制品</t>
  </si>
  <si>
    <t>针对TDF，目前客户的反对意见有哪些？</t>
  </si>
  <si>
    <t xml:space="preserve">提到任何一个反对意见 = 2 没有提到举例的反对意见 = 0 </t>
  </si>
  <si>
    <r>
      <rPr>
        <sz val="11"/>
        <color indexed="8"/>
        <rFont val="Arial"/>
        <family val="2"/>
      </rPr>
      <t>1.</t>
    </r>
    <r>
      <rPr>
        <sz val="7"/>
        <color indexed="8"/>
        <rFont val="Arial"/>
        <family val="2"/>
      </rPr>
      <t>  </t>
    </r>
    <r>
      <rPr>
        <sz val="11"/>
        <color indexed="8"/>
        <rFont val="Arial"/>
        <family val="2"/>
      </rPr>
      <t>TDF是新一代核苷类抗病毒治疗药物，优于ETV</t>
    </r>
  </si>
  <si>
    <r>
      <rPr>
        <sz val="11"/>
        <color indexed="8"/>
        <rFont val="Arial"/>
        <family val="2"/>
      </rPr>
      <t>2.</t>
    </r>
    <r>
      <rPr>
        <sz val="7"/>
        <color indexed="8"/>
        <rFont val="Arial"/>
        <family val="2"/>
      </rPr>
      <t>  </t>
    </r>
    <r>
      <rPr>
        <sz val="11"/>
        <color indexed="8"/>
        <rFont val="Arial"/>
        <family val="2"/>
      </rPr>
      <t>ETV治疗24周应答不佳应换用TDF</t>
    </r>
  </si>
  <si>
    <r>
      <rPr>
        <sz val="11"/>
        <color indexed="8"/>
        <rFont val="Arial"/>
        <family val="2"/>
      </rPr>
      <t>3.</t>
    </r>
    <r>
      <rPr>
        <sz val="7"/>
        <color indexed="8"/>
        <rFont val="Arial"/>
        <family val="2"/>
      </rPr>
      <t>  </t>
    </r>
    <r>
      <rPr>
        <sz val="11"/>
        <color indexed="8"/>
        <rFont val="Arial"/>
        <family val="2"/>
      </rPr>
      <t>TDF肾脏安全性优于ADV</t>
    </r>
  </si>
  <si>
    <t>4. ADV/TDF治疗期间, eGFR 评估的患者肾功能 并无显著影响</t>
  </si>
  <si>
    <t>5. 价格</t>
  </si>
  <si>
    <t>公司要求使用的推广资料有哪些？</t>
  </si>
  <si>
    <t>完整无误的讲解了策略1和策略3的推广资料信息 = 2  完整无误的讲解了其中一个策略的推广资料信息 = 1       2个策略的推广信息都没有提到 = 0</t>
  </si>
  <si>
    <t xml:space="preserve">针对策略1，肝病感染科4套EDA
• 慢乙肝抗病毒治疗--关注e抗原转换 还是 持续抑制病毒？
• 慢乙肝起始抗病毒治疗--选择恩替卡韦单药方案还是阿德福韦酯联合拉米夫定方案？
• 慢乙肝抗病毒治疗--认识耐药危害，正确选择初治抗病毒药物
• 慢乙肝持续抗病毒治疗的长期获益
</t>
  </si>
  <si>
    <t>1.慢乙肝抗病毒治疗中，核肝(酸)类似物的肾脏安全性 2慢乙肝持续抗病毒治疗的长期获益.3. 快速转阴 4.初始联合 5 e抗原血清学转换 6.长期抗病毒治疗的结局 7.探索原研和仿制品的差异 8.慢乙肝抗病毒治疗应该关注替代指标还是临床硬终点</t>
  </si>
  <si>
    <t>策略2暂时没有EDA</t>
  </si>
  <si>
    <t>针对策略3，消化科2套EDA                                                                 • 慢乙肝防治指南的临床实践-抗病毒治疗相关问题
• 慢乙肝抗病毒治疗的临床获益-代偿期肝硬化慢乙肝患者抗病毒治疗的临床获益</t>
  </si>
  <si>
    <t>拜访日期</t>
  </si>
  <si>
    <t>拜访记录</t>
  </si>
  <si>
    <t>拜访 1</t>
  </si>
  <si>
    <t>拜访 2</t>
  </si>
  <si>
    <t>拜访 3</t>
  </si>
  <si>
    <t>拜访 4</t>
  </si>
  <si>
    <t>拜访 5</t>
  </si>
  <si>
    <t>拜访 6</t>
  </si>
  <si>
    <t>拜访 7</t>
  </si>
  <si>
    <t>拜访 8</t>
  </si>
  <si>
    <t>拜访 9</t>
  </si>
  <si>
    <t>拜访 10</t>
  </si>
  <si>
    <t>拜访 11</t>
  </si>
  <si>
    <t>拜访 12</t>
  </si>
  <si>
    <t>备注</t>
  </si>
  <si>
    <t>Integrate Precise Planning 整合规划</t>
  </si>
  <si>
    <t>0，3，6</t>
  </si>
  <si>
    <t>以下评分选择 0 或 3 或 6</t>
  </si>
  <si>
    <t>医院名称</t>
  </si>
  <si>
    <t>中山大学附属第三医院</t>
  </si>
  <si>
    <t>填写医院名称</t>
  </si>
  <si>
    <t>医生姓名</t>
  </si>
  <si>
    <t>李慧</t>
  </si>
  <si>
    <t>林登娜</t>
  </si>
  <si>
    <t>李展翼</t>
  </si>
  <si>
    <t>邓子德</t>
  </si>
  <si>
    <t>汪根树</t>
  </si>
  <si>
    <t>姜楠</t>
  </si>
  <si>
    <t>填写拜访医生姓名</t>
  </si>
  <si>
    <t>拜访时间 (几点到几点)</t>
  </si>
  <si>
    <t>11:45-11:46</t>
  </si>
  <si>
    <t>17:45-17:47</t>
  </si>
  <si>
    <t>拜访的开始到结束花了多少时间</t>
  </si>
  <si>
    <t>拜访科室</t>
  </si>
  <si>
    <t>肝脏外科</t>
  </si>
  <si>
    <t>肝胆外科</t>
  </si>
  <si>
    <t>填写所拜访的科室</t>
  </si>
  <si>
    <t>此次拜访的目的是什么？</t>
  </si>
  <si>
    <t>让他认识抗病毒治疗对组织学改善的获益</t>
  </si>
  <si>
    <t>让她认识抗病毒治疗对组织学改善的获益</t>
  </si>
  <si>
    <t>了解他对现有的抗病毒药物肾脏安全性认识</t>
  </si>
  <si>
    <t>对2月10号会议的形式的反馈</t>
  </si>
  <si>
    <t>邀请科室参与3月16日的网络会议</t>
  </si>
  <si>
    <t>邀请他做网络会议的讲者和邀请他听3月份的会议。</t>
  </si>
  <si>
    <t>分享博路定在长期治疗的研究数据，看她是否有这方面的研究经验</t>
  </si>
  <si>
    <t>邀请他参加网络会议，探寻他对肾脏安全性，耐药对抗病毒治疗的影响，关注哪个？</t>
  </si>
  <si>
    <t>填写代表告诉你的回答</t>
  </si>
  <si>
    <t>对于此次拜访您打算怎么做？</t>
  </si>
  <si>
    <t>通过亚太肝病年会来切入</t>
  </si>
  <si>
    <r>
      <rPr>
        <sz val="11"/>
        <color indexed="8"/>
        <rFont val="宋体"/>
        <family val="3"/>
        <charset val="134"/>
      </rPr>
      <t>通过</t>
    </r>
    <r>
      <rPr>
        <sz val="11"/>
        <color indexed="8"/>
        <rFont val="等线"/>
      </rPr>
      <t>2</t>
    </r>
    <r>
      <rPr>
        <sz val="11"/>
        <color indexed="8"/>
        <rFont val="宋体"/>
        <family val="3"/>
        <charset val="134"/>
      </rPr>
      <t>月</t>
    </r>
    <r>
      <rPr>
        <sz val="11"/>
        <color indexed="8"/>
        <rFont val="等线"/>
      </rPr>
      <t>10</t>
    </r>
    <r>
      <rPr>
        <sz val="11"/>
        <color indexed="8"/>
        <rFont val="宋体"/>
        <family val="3"/>
        <charset val="134"/>
      </rPr>
      <t>号会议的形式询问的切入</t>
    </r>
  </si>
  <si>
    <t>显示3月16日邀请函</t>
  </si>
  <si>
    <t>分享会议召开成功的案例，分享讲课幻灯选择</t>
  </si>
  <si>
    <t>从上次帮她的查的患者资料，显示博路定在重肝患者身上的研究数据</t>
  </si>
  <si>
    <t>通过会议吸引</t>
  </si>
  <si>
    <t>填写代表的回答 (评分依据)</t>
  </si>
  <si>
    <t>评分</t>
  </si>
  <si>
    <t>填写分数</t>
  </si>
  <si>
    <t>代表有清晰的告诉你打算怎么做 = 6</t>
  </si>
  <si>
    <t>此次拜访打算展示什么？</t>
  </si>
  <si>
    <r>
      <rPr>
        <sz val="11"/>
        <color indexed="8"/>
        <rFont val="等线"/>
      </rPr>
      <t>IPAD</t>
    </r>
    <r>
      <rPr>
        <sz val="11"/>
        <color indexed="8"/>
        <rFont val="宋体"/>
        <family val="3"/>
        <charset val="134"/>
      </rPr>
      <t>展示：持续治疗使纤维化和肝硬化患者</t>
    </r>
    <r>
      <rPr>
        <sz val="11"/>
        <color indexed="8"/>
        <rFont val="等线"/>
      </rPr>
      <t>100%</t>
    </r>
    <r>
      <rPr>
        <sz val="11"/>
        <color indexed="8"/>
        <rFont val="宋体"/>
        <family val="3"/>
        <charset val="134"/>
      </rPr>
      <t>获得纤维化改善</t>
    </r>
  </si>
  <si>
    <r>
      <rPr>
        <sz val="11"/>
        <color indexed="8"/>
        <rFont val="等线"/>
      </rPr>
      <t>IPAD</t>
    </r>
    <r>
      <rPr>
        <sz val="11"/>
        <color indexed="8"/>
        <rFont val="宋体"/>
        <family val="3"/>
        <charset val="134"/>
      </rPr>
      <t>展示：</t>
    </r>
    <r>
      <rPr>
        <sz val="11"/>
        <color indexed="8"/>
        <rFont val="等线"/>
      </rPr>
      <t>ETV</t>
    </r>
    <r>
      <rPr>
        <sz val="11"/>
        <color indexed="8"/>
        <rFont val="宋体"/>
        <family val="3"/>
        <charset val="134"/>
      </rPr>
      <t>持续治疗带来更高的组织学改善</t>
    </r>
  </si>
  <si>
    <r>
      <rPr>
        <sz val="11"/>
        <color indexed="8"/>
        <rFont val="等线"/>
      </rPr>
      <t>IPAD</t>
    </r>
    <r>
      <rPr>
        <sz val="11"/>
        <color indexed="8"/>
        <rFont val="宋体"/>
        <family val="3"/>
        <charset val="134"/>
      </rPr>
      <t>展示：核苷酸类药物换成</t>
    </r>
    <r>
      <rPr>
        <sz val="11"/>
        <color indexed="8"/>
        <rFont val="等线"/>
      </rPr>
      <t>ETV</t>
    </r>
    <r>
      <rPr>
        <sz val="11"/>
        <color indexed="8"/>
        <rFont val="宋体"/>
        <family val="3"/>
        <charset val="134"/>
      </rPr>
      <t>后肾功能得到改善</t>
    </r>
  </si>
  <si>
    <r>
      <rPr>
        <sz val="11"/>
        <color indexed="8"/>
        <rFont val="等线"/>
      </rPr>
      <t>IPAD</t>
    </r>
    <r>
      <rPr>
        <sz val="11"/>
        <color indexed="8"/>
        <rFont val="宋体"/>
        <family val="3"/>
        <charset val="134"/>
      </rPr>
      <t>展示：核苷酸类药物换成</t>
    </r>
    <r>
      <rPr>
        <sz val="11"/>
        <color indexed="8"/>
        <rFont val="等线"/>
      </rPr>
      <t>ETV</t>
    </r>
    <r>
      <rPr>
        <sz val="11"/>
        <color indexed="8"/>
        <rFont val="宋体"/>
        <family val="3"/>
        <charset val="134"/>
      </rPr>
      <t>后肾功能得到改善，着重预防的获益</t>
    </r>
  </si>
  <si>
    <t>现有的幻灯</t>
  </si>
  <si>
    <t>口诉3月16日会议议程</t>
  </si>
  <si>
    <t>代表有清晰的告诉你打算展示什么 = 6</t>
  </si>
  <si>
    <t>此次拜访想发现什么？</t>
  </si>
  <si>
    <t>看外科是否有类似病人</t>
  </si>
  <si>
    <r>
      <rPr>
        <sz val="11"/>
        <color indexed="8"/>
        <rFont val="宋体"/>
        <family val="3"/>
        <charset val="134"/>
      </rPr>
      <t>现在接触的患者使用</t>
    </r>
    <r>
      <rPr>
        <sz val="11"/>
        <color indexed="8"/>
        <rFont val="等线"/>
      </rPr>
      <t>ETV</t>
    </r>
    <r>
      <rPr>
        <sz val="11"/>
        <color indexed="8"/>
        <rFont val="宋体"/>
        <family val="3"/>
        <charset val="134"/>
      </rPr>
      <t>、</t>
    </r>
    <r>
      <rPr>
        <sz val="11"/>
        <color indexed="8"/>
        <rFont val="等线"/>
      </rPr>
      <t>LAM</t>
    </r>
    <r>
      <rPr>
        <sz val="11"/>
        <color indexed="8"/>
        <rFont val="宋体"/>
        <family val="3"/>
        <charset val="134"/>
      </rPr>
      <t>、</t>
    </r>
    <r>
      <rPr>
        <sz val="11"/>
        <color indexed="8"/>
        <rFont val="等线"/>
      </rPr>
      <t xml:space="preserve"> ADV</t>
    </r>
    <r>
      <rPr>
        <sz val="11"/>
        <color indexed="8"/>
        <rFont val="宋体"/>
        <family val="3"/>
        <charset val="134"/>
      </rPr>
      <t>，哪种更多？</t>
    </r>
  </si>
  <si>
    <r>
      <rPr>
        <sz val="11"/>
        <color indexed="8"/>
        <rFont val="宋体"/>
        <family val="3"/>
        <charset val="134"/>
      </rPr>
      <t>对</t>
    </r>
    <r>
      <rPr>
        <sz val="11"/>
        <color indexed="8"/>
        <rFont val="等线"/>
      </rPr>
      <t>2</t>
    </r>
    <r>
      <rPr>
        <sz val="11"/>
        <color indexed="8"/>
        <rFont val="宋体"/>
        <family val="3"/>
        <charset val="134"/>
      </rPr>
      <t>月</t>
    </r>
    <r>
      <rPr>
        <sz val="11"/>
        <color indexed="8"/>
        <rFont val="等线"/>
      </rPr>
      <t>10</t>
    </r>
    <r>
      <rPr>
        <sz val="11"/>
        <color indexed="8"/>
        <rFont val="宋体"/>
        <family val="3"/>
        <charset val="134"/>
      </rPr>
      <t>号会议的形式的反馈；治疗和预防，更关注哪个？</t>
    </r>
  </si>
  <si>
    <t>对目前推广模式的态度</t>
  </si>
  <si>
    <t>更关注哪方面内容的讲课幻灯</t>
  </si>
  <si>
    <t>重肝患者如何选择抗病毒药物</t>
  </si>
  <si>
    <t>两个专题关注哪个？</t>
  </si>
  <si>
    <t>代表有清晰的告诉你打算发现什么 = 6</t>
  </si>
  <si>
    <t>请单独填写以下内容</t>
  </si>
  <si>
    <t>此次拜访是否延续了之前的拜访</t>
  </si>
  <si>
    <t>填写评分依据</t>
  </si>
  <si>
    <t>有延续之前的拜访 = 6</t>
  </si>
  <si>
    <t>此次拜访目标是否 SMART？ (all SMART Elements)</t>
  </si>
  <si>
    <t>填写评分依据，选择代表的拜访目标涵盖了SMART几项</t>
  </si>
  <si>
    <t>此次拜访目标是否 SMART ? (3-4 SMART Elements)</t>
  </si>
  <si>
    <t>此次拜访目标是否 SMART ? (1-2 SMART Elements)</t>
  </si>
  <si>
    <t>分享博路定在长期治疗的研究数据，看她是否有这方面的研究经验，</t>
  </si>
  <si>
    <t>5项SMART都有 = 6                    部分有 = 3                   一个都没有 = 0</t>
  </si>
  <si>
    <t>代表和医生的对话场景</t>
  </si>
  <si>
    <r>
      <rPr>
        <sz val="11"/>
        <color indexed="8"/>
        <rFont val="宋体"/>
        <family val="3"/>
        <charset val="134"/>
      </rPr>
      <t>代表：邓主任，您上次有帮我们讲过课，今天过来想问一下您对那次会议有什么建议？医生：不好意思！现在有急事要处理，下次再聊吧。代表：好的，那不打扰了。下次再拜访您。谢谢！</t>
    </r>
  </si>
  <si>
    <t>代表:汪主任，我们3月16号有一场会议想跟您沟通一下，方便吗？医生:博路定吗？博路定不是不做了吗？代表:做。现在有这些网络会议，想组织一下科里的老师一起去听。医生:好。下次再说吧。</t>
  </si>
  <si>
    <t>代表:雷主任，我们3月16日有一场网络会议，想邀请您参加。医生:什么时间？代表:当天上午10点到12点。医生:上班时间啊，现在还不知道3月份的排班情况，还要看是否要带学生。代表:要不我先给您看看幻灯片，看看您是否感兴趣。医生:不用了。代表:如果邀请您讲，您想跟哪些地方的讲者搭档啊？医生:到时再说吧</t>
  </si>
  <si>
    <t>代表:上次我帮您查过一些资料嘛，这次我带来一个研究数据跟您分享。这边的亚组10例患者是通过3次肝穿获得，他们在使用博路定6年后显示纤维化得到改善。您临床上有遇到这样的病人吗？ 医生:我们无法肝穿不清楚。代表：肝穿创伤很小，患者也不肯吗？医生：是的。不愿意。如果愿意就好了。你们研究有没有肝穿2次的数据啊？代表:（翻原文）应该有，但以前没有留意。医生:有没有一年的数据？如果一年就有好的效果那应该很好。不过，你们没有显示，应该就没有了。代表:您想得很独到，我回去查一下原文再发给您。(患者进来，拜访结束)</t>
  </si>
  <si>
    <t>请填写代表和医生之间的对话，使用以下格式                               医生:                                                    代表:                                           医生:                                           代表</t>
  </si>
  <si>
    <t>Capture Attention 吸引注意</t>
  </si>
  <si>
    <t>是否和客户提到此次拜访是延续之前的拜访</t>
  </si>
  <si>
    <t>代表:上次我帮您查过一些资料嘛，这次我带来一个研究数据给您分享。</t>
  </si>
  <si>
    <t>和客户开场时代表是否提到之前的拜访？</t>
  </si>
  <si>
    <t>有明确提到之前的拜访 = 6</t>
  </si>
  <si>
    <t>拜访中是否与客户说明目的并与整合规划中的目标相连</t>
  </si>
  <si>
    <t>邓主任，您上次有帮我们讲过课，今天过来想问一下您对那次会议有什么建议？</t>
  </si>
  <si>
    <t>代表:汪主任，我们3月16号有一场会议想跟您沟通一下，方便吗？</t>
  </si>
  <si>
    <t>雷主任，我们3月16日有一场网络会议，想邀请您参加。</t>
  </si>
  <si>
    <t>与客户分享拜访目的时是否和之前告诉你拜访目的一致？</t>
  </si>
  <si>
    <t>完整 = 6                                           部分 = 3                                                   没有 = 0</t>
  </si>
  <si>
    <t>是否采用讲述患者故事的方法与客户进行互动</t>
  </si>
  <si>
    <t>是否采用其中一个方式来和客户进行互动？</t>
  </si>
  <si>
    <t xml:space="preserve">是否采用SOAP的方法与客户进行互动 </t>
  </si>
  <si>
    <t>是否提出产品特征/优势来与客户进行互动</t>
  </si>
  <si>
    <t>是否利用提问来与客户进行互动</t>
  </si>
  <si>
    <t xml:space="preserve">使用了一种互动方式 = 6 </t>
  </si>
  <si>
    <t>Generate Value  创造价值</t>
  </si>
  <si>
    <t>使用提问来了解客户目前对相关疾病的治疗方案</t>
  </si>
  <si>
    <t>您临床上有遇到这样的病人吗</t>
  </si>
  <si>
    <t>是否发生</t>
  </si>
  <si>
    <t>有 = 6    没有 = 0</t>
  </si>
  <si>
    <t>询问客户对该疾病的治疗目标</t>
  </si>
  <si>
    <t>通过提问来了解客户目前对于BMS产品的使用</t>
  </si>
  <si>
    <t xml:space="preserve">通过提问方式来了解客户选择治疗方案的考虑因素 </t>
  </si>
  <si>
    <t>提供专注于患者的解决方案</t>
  </si>
  <si>
    <t>处理客户的反对意见</t>
  </si>
  <si>
    <t>利用产品关键信息来区分BMS产品和竞争产品</t>
  </si>
  <si>
    <t>是否引发和客户相互讨论或学术辩论</t>
  </si>
  <si>
    <t>Achieve Agreement  达成共识</t>
  </si>
  <si>
    <t>客户是否认同或者同意了代表所沟通的信息</t>
  </si>
  <si>
    <t>客户是否会考虑代表所提出的BMS产品的治疗价值</t>
  </si>
  <si>
    <t>客户的反应是否会考虑代表所沟通的信息</t>
  </si>
  <si>
    <t xml:space="preserve">同意 = 6      考虑 = 3     没有 = 0 </t>
  </si>
  <si>
    <t>基于与客户达成共识后，代表是否提出行动计划</t>
  </si>
  <si>
    <t xml:space="preserve">客户接受代表提出的行动计划 = 6 代表提出行动计划客户不接受 = 3                                  没有提出行动计划 = 0 </t>
  </si>
  <si>
    <t>代表是否邀请客户参加BMS的学习平台</t>
  </si>
  <si>
    <t>有邀请客户接受 = 6    有邀请但客户不接受 = 3 没有邀请 = 0</t>
  </si>
  <si>
    <t>执行分析</t>
  </si>
  <si>
    <t>0，2，4</t>
  </si>
  <si>
    <t>通过记录的代表和医生对话内容中可以发现此次拜访符合哪一选项</t>
  </si>
  <si>
    <t xml:space="preserve">市场战略 </t>
  </si>
  <si>
    <t>符合策略内容其中任何一个 = 4          拜访内容和举例的策略无关 = 0</t>
  </si>
  <si>
    <t>延长博路定患者DOT</t>
  </si>
  <si>
    <t>锁定新患者，细分优势人群</t>
  </si>
  <si>
    <t>拓展消化科与肝胆外科</t>
  </si>
  <si>
    <t>肝胆外科的客户</t>
  </si>
  <si>
    <t>目标患者类型</t>
  </si>
  <si>
    <t>拜访中有提到任何一个患者类型 = 4                             没有提到任何一个患者类型 = 0</t>
  </si>
  <si>
    <t>优势人群</t>
  </si>
  <si>
    <t xml:space="preserve">关键信息传递 </t>
  </si>
  <si>
    <t>拜访中有提到任何一个关键信息 = 4                           没有提到任何一个关键信息 = 0</t>
  </si>
  <si>
    <t>业务类型</t>
  </si>
  <si>
    <t>此次拜访的目标患者类型属于哪个科室的？                    属于其中一个目标科室的 = 4     不属于任何目标科室的 = 0</t>
  </si>
  <si>
    <t>目标客户</t>
  </si>
  <si>
    <t>此次拜访的目标客户是哪个科室的？     属于其中一个目标科室的 = 4     不属于任何目标科室的 = 0</t>
  </si>
  <si>
    <t>竞争产品</t>
  </si>
  <si>
    <t xml:space="preserve">此次拜访有没有提到竞争产品？   提到的竞争产品是其中一个的 = 4 没有提到任何举例的竞争产品 = 0 </t>
  </si>
  <si>
    <t>反对意见处理</t>
  </si>
  <si>
    <t xml:space="preserve">客户是否提出其中一个反对意见？                                                           有 = 4                                                        没有 = 0 </t>
  </si>
  <si>
    <t>推广资料使用</t>
  </si>
  <si>
    <t>代表使用ipad与客户讲解相关针对性的任何一个信息 = 4                                                                                                              没有使用ipad讲解任何信息 = 0</t>
  </si>
  <si>
    <t>消化科2套EDA                                                                                           • 慢乙肝防治指南的临床实践-抗病毒治疗相关问题
• 慢乙肝抗病毒治疗的临床获益-代偿期肝硬化慢乙肝患者抗病毒治疗的临床获益</t>
  </si>
  <si>
    <t>拜访的结果是什么？</t>
  </si>
  <si>
    <t>在下面适用的地方把0改为1</t>
  </si>
  <si>
    <t>优秀且客户有明确行动的
（你听到清晰的行动即同意改变行为）</t>
  </si>
  <si>
    <t>优秀但没有明确行动 （你听到客户说，他们会改变行为但没有提及明确的行动）</t>
  </si>
  <si>
    <t>试图互动性
(至少传递了1条信息而且客户问过好的问题，（双向互动）但客户没有同意改变行为)</t>
  </si>
  <si>
    <t>试图讲述
（产品信息被传递但没有同意改变行为）</t>
  </si>
  <si>
    <t>事务型（没有销售内容）</t>
  </si>
  <si>
    <t>程序型（品牌提醒，没有任何销售信息）</t>
  </si>
  <si>
    <t>A-SMART原则</t>
  </si>
  <si>
    <r>
      <rPr>
        <sz val="10"/>
        <color indexed="8"/>
        <rFont val="Arial"/>
        <family val="2"/>
      </rPr>
      <t>•</t>
    </r>
    <r>
      <rPr>
        <sz val="7"/>
        <color indexed="8"/>
        <rFont val="Times New Roman"/>
        <family val="1"/>
      </rPr>
      <t xml:space="preserve">          </t>
    </r>
    <r>
      <rPr>
        <sz val="10"/>
        <color indexed="8"/>
        <rFont val="Microsoft YaHei"/>
        <charset val="134"/>
      </rPr>
      <t>一个有效的拜访目标还必须遵循A-SMART原则，A-SMART原则可能在座很多人都曾经听说过，它是几个单词首字母的缩写，即：</t>
    </r>
  </si>
  <si>
    <r>
      <rPr>
        <sz val="10"/>
        <color indexed="8"/>
        <rFont val="Microsoft YaHei"/>
        <charset val="134"/>
      </rPr>
      <t>-</t>
    </r>
    <r>
      <rPr>
        <sz val="7"/>
        <color indexed="8"/>
        <rFont val="Times New Roman"/>
        <family val="1"/>
      </rPr>
      <t xml:space="preserve">        </t>
    </r>
    <r>
      <rPr>
        <b/>
        <sz val="10"/>
        <color indexed="8"/>
        <rFont val="Microsoft YaHei"/>
        <charset val="134"/>
      </rPr>
      <t>A</t>
    </r>
    <r>
      <rPr>
        <sz val="10"/>
        <color indexed="8"/>
        <rFont val="Microsoft YaHei"/>
        <charset val="134"/>
      </rPr>
      <t>ligned — 一致的</t>
    </r>
  </si>
  <si>
    <t>✓▪ 应当与公司内其他相关同事的努力方向相一致。并且，每一次的拜访目标应当与整个跨部门和跨治疗领域客户计划保持一致。</t>
  </si>
  <si>
    <r>
      <rPr>
        <sz val="10"/>
        <color indexed="8"/>
        <rFont val="Microsoft YaHei"/>
        <charset val="134"/>
      </rPr>
      <t>-</t>
    </r>
    <r>
      <rPr>
        <sz val="7"/>
        <color indexed="8"/>
        <rFont val="Times New Roman"/>
        <family val="1"/>
      </rPr>
      <t xml:space="preserve">        </t>
    </r>
    <r>
      <rPr>
        <b/>
        <sz val="10"/>
        <color indexed="8"/>
        <rFont val="Microsoft YaHei"/>
        <charset val="134"/>
      </rPr>
      <t>S</t>
    </r>
    <r>
      <rPr>
        <sz val="10"/>
        <color indexed="8"/>
        <rFont val="Microsoft YaHei"/>
        <charset val="134"/>
      </rPr>
      <t>pecific — 具体的</t>
    </r>
  </si>
  <si>
    <t>✓▪ 要用具体、明确的语言清晰地说明你希望得到、传递、销售或改善什么，是要被清晰定义的，而不是模棱两可。</t>
  </si>
  <si>
    <t>✓▪ 比如，目标是“我要成功”，“成功”的定义在每个人心中都是不一样的，因此不够具体。</t>
  </si>
  <si>
    <t>✓▪ 再比如，“我要减肥”这个目标，“减肥”的定义就是体重减轻，所以就具体性而言，是具体的。</t>
  </si>
  <si>
    <r>
      <rPr>
        <sz val="10"/>
        <color indexed="8"/>
        <rFont val="Microsoft YaHei"/>
        <charset val="134"/>
      </rPr>
      <t>-</t>
    </r>
    <r>
      <rPr>
        <sz val="7"/>
        <color indexed="8"/>
        <rFont val="Times New Roman"/>
        <family val="1"/>
      </rPr>
      <t xml:space="preserve">        </t>
    </r>
    <r>
      <rPr>
        <b/>
        <sz val="10"/>
        <color indexed="8"/>
        <rFont val="Microsoft YaHei"/>
        <charset val="134"/>
      </rPr>
      <t>M</t>
    </r>
    <r>
      <rPr>
        <sz val="10"/>
        <color indexed="8"/>
        <rFont val="Microsoft YaHei"/>
        <charset val="134"/>
      </rPr>
      <t>easurable — 可衡量的</t>
    </r>
  </si>
  <si>
    <t>✓▪ 能够被定性或定量地衡量评估，比如通过一组明确的数据或产生某些行为。</t>
  </si>
  <si>
    <t>✓▪ 比如，我如何知道已经达成了自己的减肥目标呢？如果说“我要减肥100斤”，这个100斤就是衡量的标准。</t>
  </si>
  <si>
    <r>
      <rPr>
        <sz val="10"/>
        <color indexed="8"/>
        <rFont val="Microsoft YaHei"/>
        <charset val="134"/>
      </rPr>
      <t>-</t>
    </r>
    <r>
      <rPr>
        <sz val="7"/>
        <color indexed="8"/>
        <rFont val="Times New Roman"/>
        <family val="1"/>
      </rPr>
      <t xml:space="preserve">        </t>
    </r>
    <r>
      <rPr>
        <b/>
        <sz val="10"/>
        <color indexed="8"/>
        <rFont val="Microsoft YaHei"/>
        <charset val="134"/>
      </rPr>
      <t>A</t>
    </r>
    <r>
      <rPr>
        <sz val="10"/>
        <color indexed="8"/>
        <rFont val="Microsoft YaHei"/>
        <charset val="134"/>
      </rPr>
      <t>ttainable — 可实现的/有挑战的</t>
    </r>
  </si>
  <si>
    <t>✓▪ 对于销售而言，我们设定的目标应当是现实可行的；同时，是需要我们付出一定努力才能实现的，是有挑战的，换句话说是“需要跳起来才够得着的”。</t>
  </si>
  <si>
    <t>✓▪ 比如，有客户已经在高病毒载量的核苷初治患者处方博路定了，而设的目标仍是“选择在高病毒载量的核苷初治患者处方博路定”，那么这种目标就不是有挑战的。</t>
  </si>
  <si>
    <t xml:space="preserve">✓▪ 那如果有另外一个客户，他以往在♏抗原阳性，病毒载量较低的患者处方素比伏，现在我们的目标设为让其“在♏抗原阳性，病毒载量较低的患者处方博路定”，是否是有挑战的呢？没错，针对这个客户，这个目标就具有挑战性了。 </t>
  </si>
  <si>
    <t>✓▪ 是否挑战，是需要看具体情形的，比如，同样在两周内减肥5公斤，对于一个原本50公斤重的人来说，会是很挑战的一件事，但对于一个体重150公斤的人来说，可能就不是那么挑战了。</t>
  </si>
  <si>
    <r>
      <rPr>
        <sz val="10"/>
        <color indexed="8"/>
        <rFont val="Microsoft YaHei"/>
        <charset val="134"/>
      </rPr>
      <t>-</t>
    </r>
    <r>
      <rPr>
        <sz val="7"/>
        <color indexed="8"/>
        <rFont val="Times New Roman"/>
        <family val="1"/>
      </rPr>
      <t xml:space="preserve">        </t>
    </r>
    <r>
      <rPr>
        <b/>
        <sz val="10"/>
        <color indexed="8"/>
        <rFont val="Microsoft YaHei"/>
        <charset val="134"/>
      </rPr>
      <t>R</t>
    </r>
    <r>
      <rPr>
        <sz val="10"/>
        <color indexed="8"/>
        <rFont val="Microsoft YaHei"/>
        <charset val="134"/>
      </rPr>
      <t>elevant — 相关的</t>
    </r>
  </si>
  <si>
    <t>✓▪ 每一次的拜访目标应当与公司目标的达成持续关联，这就是上面我们所说的♓■♍❒♏❍♏■⧫♋● ⬧♒♓♐⧫的目标，每个小目标的方向都是朝着大目标的，在不断完成小目标的同时，也是在推进大目标的达成。</t>
  </si>
  <si>
    <r>
      <rPr>
        <sz val="10"/>
        <color indexed="8"/>
        <rFont val="Microsoft YaHei"/>
        <charset val="134"/>
      </rPr>
      <t>-</t>
    </r>
    <r>
      <rPr>
        <sz val="7"/>
        <color indexed="8"/>
        <rFont val="Times New Roman"/>
        <family val="1"/>
      </rPr>
      <t xml:space="preserve">        </t>
    </r>
    <r>
      <rPr>
        <b/>
        <sz val="10"/>
        <color indexed="8"/>
        <rFont val="Microsoft YaHei"/>
        <charset val="134"/>
      </rPr>
      <t>T</t>
    </r>
    <r>
      <rPr>
        <sz val="10"/>
        <color indexed="8"/>
        <rFont val="Microsoft YaHei"/>
        <charset val="134"/>
      </rPr>
      <t>ime-bound — 有时限的</t>
    </r>
  </si>
  <si>
    <t>✓▪ 应当有时间限制，否则将难以检查或考核时间节点。</t>
  </si>
  <si>
    <t>✓▪ 比如，我要“在一周内，体重减轻5公斤”。这个“一周内”就是一个时限。</t>
  </si>
  <si>
    <r>
      <rPr>
        <sz val="11"/>
        <color indexed="8"/>
        <rFont val="宋体"/>
        <family val="3"/>
        <charset val="134"/>
      </rPr>
      <t>代表</t>
    </r>
    <r>
      <rPr>
        <sz val="11"/>
        <color indexed="8"/>
        <rFont val="等线"/>
      </rPr>
      <t>:</t>
    </r>
    <r>
      <rPr>
        <sz val="11"/>
        <color indexed="8"/>
        <rFont val="宋体"/>
        <family val="3"/>
        <charset val="134"/>
      </rPr>
      <t>上次我帮您查过一些资料嘛，这次我带来一个研究数据跟您分享。这边的亚组</t>
    </r>
    <r>
      <rPr>
        <sz val="11"/>
        <color indexed="8"/>
        <rFont val="等线"/>
      </rPr>
      <t>10</t>
    </r>
    <r>
      <rPr>
        <sz val="11"/>
        <color indexed="8"/>
        <rFont val="宋体"/>
        <family val="3"/>
        <charset val="134"/>
      </rPr>
      <t>例患者是通过</t>
    </r>
    <r>
      <rPr>
        <sz val="11"/>
        <color indexed="8"/>
        <rFont val="等线"/>
      </rPr>
      <t>3</t>
    </r>
    <r>
      <rPr>
        <sz val="11"/>
        <color indexed="8"/>
        <rFont val="宋体"/>
        <family val="3"/>
        <charset val="134"/>
      </rPr>
      <t>次肝穿获得，他们在使用博路定</t>
    </r>
    <r>
      <rPr>
        <sz val="11"/>
        <color indexed="8"/>
        <rFont val="等线"/>
      </rPr>
      <t>6</t>
    </r>
    <r>
      <rPr>
        <sz val="11"/>
        <color indexed="8"/>
        <rFont val="宋体"/>
        <family val="3"/>
        <charset val="134"/>
      </rPr>
      <t>年后显示纤维化得到改善。您临床上有遇到这样的病人吗？</t>
    </r>
    <r>
      <rPr>
        <sz val="11"/>
        <color indexed="8"/>
        <rFont val="等线"/>
      </rPr>
      <t xml:space="preserve"> </t>
    </r>
    <r>
      <rPr>
        <sz val="11"/>
        <color indexed="8"/>
        <rFont val="宋体"/>
        <family val="3"/>
        <charset val="134"/>
      </rPr>
      <t>医生</t>
    </r>
    <r>
      <rPr>
        <sz val="11"/>
        <color indexed="8"/>
        <rFont val="等线"/>
      </rPr>
      <t>:</t>
    </r>
    <r>
      <rPr>
        <sz val="11"/>
        <color indexed="8"/>
        <rFont val="宋体"/>
        <family val="3"/>
        <charset val="134"/>
      </rPr>
      <t>我们无法肝穿不清楚。代表：肝穿创伤很小，患者也不肯吗？医生：是的。不愿意。如果愿意就好了。你们研究有没有肝穿</t>
    </r>
    <r>
      <rPr>
        <sz val="11"/>
        <color indexed="8"/>
        <rFont val="等线"/>
      </rPr>
      <t>2</t>
    </r>
    <r>
      <rPr>
        <sz val="11"/>
        <color indexed="8"/>
        <rFont val="宋体"/>
        <family val="3"/>
        <charset val="134"/>
      </rPr>
      <t>次的数据啊？代表</t>
    </r>
    <r>
      <rPr>
        <sz val="11"/>
        <color indexed="8"/>
        <rFont val="等线"/>
      </rPr>
      <t>:</t>
    </r>
    <r>
      <rPr>
        <sz val="11"/>
        <color indexed="8"/>
        <rFont val="宋体"/>
        <family val="3"/>
        <charset val="134"/>
      </rPr>
      <t>（翻原文）应该有，但以前没有留意。医生</t>
    </r>
    <r>
      <rPr>
        <sz val="11"/>
        <color indexed="8"/>
        <rFont val="等线"/>
      </rPr>
      <t>:</t>
    </r>
    <r>
      <rPr>
        <sz val="11"/>
        <color indexed="8"/>
        <rFont val="宋体"/>
        <family val="3"/>
        <charset val="134"/>
      </rPr>
      <t>有没有一年的数据？如果一年就有好的效果那应该很好。不过，你们没有显示，应该就没有了。代表</t>
    </r>
    <r>
      <rPr>
        <sz val="11"/>
        <color indexed="8"/>
        <rFont val="等线"/>
      </rPr>
      <t>:</t>
    </r>
    <r>
      <rPr>
        <sz val="11"/>
        <color indexed="8"/>
        <rFont val="宋体"/>
        <family val="3"/>
        <charset val="134"/>
      </rPr>
      <t>您想得很独到，我回去查一下原文再发给您。</t>
    </r>
    <r>
      <rPr>
        <sz val="11"/>
        <color indexed="8"/>
        <rFont val="等线"/>
      </rPr>
      <t>(</t>
    </r>
    <r>
      <rPr>
        <sz val="11"/>
        <color indexed="8"/>
        <rFont val="宋体"/>
        <family val="3"/>
        <charset val="134"/>
      </rPr>
      <t>患者进来，拜访结束</t>
    </r>
    <r>
      <rPr>
        <sz val="11"/>
        <color indexed="8"/>
        <rFont val="等线"/>
      </rPr>
      <t>)</t>
    </r>
    <phoneticPr fontId="23" type="noConversion"/>
  </si>
  <si>
    <r>
      <t>医生</t>
    </r>
    <r>
      <rPr>
        <sz val="11"/>
        <color indexed="8"/>
        <rFont val="等线"/>
      </rPr>
      <t>:</t>
    </r>
    <r>
      <rPr>
        <sz val="11"/>
        <color indexed="8"/>
        <rFont val="宋体"/>
        <family val="3"/>
        <charset val="134"/>
      </rPr>
      <t>有没有一年的数据？如果一年就有好的效果那应该很好。不过，你们没有显示，应该就没有了。代表</t>
    </r>
    <r>
      <rPr>
        <sz val="11"/>
        <color indexed="8"/>
        <rFont val="等线"/>
      </rPr>
      <t>:</t>
    </r>
    <r>
      <rPr>
        <sz val="11"/>
        <color indexed="8"/>
        <rFont val="宋体"/>
        <family val="3"/>
        <charset val="134"/>
      </rPr>
      <t>您想得很独到，我回去查一下原文再发给您。</t>
    </r>
  </si>
  <si>
    <r>
      <t>这边的亚组</t>
    </r>
    <r>
      <rPr>
        <sz val="11"/>
        <color indexed="8"/>
        <rFont val="等线"/>
      </rPr>
      <t>10</t>
    </r>
    <r>
      <rPr>
        <sz val="11"/>
        <color indexed="8"/>
        <rFont val="宋体"/>
        <family val="3"/>
        <charset val="134"/>
      </rPr>
      <t>例患者是通过</t>
    </r>
    <r>
      <rPr>
        <sz val="11"/>
        <color indexed="8"/>
        <rFont val="等线"/>
      </rPr>
      <t>3</t>
    </r>
    <r>
      <rPr>
        <sz val="11"/>
        <color indexed="8"/>
        <rFont val="宋体"/>
        <family val="3"/>
        <charset val="134"/>
      </rPr>
      <t>次肝穿获得，他们在使用博路定</t>
    </r>
    <r>
      <rPr>
        <sz val="11"/>
        <color indexed="8"/>
        <rFont val="等线"/>
      </rPr>
      <t>6</t>
    </r>
    <r>
      <rPr>
        <sz val="11"/>
        <color indexed="8"/>
        <rFont val="宋体"/>
        <family val="3"/>
        <charset val="134"/>
      </rPr>
      <t>年后显示纤维化得到改善。</t>
    </r>
  </si>
  <si>
    <r>
      <rPr>
        <sz val="11"/>
        <color indexed="8"/>
        <rFont val="宋体"/>
        <family val="3"/>
        <charset val="134"/>
      </rPr>
      <t>肝病，感染科</t>
    </r>
    <r>
      <rPr>
        <sz val="11"/>
        <color indexed="8"/>
        <rFont val="等线"/>
      </rPr>
      <t>4</t>
    </r>
    <r>
      <rPr>
        <sz val="11"/>
        <color indexed="8"/>
        <rFont val="宋体"/>
        <family val="3"/>
        <charset val="134"/>
      </rPr>
      <t>套</t>
    </r>
    <r>
      <rPr>
        <sz val="11"/>
        <color indexed="8"/>
        <rFont val="等线"/>
      </rPr>
      <t xml:space="preserve">EDA
• </t>
    </r>
    <r>
      <rPr>
        <sz val="11"/>
        <color indexed="8"/>
        <rFont val="宋体"/>
        <family val="3"/>
        <charset val="134"/>
      </rPr>
      <t>慢乙肝抗病毒治疗</t>
    </r>
    <r>
      <rPr>
        <sz val="11"/>
        <color indexed="8"/>
        <rFont val="等线"/>
      </rPr>
      <t>--</t>
    </r>
    <r>
      <rPr>
        <sz val="11"/>
        <color indexed="8"/>
        <rFont val="宋体"/>
        <family val="3"/>
        <charset val="134"/>
      </rPr>
      <t>关注</t>
    </r>
    <r>
      <rPr>
        <sz val="11"/>
        <color indexed="8"/>
        <rFont val="等线"/>
      </rPr>
      <t>e</t>
    </r>
    <r>
      <rPr>
        <sz val="11"/>
        <color indexed="8"/>
        <rFont val="宋体"/>
        <family val="3"/>
        <charset val="134"/>
      </rPr>
      <t>抗原转换</t>
    </r>
    <r>
      <rPr>
        <sz val="11"/>
        <color indexed="8"/>
        <rFont val="等线"/>
      </rPr>
      <t xml:space="preserve"> </t>
    </r>
    <r>
      <rPr>
        <sz val="11"/>
        <color indexed="8"/>
        <rFont val="宋体"/>
        <family val="3"/>
        <charset val="134"/>
      </rPr>
      <t>还是</t>
    </r>
    <r>
      <rPr>
        <sz val="11"/>
        <color indexed="8"/>
        <rFont val="等线"/>
      </rPr>
      <t xml:space="preserve"> </t>
    </r>
    <r>
      <rPr>
        <sz val="11"/>
        <color indexed="8"/>
        <rFont val="宋体"/>
        <family val="3"/>
        <charset val="134"/>
      </rPr>
      <t xml:space="preserve">持续抑制病毒？
</t>
    </r>
    <r>
      <rPr>
        <sz val="11"/>
        <color indexed="8"/>
        <rFont val="等线"/>
      </rPr>
      <t xml:space="preserve">• </t>
    </r>
    <r>
      <rPr>
        <sz val="11"/>
        <color indexed="8"/>
        <rFont val="宋体"/>
        <family val="3"/>
        <charset val="134"/>
      </rPr>
      <t>慢乙肝起始抗病毒治疗</t>
    </r>
    <r>
      <rPr>
        <sz val="11"/>
        <color indexed="8"/>
        <rFont val="等线"/>
      </rPr>
      <t>--</t>
    </r>
    <r>
      <rPr>
        <sz val="11"/>
        <color indexed="8"/>
        <rFont val="宋体"/>
        <family val="3"/>
        <charset val="134"/>
      </rPr>
      <t xml:space="preserve">选择恩替卡韦单药方案还是阿德福韦酯联合拉米夫定方案？
</t>
    </r>
    <r>
      <rPr>
        <sz val="11"/>
        <color indexed="8"/>
        <rFont val="等线"/>
      </rPr>
      <t xml:space="preserve">• </t>
    </r>
    <r>
      <rPr>
        <sz val="11"/>
        <color indexed="8"/>
        <rFont val="宋体"/>
        <family val="3"/>
        <charset val="134"/>
      </rPr>
      <t>慢乙肝抗病毒治疗</t>
    </r>
    <r>
      <rPr>
        <sz val="11"/>
        <color indexed="8"/>
        <rFont val="等线"/>
      </rPr>
      <t>--</t>
    </r>
    <r>
      <rPr>
        <sz val="11"/>
        <color indexed="8"/>
        <rFont val="宋体"/>
        <family val="3"/>
        <charset val="134"/>
      </rPr>
      <t xml:space="preserve">认识耐药危害，正确选择初治抗病毒药物
</t>
    </r>
    <r>
      <rPr>
        <sz val="11"/>
        <color indexed="8"/>
        <rFont val="等线"/>
      </rPr>
      <t xml:space="preserve">• </t>
    </r>
    <r>
      <rPr>
        <sz val="11"/>
        <color indexed="8"/>
        <rFont val="宋体"/>
        <family val="3"/>
        <charset val="134"/>
      </rPr>
      <t>慢乙肝持续抗病毒治疗的长期获益</t>
    </r>
    <phoneticPr fontId="23" type="noConversion"/>
  </si>
  <si>
    <t>代表:主任，我们3月份有一场彭亮教授讲的会议是讲肾脏安全性的。像我们科的患者病情比较重，肝肾功能不好。医生:礼拜几？代表:礼拜四。医生:如果没手术就可以。这两个是哪里的讲者？代表:杭州的。讲座很好，内容浓缩精华。提前给您发微信提醒。医生:好的，谢谢。</t>
    <phoneticPr fontId="23" type="noConversion"/>
  </si>
  <si>
    <t>我们3月份有一场彭亮教授讲的会议是讲肾脏安全性的。</t>
  </si>
  <si>
    <r>
      <t>我们</t>
    </r>
    <r>
      <rPr>
        <sz val="11"/>
        <color indexed="8"/>
        <rFont val="等线"/>
      </rPr>
      <t>3</t>
    </r>
    <r>
      <rPr>
        <sz val="11"/>
        <color indexed="8"/>
        <rFont val="宋体"/>
        <family val="3"/>
        <charset val="134"/>
      </rPr>
      <t>月份有一场彭亮教授讲的会议是讲肾脏安全性的。</t>
    </r>
  </si>
  <si>
    <t>肝胆外科客户</t>
    <phoneticPr fontId="23" type="noConversion"/>
  </si>
  <si>
    <t>消化科/肝胆外科</t>
    <phoneticPr fontId="23" type="noConversion"/>
  </si>
  <si>
    <t>代表：上周开了肝病的年会有一些新的信息，领导让我们每个人去给医生传递一下。这是博路定的一个三期临床，一个六年的研究。纳入了57例患者比较重的肝脏纤维化的患者。其中有96%的患者组织学能够明显的改善，纤维化改善有88%。结果显示，恩替卡韦有一个比较好的优势。</t>
  </si>
  <si>
    <t>那您说经济的问题主要是考虑什么因素呢？是换成仿制品吗？</t>
  </si>
  <si>
    <t>医生:不会了，但是同时还要看经济的情况。代表:这样啊，但如果像恩替卡韦这种优势比较明显，对于长期治疗的患者.……医生说:一般初治的病人都会使用恩替卡韦。代表:一般用恩替卡韦都很少换别的吧。医生说对。代表:换药的话，你也会担心耐药的问题。那您说经济的问题主要是考虑什么因素呢？是换成仿制品吗？医生:不是，是用拉米夫定和福韦酯联用。不过一般都会建议用恩替卡韦的。代表:今年省标下来估计博路定都会降价。而且现在医保的病人报销比例也很高嘛，有机会的话你可以留意一下。</t>
  </si>
  <si>
    <t>医生:不会了，但是同时还要看经济的情况。代表:这样啊，但如果像恩替卡韦这种优势比较明显，对于长期治疗的患者.……医生说:一般初治的病人都会使用恩替卡韦。代表:一般用恩替卡韦都很少换别的吧。医生说对。代表:换药的话，你也会担心耐药的问题。那您说经济的问题主要是考虑什么因素呢？是换成仿制品吗？医生:不是，是用拉米夫定和福韦酯联用。不过一般都会建议用恩替卡韦的。代表:今年省标下来估计博路定都会降价。而且现在医保的病人报销比例也很高嘛，有机会的话你可以留意一下。医生表示同意并点头。</t>
  </si>
  <si>
    <t>拉米夫定和福韦酯</t>
  </si>
  <si>
    <r>
      <t>1.  TDF</t>
    </r>
    <r>
      <rPr>
        <sz val="11"/>
        <color indexed="8"/>
        <rFont val="宋体"/>
        <family val="3"/>
        <charset val="134"/>
      </rPr>
      <t>是新一代核苷类抗病毒治疗药物，优于</t>
    </r>
    <r>
      <rPr>
        <sz val="11"/>
        <color indexed="8"/>
        <rFont val="等线"/>
      </rPr>
      <t>ETV               2.  ETV</t>
    </r>
    <r>
      <rPr>
        <sz val="11"/>
        <color indexed="8"/>
        <rFont val="宋体"/>
        <family val="3"/>
        <charset val="134"/>
      </rPr>
      <t>治疗</t>
    </r>
    <r>
      <rPr>
        <sz val="11"/>
        <color indexed="8"/>
        <rFont val="等线"/>
      </rPr>
      <t>24</t>
    </r>
    <r>
      <rPr>
        <sz val="11"/>
        <color indexed="8"/>
        <rFont val="宋体"/>
        <family val="3"/>
        <charset val="134"/>
      </rPr>
      <t>周应答不佳应换用</t>
    </r>
    <r>
      <rPr>
        <sz val="11"/>
        <color indexed="8"/>
        <rFont val="等线"/>
      </rPr>
      <t>TDF                                          3.  TDF</t>
    </r>
    <r>
      <rPr>
        <sz val="11"/>
        <color indexed="8"/>
        <rFont val="宋体"/>
        <family val="3"/>
        <charset val="134"/>
      </rPr>
      <t>肾脏安全性优于</t>
    </r>
    <r>
      <rPr>
        <sz val="11"/>
        <color indexed="8"/>
        <rFont val="等线"/>
      </rPr>
      <t>ADV                                                                 4.  ADV/TDF</t>
    </r>
    <r>
      <rPr>
        <sz val="11"/>
        <color indexed="8"/>
        <rFont val="宋体"/>
        <family val="3"/>
        <charset val="134"/>
      </rPr>
      <t>治疗期间</t>
    </r>
    <r>
      <rPr>
        <sz val="11"/>
        <color indexed="8"/>
        <rFont val="等线"/>
      </rPr>
      <t>, eGFR</t>
    </r>
    <r>
      <rPr>
        <sz val="11"/>
        <color indexed="8"/>
        <rFont val="宋体"/>
        <family val="3"/>
        <charset val="134"/>
      </rPr>
      <t>评估的患者肾功能并无显著影响</t>
    </r>
    <r>
      <rPr>
        <sz val="11"/>
        <color indexed="8"/>
        <rFont val="等线"/>
      </rPr>
      <t xml:space="preserve">                                                5.  </t>
    </r>
    <r>
      <rPr>
        <sz val="11"/>
        <color indexed="8"/>
        <rFont val="宋体"/>
        <family val="3"/>
        <charset val="134"/>
      </rPr>
      <t>价格</t>
    </r>
    <phoneticPr fontId="23" type="noConversion"/>
  </si>
  <si>
    <t>代表：刚开会的肝病年会，会议上也提到肝病治疗的内容，我们这边有一个内容就是持续治疗使进展期纤维化患者纤维化改善，因为外科的病人病情比较重，所以希望分享一下这个研究。这是我们博路定治疗6年的研究。这个研究最后得出10例患者进入亚组，因为要做3次肝穿，所以样本量比较少。那经过治疗6年时间，不管什么情况，都有改善。您看这边大部分都是10-14的，最后都有下降到4左右。</t>
  </si>
  <si>
    <t>代表：那这种患者会用博路定吗？</t>
  </si>
  <si>
    <t>医生：有没有研究替米夫定的？代表：替米夫定是有数据，它的eGFr是有改善的。医生：好像替米夫定有肾保护作用是吧？你们有没有替米夫定和你们恩替卡韦的对比？代表：有。有数据显示替米夫定的数据会高一点，但没有统计学差异。（寻找IPAD资料）医生：你下次发给我吧。代表：（找到资料）替米夫定的e抗原相对高一点，但没有统计学差异。eGFR我没有找到，回去找一下，但我记得结果虽然是高，但也是没有统计学差异的。我回去再发给你看。</t>
  </si>
  <si>
    <r>
      <rPr>
        <sz val="11"/>
        <color indexed="8"/>
        <rFont val="宋体"/>
        <family val="3"/>
        <charset val="134"/>
      </rPr>
      <t>非指南一线推荐的药物</t>
    </r>
    <r>
      <rPr>
        <sz val="11"/>
        <color indexed="8"/>
        <rFont val="等线"/>
      </rPr>
      <t xml:space="preserve"> (LAM/LDT/ADV)</t>
    </r>
    <phoneticPr fontId="23" type="noConversion"/>
  </si>
  <si>
    <t>LDT</t>
  </si>
  <si>
    <t>代表：上周开了肝病的年会有一些新的信息，领导让我们每个人去给医生传递一下。这是博路定的一个三期临床，一个六年的研究。纳入了57例患者比较重的肝脏纤维化的患者。其中有96%的患者组织学能够明显的改善，纤维化改善有88%。结果显示，恩替卡韦有一个比较好的优势。医生点头。代表:师姐像您现在跟门诊的时候，遇到这一类的患者是否会使用，另外两种药物呢？医生:不会了，但是同时还要看经济的情况。代表:这样啊，但如果像恩替卡韦这种优势比较明显，对于长期治疗的患者.……医生说:一般初治的病人都会使用恩替卡韦。代表:一般用恩替卡韦都很少换别的吧。医生说对。代表:换药的话，你也会担心耐药的问题。那您说经济的问题主要是考虑什么因素呢？是换成仿制品吗？医生:不是，是用拉米夫定和福韦酯联用。不过一般都会建议用恩替卡韦的。代表:今年省标下来估计博路定都会降价。而且现在医保的病人报销比例也很高嘛，有机会的话你可以留意一下。医生表示同意并点头。代表:不打扰你时间了，再见。</t>
  </si>
  <si>
    <r>
      <rPr>
        <sz val="11"/>
        <color indexed="8"/>
        <rFont val="宋体"/>
        <family val="3"/>
        <charset val="134"/>
      </rPr>
      <t>代表</t>
    </r>
    <r>
      <rPr>
        <sz val="11"/>
        <color indexed="8"/>
        <rFont val="等线"/>
      </rPr>
      <t>:</t>
    </r>
    <r>
      <rPr>
        <sz val="11"/>
        <color indexed="8"/>
        <rFont val="宋体"/>
        <family val="3"/>
        <charset val="134"/>
      </rPr>
      <t>因为替诺福韦不是降价吗？现在有改药的这些行为吗？</t>
    </r>
    <phoneticPr fontId="23" type="noConversion"/>
  </si>
  <si>
    <t>代表:那博路定的结果怎么样呢？</t>
  </si>
  <si>
    <r>
      <rPr>
        <sz val="11"/>
        <color indexed="8"/>
        <rFont val="宋体"/>
        <family val="3"/>
        <charset val="134"/>
      </rPr>
      <t>代表</t>
    </r>
    <r>
      <rPr>
        <sz val="11"/>
        <color indexed="8"/>
        <rFont val="等线"/>
      </rPr>
      <t>:</t>
    </r>
    <r>
      <rPr>
        <sz val="11"/>
        <color indexed="8"/>
        <rFont val="宋体"/>
        <family val="3"/>
        <charset val="134"/>
      </rPr>
      <t>因为替诺福韦不是降价吗？现在有改药的这些行为吗？医生</t>
    </r>
    <r>
      <rPr>
        <sz val="11"/>
        <color indexed="8"/>
        <rFont val="等线"/>
      </rPr>
      <t>:</t>
    </r>
    <r>
      <rPr>
        <sz val="11"/>
        <color indexed="8"/>
        <rFont val="宋体"/>
        <family val="3"/>
        <charset val="134"/>
      </rPr>
      <t>因为我做研究的时候，替诺福韦很少，所以我的病人都没有用替诺福韦。代表</t>
    </r>
    <r>
      <rPr>
        <sz val="11"/>
        <color indexed="8"/>
        <rFont val="等线"/>
      </rPr>
      <t>:</t>
    </r>
    <r>
      <rPr>
        <sz val="11"/>
        <color indexed="8"/>
        <rFont val="宋体"/>
        <family val="3"/>
        <charset val="134"/>
      </rPr>
      <t>博路定的有吗？医生说博路定的有。代表</t>
    </r>
    <r>
      <rPr>
        <sz val="11"/>
        <color indexed="8"/>
        <rFont val="等线"/>
      </rPr>
      <t>:</t>
    </r>
    <r>
      <rPr>
        <sz val="11"/>
        <color indexed="8"/>
        <rFont val="宋体"/>
        <family val="3"/>
        <charset val="134"/>
      </rPr>
      <t>那博路定的结果怎么样呢？医生</t>
    </r>
    <r>
      <rPr>
        <sz val="11"/>
        <color indexed="8"/>
        <rFont val="等线"/>
      </rPr>
      <t>:</t>
    </r>
    <r>
      <rPr>
        <sz val="11"/>
        <color indexed="8"/>
        <rFont val="宋体"/>
        <family val="3"/>
        <charset val="134"/>
      </rPr>
      <t>博路定的和阿德福韦酯，拉米夫定都有比较。代表</t>
    </r>
    <r>
      <rPr>
        <sz val="11"/>
        <color indexed="8"/>
        <rFont val="等线"/>
      </rPr>
      <t>:</t>
    </r>
    <r>
      <rPr>
        <sz val="11"/>
        <color indexed="8"/>
        <rFont val="宋体"/>
        <family val="3"/>
        <charset val="134"/>
      </rPr>
      <t>现在是不是很少有数据用替诺福韦的？</t>
    </r>
    <phoneticPr fontId="23" type="noConversion"/>
  </si>
  <si>
    <t>代表:我们3月16号有一场会议,是跟杭州那边两个医院一起搞的。那个时候你应该有空吧？医生:现在还不知道班表，等班表出来才知道。</t>
  </si>
  <si>
    <t>代表:师姐像您现在在，跟门诊的时候，遇到这一类的患者是否会使用，另外两种药物呢？</t>
    <phoneticPr fontId="23" type="noConversion"/>
  </si>
  <si>
    <t>（拿着901研究的EDA给医生看）</t>
  </si>
  <si>
    <t>阿德福韦酯，拉米夫定</t>
  </si>
  <si>
    <t>代表:我们3月16号有一场会议,是跟杭州那边两个医院一起搞的。那个时候你应该有空吧？医生:现在还不知道班表，等班表出来才知道。代表:因为这个内容跟您在肝病年会上分享的内容很相似吗？所以看看你有没有一些新的内容跟我分享一下。（拿着901研究的EDA给医生看）医生：我那个只是病人用药之后，效果再拿出来评估一下。代表:因为替诺福韦不是降价吗？现在有改药的这些行为吗？医生:因为我做研究的时候，替诺福韦很少，所以我的病人都没有用替诺福韦。代表:博路定的有吗？医生说博路定的有。代表:那博路定的结果怎么样呢？医生:博路定的和阿德福韦酯，拉米夫定都有比较。代表:现在是不是很少有数据用替诺福韦的？现在离下个月，开会的时候还两个礼拜，您到时出了班表，您看看有没有时间参加吧？医生;行啊，到时看看有没有空。</t>
  </si>
  <si>
    <r>
      <t>1.</t>
    </r>
    <r>
      <rPr>
        <sz val="11"/>
        <color indexed="8"/>
        <rFont val="宋体"/>
        <family val="3"/>
        <charset val="134"/>
      </rPr>
      <t>价格</t>
    </r>
    <r>
      <rPr>
        <sz val="11"/>
        <color indexed="8"/>
        <rFont val="等线"/>
      </rPr>
      <t xml:space="preserve"> 2.</t>
    </r>
    <r>
      <rPr>
        <sz val="11"/>
        <color indexed="8"/>
        <rFont val="宋体"/>
        <family val="3"/>
        <charset val="134"/>
      </rPr>
      <t>孕妇可以用</t>
    </r>
    <r>
      <rPr>
        <sz val="11"/>
        <color indexed="8"/>
        <rFont val="等线"/>
      </rPr>
      <t xml:space="preserve"> 3.TDF</t>
    </r>
    <r>
      <rPr>
        <sz val="11"/>
        <color indexed="8"/>
        <rFont val="宋体"/>
        <family val="3"/>
        <charset val="134"/>
      </rPr>
      <t>最新的研究比博路定多</t>
    </r>
    <r>
      <rPr>
        <sz val="11"/>
        <color indexed="8"/>
        <rFont val="等线"/>
      </rPr>
      <t xml:space="preserve"> </t>
    </r>
    <phoneticPr fontId="23" type="noConversion"/>
  </si>
  <si>
    <r>
      <rPr>
        <sz val="11"/>
        <color indexed="8"/>
        <rFont val="宋体"/>
        <family val="3"/>
        <charset val="134"/>
      </rPr>
      <t>代表：刚开会的肝病年会，会议上也提到肝病治疗的内容，我们这边有一个内容就是持续治疗使进展期纤维化患者纤维化改善，因为外科的病人病情比较重，所以希望分享一下这个研究。这是我们博路定治疗</t>
    </r>
    <r>
      <rPr>
        <sz val="11"/>
        <color indexed="8"/>
        <rFont val="等线"/>
      </rPr>
      <t>6</t>
    </r>
    <r>
      <rPr>
        <sz val="11"/>
        <color indexed="8"/>
        <rFont val="宋体"/>
        <family val="3"/>
        <charset val="134"/>
      </rPr>
      <t>年的研究。这个研究最后得出</t>
    </r>
    <r>
      <rPr>
        <sz val="11"/>
        <color indexed="8"/>
        <rFont val="等线"/>
      </rPr>
      <t>10</t>
    </r>
    <r>
      <rPr>
        <sz val="11"/>
        <color indexed="8"/>
        <rFont val="宋体"/>
        <family val="3"/>
        <charset val="134"/>
      </rPr>
      <t>例患者进入亚组，因为要做</t>
    </r>
    <r>
      <rPr>
        <sz val="11"/>
        <color indexed="8"/>
        <rFont val="等线"/>
      </rPr>
      <t>3</t>
    </r>
    <r>
      <rPr>
        <sz val="11"/>
        <color indexed="8"/>
        <rFont val="宋体"/>
        <family val="3"/>
        <charset val="134"/>
      </rPr>
      <t>次肝穿，所以样本量比较少。那经过治疗</t>
    </r>
    <r>
      <rPr>
        <sz val="11"/>
        <color indexed="8"/>
        <rFont val="等线"/>
      </rPr>
      <t>6</t>
    </r>
    <r>
      <rPr>
        <sz val="11"/>
        <color indexed="8"/>
        <rFont val="宋体"/>
        <family val="3"/>
        <charset val="134"/>
      </rPr>
      <t>年时间，不管什么情况，都有改善。您看这边大部分都是</t>
    </r>
    <r>
      <rPr>
        <sz val="11"/>
        <color indexed="8"/>
        <rFont val="等线"/>
      </rPr>
      <t>10-14</t>
    </r>
    <r>
      <rPr>
        <sz val="11"/>
        <color indexed="8"/>
        <rFont val="宋体"/>
        <family val="3"/>
        <charset val="134"/>
      </rPr>
      <t>的，最后都有下降到</t>
    </r>
    <r>
      <rPr>
        <sz val="11"/>
        <color indexed="8"/>
        <rFont val="等线"/>
      </rPr>
      <t>4</t>
    </r>
    <r>
      <rPr>
        <sz val="11"/>
        <color indexed="8"/>
        <rFont val="宋体"/>
        <family val="3"/>
        <charset val="134"/>
      </rPr>
      <t>左右。想问一下我们科室有没有这方面的病人？医生：博路定吗？代表：不只博路定，其他的比较重的病人。医生：肝移植的病人很多最后肝衰竭。代表：那这种患者会用博路定吗？医生：重肝的肯定用博路定。代表：有用其他药物吗？例如天丁。医生：天丁是移植术后，最少一个月，才会考虑。因为那时候血液里的病毒清除得比较多。患者换了新肝，肝脏的储备功能也减少了，所以会考虑应用国产的。因为更便宜。代表：那您用了这么久，有没有观察到一下不良的反应啊？医生：博路定吗</t>
    </r>
    <r>
      <rPr>
        <sz val="11"/>
        <color indexed="8"/>
        <rFont val="等线"/>
      </rPr>
      <t>?</t>
    </r>
    <r>
      <rPr>
        <sz val="11"/>
        <color indexed="8"/>
        <rFont val="宋体"/>
        <family val="3"/>
        <charset val="134"/>
      </rPr>
      <t>代表：是天丁。博路定都用了</t>
    </r>
    <r>
      <rPr>
        <sz val="11"/>
        <color indexed="8"/>
        <rFont val="等线"/>
      </rPr>
      <t>11</t>
    </r>
    <r>
      <rPr>
        <sz val="11"/>
        <color indexed="8"/>
        <rFont val="宋体"/>
        <family val="3"/>
        <charset val="134"/>
      </rPr>
      <t>年了。医生：好像也没有哦。代表：还是要长期观察。医生：我们样本量少，可能病人也不多。代表：我们有个专门的材料是跟天丁相比的。因为天丁有马来酸，所以对肾损有存在的风险。医生：有没有研究替米夫定的？代表：替米夫定是有数据，它的</t>
    </r>
    <r>
      <rPr>
        <sz val="11"/>
        <color indexed="8"/>
        <rFont val="等线"/>
      </rPr>
      <t>eGFr</t>
    </r>
    <r>
      <rPr>
        <sz val="11"/>
        <color indexed="8"/>
        <rFont val="宋体"/>
        <family val="3"/>
        <charset val="134"/>
      </rPr>
      <t>是有改善的。医生：好像替米夫定有肾保护作用是吧？你们有没有替米夫定和你们恩替卡韦的对比？代表：有。有数据显示替米夫定的数据会高一点，但没有统计学差异。（寻找</t>
    </r>
    <r>
      <rPr>
        <sz val="11"/>
        <color indexed="8"/>
        <rFont val="等线"/>
      </rPr>
      <t>IPAD</t>
    </r>
    <r>
      <rPr>
        <sz val="11"/>
        <color indexed="8"/>
        <rFont val="宋体"/>
        <family val="3"/>
        <charset val="134"/>
      </rPr>
      <t>资料）医生：你下次发给我吧。代表：（找到资料）替米夫定的</t>
    </r>
    <r>
      <rPr>
        <sz val="11"/>
        <color indexed="8"/>
        <rFont val="等线"/>
      </rPr>
      <t>e</t>
    </r>
    <r>
      <rPr>
        <sz val="11"/>
        <color indexed="8"/>
        <rFont val="宋体"/>
        <family val="3"/>
        <charset val="134"/>
      </rPr>
      <t>抗原相对高一点，但没有统计学差异。</t>
    </r>
    <r>
      <rPr>
        <sz val="11"/>
        <color indexed="8"/>
        <rFont val="等线"/>
      </rPr>
      <t>eGFR</t>
    </r>
    <r>
      <rPr>
        <sz val="11"/>
        <color indexed="8"/>
        <rFont val="宋体"/>
        <family val="3"/>
        <charset val="134"/>
      </rPr>
      <t>我没有找到，回去找一下，但我记得结果虽然是高，但也是没有统计学差异的。我回去再发给你看。谢谢！先走了，再见！医生：再见。</t>
    </r>
    <phoneticPr fontId="23" type="noConversion"/>
  </si>
  <si>
    <t>代表：刚开会的肝病年会，会议上也提到肝病治疗的内容，我们这边有一个内容就是持续治疗使进展期纤维化患者纤维化改善</t>
    <phoneticPr fontId="23" type="noConversion"/>
  </si>
  <si>
    <t>因为外科的病人病情比较重，所以希望分享一下这个研究。这是我们博路定治疗6年的研究。这个研究最后得出10例患者进入亚组，因为要做3次肝穿，所以样本量比较少。那经过治疗6年时间，不管什么情况，都有改善。您看这边大部分都是10-14的，最后都有下降到4左右。</t>
  </si>
  <si>
    <t>代表：那这种患者会用博路定吗？医生：重肝的肯定用博路定。代表：有用其他药物吗？例如天丁。医生：天丁是移植术后，最少一个月，才会考虑。因为那时候血液里的病毒清除得比较多。患者换了新肝，肝脏的储备功能也减少了，所以会考虑应用国产的。因为更便宜。</t>
  </si>
  <si>
    <t>代表：那这种患者会用博路定吗？</t>
    <phoneticPr fontId="23" type="noConversion"/>
  </si>
  <si>
    <t>想问一下我们科室有没有这方面的病人？医生：博路定吗？代表：不只博路定，其他的比较重的病人。医生：肝移植的病人很多最后肝衰竭。代表：那这种患者会用博路定吗？医生：重肝的肯定用博路定。代表：有用其他药物吗？例如天丁。医生：天丁是移植术后，最少一个月，才会考虑。因为那时候血液里的病毒清除得比较多。患者换了新肝，肝脏的储备功能也减少了，所以会考虑应用国产的。因为更便宜。代表：那您用了这么久，有没有观察到一下不良的反应啊？医生：博路定吗?代表：是天丁。博路定都用了11年了。医生：好像也没有哦。代表：还是要长期观察。医生：我们样本量少，可能病人也不多。代表：我们有个专门的材料是跟天丁相比的。因为天丁有马来酸，所以对肾损有存在的风险。医生：有没有研究替米夫定的？代表：替米夫定是有数据，它的eGFr是有改善的。医生：好像替米夫定有肾保护作用是吧？你们有没有替米夫定和你们恩替卡韦的对比？代表：有。有数据显示替米夫定的数据会高一点，但没有统计学差异。（寻找IPAD资料）医生：你下次发给我吧。代表：（找到资料）替米夫定的e抗原相对高一点，但没有统计学差异。eGFR我没有找到，回去找一下，但我记得结果虽然是高，但也是没有统计学差异的。我回去再发给你看。</t>
    <phoneticPr fontId="23" type="noConversion"/>
  </si>
  <si>
    <r>
      <rPr>
        <sz val="11"/>
        <color indexed="8"/>
        <rFont val="宋体"/>
        <family val="3"/>
        <charset val="134"/>
      </rPr>
      <t>代表：那这种患者会用博路定吗？医生：重肝的肯定用博路定。代表：有用其他药物吗？例如天丁。医生：天丁是移植术后，最少一个月，才会考虑。因为那时候血液里的病毒清除得比较多。患者换了新肝，肝脏的储备功能也减少了，所以会考虑应用国产的。因为更便宜。医生：好像替米夫定有肾保护作用是吧？你们有没有替米夫定和你们恩替卡韦的对比？代表：有。有数据显示替米夫定的数据会高一点，但没有统计学差异。（寻找</t>
    </r>
    <r>
      <rPr>
        <sz val="11"/>
        <color indexed="8"/>
        <rFont val="等线"/>
      </rPr>
      <t>IPAD</t>
    </r>
    <r>
      <rPr>
        <sz val="11"/>
        <color indexed="8"/>
        <rFont val="宋体"/>
        <family val="3"/>
        <charset val="134"/>
      </rPr>
      <t>资料）医生：你下次发给我吧。代表：（找到资料）替米夫定的</t>
    </r>
    <r>
      <rPr>
        <sz val="11"/>
        <color indexed="8"/>
        <rFont val="等线"/>
      </rPr>
      <t>e</t>
    </r>
    <r>
      <rPr>
        <sz val="11"/>
        <color indexed="8"/>
        <rFont val="宋体"/>
        <family val="3"/>
        <charset val="134"/>
      </rPr>
      <t>抗原相对高一点，但没有统计学差异。</t>
    </r>
    <r>
      <rPr>
        <sz val="11"/>
        <color indexed="8"/>
        <rFont val="等线"/>
      </rPr>
      <t>eGFR</t>
    </r>
    <r>
      <rPr>
        <sz val="11"/>
        <color indexed="8"/>
        <rFont val="宋体"/>
        <family val="3"/>
        <charset val="134"/>
      </rPr>
      <t>我没有找到，回去找一下，但我记得结果虽然是高，但也是没有统计学差异的。我回去再发给你看。</t>
    </r>
    <phoneticPr fontId="23" type="noConversion"/>
  </si>
  <si>
    <r>
      <t>(</t>
    </r>
    <r>
      <rPr>
        <sz val="11"/>
        <color indexed="8"/>
        <rFont val="宋体"/>
        <family val="3"/>
        <charset val="134"/>
      </rPr>
      <t>出示</t>
    </r>
    <r>
      <rPr>
        <sz val="11"/>
        <color indexed="8"/>
        <rFont val="等线"/>
      </rPr>
      <t>IPAD)</t>
    </r>
    <r>
      <rPr>
        <sz val="11"/>
        <color indexed="8"/>
        <rFont val="宋体"/>
        <family val="3"/>
        <charset val="134"/>
      </rPr>
      <t>慢乙肝持续抗病毒治疗的长期获益</t>
    </r>
    <phoneticPr fontId="23" type="noConversion"/>
  </si>
  <si>
    <t>医生:不会了，但是同时还要看经济的情况。代表:这样啊，但如果像恩替卡韦这种优势比较明显，对于长期治疗的患者.……医生说:一般初治的病人都会使用恩替卡韦。代表:一般用恩替卡韦都很少换别的吧。医生说对。代表:换药的话，你也会担心耐药的问题。那您说经济的问题主要是考虑什么因素呢？是换成仿制品吗？医生:不是，是用拉米夫定和福韦酯联用。不过一般都会建议用恩替卡韦的。代表:今年省标下来估计博路定都会降价。而且现在医保的病人报销比例也很高嘛，有机会的话你可以留意一下。</t>
    <phoneticPr fontId="23" type="noConversion"/>
  </si>
  <si>
    <r>
      <rPr>
        <sz val="11"/>
        <color indexed="8"/>
        <rFont val="宋体"/>
        <family val="3"/>
        <charset val="134"/>
      </rPr>
      <t>代表：上周开了肝病的年会有一些新的信息，领导让我们每个人去给医生传递一下。这是博路定的一个三期临床，一个六年的研究。纳入了</t>
    </r>
    <r>
      <rPr>
        <sz val="11"/>
        <color indexed="8"/>
        <rFont val="等线"/>
      </rPr>
      <t>57</t>
    </r>
    <r>
      <rPr>
        <sz val="11"/>
        <color indexed="8"/>
        <rFont val="宋体"/>
        <family val="3"/>
        <charset val="134"/>
      </rPr>
      <t>例患者比较重的肝脏纤维化的患者。其中有</t>
    </r>
    <r>
      <rPr>
        <sz val="11"/>
        <color indexed="8"/>
        <rFont val="等线"/>
      </rPr>
      <t>96%</t>
    </r>
    <r>
      <rPr>
        <sz val="11"/>
        <color indexed="8"/>
        <rFont val="宋体"/>
        <family val="3"/>
        <charset val="134"/>
      </rPr>
      <t>的患者组织学能够明显的改善，纤维化改善有</t>
    </r>
    <r>
      <rPr>
        <sz val="11"/>
        <color indexed="8"/>
        <rFont val="等线"/>
      </rPr>
      <t>88%</t>
    </r>
    <r>
      <rPr>
        <sz val="11"/>
        <color indexed="8"/>
        <rFont val="宋体"/>
        <family val="3"/>
        <charset val="134"/>
      </rPr>
      <t>。结果显示，恩替卡韦有一个比较好的优势。</t>
    </r>
    <phoneticPr fontId="23" type="noConversion"/>
  </si>
  <si>
    <t>代表:今年省标下来估计博路定都会降价。而且现在医保的病人报销比例也很高嘛，有机会的话你可以留意一下。医生表示同意并点头。</t>
  </si>
  <si>
    <t>代表:换药的话，你也会担心耐药的问题。那您说经济的问题主要是考虑什么因素呢？是换成仿制品吗？医生:不是，是用拉米夫定和福韦酯联用。不过一般都会建议用恩替卡韦的。代表:今年省标下来估计博路定都会降价。而且现在医保的病人报销比例也很高嘛，有机会的话你可以留意一下。医生表示同意并点头。</t>
  </si>
  <si>
    <t>品牌市场战略</t>
  </si>
  <si>
    <t>关键信息</t>
  </si>
  <si>
    <t>区域内患者分布</t>
  </si>
  <si>
    <t>总计</t>
  </si>
  <si>
    <t>标准</t>
  </si>
  <si>
    <t>权重</t>
  </si>
  <si>
    <t>得分</t>
  </si>
  <si>
    <t>整合规划</t>
  </si>
  <si>
    <t>对于此次拜访您打算怎么做</t>
  </si>
  <si>
    <t>此次拜访打算展示什么</t>
  </si>
  <si>
    <t>此次拜访想发现什么</t>
  </si>
  <si>
    <r>
      <t>此次拜访目标是否</t>
    </r>
    <r>
      <rPr>
        <sz val="12"/>
        <color rgb="FF272727"/>
        <rFont val="Arial"/>
      </rPr>
      <t xml:space="preserve"> SMART</t>
    </r>
  </si>
  <si>
    <t>吸引注意</t>
  </si>
  <si>
    <t>拜访中是否与客户提到之前所设想的对于此次拜访的目标？</t>
  </si>
  <si>
    <t>是否采用讲述故事的方法与客户进行互动</t>
  </si>
  <si>
    <r>
      <t>是否采用</t>
    </r>
    <r>
      <rPr>
        <sz val="12"/>
        <color rgb="FF272727"/>
        <rFont val="Arial"/>
      </rPr>
      <t>SOAP</t>
    </r>
    <r>
      <rPr>
        <sz val="12"/>
        <color rgb="FF272727"/>
        <rFont val="PingFang SC"/>
        <family val="3"/>
        <charset val="134"/>
      </rPr>
      <t>的方法与客户进行互动</t>
    </r>
    <r>
      <rPr>
        <sz val="12"/>
        <color rgb="FF272727"/>
        <rFont val="Arial"/>
      </rPr>
      <t> </t>
    </r>
  </si>
  <si>
    <t>是否利用提问来跟进与客户的互动</t>
  </si>
  <si>
    <t>创造价值</t>
  </si>
  <si>
    <t>询问客户对该疾病种的治疗目标</t>
  </si>
  <si>
    <r>
      <t>使用提问来了解客户目前对于</t>
    </r>
    <r>
      <rPr>
        <sz val="12"/>
        <color rgb="FF272727"/>
        <rFont val="Arial"/>
      </rPr>
      <t>BMS</t>
    </r>
    <r>
      <rPr>
        <sz val="12"/>
        <color rgb="FF272727"/>
        <rFont val="PingFang SC"/>
        <family val="3"/>
        <charset val="134"/>
      </rPr>
      <t>产品的使用</t>
    </r>
  </si>
  <si>
    <r>
      <t>通过提问方式来了解客户选择治疗方案的考虑因素</t>
    </r>
    <r>
      <rPr>
        <sz val="12"/>
        <color rgb="FF272727"/>
        <rFont val="Arial"/>
      </rPr>
      <t> </t>
    </r>
  </si>
  <si>
    <r>
      <t>利用产品关键信息来区分</t>
    </r>
    <r>
      <rPr>
        <sz val="12"/>
        <color rgb="FF272727"/>
        <rFont val="Arial"/>
      </rPr>
      <t>BMS</t>
    </r>
    <r>
      <rPr>
        <sz val="12"/>
        <color rgb="FF272727"/>
        <rFont val="PingFang SC"/>
        <family val="3"/>
        <charset val="134"/>
      </rPr>
      <t>产品和竞争产品</t>
    </r>
  </si>
  <si>
    <t>达成共识</t>
  </si>
  <si>
    <r>
      <t>代表是否就</t>
    </r>
    <r>
      <rPr>
        <sz val="12"/>
        <color rgb="FF272727"/>
        <rFont val="Arial"/>
      </rPr>
      <t>BMS</t>
    </r>
    <r>
      <rPr>
        <sz val="12"/>
        <color rgb="FF272727"/>
        <rFont val="PingFang SC"/>
        <family val="3"/>
        <charset val="134"/>
      </rPr>
      <t>产品的治疗价值与客户达成共识</t>
    </r>
  </si>
  <si>
    <r>
      <t>客户是否会考虑代表所提出的</t>
    </r>
    <r>
      <rPr>
        <sz val="12"/>
        <color rgb="FF272727"/>
        <rFont val="Arial"/>
      </rPr>
      <t>BMS</t>
    </r>
    <r>
      <rPr>
        <sz val="12"/>
        <color rgb="FF272727"/>
        <rFont val="PingFang SC"/>
        <family val="3"/>
        <charset val="134"/>
      </rPr>
      <t>产品的治疗价值</t>
    </r>
  </si>
  <si>
    <r>
      <t>代表是否邀请了客户参加</t>
    </r>
    <r>
      <rPr>
        <sz val="12"/>
        <color rgb="FF272727"/>
        <rFont val="Arial"/>
      </rPr>
      <t>BMS</t>
    </r>
    <r>
      <rPr>
        <sz val="12"/>
        <color rgb="FF272727"/>
        <rFont val="PingFang SC"/>
        <family val="3"/>
        <charset val="134"/>
      </rPr>
      <t>学术交流的机会</t>
    </r>
  </si>
  <si>
    <t>代表REP版</t>
  </si>
  <si>
    <t>(满分2分)</t>
  </si>
  <si>
    <t>(满分4分)</t>
  </si>
  <si>
    <t>(满分6分)</t>
  </si>
  <si>
    <t>(满分12分)</t>
  </si>
  <si>
    <t>客户名单</t>
  </si>
  <si>
    <t>医院</t>
  </si>
  <si>
    <t>医生</t>
  </si>
  <si>
    <t>科室</t>
  </si>
  <si>
    <t>加权平均分</t>
  </si>
  <si>
    <t>访谈和执行</t>
    <rPh sb="0" eb="1">
      <t>fang tan</t>
    </rPh>
    <rPh sb="2" eb="3">
      <t>he zhi xing</t>
    </rPh>
    <phoneticPr fontId="24" type="noConversion"/>
  </si>
  <si>
    <t>拜访</t>
    <rPh sb="0" eb="1">
      <t>bai fang</t>
    </rPh>
    <phoneticPr fontId="24" type="noConversion"/>
  </si>
  <si>
    <t>组内权重</t>
    <rPh sb="0" eb="1">
      <t>zu nei</t>
    </rPh>
    <rPh sb="2" eb="3">
      <t>quan zhong</t>
    </rPh>
    <phoneticPr fontId="24" type="noConversion"/>
  </si>
  <si>
    <t>是否利用大胆陈述来与客户进行互动（产品特征优势宣讲）</t>
    <rPh sb="17" eb="18">
      <t>chan pin</t>
    </rPh>
    <rPh sb="19" eb="20">
      <t>te zheng</t>
    </rPh>
    <rPh sb="21" eb="22">
      <t>you shi</t>
    </rPh>
    <rPh sb="23" eb="24">
      <t>xuan jiang</t>
    </rPh>
    <phoneticPr fontId="24" type="noConversion"/>
  </si>
  <si>
    <t>代表拜访报告</t>
    <phoneticPr fontId="24" type="noConversion"/>
  </si>
  <si>
    <t>（机密）</t>
    <phoneticPr fontId="24" type="noConversion"/>
  </si>
  <si>
    <t>报告时间:</t>
  </si>
  <si>
    <t>姓名:</t>
  </si>
  <si>
    <t>部门:</t>
  </si>
  <si>
    <t>Virology</t>
    <phoneticPr fontId="24" type="noConversion"/>
  </si>
  <si>
    <t>区域编码:</t>
  </si>
  <si>
    <t>代表姓名:</t>
    <rPh sb="2" eb="3">
      <t>xing ming</t>
    </rPh>
    <phoneticPr fontId="24" type="noConversion"/>
  </si>
  <si>
    <t>代表拜访报告总得分</t>
    <phoneticPr fontId="24" type="noConversion"/>
  </si>
  <si>
    <t>区域编号:</t>
    <phoneticPr fontId="24" type="noConversion"/>
  </si>
  <si>
    <t>访谈内容</t>
    <phoneticPr fontId="24" type="noConversion"/>
  </si>
  <si>
    <t>评估日期:</t>
    <phoneticPr fontId="24" type="noConversion"/>
  </si>
  <si>
    <t>执行分析</t>
    <phoneticPr fontId="24" type="noConversion"/>
  </si>
  <si>
    <t>总得分</t>
    <phoneticPr fontId="24" type="noConversion"/>
  </si>
  <si>
    <t>拜访时间</t>
    <phoneticPr fontId="24" type="noConversion"/>
  </si>
  <si>
    <t>1. 整合规划</t>
  </si>
  <si>
    <t xml:space="preserve"> (权重20%)</t>
  </si>
  <si>
    <t>3. 创造价值</t>
  </si>
  <si>
    <t xml:space="preserve"> (权重40%)</t>
  </si>
  <si>
    <t>此次拜访您打算怎么做 (2%)</t>
  </si>
  <si>
    <t>(10%)</t>
  </si>
  <si>
    <t>使用提问来了解客户目前对相关疾病的治疗方案 (4%)</t>
  </si>
  <si>
    <t>此次拜访打算展示什么 (2%)</t>
  </si>
  <si>
    <t>询问客户对该疾病种的治疗目标 (4%)</t>
  </si>
  <si>
    <t>此次拜访想发现什么 (2%)</t>
  </si>
  <si>
    <t>使用提问来了解客户目前对于BMS产品的使用 (4%)</t>
  </si>
  <si>
    <t>此次拜访是否延续了之前的拜访 (2%)</t>
  </si>
  <si>
    <t>通过提问方式来了解客户选择治疗方案的考虑因素 (4%)</t>
  </si>
  <si>
    <t>此次拜访目标是否 SMART (10%)</t>
  </si>
  <si>
    <t>(50%)</t>
  </si>
  <si>
    <t>提供专注于患者的解决方案 (4%)</t>
  </si>
  <si>
    <t>处理客户的反对意见 (4%)</t>
  </si>
  <si>
    <t>利用产品关键信息来区分BMS产品和竞争产品 (12%)</t>
  </si>
  <si>
    <t>(30%)</t>
  </si>
  <si>
    <t>引发和客户相互讨论或学术辩论 (4%)</t>
  </si>
  <si>
    <t>2. 吸引注意</t>
  </si>
  <si>
    <t xml:space="preserve"> (权重10%)</t>
  </si>
  <si>
    <t>4. 达成共识</t>
  </si>
  <si>
    <t xml:space="preserve"> (权重30%)</t>
  </si>
  <si>
    <t>此次拜访是否延续之前的拜访 (2%)</t>
  </si>
  <si>
    <t>(20%)</t>
  </si>
  <si>
    <t>就BMS产品的治疗价值与客户达成共识 (16%)*</t>
  </si>
  <si>
    <t>(53.4%)</t>
  </si>
  <si>
    <t>拜访中是否与客户提到之前所设想的对于此次拜访的目标 (1.5%)</t>
  </si>
  <si>
    <t>(15%)</t>
  </si>
  <si>
    <t>客户会考虑代表提出的BMS产品使用价值 (16%)*</t>
  </si>
  <si>
    <t>使用多种互动方式(讲述故事, SOAP方法, 大胆陈述， 提问) (6.5%)</t>
  </si>
  <si>
    <t>(65%)</t>
  </si>
  <si>
    <t>基于与客户达成共识后, 代表提出行动计划 (8%)</t>
  </si>
  <si>
    <t>(26.7%)</t>
  </si>
  <si>
    <t>代表邀请客户参加BMS的学习平台 (6%)</t>
  </si>
  <si>
    <t>*这两项在拜访时属于二选一，两项加在一起的权重是16%。</t>
  </si>
  <si>
    <t>品牌市场策略 (15%)</t>
  </si>
  <si>
    <t>目标客户 (10%)</t>
  </si>
  <si>
    <t>目标患者类型 (15%)</t>
  </si>
  <si>
    <t>竞争产品 (10%)</t>
  </si>
  <si>
    <t>关键信息 (20%)</t>
  </si>
  <si>
    <t>反对意见处理 (10%)</t>
  </si>
  <si>
    <t>区域内患者分布 (10%)</t>
  </si>
  <si>
    <t>推广资料使用 (10%)</t>
  </si>
  <si>
    <t>10:22 -10:28</t>
  </si>
  <si>
    <t>22/23/2017</t>
  </si>
  <si>
    <t>11:00-1100</t>
  </si>
  <si>
    <t>16:20-16:02</t>
  </si>
  <si>
    <t>16:10---16:12</t>
  </si>
  <si>
    <t>的事</t>
  </si>
  <si>
    <t>1730-16:35</t>
  </si>
  <si>
    <t>11:20  11:22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</si>
</sst>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quot;年&quot;m&quot;月&quot;d&quot;日&quot;;@"/>
    <numFmt numFmtId="165" formatCode="0.00_ "/>
  </numFmts>
  <fonts count="54" x14ac:knownFonts="1">
    <font>
      <sz val="11"/>
      <color indexed="8"/>
      <name val="等线"/>
    </font>
    <font>
      <sz val="12"/>
      <color theme="1"/>
      <name val="Helvetica"/>
      <family val="2"/>
      <scheme val="minor"/>
    </font>
    <font>
      <sz val="12"/>
      <color indexed="8"/>
      <name val="等线"/>
      <charset val="134"/>
    </font>
    <font>
      <b/>
      <sz val="18"/>
      <color indexed="8"/>
      <name val="等线"/>
      <charset val="134"/>
    </font>
    <font>
      <b/>
      <sz val="11"/>
      <color indexed="8"/>
      <name val="等线"/>
      <charset val="134"/>
    </font>
    <font>
      <b/>
      <sz val="12"/>
      <color indexed="8"/>
      <name val="等线"/>
      <charset val="134"/>
    </font>
    <font>
      <sz val="11"/>
      <color indexed="8"/>
      <name val="宋体"/>
      <family val="3"/>
      <charset val="134"/>
    </font>
    <font>
      <sz val="11"/>
      <color indexed="8"/>
      <name val="Microsoft YaHei"/>
      <charset val="134"/>
    </font>
    <font>
      <sz val="11"/>
      <color indexed="8"/>
      <name val="Arial"/>
      <family val="2"/>
    </font>
    <font>
      <sz val="7"/>
      <color indexed="8"/>
      <name val="Arial"/>
      <family val="2"/>
    </font>
    <font>
      <sz val="18"/>
      <color indexed="8"/>
      <name val="等线"/>
      <charset val="134"/>
    </font>
    <font>
      <b/>
      <i/>
      <sz val="11"/>
      <color indexed="8"/>
      <name val="等线"/>
      <charset val="134"/>
    </font>
    <font>
      <sz val="10"/>
      <color indexed="8"/>
      <name val="等线"/>
      <charset val="134"/>
    </font>
    <font>
      <b/>
      <sz val="14"/>
      <color indexed="9"/>
      <name val="Arial"/>
      <family val="2"/>
    </font>
    <font>
      <sz val="9"/>
      <color indexed="9"/>
      <name val="等线"/>
      <charset val="134"/>
    </font>
    <font>
      <sz val="12"/>
      <color indexed="9"/>
      <name val="Arial"/>
      <family val="2"/>
    </font>
    <font>
      <sz val="9"/>
      <color indexed="8"/>
      <name val="等线"/>
      <charset val="134"/>
    </font>
    <font>
      <b/>
      <sz val="12"/>
      <color indexed="8"/>
      <name val="Microsoft YaHei"/>
      <charset val="134"/>
    </font>
    <font>
      <sz val="10"/>
      <color indexed="8"/>
      <name val="Arial"/>
      <family val="2"/>
    </font>
    <font>
      <sz val="7"/>
      <color indexed="8"/>
      <name val="Times New Roman"/>
      <family val="1"/>
    </font>
    <font>
      <sz val="10"/>
      <color indexed="8"/>
      <name val="Microsoft YaHei"/>
      <charset val="134"/>
    </font>
    <font>
      <b/>
      <sz val="10"/>
      <color indexed="8"/>
      <name val="Microsoft YaHei"/>
      <charset val="134"/>
    </font>
    <font>
      <sz val="10"/>
      <color indexed="8"/>
      <name val="Wingdings"/>
      <charset val="2"/>
    </font>
    <font>
      <sz val="9"/>
      <name val="宋体"/>
      <family val="3"/>
      <charset val="134"/>
    </font>
    <font>
      <sz val="11"/>
      <color theme="1"/>
      <name val="Helvetica"/>
      <family val="2"/>
      <scheme val="minor"/>
    </font>
    <font>
      <sz val="12"/>
      <color rgb="FF272727"/>
      <name val="PingFang SC"/>
      <family val="3"/>
      <charset val="134"/>
    </font>
    <font>
      <sz val="12"/>
      <color rgb="FF272727"/>
      <name val="Arial"/>
    </font>
    <font>
      <b/>
      <sz val="14"/>
      <name val="PingFang SC"/>
      <family val="3"/>
      <charset val="134"/>
    </font>
    <font>
      <b/>
      <sz val="14"/>
      <color rgb="FFFFFFFF"/>
      <name val="PingFang SC"/>
      <family val="3"/>
      <charset val="134"/>
    </font>
    <font>
      <b/>
      <sz val="12"/>
      <color rgb="FF272727"/>
      <name val="PingFang SC"/>
      <family val="3"/>
      <charset val="134"/>
    </font>
    <font>
      <sz val="10"/>
      <color rgb="FF272727"/>
      <name val="PingFang SC"/>
      <family val="3"/>
      <charset val="134"/>
    </font>
    <font>
      <b/>
      <sz val="12"/>
      <color rgb="FF272727"/>
      <name val="Arial"/>
    </font>
    <font>
      <sz val="10"/>
      <color rgb="FF272727"/>
      <name val="Arial"/>
    </font>
    <font>
      <sz val="10"/>
      <name val="Arial"/>
      <family val="2"/>
    </font>
    <font>
      <sz val="28"/>
      <color theme="1"/>
      <name val="Helvetica"/>
      <family val="2"/>
      <scheme val="minor"/>
    </font>
    <font>
      <sz val="18"/>
      <color theme="1"/>
      <name val="Helvetica"/>
      <family val="2"/>
      <scheme val="minor"/>
    </font>
    <font>
      <sz val="16"/>
      <color theme="1"/>
      <name val="Helvetica"/>
      <family val="2"/>
      <scheme val="minor"/>
    </font>
    <font>
      <sz val="20"/>
      <color theme="1"/>
      <name val="Helvetica"/>
      <family val="2"/>
      <scheme val="minor"/>
    </font>
    <font>
      <sz val="14"/>
      <color theme="1"/>
      <name val="Helvetica"/>
      <family val="3"/>
      <charset val="134"/>
      <scheme val="minor"/>
    </font>
    <font>
      <sz val="10"/>
      <color theme="1"/>
      <name val="Helvetica"/>
      <family val="2"/>
      <scheme val="minor"/>
    </font>
    <font>
      <sz val="8"/>
      <color theme="2" tint="-0.499984740745262"/>
      <name val="Heiti TC Light"/>
    </font>
    <font>
      <sz val="10"/>
      <color rgb="FFFF0000"/>
      <name val="Helvetica"/>
      <family val="3"/>
      <charset val="134"/>
      <scheme val="minor"/>
    </font>
    <font>
      <b/>
      <sz val="14"/>
      <color rgb="FFC00000"/>
      <name val="Helvetica"/>
      <family val="3"/>
      <charset val="134"/>
      <scheme val="minor"/>
    </font>
    <font>
      <sz val="9"/>
      <color theme="1"/>
      <name val="Helvetica"/>
      <family val="2"/>
      <scheme val="minor"/>
    </font>
    <font>
      <sz val="11"/>
      <color rgb="FFFF0000"/>
      <name val="Helvetica"/>
      <family val="3"/>
      <charset val="134"/>
      <scheme val="minor"/>
    </font>
    <font>
      <sz val="9"/>
      <color theme="1"/>
      <name val="Heiti TC Light"/>
    </font>
    <font>
      <sz val="8"/>
      <color theme="1"/>
      <name val="Helvetica"/>
      <family val="2"/>
      <scheme val="minor"/>
    </font>
    <font>
      <sz val="8"/>
      <color theme="2" tint="-0.499984740745262"/>
      <name val="Helvetica"/>
      <family val="2"/>
      <scheme val="minor"/>
    </font>
    <font>
      <sz val="8"/>
      <name val="Helvetica"/>
      <family val="2"/>
      <scheme val="minor"/>
    </font>
    <font>
      <sz val="8"/>
      <name val="等线"/>
      <charset val="134"/>
    </font>
    <font>
      <sz val="11"/>
      <color indexed="8"/>
      <name val="等线"/>
      <charset val="134"/>
    </font>
    <font>
      <sz val="11"/>
      <color theme="1"/>
      <name val="Heiti TC Light"/>
    </font>
    <font>
      <sz val="8"/>
      <color theme="1"/>
      <name val="Heiti TC Light"/>
    </font>
    <font>
      <i/>
      <sz val="8"/>
      <color theme="1"/>
      <name val="Heiti TC Light"/>
    </font>
  </fonts>
  <fills count="2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8"/>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FD78"/>
        <bgColor indexed="64"/>
      </patternFill>
    </fill>
  </fills>
  <borders count="94">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thin">
        <color indexed="10"/>
      </bottom>
      <diagonal/>
    </border>
    <border>
      <left style="medium">
        <color indexed="8"/>
      </left>
      <right style="medium">
        <color indexed="8"/>
      </right>
      <top style="medium">
        <color indexed="8"/>
      </top>
      <bottom style="thin">
        <color indexed="10"/>
      </bottom>
      <diagonal/>
    </border>
    <border>
      <left style="medium">
        <color indexed="8"/>
      </left>
      <right style="thin">
        <color indexed="10"/>
      </right>
      <top style="thin">
        <color indexed="10"/>
      </top>
      <bottom style="thin">
        <color indexed="10"/>
      </bottom>
      <diagonal/>
    </border>
    <border>
      <left style="medium">
        <color indexed="8"/>
      </left>
      <right style="medium">
        <color indexed="8"/>
      </right>
      <top style="thin">
        <color indexed="10"/>
      </top>
      <bottom style="thin">
        <color indexed="10"/>
      </bottom>
      <diagonal/>
    </border>
    <border>
      <left style="medium">
        <color indexed="8"/>
      </left>
      <right style="medium">
        <color indexed="8"/>
      </right>
      <top style="thin">
        <color indexed="10"/>
      </top>
      <bottom style="medium">
        <color indexed="8"/>
      </bottom>
      <diagonal/>
    </border>
    <border>
      <left style="thin">
        <color indexed="10"/>
      </left>
      <right style="thin">
        <color indexed="10"/>
      </right>
      <top style="medium">
        <color indexed="8"/>
      </top>
      <bottom style="thin">
        <color indexed="10"/>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medium">
        <color indexed="8"/>
      </right>
      <top style="medium">
        <color indexed="8"/>
      </top>
      <bottom/>
      <diagonal/>
    </border>
    <border>
      <left style="medium">
        <color indexed="8"/>
      </left>
      <right style="medium">
        <color indexed="8"/>
      </right>
      <top/>
      <bottom/>
      <diagonal/>
    </border>
    <border>
      <left style="medium">
        <color indexed="8"/>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style="thin">
        <color indexed="10"/>
      </right>
      <top style="medium">
        <color indexed="8"/>
      </top>
      <bottom style="medium">
        <color indexed="8"/>
      </bottom>
      <diagonal/>
    </border>
    <border>
      <left style="thin">
        <color indexed="10"/>
      </left>
      <right style="thin">
        <color indexed="10"/>
      </right>
      <top style="medium">
        <color indexed="8"/>
      </top>
      <bottom style="medium">
        <color indexed="8"/>
      </bottom>
      <diagonal/>
    </border>
    <border>
      <left style="thin">
        <color indexed="10"/>
      </left>
      <right style="medium">
        <color indexed="8"/>
      </right>
      <top style="medium">
        <color indexed="8"/>
      </top>
      <bottom style="medium">
        <color indexed="8"/>
      </bottom>
      <diagonal/>
    </border>
    <border>
      <left style="medium">
        <color indexed="8"/>
      </left>
      <right style="medium">
        <color indexed="8"/>
      </right>
      <top style="thin">
        <color indexed="10"/>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10"/>
      </top>
      <bottom/>
      <diagonal/>
    </border>
    <border>
      <left style="medium">
        <color indexed="8"/>
      </left>
      <right style="medium">
        <color indexed="8"/>
      </right>
      <top/>
      <bottom style="thin">
        <color indexed="10"/>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10"/>
      </left>
      <right/>
      <top style="thin">
        <color indexed="10"/>
      </top>
      <bottom style="thin">
        <color indexed="10"/>
      </bottom>
      <diagonal/>
    </border>
    <border>
      <left/>
      <right style="thin">
        <color indexed="10"/>
      </right>
      <top style="medium">
        <color indexed="8"/>
      </top>
      <bottom style="medium">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right style="medium">
        <color indexed="8"/>
      </right>
      <top style="thin">
        <color indexed="10"/>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diagonal/>
    </border>
    <border>
      <left/>
      <right/>
      <top style="thin">
        <color auto="1"/>
      </top>
      <bottom style="dashed">
        <color theme="2" tint="-0.24994659260841701"/>
      </bottom>
      <diagonal/>
    </border>
    <border>
      <left/>
      <right/>
      <top style="dashed">
        <color theme="2" tint="-0.24994659260841701"/>
      </top>
      <bottom style="dashed">
        <color theme="2" tint="-0.24994659260841701"/>
      </bottom>
      <diagonal/>
    </border>
    <border>
      <left/>
      <right/>
      <top style="dashed">
        <color theme="2" tint="-0.24994659260841701"/>
      </top>
      <bottom/>
      <diagonal/>
    </border>
    <border>
      <left style="dashed">
        <color theme="2" tint="-0.249977111117893"/>
      </left>
      <right style="dashed">
        <color theme="2" tint="-0.249977111117893"/>
      </right>
      <top style="dashed">
        <color theme="2" tint="-0.249977111117893"/>
      </top>
      <bottom style="dashed">
        <color theme="2" tint="-0.249977111117893"/>
      </bottom>
      <diagonal/>
    </border>
    <border>
      <left style="dashed">
        <color theme="2" tint="-0.249977111117893"/>
      </left>
      <right/>
      <top style="dashed">
        <color theme="2" tint="-0.249977111117893"/>
      </top>
      <bottom style="dashed">
        <color theme="2" tint="-0.249977111117893"/>
      </bottom>
      <diagonal/>
    </border>
    <border>
      <left style="dashed">
        <color theme="2" tint="-0.249977111117893"/>
      </left>
      <right style="dashed">
        <color theme="2" tint="-0.249977111117893"/>
      </right>
      <top style="dashed">
        <color theme="2" tint="-0.249977111117893"/>
      </top>
      <bottom style="thin">
        <color auto="1"/>
      </bottom>
      <diagonal/>
    </border>
    <border>
      <left style="dashed">
        <color theme="2" tint="-0.249977111117893"/>
      </left>
      <right/>
      <top style="dashed">
        <color theme="2" tint="-0.249977111117893"/>
      </top>
      <bottom style="thin">
        <color auto="1"/>
      </bottom>
      <diagonal/>
    </border>
    <border>
      <left/>
      <right style="thin">
        <color auto="1"/>
      </right>
      <top/>
      <bottom style="thin">
        <color auto="1"/>
      </bottom>
      <diagonal/>
    </border>
    <border>
      <left/>
      <right/>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top/>
      <bottom style="dashed">
        <color theme="2" tint="0.39997558519241921"/>
      </bottom>
      <diagonal/>
    </border>
    <border>
      <left/>
      <right/>
      <top style="thin">
        <color theme="2" tint="-0.499984740745262"/>
      </top>
      <bottom style="dashed">
        <color theme="2" tint="0.39997558519241921"/>
      </bottom>
      <diagonal/>
    </border>
    <border>
      <left/>
      <right style="thin">
        <color theme="2" tint="-0.499984740745262"/>
      </right>
      <top/>
      <bottom/>
      <diagonal/>
    </border>
    <border>
      <left/>
      <right/>
      <top style="thin">
        <color auto="1"/>
      </top>
      <bottom style="dashed">
        <color theme="2" tint="0.39997558519241921"/>
      </bottom>
      <diagonal/>
    </border>
    <border>
      <left/>
      <right/>
      <top style="dashed">
        <color theme="2" tint="0.39997558519241921"/>
      </top>
      <bottom style="dashed">
        <color theme="2" tint="0.39997558519241921"/>
      </bottom>
      <diagonal/>
    </border>
    <border>
      <left/>
      <right style="thin">
        <color theme="2" tint="-0.499984740745262"/>
      </right>
      <top style="dashed">
        <color theme="2" tint="0.39997558519241921"/>
      </top>
      <bottom style="dashed">
        <color theme="2" tint="0.39997558519241921"/>
      </bottom>
      <diagonal/>
    </border>
    <border>
      <left/>
      <right/>
      <top/>
      <bottom style="dashed">
        <color theme="2" tint="-0.24994659260841701"/>
      </bottom>
      <diagonal/>
    </border>
    <border>
      <left style="thin">
        <color theme="2" tint="-0.499984740745262"/>
      </left>
      <right style="dashed">
        <color theme="2" tint="-0.249977111117893"/>
      </right>
      <top style="dashed">
        <color theme="2" tint="0.39997558519241921"/>
      </top>
      <bottom style="dashed">
        <color theme="2" tint="0.39997558519241921"/>
      </bottom>
      <diagonal/>
    </border>
    <border>
      <left style="dashed">
        <color theme="2" tint="-0.249977111117893"/>
      </left>
      <right style="dashed">
        <color theme="2" tint="-0.249977111117893"/>
      </right>
      <top style="dashed">
        <color theme="2" tint="0.39997558519241921"/>
      </top>
      <bottom style="dashed">
        <color theme="2" tint="0.39997558519241921"/>
      </bottom>
      <diagonal/>
    </border>
    <border>
      <left style="dashed">
        <color theme="2" tint="-0.249977111117893"/>
      </left>
      <right/>
      <top style="dashed">
        <color theme="2" tint="0.39997558519241921"/>
      </top>
      <bottom style="dashed">
        <color theme="2" tint="0.39997558519241921"/>
      </bottom>
      <diagonal/>
    </border>
    <border>
      <left/>
      <right style="dashed">
        <color theme="2" tint="-0.249977111117893"/>
      </right>
      <top/>
      <bottom style="dashed">
        <color theme="2" tint="-0.249977111117893"/>
      </bottom>
      <diagonal/>
    </border>
    <border>
      <left style="dashed">
        <color theme="2" tint="-0.249977111117893"/>
      </left>
      <right style="dashed">
        <color theme="2" tint="-0.249977111117893"/>
      </right>
      <top/>
      <bottom style="dashed">
        <color theme="2" tint="-0.249977111117893"/>
      </bottom>
      <diagonal/>
    </border>
    <border>
      <left style="dashed">
        <color theme="2" tint="-0.249977111117893"/>
      </left>
      <right/>
      <top/>
      <bottom style="dashed">
        <color theme="2" tint="-0.249977111117893"/>
      </bottom>
      <diagonal/>
    </border>
    <border>
      <left/>
      <right style="dashed">
        <color theme="2" tint="-0.249977111117893"/>
      </right>
      <top style="dashed">
        <color theme="2" tint="-0.249977111117893"/>
      </top>
      <bottom style="dashed">
        <color theme="2" tint="-0.249977111117893"/>
      </bottom>
      <diagonal/>
    </border>
    <border>
      <left/>
      <right style="thin">
        <color theme="2" tint="-0.499984740745262"/>
      </right>
      <top/>
      <bottom style="thin">
        <color theme="2" tint="-0.749992370372631"/>
      </bottom>
      <diagonal/>
    </border>
    <border>
      <left/>
      <right style="dashed">
        <color theme="2" tint="-0.249977111117893"/>
      </right>
      <top style="dashed">
        <color theme="2" tint="-0.249977111117893"/>
      </top>
      <bottom style="thin">
        <color auto="1"/>
      </bottom>
      <diagonal/>
    </border>
    <border>
      <left/>
      <right/>
      <top style="thin">
        <color auto="1"/>
      </top>
      <bottom style="thin">
        <color theme="2" tint="-0.499984740745262"/>
      </bottom>
      <diagonal/>
    </border>
    <border>
      <left/>
      <right style="thin">
        <color theme="2" tint="-0.749992370372631"/>
      </right>
      <top style="thin">
        <color theme="2" tint="-0.749992370372631"/>
      </top>
      <bottom style="thin">
        <color theme="2" tint="-0.749992370372631"/>
      </bottom>
      <diagonal/>
    </border>
    <border>
      <left/>
      <right style="thin">
        <color auto="1"/>
      </right>
      <top/>
      <bottom style="dashed">
        <color theme="2" tint="0.39997558519241921"/>
      </bottom>
      <diagonal/>
    </border>
    <border>
      <left/>
      <right style="thin">
        <color theme="2" tint="0.39997558519241921"/>
      </right>
      <top style="thin">
        <color auto="1"/>
      </top>
      <bottom style="thin">
        <color auto="1"/>
      </bottom>
      <diagonal/>
    </border>
    <border>
      <left/>
      <right style="thin">
        <color theme="2" tint="0.39997558519241921"/>
      </right>
      <top/>
      <bottom/>
      <diagonal/>
    </border>
    <border>
      <left/>
      <right style="thin">
        <color theme="2" tint="-0.499984740745262"/>
      </right>
      <top style="thin">
        <color auto="1"/>
      </top>
      <bottom style="thin">
        <color auto="1"/>
      </bottom>
      <diagonal/>
    </border>
    <border>
      <left/>
      <right style="thin">
        <color theme="2" tint="0.39997558519241921"/>
      </right>
      <top/>
      <bottom style="thin">
        <color auto="1"/>
      </bottom>
      <diagonal/>
    </border>
  </borders>
  <cellStyleXfs count="5">
    <xf numFmtId="0" fontId="0" fillId="0" borderId="0" applyNumberFormat="0" applyFill="0" applyBorder="0" applyProtection="0"/>
    <xf numFmtId="0" fontId="24" fillId="0" borderId="24"/>
    <xf numFmtId="0" fontId="33" fillId="0" borderId="24"/>
    <xf numFmtId="0" fontId="50" fillId="0" borderId="24" applyNumberFormat="0" applyFill="0" applyBorder="0" applyProtection="0"/>
    <xf numFmtId="0" fontId="50" fillId="0" borderId="24" applyNumberFormat="0" applyFill="0" applyBorder="0" applyProtection="0"/>
  </cellStyleXfs>
  <cellXfs count="409">
    <xf numFmtId="0" fontId="0" fillId="0" borderId="0" xfId="0" applyFont="1" applyAlignment="1"/>
    <xf numFmtId="0" fontId="0" fillId="0" borderId="0" xfId="0" applyNumberFormat="1" applyFont="1" applyAlignment="1"/>
    <xf numFmtId="0" fontId="0" fillId="2" borderId="1" xfId="0" applyNumberFormat="1" applyFont="1" applyFill="1" applyBorder="1" applyAlignment="1">
      <alignment vertical="center"/>
    </xf>
    <xf numFmtId="0" fontId="0" fillId="2" borderId="2" xfId="0" applyNumberFormat="1" applyFont="1" applyFill="1" applyBorder="1" applyAlignment="1">
      <alignment wrapText="1"/>
    </xf>
    <xf numFmtId="0" fontId="0" fillId="2" borderId="2" xfId="0" applyNumberFormat="1" applyFont="1" applyFill="1" applyBorder="1" applyAlignment="1">
      <alignment vertical="center"/>
    </xf>
    <xf numFmtId="0" fontId="0" fillId="2" borderId="1" xfId="0" applyNumberFormat="1" applyFont="1" applyFill="1" applyBorder="1" applyAlignment="1"/>
    <xf numFmtId="0" fontId="0" fillId="2" borderId="1" xfId="0" applyNumberFormat="1" applyFont="1" applyFill="1" applyBorder="1" applyAlignment="1">
      <alignment vertical="center" wrapText="1"/>
    </xf>
    <xf numFmtId="0" fontId="0" fillId="2" borderId="3" xfId="0" applyNumberFormat="1" applyFont="1" applyFill="1" applyBorder="1" applyAlignment="1">
      <alignment vertical="center"/>
    </xf>
    <xf numFmtId="49" fontId="2" fillId="2" borderId="4" xfId="0" applyNumberFormat="1" applyFont="1" applyFill="1" applyBorder="1" applyAlignment="1">
      <alignment horizontal="center" vertical="center" wrapText="1"/>
    </xf>
    <xf numFmtId="0" fontId="0" fillId="2" borderId="5" xfId="0" applyNumberFormat="1" applyFont="1" applyFill="1" applyBorder="1" applyAlignment="1"/>
    <xf numFmtId="49" fontId="2" fillId="2" borderId="6"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0" fillId="2" borderId="8" xfId="0" applyNumberFormat="1" applyFont="1" applyFill="1" applyBorder="1" applyAlignment="1">
      <alignment vertical="center"/>
    </xf>
    <xf numFmtId="0" fontId="0" fillId="2" borderId="2" xfId="0" applyNumberFormat="1" applyFont="1" applyFill="1" applyBorder="1" applyAlignment="1"/>
    <xf numFmtId="0" fontId="0" fillId="2" borderId="2" xfId="0" applyNumberFormat="1" applyFont="1" applyFill="1" applyBorder="1" applyAlignment="1">
      <alignment vertical="center" wrapText="1"/>
    </xf>
    <xf numFmtId="49" fontId="0" fillId="2" borderId="12" xfId="0" applyNumberFormat="1" applyFont="1" applyFill="1" applyBorder="1" applyAlignment="1">
      <alignment horizontal="center" vertical="center"/>
    </xf>
    <xf numFmtId="49" fontId="0" fillId="2" borderId="12" xfId="0" applyNumberFormat="1" applyFont="1" applyFill="1" applyBorder="1" applyAlignment="1">
      <alignment vertical="center" wrapText="1"/>
    </xf>
    <xf numFmtId="49" fontId="5" fillId="2" borderId="12" xfId="0" applyNumberFormat="1" applyFont="1" applyFill="1" applyBorder="1" applyAlignment="1">
      <alignment horizontal="center" vertical="center" wrapText="1"/>
    </xf>
    <xf numFmtId="0" fontId="0" fillId="2" borderId="12" xfId="0" applyNumberFormat="1" applyFont="1" applyFill="1" applyBorder="1" applyAlignment="1">
      <alignment horizontal="center" vertical="center"/>
    </xf>
    <xf numFmtId="49" fontId="0" fillId="2" borderId="4" xfId="0" applyNumberFormat="1" applyFont="1" applyFill="1" applyBorder="1" applyAlignment="1">
      <alignment vertical="center" wrapText="1"/>
    </xf>
    <xf numFmtId="49" fontId="0" fillId="2" borderId="4" xfId="0" applyNumberFormat="1" applyFont="1" applyFill="1" applyBorder="1" applyAlignment="1">
      <alignment horizontal="center" vertical="center" wrapText="1"/>
    </xf>
    <xf numFmtId="49" fontId="0" fillId="2" borderId="6" xfId="0" applyNumberFormat="1" applyFont="1" applyFill="1" applyBorder="1" applyAlignment="1">
      <alignment horizontal="center" vertical="center" wrapText="1"/>
    </xf>
    <xf numFmtId="0" fontId="0" fillId="4" borderId="16" xfId="0" applyNumberFormat="1" applyFont="1" applyFill="1" applyBorder="1" applyAlignment="1">
      <alignment horizontal="center" vertical="center"/>
    </xf>
    <xf numFmtId="49" fontId="0" fillId="2" borderId="7" xfId="0" applyNumberFormat="1" applyFont="1" applyFill="1" applyBorder="1" applyAlignment="1">
      <alignment horizontal="center" vertical="center" wrapText="1"/>
    </xf>
    <xf numFmtId="49" fontId="4" fillId="2" borderId="12" xfId="0" applyNumberFormat="1" applyFont="1" applyFill="1" applyBorder="1" applyAlignment="1">
      <alignment horizontal="center" vertical="center" wrapText="1"/>
    </xf>
    <xf numFmtId="0" fontId="0" fillId="4" borderId="12" xfId="0" applyNumberFormat="1" applyFont="1" applyFill="1" applyBorder="1" applyAlignment="1">
      <alignment horizontal="center" vertical="center"/>
    </xf>
    <xf numFmtId="0" fontId="0" fillId="4" borderId="12" xfId="0" applyNumberFormat="1" applyFont="1" applyFill="1" applyBorder="1" applyAlignment="1">
      <alignment vertical="center"/>
    </xf>
    <xf numFmtId="49" fontId="7" fillId="2" borderId="4" xfId="0" applyNumberFormat="1" applyFont="1" applyFill="1" applyBorder="1" applyAlignment="1">
      <alignment horizontal="center" vertical="center" wrapText="1"/>
    </xf>
    <xf numFmtId="49" fontId="7" fillId="2" borderId="6" xfId="0" applyNumberFormat="1" applyFont="1" applyFill="1" applyBorder="1" applyAlignment="1">
      <alignment horizontal="center" vertical="center" wrapText="1"/>
    </xf>
    <xf numFmtId="49" fontId="4" fillId="2" borderId="7" xfId="0" applyNumberFormat="1" applyFont="1" applyFill="1" applyBorder="1" applyAlignment="1">
      <alignment horizontal="right" vertical="center" wrapText="1"/>
    </xf>
    <xf numFmtId="49" fontId="8" fillId="2" borderId="4" xfId="0" applyNumberFormat="1" applyFont="1" applyFill="1" applyBorder="1" applyAlignment="1">
      <alignment horizontal="left" vertical="center" wrapText="1"/>
    </xf>
    <xf numFmtId="49" fontId="8" fillId="2" borderId="6" xfId="0" applyNumberFormat="1" applyFont="1" applyFill="1" applyBorder="1" applyAlignment="1">
      <alignment horizontal="left" vertical="center" wrapText="1"/>
    </xf>
    <xf numFmtId="49" fontId="8" fillId="2" borderId="7" xfId="0" applyNumberFormat="1" applyFont="1" applyFill="1" applyBorder="1" applyAlignment="1">
      <alignment horizontal="left" vertical="center" wrapText="1"/>
    </xf>
    <xf numFmtId="49" fontId="0" fillId="2" borderId="4" xfId="0" applyNumberFormat="1" applyFont="1" applyFill="1" applyBorder="1" applyAlignment="1">
      <alignment horizontal="left" vertical="center" wrapText="1"/>
    </xf>
    <xf numFmtId="49" fontId="0" fillId="2" borderId="7" xfId="0" applyNumberFormat="1" applyFont="1" applyFill="1" applyBorder="1" applyAlignment="1">
      <alignment horizontal="left" vertical="center" wrapText="1"/>
    </xf>
    <xf numFmtId="0" fontId="0" fillId="2" borderId="8" xfId="0" applyNumberFormat="1" applyFont="1" applyFill="1" applyBorder="1" applyAlignment="1">
      <alignment wrapText="1"/>
    </xf>
    <xf numFmtId="0" fontId="0" fillId="2" borderId="8" xfId="0" applyNumberFormat="1" applyFont="1" applyFill="1" applyBorder="1" applyAlignment="1"/>
    <xf numFmtId="0" fontId="0" fillId="2" borderId="8" xfId="0" applyNumberFormat="1" applyFont="1" applyFill="1" applyBorder="1" applyAlignment="1">
      <alignment vertical="center" wrapText="1"/>
    </xf>
    <xf numFmtId="0" fontId="0" fillId="0" borderId="0" xfId="0" applyNumberFormat="1" applyFont="1" applyAlignment="1"/>
    <xf numFmtId="49" fontId="10" fillId="5" borderId="12" xfId="0" applyNumberFormat="1" applyFont="1" applyFill="1" applyBorder="1" applyAlignment="1">
      <alignment horizontal="center" vertical="center" wrapText="1"/>
    </xf>
    <xf numFmtId="49" fontId="0" fillId="5" borderId="12" xfId="0" applyNumberFormat="1" applyFont="1" applyFill="1" applyBorder="1" applyAlignment="1">
      <alignment horizontal="center" vertical="center"/>
    </xf>
    <xf numFmtId="49" fontId="11" fillId="5" borderId="12" xfId="0" applyNumberFormat="1" applyFont="1" applyFill="1" applyBorder="1" applyAlignment="1">
      <alignment horizontal="center" vertical="center"/>
    </xf>
    <xf numFmtId="49" fontId="4" fillId="6" borderId="12" xfId="0" applyNumberFormat="1" applyFont="1" applyFill="1" applyBorder="1" applyAlignment="1">
      <alignment horizontal="center" vertical="center" wrapText="1"/>
    </xf>
    <xf numFmtId="49" fontId="0" fillId="6" borderId="12" xfId="0" applyNumberFormat="1" applyFont="1" applyFill="1" applyBorder="1" applyAlignment="1">
      <alignment horizontal="center" vertical="center"/>
    </xf>
    <xf numFmtId="49" fontId="4" fillId="2" borderId="4" xfId="0" applyNumberFormat="1" applyFont="1" applyFill="1" applyBorder="1" applyAlignment="1">
      <alignment horizontal="center" vertical="center" wrapText="1"/>
    </xf>
    <xf numFmtId="0" fontId="0" fillId="2" borderId="4" xfId="0" applyNumberFormat="1" applyFont="1" applyFill="1" applyBorder="1" applyAlignment="1">
      <alignment horizontal="center" vertical="center"/>
    </xf>
    <xf numFmtId="49" fontId="4" fillId="2" borderId="32" xfId="0" applyNumberFormat="1" applyFont="1" applyFill="1" applyBorder="1" applyAlignment="1">
      <alignment horizontal="center" vertical="center" wrapText="1"/>
    </xf>
    <xf numFmtId="0" fontId="0" fillId="2" borderId="6" xfId="0" applyNumberFormat="1" applyFont="1" applyFill="1" applyBorder="1" applyAlignment="1">
      <alignment horizontal="center" vertical="center"/>
    </xf>
    <xf numFmtId="49" fontId="12" fillId="2" borderId="33" xfId="0" applyNumberFormat="1" applyFont="1" applyFill="1" applyBorder="1" applyAlignment="1">
      <alignment horizontal="right" vertical="center" wrapText="1"/>
    </xf>
    <xf numFmtId="0" fontId="0" fillId="2" borderId="6" xfId="0" applyNumberFormat="1" applyFont="1" applyFill="1" applyBorder="1" applyAlignment="1"/>
    <xf numFmtId="49" fontId="0" fillId="2" borderId="6" xfId="0" applyNumberFormat="1" applyFont="1" applyFill="1" applyBorder="1" applyAlignment="1">
      <alignment vertical="center" wrapText="1"/>
    </xf>
    <xf numFmtId="0" fontId="0" fillId="2" borderId="34" xfId="0" applyNumberFormat="1" applyFont="1" applyFill="1" applyBorder="1" applyAlignment="1"/>
    <xf numFmtId="49" fontId="12" fillId="6" borderId="33" xfId="0" applyNumberFormat="1" applyFont="1" applyFill="1" applyBorder="1" applyAlignment="1">
      <alignment horizontal="right" vertical="center" wrapText="1"/>
    </xf>
    <xf numFmtId="49" fontId="0" fillId="6" borderId="16" xfId="0" applyNumberFormat="1" applyFont="1" applyFill="1" applyBorder="1" applyAlignment="1">
      <alignment horizontal="center" vertical="center"/>
    </xf>
    <xf numFmtId="49" fontId="0" fillId="2" borderId="7" xfId="0" applyNumberFormat="1" applyFont="1" applyFill="1" applyBorder="1" applyAlignment="1">
      <alignment vertical="center" wrapText="1"/>
    </xf>
    <xf numFmtId="0" fontId="0" fillId="2" borderId="16" xfId="0" applyNumberFormat="1" applyFont="1" applyFill="1" applyBorder="1" applyAlignment="1">
      <alignment horizontal="center" vertical="center"/>
    </xf>
    <xf numFmtId="49" fontId="12" fillId="6" borderId="36" xfId="0" applyNumberFormat="1" applyFont="1" applyFill="1" applyBorder="1" applyAlignment="1">
      <alignment horizontal="right" vertical="center" wrapText="1"/>
    </xf>
    <xf numFmtId="49" fontId="4" fillId="2" borderId="37" xfId="0" applyNumberFormat="1" applyFont="1" applyFill="1" applyBorder="1" applyAlignment="1">
      <alignment horizontal="center" vertical="center" wrapText="1"/>
    </xf>
    <xf numFmtId="0" fontId="4" fillId="2" borderId="3" xfId="0" applyNumberFormat="1" applyFont="1" applyFill="1" applyBorder="1" applyAlignment="1">
      <alignment horizontal="center" vertical="center"/>
    </xf>
    <xf numFmtId="0" fontId="0" fillId="2" borderId="35" xfId="0" applyNumberFormat="1" applyFont="1" applyFill="1" applyBorder="1" applyAlignment="1">
      <alignment horizontal="center" vertical="center"/>
    </xf>
    <xf numFmtId="0" fontId="0" fillId="2" borderId="34" xfId="0" applyNumberFormat="1" applyFont="1" applyFill="1" applyBorder="1" applyAlignment="1">
      <alignment horizontal="center" vertical="center"/>
    </xf>
    <xf numFmtId="49" fontId="12" fillId="2" borderId="12" xfId="0" applyNumberFormat="1" applyFont="1" applyFill="1" applyBorder="1" applyAlignment="1">
      <alignment horizontal="center" vertical="center" wrapText="1"/>
    </xf>
    <xf numFmtId="0" fontId="0" fillId="2" borderId="19" xfId="0" applyNumberFormat="1" applyFont="1" applyFill="1" applyBorder="1" applyAlignment="1">
      <alignment horizontal="center" vertical="center"/>
    </xf>
    <xf numFmtId="49" fontId="4" fillId="7" borderId="12" xfId="0" applyNumberFormat="1" applyFont="1" applyFill="1" applyBorder="1" applyAlignment="1">
      <alignment horizontal="center" vertical="center" wrapText="1"/>
    </xf>
    <xf numFmtId="49" fontId="0" fillId="7" borderId="12" xfId="0" applyNumberFormat="1" applyFont="1" applyFill="1" applyBorder="1" applyAlignment="1">
      <alignment horizontal="center" vertical="center"/>
    </xf>
    <xf numFmtId="49" fontId="12" fillId="2" borderId="37" xfId="0" applyNumberFormat="1" applyFont="1" applyFill="1" applyBorder="1" applyAlignment="1">
      <alignment horizontal="right" vertical="center" wrapText="1"/>
    </xf>
    <xf numFmtId="0" fontId="0" fillId="2" borderId="15" xfId="0" applyNumberFormat="1" applyFont="1" applyFill="1" applyBorder="1" applyAlignment="1">
      <alignment horizontal="center" vertical="center"/>
    </xf>
    <xf numFmtId="49" fontId="12" fillId="8" borderId="33" xfId="0" applyNumberFormat="1" applyFont="1" applyFill="1" applyBorder="1" applyAlignment="1">
      <alignment horizontal="right" vertical="center" wrapText="1"/>
    </xf>
    <xf numFmtId="49" fontId="0" fillId="8" borderId="16" xfId="0" applyNumberFormat="1" applyFont="1" applyFill="1" applyBorder="1" applyAlignment="1">
      <alignment horizontal="center" vertical="center"/>
    </xf>
    <xf numFmtId="49" fontId="12" fillId="8" borderId="36" xfId="0" applyNumberFormat="1" applyFont="1" applyFill="1" applyBorder="1" applyAlignment="1">
      <alignment horizontal="right" vertical="center" wrapText="1"/>
    </xf>
    <xf numFmtId="49" fontId="0" fillId="8" borderId="19" xfId="0" applyNumberFormat="1" applyFont="1" applyFill="1" applyBorder="1" applyAlignment="1">
      <alignment horizontal="center" vertical="center"/>
    </xf>
    <xf numFmtId="49" fontId="4" fillId="9" borderId="12" xfId="0" applyNumberFormat="1" applyFont="1" applyFill="1" applyBorder="1" applyAlignment="1">
      <alignment horizontal="center" vertical="center" wrapText="1"/>
    </xf>
    <xf numFmtId="49" fontId="0" fillId="9" borderId="12" xfId="0" applyNumberFormat="1" applyFont="1" applyFill="1" applyBorder="1" applyAlignment="1">
      <alignment horizontal="center" vertical="center"/>
    </xf>
    <xf numFmtId="49" fontId="12" fillId="10" borderId="33" xfId="0" applyNumberFormat="1" applyFont="1" applyFill="1" applyBorder="1" applyAlignment="1">
      <alignment horizontal="right" vertical="center" wrapText="1"/>
    </xf>
    <xf numFmtId="49" fontId="0" fillId="10" borderId="16" xfId="0" applyNumberFormat="1" applyFont="1" applyFill="1" applyBorder="1" applyAlignment="1">
      <alignment horizontal="center" vertical="center"/>
    </xf>
    <xf numFmtId="49" fontId="12" fillId="10" borderId="36" xfId="0" applyNumberFormat="1" applyFont="1" applyFill="1" applyBorder="1" applyAlignment="1">
      <alignment horizontal="right" vertical="center" wrapText="1"/>
    </xf>
    <xf numFmtId="49" fontId="0" fillId="10" borderId="19" xfId="0" applyNumberFormat="1" applyFont="1" applyFill="1" applyBorder="1" applyAlignment="1">
      <alignment horizontal="center" vertical="center"/>
    </xf>
    <xf numFmtId="49" fontId="4" fillId="11" borderId="12" xfId="0" applyNumberFormat="1" applyFont="1" applyFill="1" applyBorder="1" applyAlignment="1">
      <alignment horizontal="center" vertical="center" wrapText="1"/>
    </xf>
    <xf numFmtId="49" fontId="0" fillId="11" borderId="12" xfId="0" applyNumberFormat="1" applyFont="1" applyFill="1" applyBorder="1" applyAlignment="1">
      <alignment horizontal="center" vertical="center"/>
    </xf>
    <xf numFmtId="49" fontId="12" fillId="12" borderId="33" xfId="0" applyNumberFormat="1" applyFont="1" applyFill="1" applyBorder="1" applyAlignment="1">
      <alignment horizontal="right" vertical="center" wrapText="1"/>
    </xf>
    <xf numFmtId="49" fontId="0" fillId="12" borderId="16" xfId="0" applyNumberFormat="1" applyFont="1" applyFill="1" applyBorder="1" applyAlignment="1">
      <alignment horizontal="center" vertical="center"/>
    </xf>
    <xf numFmtId="49" fontId="12" fillId="12" borderId="36" xfId="0" applyNumberFormat="1" applyFont="1" applyFill="1" applyBorder="1" applyAlignment="1">
      <alignment horizontal="right" vertical="center" wrapText="1"/>
    </xf>
    <xf numFmtId="49" fontId="0" fillId="12" borderId="19" xfId="0" applyNumberFormat="1" applyFont="1" applyFill="1" applyBorder="1" applyAlignment="1">
      <alignment horizontal="center" vertical="center"/>
    </xf>
    <xf numFmtId="0" fontId="0" fillId="2" borderId="38" xfId="0" applyNumberFormat="1" applyFont="1" applyFill="1" applyBorder="1" applyAlignment="1">
      <alignment vertical="center"/>
    </xf>
    <xf numFmtId="0" fontId="12" fillId="2" borderId="39" xfId="0" applyNumberFormat="1" applyFont="1" applyFill="1" applyBorder="1" applyAlignment="1">
      <alignment horizontal="right" vertical="center" wrapText="1"/>
    </xf>
    <xf numFmtId="0" fontId="0" fillId="2" borderId="30" xfId="0" applyNumberFormat="1" applyFont="1" applyFill="1" applyBorder="1" applyAlignment="1"/>
    <xf numFmtId="0" fontId="0" fillId="2" borderId="30" xfId="0" applyNumberFormat="1" applyFont="1" applyFill="1" applyBorder="1" applyAlignment="1">
      <alignment vertical="center" wrapText="1"/>
    </xf>
    <xf numFmtId="49" fontId="10" fillId="3" borderId="12" xfId="0" applyNumberFormat="1" applyFont="1" applyFill="1" applyBorder="1" applyAlignment="1">
      <alignment horizontal="center" vertical="center" wrapText="1"/>
    </xf>
    <xf numFmtId="49" fontId="0" fillId="3" borderId="12" xfId="0" applyNumberFormat="1" applyFont="1" applyFill="1" applyBorder="1" applyAlignment="1">
      <alignment horizontal="center" vertical="center"/>
    </xf>
    <xf numFmtId="49" fontId="4" fillId="3" borderId="12" xfId="0" applyNumberFormat="1" applyFont="1" applyFill="1" applyBorder="1" applyAlignment="1">
      <alignment horizontal="center" vertical="center" wrapText="1"/>
    </xf>
    <xf numFmtId="49" fontId="0" fillId="3" borderId="15" xfId="0" applyNumberFormat="1" applyFont="1" applyFill="1" applyBorder="1" applyAlignment="1">
      <alignment horizontal="center" vertical="center"/>
    </xf>
    <xf numFmtId="0" fontId="0" fillId="2" borderId="35" xfId="0" applyNumberFormat="1" applyFont="1" applyFill="1" applyBorder="1" applyAlignment="1"/>
    <xf numFmtId="49" fontId="0" fillId="3" borderId="16" xfId="0" applyNumberFormat="1" applyFont="1" applyFill="1" applyBorder="1" applyAlignment="1">
      <alignment horizontal="center" vertical="center"/>
    </xf>
    <xf numFmtId="49" fontId="7" fillId="2" borderId="7" xfId="0" applyNumberFormat="1" applyFont="1" applyFill="1" applyBorder="1" applyAlignment="1">
      <alignment horizontal="center" vertical="center" wrapText="1"/>
    </xf>
    <xf numFmtId="0" fontId="0" fillId="2" borderId="6" xfId="0" applyNumberFormat="1" applyFont="1" applyFill="1" applyBorder="1" applyAlignment="1">
      <alignment horizontal="center" vertical="center" wrapText="1"/>
    </xf>
    <xf numFmtId="49" fontId="0" fillId="2" borderId="36" xfId="0" applyNumberFormat="1" applyFont="1" applyFill="1" applyBorder="1" applyAlignment="1">
      <alignment horizontal="center" vertical="center" wrapText="1"/>
    </xf>
    <xf numFmtId="0" fontId="0" fillId="2" borderId="7" xfId="0" applyNumberFormat="1" applyFont="1" applyFill="1" applyBorder="1" applyAlignment="1"/>
    <xf numFmtId="0" fontId="0" fillId="2" borderId="40" xfId="0" applyNumberFormat="1" applyFont="1" applyFill="1" applyBorder="1" applyAlignment="1">
      <alignment wrapText="1"/>
    </xf>
    <xf numFmtId="0" fontId="0" fillId="2" borderId="40" xfId="0" applyNumberFormat="1" applyFont="1" applyFill="1" applyBorder="1" applyAlignment="1"/>
    <xf numFmtId="0" fontId="0" fillId="2" borderId="41" xfId="0" applyNumberFormat="1" applyFont="1" applyFill="1" applyBorder="1" applyAlignment="1">
      <alignment vertical="center"/>
    </xf>
    <xf numFmtId="49" fontId="13" fillId="13" borderId="42" xfId="0" applyNumberFormat="1" applyFont="1" applyFill="1" applyBorder="1" applyAlignment="1">
      <alignment horizontal="center" vertical="center" wrapText="1"/>
    </xf>
    <xf numFmtId="49" fontId="14" fillId="13" borderId="42" xfId="0" applyNumberFormat="1" applyFont="1" applyFill="1" applyBorder="1" applyAlignment="1">
      <alignment horizontal="center" vertical="center" wrapText="1"/>
    </xf>
    <xf numFmtId="0" fontId="0" fillId="2" borderId="43" xfId="0" applyNumberFormat="1" applyFont="1" applyFill="1" applyBorder="1" applyAlignment="1">
      <alignment vertical="center" wrapText="1"/>
    </xf>
    <xf numFmtId="49" fontId="15" fillId="14" borderId="42" xfId="0" applyNumberFormat="1" applyFont="1" applyFill="1" applyBorder="1" applyAlignment="1">
      <alignment horizontal="right" vertical="center" wrapText="1"/>
    </xf>
    <xf numFmtId="0" fontId="16" fillId="2" borderId="42" xfId="0" applyNumberFormat="1" applyFont="1" applyFill="1" applyBorder="1" applyAlignment="1">
      <alignment horizontal="center" vertical="center" wrapText="1"/>
    </xf>
    <xf numFmtId="49" fontId="15" fillId="15" borderId="42" xfId="0" applyNumberFormat="1" applyFont="1" applyFill="1" applyBorder="1" applyAlignment="1">
      <alignment horizontal="right" vertical="center" wrapText="1"/>
    </xf>
    <xf numFmtId="49" fontId="15" fillId="16" borderId="42" xfId="0" applyNumberFormat="1" applyFont="1" applyFill="1" applyBorder="1" applyAlignment="1">
      <alignment horizontal="right" vertical="center" wrapText="1"/>
    </xf>
    <xf numFmtId="49" fontId="15" fillId="17" borderId="42" xfId="0" applyNumberFormat="1" applyFont="1" applyFill="1" applyBorder="1" applyAlignment="1">
      <alignment horizontal="right" vertical="center" wrapText="1"/>
    </xf>
    <xf numFmtId="49" fontId="15" fillId="18" borderId="42" xfId="0" applyNumberFormat="1" applyFont="1" applyFill="1" applyBorder="1" applyAlignment="1">
      <alignment horizontal="right" vertical="center" wrapText="1"/>
    </xf>
    <xf numFmtId="49" fontId="15" fillId="19" borderId="42" xfId="0" applyNumberFormat="1" applyFont="1" applyFill="1" applyBorder="1" applyAlignment="1">
      <alignment horizontal="right" vertical="center" wrapText="1"/>
    </xf>
    <xf numFmtId="0" fontId="0" fillId="0" borderId="0" xfId="0" applyNumberFormat="1" applyFont="1" applyAlignment="1"/>
    <xf numFmtId="0" fontId="0" fillId="0" borderId="44" xfId="0" applyFont="1" applyBorder="1" applyAlignment="1"/>
    <xf numFmtId="0" fontId="0" fillId="0" borderId="45" xfId="0" applyFont="1" applyBorder="1" applyAlignment="1"/>
    <xf numFmtId="0" fontId="0" fillId="0" borderId="46" xfId="0" applyFont="1" applyBorder="1" applyAlignment="1"/>
    <xf numFmtId="0" fontId="0" fillId="0" borderId="47" xfId="0" applyFont="1" applyBorder="1" applyAlignment="1"/>
    <xf numFmtId="0" fontId="0" fillId="0" borderId="24" xfId="0" applyFont="1" applyBorder="1" applyAlignment="1"/>
    <xf numFmtId="0" fontId="0" fillId="0" borderId="48" xfId="0" applyFont="1" applyBorder="1" applyAlignment="1"/>
    <xf numFmtId="0" fontId="0" fillId="0" borderId="49" xfId="0" applyFont="1" applyBorder="1" applyAlignment="1"/>
    <xf numFmtId="0" fontId="0" fillId="0" borderId="50" xfId="0" applyFont="1" applyBorder="1" applyAlignment="1"/>
    <xf numFmtId="0" fontId="0" fillId="0" borderId="51" xfId="0" applyFont="1" applyBorder="1" applyAlignment="1"/>
    <xf numFmtId="0" fontId="0" fillId="0" borderId="0" xfId="0" applyNumberFormat="1" applyFont="1" applyAlignment="1"/>
    <xf numFmtId="49" fontId="17" fillId="2" borderId="1" xfId="0" applyNumberFormat="1" applyFont="1" applyFill="1" applyBorder="1" applyAlignment="1">
      <alignment horizontal="left" vertical="center"/>
    </xf>
    <xf numFmtId="49" fontId="18" fillId="2" borderId="1" xfId="0" applyNumberFormat="1" applyFont="1" applyFill="1" applyBorder="1" applyAlignment="1">
      <alignment horizontal="left" vertical="center"/>
    </xf>
    <xf numFmtId="49" fontId="20" fillId="2" borderId="1" xfId="0" applyNumberFormat="1" applyFont="1" applyFill="1" applyBorder="1" applyAlignment="1">
      <alignment horizontal="left" vertical="center"/>
    </xf>
    <xf numFmtId="49" fontId="22" fillId="2" borderId="1" xfId="0" applyNumberFormat="1" applyFont="1" applyFill="1" applyBorder="1" applyAlignment="1">
      <alignment horizontal="left" vertical="center"/>
    </xf>
    <xf numFmtId="0" fontId="0" fillId="2" borderId="6" xfId="0" applyNumberFormat="1" applyFont="1" applyFill="1" applyBorder="1" applyAlignment="1">
      <alignment horizontal="center" vertical="center" wrapText="1"/>
    </xf>
    <xf numFmtId="49" fontId="0" fillId="2" borderId="37" xfId="0" applyNumberFormat="1" applyFill="1" applyBorder="1" applyAlignment="1">
      <alignment horizontal="center" vertical="center" wrapText="1"/>
    </xf>
    <xf numFmtId="0" fontId="0" fillId="2" borderId="15" xfId="0" applyNumberFormat="1" applyFont="1" applyFill="1" applyBorder="1" applyAlignment="1">
      <alignment horizontal="center" vertical="center" wrapText="1"/>
    </xf>
    <xf numFmtId="0" fontId="0" fillId="2" borderId="34" xfId="0" applyNumberFormat="1" applyFont="1" applyFill="1" applyBorder="1" applyAlignment="1">
      <alignment horizontal="center" vertical="center" wrapText="1"/>
    </xf>
    <xf numFmtId="0" fontId="0" fillId="2" borderId="1" xfId="0" applyNumberFormat="1" applyFont="1" applyFill="1" applyBorder="1" applyAlignment="1">
      <alignment wrapText="1"/>
    </xf>
    <xf numFmtId="49" fontId="0" fillId="5" borderId="12" xfId="0" applyNumberFormat="1" applyFont="1" applyFill="1" applyBorder="1" applyAlignment="1">
      <alignment horizontal="center" vertical="center" wrapText="1"/>
    </xf>
    <xf numFmtId="49" fontId="0" fillId="6" borderId="12" xfId="0" applyNumberFormat="1" applyFont="1" applyFill="1" applyBorder="1" applyAlignment="1">
      <alignment horizontal="center" vertical="center" wrapText="1"/>
    </xf>
    <xf numFmtId="0" fontId="0" fillId="4" borderId="16" xfId="0" applyNumberFormat="1" applyFont="1" applyFill="1" applyBorder="1" applyAlignment="1">
      <alignment horizontal="center" vertical="center" wrapText="1"/>
    </xf>
    <xf numFmtId="0" fontId="0" fillId="2" borderId="16" xfId="0" applyNumberFormat="1" applyFont="1" applyFill="1" applyBorder="1" applyAlignment="1">
      <alignment horizontal="center" vertical="center" wrapText="1"/>
    </xf>
    <xf numFmtId="0" fontId="0" fillId="2" borderId="35" xfId="0" applyNumberFormat="1" applyFont="1" applyFill="1" applyBorder="1" applyAlignment="1">
      <alignment horizontal="center" vertical="center" wrapText="1"/>
    </xf>
    <xf numFmtId="49" fontId="0" fillId="7" borderId="12" xfId="0" applyNumberFormat="1" applyFont="1" applyFill="1" applyBorder="1" applyAlignment="1">
      <alignment horizontal="center" vertical="center" wrapText="1"/>
    </xf>
    <xf numFmtId="49" fontId="0" fillId="8" borderId="16" xfId="0" applyNumberFormat="1" applyFont="1" applyFill="1" applyBorder="1" applyAlignment="1">
      <alignment horizontal="center" vertical="center" wrapText="1"/>
    </xf>
    <xf numFmtId="49" fontId="0" fillId="8" borderId="19" xfId="0" applyNumberFormat="1" applyFont="1" applyFill="1" applyBorder="1" applyAlignment="1">
      <alignment horizontal="center" vertical="center" wrapText="1"/>
    </xf>
    <xf numFmtId="49" fontId="0" fillId="9" borderId="12" xfId="0" applyNumberFormat="1" applyFont="1" applyFill="1" applyBorder="1" applyAlignment="1">
      <alignment horizontal="center" vertical="center" wrapText="1"/>
    </xf>
    <xf numFmtId="49" fontId="0" fillId="10" borderId="16" xfId="0" applyNumberFormat="1" applyFont="1" applyFill="1" applyBorder="1" applyAlignment="1">
      <alignment horizontal="center" vertical="center" wrapText="1"/>
    </xf>
    <xf numFmtId="49" fontId="0" fillId="10" borderId="19" xfId="0" applyNumberFormat="1" applyFont="1" applyFill="1" applyBorder="1" applyAlignment="1">
      <alignment horizontal="center" vertical="center" wrapText="1"/>
    </xf>
    <xf numFmtId="49" fontId="0" fillId="11" borderId="12" xfId="0" applyNumberFormat="1" applyFont="1" applyFill="1" applyBorder="1" applyAlignment="1">
      <alignment horizontal="center" vertical="center" wrapText="1"/>
    </xf>
    <xf numFmtId="0" fontId="0" fillId="2" borderId="4" xfId="0" applyNumberFormat="1" applyFont="1" applyFill="1" applyBorder="1" applyAlignment="1">
      <alignment horizontal="center" vertical="center" wrapText="1"/>
    </xf>
    <xf numFmtId="49" fontId="0" fillId="12" borderId="16" xfId="0" applyNumberFormat="1" applyFont="1" applyFill="1" applyBorder="1" applyAlignment="1">
      <alignment horizontal="center" vertical="center" wrapText="1"/>
    </xf>
    <xf numFmtId="49" fontId="0" fillId="12" borderId="19" xfId="0" applyNumberFormat="1" applyFont="1" applyFill="1" applyBorder="1" applyAlignment="1">
      <alignment horizontal="center" vertical="center" wrapText="1"/>
    </xf>
    <xf numFmtId="0" fontId="0" fillId="2" borderId="30" xfId="0" applyNumberFormat="1" applyFont="1" applyFill="1" applyBorder="1" applyAlignment="1">
      <alignment horizontal="center" vertical="center" wrapText="1"/>
    </xf>
    <xf numFmtId="49" fontId="0" fillId="3" borderId="12" xfId="0" applyNumberFormat="1" applyFont="1" applyFill="1" applyBorder="1" applyAlignment="1">
      <alignment horizontal="center" vertical="center" wrapText="1"/>
    </xf>
    <xf numFmtId="49" fontId="0" fillId="3" borderId="15" xfId="0" applyNumberFormat="1" applyFont="1" applyFill="1" applyBorder="1" applyAlignment="1">
      <alignment horizontal="center" vertical="center" wrapText="1"/>
    </xf>
    <xf numFmtId="0" fontId="0" fillId="2" borderId="35" xfId="0" applyNumberFormat="1" applyFont="1" applyFill="1" applyBorder="1" applyAlignment="1">
      <alignment wrapText="1"/>
    </xf>
    <xf numFmtId="0" fontId="0" fillId="2" borderId="6" xfId="0" applyNumberFormat="1" applyFont="1" applyFill="1" applyBorder="1" applyAlignment="1">
      <alignment wrapText="1"/>
    </xf>
    <xf numFmtId="0" fontId="0" fillId="2" borderId="34" xfId="0" applyNumberFormat="1" applyFont="1" applyFill="1" applyBorder="1" applyAlignment="1">
      <alignment wrapText="1"/>
    </xf>
    <xf numFmtId="49" fontId="0" fillId="3" borderId="16" xfId="0" applyNumberFormat="1" applyFont="1" applyFill="1" applyBorder="1" applyAlignment="1">
      <alignment horizontal="center" vertical="center" wrapText="1"/>
    </xf>
    <xf numFmtId="0" fontId="0" fillId="2" borderId="7" xfId="0" applyNumberFormat="1" applyFont="1" applyFill="1" applyBorder="1" applyAlignment="1">
      <alignment wrapText="1"/>
    </xf>
    <xf numFmtId="0" fontId="0" fillId="0" borderId="0" xfId="0" applyNumberFormat="1" applyFont="1" applyAlignment="1">
      <alignment wrapText="1"/>
    </xf>
    <xf numFmtId="49" fontId="0" fillId="6" borderId="16" xfId="0" applyNumberFormat="1" applyFont="1" applyFill="1" applyBorder="1" applyAlignment="1">
      <alignment horizontal="center" vertical="center" wrapText="1"/>
    </xf>
    <xf numFmtId="0" fontId="0" fillId="2" borderId="19" xfId="0" applyNumberFormat="1" applyFont="1" applyFill="1" applyBorder="1" applyAlignment="1">
      <alignment horizontal="center" vertical="center" wrapText="1"/>
    </xf>
    <xf numFmtId="0" fontId="0" fillId="2" borderId="30" xfId="0" applyNumberFormat="1" applyFont="1" applyFill="1" applyBorder="1" applyAlignment="1">
      <alignment wrapText="1"/>
    </xf>
    <xf numFmtId="0" fontId="0" fillId="2" borderId="52" xfId="0" applyNumberFormat="1" applyFont="1" applyFill="1" applyBorder="1" applyAlignment="1">
      <alignment wrapText="1"/>
    </xf>
    <xf numFmtId="0" fontId="0" fillId="2" borderId="1" xfId="0" applyNumberFormat="1" applyFont="1" applyFill="1" applyBorder="1" applyAlignment="1">
      <alignment horizontal="center" vertical="center" wrapText="1"/>
    </xf>
    <xf numFmtId="0" fontId="0" fillId="2" borderId="2" xfId="0" applyNumberFormat="1" applyFont="1" applyFill="1" applyBorder="1" applyAlignment="1">
      <alignment horizontal="center" vertical="center" wrapText="1"/>
    </xf>
    <xf numFmtId="0" fontId="0" fillId="2" borderId="52" xfId="0" applyNumberFormat="1" applyFont="1" applyFill="1" applyBorder="1" applyAlignment="1">
      <alignment horizontal="center" vertical="center" wrapText="1"/>
    </xf>
    <xf numFmtId="0" fontId="0" fillId="2" borderId="7" xfId="0" applyNumberFormat="1" applyFont="1" applyFill="1" applyBorder="1" applyAlignment="1">
      <alignment horizontal="center" vertical="center" wrapText="1"/>
    </xf>
    <xf numFmtId="0" fontId="0" fillId="2" borderId="40" xfId="0" applyNumberFormat="1" applyFont="1" applyFill="1" applyBorder="1" applyAlignment="1">
      <alignment horizontal="center" vertical="center" wrapText="1"/>
    </xf>
    <xf numFmtId="0" fontId="0" fillId="0" borderId="0" xfId="0" applyNumberFormat="1" applyFont="1" applyAlignment="1">
      <alignment horizontal="center" vertical="center" wrapText="1"/>
    </xf>
    <xf numFmtId="0" fontId="6" fillId="2" borderId="34" xfId="0" applyNumberFormat="1" applyFont="1" applyFill="1" applyBorder="1" applyAlignment="1">
      <alignment horizontal="center" vertical="center" wrapText="1"/>
    </xf>
    <xf numFmtId="0" fontId="0" fillId="2" borderId="6" xfId="0" applyNumberFormat="1" applyFont="1" applyFill="1" applyBorder="1" applyAlignment="1">
      <alignment horizontal="center" vertical="center" wrapText="1"/>
    </xf>
    <xf numFmtId="49" fontId="0" fillId="2" borderId="12" xfId="0" applyNumberFormat="1" applyFill="1" applyBorder="1" applyAlignment="1">
      <alignment horizontal="left" vertical="center" wrapText="1"/>
    </xf>
    <xf numFmtId="49" fontId="0" fillId="2" borderId="4" xfId="0" applyNumberFormat="1" applyFill="1" applyBorder="1" applyAlignment="1">
      <alignment horizontal="center" vertical="center" wrapText="1"/>
    </xf>
    <xf numFmtId="0" fontId="0" fillId="6" borderId="16" xfId="0" applyNumberFormat="1" applyFont="1" applyFill="1" applyBorder="1" applyAlignment="1">
      <alignment horizontal="center" vertical="center" wrapText="1"/>
    </xf>
    <xf numFmtId="0" fontId="0" fillId="8" borderId="19" xfId="0" applyNumberFormat="1" applyFont="1" applyFill="1" applyBorder="1" applyAlignment="1">
      <alignment horizontal="center" vertical="center" wrapText="1"/>
    </xf>
    <xf numFmtId="0" fontId="0" fillId="10" borderId="16" xfId="0" applyNumberFormat="1" applyFont="1" applyFill="1" applyBorder="1" applyAlignment="1">
      <alignment horizontal="center" vertical="center" wrapText="1"/>
    </xf>
    <xf numFmtId="0" fontId="0" fillId="3" borderId="16" xfId="0" applyNumberFormat="1" applyFont="1" applyFill="1" applyBorder="1" applyAlignment="1">
      <alignment horizontal="center" vertical="center" wrapText="1"/>
    </xf>
    <xf numFmtId="0" fontId="0" fillId="3" borderId="16" xfId="0" applyNumberFormat="1" applyFill="1" applyBorder="1" applyAlignment="1">
      <alignment horizontal="center" vertical="center" wrapText="1"/>
    </xf>
    <xf numFmtId="0" fontId="0" fillId="3" borderId="15" xfId="0" applyNumberFormat="1" applyFill="1" applyBorder="1" applyAlignment="1">
      <alignment horizontal="center" vertical="center" wrapText="1"/>
    </xf>
    <xf numFmtId="0" fontId="0" fillId="3" borderId="15" xfId="0" applyNumberFormat="1" applyFont="1" applyFill="1" applyBorder="1" applyAlignment="1">
      <alignment horizontal="center" vertical="center" wrapText="1"/>
    </xf>
    <xf numFmtId="0" fontId="0" fillId="12" borderId="19" xfId="0" applyNumberFormat="1" applyFont="1" applyFill="1" applyBorder="1" applyAlignment="1">
      <alignment horizontal="center" vertical="center" wrapText="1"/>
    </xf>
    <xf numFmtId="0" fontId="0" fillId="12" borderId="16" xfId="0" applyNumberFormat="1" applyFont="1" applyFill="1" applyBorder="1" applyAlignment="1">
      <alignment horizontal="center" vertical="center" wrapText="1"/>
    </xf>
    <xf numFmtId="0" fontId="0" fillId="12" borderId="16" xfId="0" applyNumberFormat="1" applyFill="1" applyBorder="1" applyAlignment="1">
      <alignment horizontal="center" vertical="center" wrapText="1"/>
    </xf>
    <xf numFmtId="0" fontId="0" fillId="10" borderId="19" xfId="0" applyNumberFormat="1" applyFont="1" applyFill="1" applyBorder="1" applyAlignment="1">
      <alignment horizontal="center" vertical="center" wrapText="1"/>
    </xf>
    <xf numFmtId="0" fontId="0" fillId="8" borderId="16" xfId="0" applyNumberFormat="1" applyFont="1" applyFill="1" applyBorder="1" applyAlignment="1">
      <alignment horizontal="center" vertical="center" wrapText="1"/>
    </xf>
    <xf numFmtId="49" fontId="0" fillId="2" borderId="4" xfId="0" applyNumberFormat="1" applyFont="1" applyFill="1" applyBorder="1" applyAlignment="1">
      <alignment horizontal="center" vertical="center"/>
    </xf>
    <xf numFmtId="49" fontId="0" fillId="2" borderId="6" xfId="0" applyNumberFormat="1" applyFont="1" applyFill="1" applyBorder="1" applyAlignment="1">
      <alignment horizontal="center" vertical="center"/>
    </xf>
    <xf numFmtId="49" fontId="0" fillId="2" borderId="7" xfId="0" applyNumberFormat="1" applyFont="1" applyFill="1" applyBorder="1" applyAlignment="1">
      <alignment horizontal="center" vertical="center"/>
    </xf>
    <xf numFmtId="0" fontId="0" fillId="2" borderId="6" xfId="0" applyNumberFormat="1" applyFill="1" applyBorder="1" applyAlignment="1">
      <alignment horizontal="center" vertical="center" wrapText="1"/>
    </xf>
    <xf numFmtId="0" fontId="0" fillId="2" borderId="35" xfId="0" applyNumberFormat="1" applyFill="1" applyBorder="1" applyAlignment="1">
      <alignment horizontal="center" vertical="center" wrapText="1"/>
    </xf>
    <xf numFmtId="0" fontId="0" fillId="6" borderId="16" xfId="0" applyNumberFormat="1" applyFill="1" applyBorder="1" applyAlignment="1">
      <alignment horizontal="center" vertical="center" wrapText="1"/>
    </xf>
    <xf numFmtId="0" fontId="24" fillId="0" borderId="24" xfId="1"/>
    <xf numFmtId="0" fontId="25" fillId="0" borderId="24" xfId="1" applyFont="1"/>
    <xf numFmtId="9" fontId="26" fillId="0" borderId="24" xfId="1" applyNumberFormat="1" applyFont="1"/>
    <xf numFmtId="0" fontId="27" fillId="0" borderId="24" xfId="1" applyFont="1" applyFill="1"/>
    <xf numFmtId="0" fontId="28" fillId="0" borderId="24" xfId="1" applyFont="1"/>
    <xf numFmtId="0" fontId="29" fillId="0" borderId="24" xfId="1" applyFont="1"/>
    <xf numFmtId="0" fontId="30" fillId="0" borderId="24" xfId="1" applyFont="1"/>
    <xf numFmtId="9" fontId="31" fillId="0" borderId="24" xfId="1" applyNumberFormat="1" applyFont="1"/>
    <xf numFmtId="0" fontId="25" fillId="0" borderId="24" xfId="1" applyFont="1" applyAlignment="1"/>
    <xf numFmtId="9" fontId="26" fillId="0" borderId="24" xfId="1" applyNumberFormat="1" applyFont="1" applyAlignment="1"/>
    <xf numFmtId="10" fontId="26" fillId="0" borderId="24" xfId="1" applyNumberFormat="1" applyFont="1"/>
    <xf numFmtId="0" fontId="32" fillId="0" borderId="24" xfId="1" applyFont="1"/>
    <xf numFmtId="10" fontId="24" fillId="0" borderId="24" xfId="1" applyNumberFormat="1"/>
    <xf numFmtId="0" fontId="24" fillId="0" borderId="24" xfId="1" applyBorder="1"/>
    <xf numFmtId="2" fontId="24" fillId="0" borderId="24" xfId="1" applyNumberFormat="1" applyBorder="1"/>
    <xf numFmtId="0" fontId="34" fillId="0" borderId="24" xfId="1" applyFont="1" applyBorder="1" applyAlignment="1">
      <alignment vertical="center"/>
    </xf>
    <xf numFmtId="2" fontId="34" fillId="0" borderId="24" xfId="1" applyNumberFormat="1" applyFont="1" applyBorder="1" applyAlignment="1">
      <alignment vertical="center"/>
    </xf>
    <xf numFmtId="0" fontId="36" fillId="0" borderId="24" xfId="1" applyFont="1" applyBorder="1" applyAlignment="1">
      <alignment horizontal="center" vertical="center"/>
    </xf>
    <xf numFmtId="0" fontId="37" fillId="0" borderId="24" xfId="1" applyFont="1" applyBorder="1" applyAlignment="1">
      <alignment horizontal="center" vertical="center"/>
    </xf>
    <xf numFmtId="2" fontId="37" fillId="0" borderId="24" xfId="1" applyNumberFormat="1" applyFont="1" applyBorder="1" applyAlignment="1">
      <alignment horizontal="center" vertical="center"/>
    </xf>
    <xf numFmtId="2" fontId="36" fillId="0" borderId="24" xfId="1" applyNumberFormat="1" applyFont="1" applyBorder="1" applyAlignment="1">
      <alignment horizontal="center" vertical="center"/>
    </xf>
    <xf numFmtId="0" fontId="39" fillId="0" borderId="24" xfId="1" applyFont="1" applyAlignment="1">
      <alignment vertical="center"/>
    </xf>
    <xf numFmtId="0" fontId="39" fillId="0" borderId="24" xfId="1" applyFont="1"/>
    <xf numFmtId="0" fontId="39" fillId="0" borderId="56" xfId="1" applyFont="1" applyBorder="1"/>
    <xf numFmtId="0" fontId="40" fillId="0" borderId="24" xfId="1" applyFont="1" applyBorder="1" applyAlignment="1">
      <alignment horizontal="left" vertical="center"/>
    </xf>
    <xf numFmtId="165" fontId="39" fillId="0" borderId="57" xfId="1" applyNumberFormat="1" applyFont="1" applyBorder="1" applyAlignment="1">
      <alignment horizontal="right"/>
    </xf>
    <xf numFmtId="164" fontId="39" fillId="0" borderId="24" xfId="1" applyNumberFormat="1" applyFont="1" applyAlignment="1">
      <alignment horizontal="left" vertical="center"/>
    </xf>
    <xf numFmtId="0" fontId="24" fillId="0" borderId="24" xfId="1" applyAlignment="1">
      <alignment horizontal="right"/>
    </xf>
    <xf numFmtId="0" fontId="41" fillId="0" borderId="53" xfId="1" applyFont="1" applyBorder="1"/>
    <xf numFmtId="0" fontId="40" fillId="0" borderId="54" xfId="1" applyFont="1" applyBorder="1" applyAlignment="1">
      <alignment horizontal="left" vertical="center"/>
    </xf>
    <xf numFmtId="165" fontId="41" fillId="0" borderId="55" xfId="1" applyNumberFormat="1" applyFont="1" applyBorder="1" applyAlignment="1">
      <alignment horizontal="right"/>
    </xf>
    <xf numFmtId="0" fontId="42" fillId="0" borderId="24" xfId="1" applyFont="1" applyAlignment="1">
      <alignment horizontal="left" vertical="center"/>
    </xf>
    <xf numFmtId="0" fontId="38" fillId="0" borderId="24" xfId="1" applyFont="1" applyAlignment="1">
      <alignment horizontal="left" vertical="center"/>
    </xf>
    <xf numFmtId="2" fontId="24" fillId="0" borderId="24" xfId="1" applyNumberFormat="1"/>
    <xf numFmtId="0" fontId="39" fillId="0" borderId="54" xfId="1" applyFont="1" applyBorder="1" applyAlignment="1">
      <alignment horizontal="left" vertical="center"/>
    </xf>
    <xf numFmtId="2" fontId="39" fillId="0" borderId="54" xfId="1" applyNumberFormat="1" applyFont="1" applyBorder="1" applyAlignment="1">
      <alignment horizontal="left" vertical="center"/>
    </xf>
    <xf numFmtId="0" fontId="43" fillId="0" borderId="24" xfId="1" applyNumberFormat="1" applyFont="1" applyBorder="1" applyAlignment="1">
      <alignment vertical="center"/>
    </xf>
    <xf numFmtId="2" fontId="43" fillId="0" borderId="24" xfId="1" applyNumberFormat="1" applyFont="1" applyBorder="1" applyAlignment="1">
      <alignment vertical="center"/>
    </xf>
    <xf numFmtId="0" fontId="43" fillId="0" borderId="24" xfId="1" applyFont="1" applyBorder="1" applyAlignment="1">
      <alignment vertical="center"/>
    </xf>
    <xf numFmtId="0" fontId="24" fillId="0" borderId="58" xfId="1" applyBorder="1"/>
    <xf numFmtId="0" fontId="43" fillId="0" borderId="58" xfId="1" applyNumberFormat="1" applyFont="1" applyBorder="1" applyAlignment="1">
      <alignment vertical="center"/>
    </xf>
    <xf numFmtId="2" fontId="43" fillId="0" borderId="58" xfId="1" applyNumberFormat="1" applyFont="1" applyBorder="1" applyAlignment="1">
      <alignment vertical="center"/>
    </xf>
    <xf numFmtId="2" fontId="24" fillId="21" borderId="59" xfId="1" applyNumberFormat="1" applyFill="1" applyBorder="1" applyAlignment="1">
      <alignment horizontal="center" vertical="center"/>
    </xf>
    <xf numFmtId="2" fontId="46" fillId="0" borderId="24" xfId="1" applyNumberFormat="1" applyFont="1" applyBorder="1" applyAlignment="1">
      <alignment horizontal="center" vertical="center"/>
    </xf>
    <xf numFmtId="2" fontId="24" fillId="24" borderId="54" xfId="1" applyNumberFormat="1" applyFill="1" applyBorder="1" applyAlignment="1">
      <alignment horizontal="center" vertical="center"/>
    </xf>
    <xf numFmtId="0" fontId="46" fillId="0" borderId="59" xfId="1" applyFont="1" applyBorder="1" applyAlignment="1">
      <alignment vertical="center"/>
    </xf>
    <xf numFmtId="2" fontId="46" fillId="0" borderId="24" xfId="1" applyNumberFormat="1" applyFont="1" applyBorder="1"/>
    <xf numFmtId="2" fontId="46" fillId="0" borderId="24" xfId="1" applyNumberFormat="1" applyFont="1" applyBorder="1" applyAlignment="1">
      <alignment horizontal="right" vertical="center"/>
    </xf>
    <xf numFmtId="0" fontId="47" fillId="0" borderId="24" xfId="1" applyFont="1" applyBorder="1" applyAlignment="1">
      <alignment vertical="center"/>
    </xf>
    <xf numFmtId="0" fontId="46" fillId="0" borderId="24" xfId="1" applyFont="1" applyBorder="1" applyAlignment="1">
      <alignment vertical="center"/>
    </xf>
    <xf numFmtId="0" fontId="42" fillId="0" borderId="24" xfId="1" applyFont="1" applyAlignment="1">
      <alignment horizontal="center" vertical="center"/>
    </xf>
    <xf numFmtId="0" fontId="24" fillId="0" borderId="24" xfId="1" applyAlignment="1">
      <alignment horizontal="center" vertical="center"/>
    </xf>
    <xf numFmtId="0" fontId="46" fillId="0" borderId="24" xfId="1" applyFont="1"/>
    <xf numFmtId="0" fontId="45" fillId="0" borderId="58" xfId="1" applyFont="1" applyBorder="1" applyAlignment="1">
      <alignment horizontal="right" vertical="center"/>
    </xf>
    <xf numFmtId="0" fontId="46" fillId="0" borderId="54" xfId="1" applyFont="1" applyFill="1" applyBorder="1" applyAlignment="1">
      <alignment horizontal="left" vertical="center"/>
    </xf>
    <xf numFmtId="0" fontId="48" fillId="0" borderId="54" xfId="1" applyFont="1" applyFill="1" applyBorder="1" applyAlignment="1">
      <alignment horizontal="left" vertical="center"/>
    </xf>
    <xf numFmtId="2" fontId="48" fillId="0" borderId="54" xfId="1" applyNumberFormat="1" applyFont="1" applyFill="1" applyBorder="1" applyAlignment="1">
      <alignment horizontal="center" vertical="center"/>
    </xf>
    <xf numFmtId="2" fontId="46" fillId="0" borderId="54" xfId="1" applyNumberFormat="1" applyFont="1" applyFill="1" applyBorder="1" applyAlignment="1">
      <alignment horizontal="center" vertical="center"/>
    </xf>
    <xf numFmtId="0" fontId="46" fillId="0" borderId="58" xfId="1" applyFont="1" applyBorder="1" applyAlignment="1">
      <alignment horizontal="left" vertical="center"/>
    </xf>
    <xf numFmtId="2" fontId="46" fillId="0" borderId="58" xfId="1" applyNumberFormat="1" applyFont="1" applyBorder="1" applyAlignment="1">
      <alignment horizontal="center" vertical="center"/>
    </xf>
    <xf numFmtId="0" fontId="46" fillId="0" borderId="58" xfId="1" applyFont="1" applyBorder="1"/>
    <xf numFmtId="2" fontId="24" fillId="0" borderId="58" xfId="1" applyNumberFormat="1" applyBorder="1"/>
    <xf numFmtId="0" fontId="46" fillId="0" borderId="58" xfId="1" applyFont="1" applyFill="1" applyBorder="1" applyAlignment="1">
      <alignment horizontal="left" vertical="center"/>
    </xf>
    <xf numFmtId="2" fontId="46" fillId="0" borderId="58" xfId="1" applyNumberFormat="1" applyFont="1" applyFill="1" applyBorder="1" applyAlignment="1">
      <alignment horizontal="center" vertical="center"/>
    </xf>
    <xf numFmtId="0" fontId="34" fillId="0" borderId="24" xfId="1" applyFont="1" applyBorder="1" applyAlignment="1"/>
    <xf numFmtId="0" fontId="36" fillId="0" borderId="24" xfId="1" applyFont="1" applyBorder="1" applyAlignment="1">
      <alignment vertical="center"/>
    </xf>
    <xf numFmtId="0" fontId="46" fillId="0" borderId="24" xfId="1" applyFont="1" applyBorder="1" applyAlignment="1">
      <alignment horizontal="left" vertical="center"/>
    </xf>
    <xf numFmtId="0" fontId="24" fillId="0" borderId="24" xfId="1" applyAlignment="1"/>
    <xf numFmtId="0" fontId="1" fillId="0" borderId="24" xfId="1" applyFont="1" applyAlignment="1"/>
    <xf numFmtId="0" fontId="30" fillId="0" borderId="24" xfId="1" applyFont="1" applyAlignment="1"/>
    <xf numFmtId="0" fontId="29" fillId="0" borderId="24" xfId="1" applyFont="1" applyAlignment="1"/>
    <xf numFmtId="10" fontId="24" fillId="0" borderId="24" xfId="1" applyNumberFormat="1" applyAlignment="1"/>
    <xf numFmtId="0" fontId="1" fillId="0" borderId="24" xfId="1" applyFont="1"/>
    <xf numFmtId="0" fontId="35" fillId="0" borderId="24" xfId="1" applyFont="1" applyBorder="1" applyAlignment="1">
      <alignment vertical="center"/>
    </xf>
    <xf numFmtId="0" fontId="36" fillId="0" borderId="24" xfId="1" applyFont="1" applyBorder="1" applyAlignment="1"/>
    <xf numFmtId="0" fontId="24" fillId="0" borderId="68" xfId="1" applyBorder="1"/>
    <xf numFmtId="2" fontId="44" fillId="0" borderId="24" xfId="1" applyNumberFormat="1" applyFont="1" applyBorder="1" applyAlignment="1">
      <alignment horizontal="center" vertical="center"/>
    </xf>
    <xf numFmtId="2" fontId="24" fillId="20" borderId="69" xfId="1" applyNumberFormat="1" applyFill="1" applyBorder="1" applyAlignment="1">
      <alignment horizontal="center" vertical="center"/>
    </xf>
    <xf numFmtId="2" fontId="46" fillId="0" borderId="72" xfId="1" applyNumberFormat="1" applyFont="1" applyBorder="1" applyAlignment="1">
      <alignment horizontal="center" vertical="center"/>
    </xf>
    <xf numFmtId="2" fontId="46" fillId="0" borderId="74" xfId="1" applyNumberFormat="1" applyFont="1" applyBorder="1" applyAlignment="1">
      <alignment horizontal="center" vertical="center"/>
    </xf>
    <xf numFmtId="2" fontId="46" fillId="0" borderId="75" xfId="1" applyNumberFormat="1" applyFont="1" applyBorder="1" applyAlignment="1">
      <alignment horizontal="center" vertical="center"/>
    </xf>
    <xf numFmtId="2" fontId="46" fillId="0" borderId="75" xfId="1" applyNumberFormat="1" applyFont="1" applyBorder="1"/>
    <xf numFmtId="2" fontId="46" fillId="0" borderId="58" xfId="1" applyNumberFormat="1" applyFont="1" applyBorder="1"/>
    <xf numFmtId="2" fontId="24" fillId="22" borderId="59" xfId="1" applyNumberFormat="1" applyFill="1" applyBorder="1" applyAlignment="1">
      <alignment horizontal="center" vertical="center"/>
    </xf>
    <xf numFmtId="2" fontId="44" fillId="0" borderId="24" xfId="1" applyNumberFormat="1" applyFont="1" applyAlignment="1">
      <alignment horizontal="center" vertical="center"/>
    </xf>
    <xf numFmtId="0" fontId="48" fillId="0" borderId="90" xfId="1" applyFont="1" applyFill="1" applyBorder="1" applyAlignment="1">
      <alignment horizontal="left" vertical="center"/>
    </xf>
    <xf numFmtId="0" fontId="46" fillId="0" borderId="91" xfId="1" applyFont="1" applyBorder="1" applyAlignment="1">
      <alignment horizontal="left" vertical="center"/>
    </xf>
    <xf numFmtId="0" fontId="46" fillId="0" borderId="90" xfId="1" applyFont="1" applyFill="1" applyBorder="1" applyAlignment="1">
      <alignment horizontal="left" vertical="center"/>
    </xf>
    <xf numFmtId="0" fontId="46" fillId="0" borderId="92" xfId="1" applyFont="1" applyBorder="1" applyAlignment="1">
      <alignment horizontal="left" vertical="center"/>
    </xf>
    <xf numFmtId="2" fontId="44" fillId="0" borderId="58" xfId="1" applyNumberFormat="1" applyFont="1" applyBorder="1" applyAlignment="1">
      <alignment horizontal="center" vertical="center"/>
    </xf>
    <xf numFmtId="0" fontId="46" fillId="0" borderId="93" xfId="1" applyFont="1" applyBorder="1" applyAlignment="1">
      <alignment horizontal="left" vertical="center"/>
    </xf>
    <xf numFmtId="0" fontId="51" fillId="20" borderId="69" xfId="4" applyFont="1" applyFill="1" applyBorder="1" applyAlignment="1">
      <alignment vertical="center"/>
    </xf>
    <xf numFmtId="0" fontId="52" fillId="20" borderId="69" xfId="4" applyFont="1" applyFill="1" applyBorder="1" applyAlignment="1">
      <alignment vertical="center"/>
    </xf>
    <xf numFmtId="0" fontId="53" fillId="20" borderId="69" xfId="4" applyFont="1" applyFill="1" applyBorder="1" applyAlignment="1">
      <alignment horizontal="right" vertical="center"/>
    </xf>
    <xf numFmtId="2" fontId="1" fillId="20" borderId="70" xfId="4" applyNumberFormat="1" applyFont="1" applyFill="1" applyBorder="1" applyAlignment="1">
      <alignment horizontal="center" vertical="center"/>
    </xf>
    <xf numFmtId="0" fontId="51" fillId="21" borderId="54" xfId="4" applyFont="1" applyFill="1" applyBorder="1" applyAlignment="1">
      <alignment vertical="center"/>
    </xf>
    <xf numFmtId="0" fontId="52" fillId="21" borderId="54" xfId="4" applyFont="1" applyFill="1" applyBorder="1" applyAlignment="1">
      <alignment vertical="center"/>
    </xf>
    <xf numFmtId="0" fontId="53" fillId="21" borderId="59" xfId="4" applyFont="1" applyFill="1" applyBorder="1" applyAlignment="1">
      <alignment horizontal="right" vertical="center"/>
    </xf>
    <xf numFmtId="49" fontId="47" fillId="0" borderId="73" xfId="4" applyNumberFormat="1" applyFont="1" applyBorder="1" applyAlignment="1">
      <alignment horizontal="center" vertical="center"/>
    </xf>
    <xf numFmtId="49" fontId="47" fillId="0" borderId="74" xfId="4" applyNumberFormat="1" applyFont="1" applyBorder="1" applyAlignment="1">
      <alignment horizontal="left" vertical="center"/>
    </xf>
    <xf numFmtId="49" fontId="47" fillId="0" borderId="76" xfId="4" applyNumberFormat="1" applyFont="1" applyBorder="1" applyAlignment="1">
      <alignment horizontal="center" vertical="center"/>
    </xf>
    <xf numFmtId="49" fontId="47" fillId="0" borderId="75" xfId="4" applyNumberFormat="1" applyFont="1" applyBorder="1" applyAlignment="1">
      <alignment horizontal="left" vertical="center"/>
    </xf>
    <xf numFmtId="49" fontId="46" fillId="0" borderId="76" xfId="4" applyNumberFormat="1" applyFont="1" applyBorder="1" applyAlignment="1">
      <alignment horizontal="center" vertical="center"/>
    </xf>
    <xf numFmtId="49" fontId="46" fillId="0" borderId="85" xfId="4" applyNumberFormat="1" applyFont="1" applyBorder="1" applyAlignment="1">
      <alignment horizontal="center" vertical="center"/>
    </xf>
    <xf numFmtId="49" fontId="47" fillId="0" borderId="58" xfId="4" applyNumberFormat="1" applyFont="1" applyBorder="1" applyAlignment="1">
      <alignment horizontal="left" vertical="center"/>
    </xf>
    <xf numFmtId="0" fontId="51" fillId="22" borderId="87" xfId="4" applyFont="1" applyFill="1" applyBorder="1" applyAlignment="1">
      <alignment vertical="center"/>
    </xf>
    <xf numFmtId="0" fontId="52" fillId="22" borderId="87" xfId="4" applyFont="1" applyFill="1" applyBorder="1" applyAlignment="1">
      <alignment vertical="center"/>
    </xf>
    <xf numFmtId="0" fontId="53" fillId="22" borderId="87" xfId="4" applyFont="1" applyFill="1" applyBorder="1" applyAlignment="1">
      <alignment horizontal="right" vertical="center"/>
    </xf>
    <xf numFmtId="2" fontId="1" fillId="22" borderId="88" xfId="4" applyNumberFormat="1" applyFont="1" applyFill="1" applyBorder="1" applyAlignment="1">
      <alignment horizontal="center" vertical="center"/>
    </xf>
    <xf numFmtId="0" fontId="51" fillId="23" borderId="54" xfId="4" applyFont="1" applyFill="1" applyBorder="1" applyAlignment="1">
      <alignment vertical="center"/>
    </xf>
    <xf numFmtId="0" fontId="52" fillId="23" borderId="54" xfId="4" applyFont="1" applyFill="1" applyBorder="1" applyAlignment="1">
      <alignment vertical="center"/>
    </xf>
    <xf numFmtId="0" fontId="53" fillId="23" borderId="59" xfId="4" applyFont="1" applyFill="1" applyBorder="1" applyAlignment="1">
      <alignment horizontal="right" vertical="center"/>
    </xf>
    <xf numFmtId="2" fontId="1" fillId="24" borderId="58" xfId="4" applyNumberFormat="1" applyFont="1" applyFill="1" applyBorder="1" applyAlignment="1">
      <alignment horizontal="left" vertical="center"/>
    </xf>
    <xf numFmtId="49" fontId="47" fillId="0" borderId="89" xfId="4" applyNumberFormat="1" applyFont="1" applyBorder="1" applyAlignment="1">
      <alignment horizontal="center" vertical="center"/>
    </xf>
    <xf numFmtId="2" fontId="47" fillId="0" borderId="67" xfId="4" applyNumberFormat="1" applyFont="1" applyBorder="1" applyAlignment="1">
      <alignment horizontal="center" vertical="center"/>
    </xf>
    <xf numFmtId="0" fontId="40" fillId="0" borderId="24" xfId="4" applyFont="1" applyBorder="1" applyAlignment="1">
      <alignment horizontal="left" vertical="center"/>
    </xf>
    <xf numFmtId="0" fontId="47" fillId="0" borderId="24" xfId="4" applyFont="1" applyBorder="1" applyAlignment="1">
      <alignment vertical="center"/>
    </xf>
    <xf numFmtId="0" fontId="46" fillId="0" borderId="54" xfId="4" applyFont="1" applyFill="1" applyBorder="1" applyAlignment="1">
      <alignment horizontal="left" vertical="center"/>
    </xf>
    <xf numFmtId="0" fontId="48" fillId="0" borderId="54" xfId="4" applyFont="1" applyFill="1" applyBorder="1" applyAlignment="1">
      <alignment horizontal="left" vertical="center"/>
    </xf>
    <xf numFmtId="0" fontId="46" fillId="0" borderId="24" xfId="4" applyFont="1" applyBorder="1" applyAlignment="1">
      <alignment horizontal="left" vertical="center"/>
    </xf>
    <xf numFmtId="0" fontId="46" fillId="0" borderId="58" xfId="4" applyFont="1" applyBorder="1" applyAlignment="1">
      <alignment horizontal="left" vertical="center"/>
    </xf>
    <xf numFmtId="2" fontId="50" fillId="0" borderId="24" xfId="4" applyNumberFormat="1"/>
    <xf numFmtId="2" fontId="50" fillId="0" borderId="24" xfId="4" applyNumberFormat="1" applyBorder="1"/>
    <xf numFmtId="2" fontId="44" fillId="0" borderId="58" xfId="4" applyNumberFormat="1" applyFont="1" applyBorder="1" applyAlignment="1">
      <alignment horizontal="right" vertical="center"/>
    </xf>
    <xf numFmtId="0" fontId="46" fillId="0" borderId="58" xfId="4" applyFont="1" applyFill="1" applyBorder="1" applyAlignment="1">
      <alignment horizontal="left" vertical="center"/>
    </xf>
    <xf numFmtId="0" fontId="0" fillId="3" borderId="9" xfId="0" applyNumberFormat="1" applyFont="1" applyFill="1" applyBorder="1" applyAlignment="1">
      <alignment horizontal="left" vertical="center"/>
    </xf>
    <xf numFmtId="0" fontId="0" fillId="3" borderId="10" xfId="0" applyNumberFormat="1" applyFont="1" applyFill="1" applyBorder="1" applyAlignment="1">
      <alignment horizontal="left" vertical="center"/>
    </xf>
    <xf numFmtId="0" fontId="0" fillId="3" borderId="11" xfId="0" applyNumberFormat="1" applyFont="1" applyFill="1" applyBorder="1" applyAlignment="1">
      <alignment horizontal="left" vertical="center"/>
    </xf>
    <xf numFmtId="0" fontId="0" fillId="3" borderId="9" xfId="0" applyNumberFormat="1" applyFont="1" applyFill="1" applyBorder="1" applyAlignment="1">
      <alignment vertical="center"/>
    </xf>
    <xf numFmtId="0" fontId="0" fillId="3" borderId="10" xfId="0" applyNumberFormat="1" applyFont="1" applyFill="1" applyBorder="1" applyAlignment="1">
      <alignment vertical="center"/>
    </xf>
    <xf numFmtId="0" fontId="0" fillId="3" borderId="11" xfId="0" applyNumberFormat="1" applyFont="1" applyFill="1" applyBorder="1" applyAlignment="1">
      <alignment vertical="center"/>
    </xf>
    <xf numFmtId="49" fontId="0" fillId="2" borderId="29" xfId="0" applyNumberFormat="1" applyFont="1" applyFill="1" applyBorder="1" applyAlignment="1">
      <alignment horizontal="left" vertical="center"/>
    </xf>
    <xf numFmtId="0" fontId="0" fillId="2" borderId="30" xfId="0" applyNumberFormat="1" applyFont="1" applyFill="1" applyBorder="1" applyAlignment="1">
      <alignment horizontal="left" vertical="center"/>
    </xf>
    <xf numFmtId="0" fontId="0" fillId="2" borderId="31" xfId="0" applyNumberFormat="1" applyFont="1" applyFill="1" applyBorder="1" applyAlignment="1">
      <alignment horizontal="left" vertical="center"/>
    </xf>
    <xf numFmtId="49" fontId="0" fillId="3" borderId="9" xfId="0" applyNumberFormat="1" applyFont="1" applyFill="1" applyBorder="1" applyAlignment="1">
      <alignment horizontal="left" vertical="center"/>
    </xf>
    <xf numFmtId="49" fontId="0" fillId="2" borderId="13" xfId="0" applyNumberFormat="1" applyFont="1" applyFill="1" applyBorder="1" applyAlignment="1">
      <alignment vertical="center" wrapText="1"/>
    </xf>
    <xf numFmtId="0" fontId="0" fillId="2" borderId="8" xfId="0" applyNumberFormat="1" applyFont="1" applyFill="1" applyBorder="1" applyAlignment="1">
      <alignment vertical="center"/>
    </xf>
    <xf numFmtId="0" fontId="0" fillId="2" borderId="14" xfId="0" applyNumberFormat="1" applyFont="1" applyFill="1" applyBorder="1" applyAlignment="1">
      <alignment vertical="center"/>
    </xf>
    <xf numFmtId="0" fontId="0" fillId="2" borderId="5" xfId="0" applyNumberFormat="1" applyFont="1" applyFill="1" applyBorder="1" applyAlignment="1">
      <alignment vertical="center"/>
    </xf>
    <xf numFmtId="0" fontId="0" fillId="2" borderId="1" xfId="0" applyNumberFormat="1" applyFont="1" applyFill="1" applyBorder="1" applyAlignment="1">
      <alignment vertical="center"/>
    </xf>
    <xf numFmtId="0" fontId="0" fillId="2" borderId="3" xfId="0" applyNumberFormat="1" applyFont="1" applyFill="1" applyBorder="1" applyAlignment="1">
      <alignment vertical="center"/>
    </xf>
    <xf numFmtId="0" fontId="0" fillId="2" borderId="17" xfId="0" applyNumberFormat="1" applyFont="1" applyFill="1" applyBorder="1" applyAlignment="1">
      <alignment vertical="center"/>
    </xf>
    <xf numFmtId="0" fontId="0" fillId="2" borderId="2" xfId="0" applyNumberFormat="1" applyFont="1" applyFill="1" applyBorder="1" applyAlignment="1">
      <alignment vertical="center"/>
    </xf>
    <xf numFmtId="0" fontId="0" fillId="2" borderId="18" xfId="0" applyNumberFormat="1" applyFont="1" applyFill="1" applyBorder="1" applyAlignment="1">
      <alignment vertical="center"/>
    </xf>
    <xf numFmtId="49" fontId="0" fillId="2" borderId="13" xfId="0" applyNumberFormat="1" applyFont="1" applyFill="1" applyBorder="1" applyAlignment="1">
      <alignment vertical="center"/>
    </xf>
    <xf numFmtId="9" fontId="4" fillId="3" borderId="9" xfId="0" applyNumberFormat="1" applyFont="1" applyFill="1" applyBorder="1" applyAlignment="1">
      <alignment horizontal="left" vertical="center"/>
    </xf>
    <xf numFmtId="0" fontId="4" fillId="3" borderId="10" xfId="0" applyNumberFormat="1" applyFont="1" applyFill="1" applyBorder="1" applyAlignment="1">
      <alignment horizontal="left" vertical="center"/>
    </xf>
    <xf numFmtId="0" fontId="4" fillId="3" borderId="11" xfId="0" applyNumberFormat="1" applyFont="1" applyFill="1" applyBorder="1" applyAlignment="1">
      <alignment horizontal="left" vertical="center"/>
    </xf>
    <xf numFmtId="0" fontId="0" fillId="4" borderId="15" xfId="0" applyNumberFormat="1" applyFont="1" applyFill="1" applyBorder="1" applyAlignment="1">
      <alignment horizontal="center" vertical="center"/>
    </xf>
    <xf numFmtId="0" fontId="0" fillId="4" borderId="16" xfId="0" applyNumberFormat="1" applyFont="1" applyFill="1" applyBorder="1" applyAlignment="1">
      <alignment horizontal="center" vertical="center"/>
    </xf>
    <xf numFmtId="0" fontId="0" fillId="4" borderId="19" xfId="0" applyNumberFormat="1" applyFont="1" applyFill="1" applyBorder="1" applyAlignment="1">
      <alignment horizontal="center" vertical="center"/>
    </xf>
    <xf numFmtId="49" fontId="0" fillId="2" borderId="4" xfId="0" applyNumberFormat="1" applyFont="1" applyFill="1" applyBorder="1" applyAlignment="1">
      <alignment vertical="center" wrapText="1"/>
    </xf>
    <xf numFmtId="0" fontId="0" fillId="2" borderId="6" xfId="0" applyNumberFormat="1" applyFont="1" applyFill="1" applyBorder="1" applyAlignment="1">
      <alignment vertical="center" wrapText="1"/>
    </xf>
    <xf numFmtId="0" fontId="0" fillId="2" borderId="7" xfId="0" applyNumberFormat="1" applyFont="1" applyFill="1" applyBorder="1" applyAlignment="1">
      <alignment vertical="center" wrapText="1"/>
    </xf>
    <xf numFmtId="9" fontId="4" fillId="2" borderId="29" xfId="0" applyNumberFormat="1" applyFont="1" applyFill="1" applyBorder="1" applyAlignment="1">
      <alignment horizontal="left" vertical="center"/>
    </xf>
    <xf numFmtId="0" fontId="4" fillId="2" borderId="30" xfId="0" applyNumberFormat="1" applyFont="1" applyFill="1" applyBorder="1" applyAlignment="1">
      <alignment horizontal="left" vertical="center"/>
    </xf>
    <xf numFmtId="0" fontId="4" fillId="2" borderId="31" xfId="0" applyNumberFormat="1" applyFont="1" applyFill="1" applyBorder="1" applyAlignment="1">
      <alignment horizontal="left" vertical="center"/>
    </xf>
    <xf numFmtId="49" fontId="3" fillId="3" borderId="9" xfId="0" applyNumberFormat="1" applyFont="1" applyFill="1" applyBorder="1" applyAlignment="1">
      <alignment horizontal="center" vertical="center"/>
    </xf>
    <xf numFmtId="0" fontId="3" fillId="3" borderId="10" xfId="0" applyNumberFormat="1" applyFont="1" applyFill="1" applyBorder="1" applyAlignment="1">
      <alignment horizontal="center" vertical="center"/>
    </xf>
    <xf numFmtId="0" fontId="3" fillId="3" borderId="11" xfId="0" applyNumberFormat="1" applyFont="1" applyFill="1" applyBorder="1" applyAlignment="1">
      <alignment horizontal="center" vertical="center"/>
    </xf>
    <xf numFmtId="49" fontId="0" fillId="2" borderId="13" xfId="0" applyNumberFormat="1" applyFill="1" applyBorder="1" applyAlignment="1">
      <alignment horizontal="left" vertical="center"/>
    </xf>
    <xf numFmtId="0" fontId="0" fillId="2" borderId="8" xfId="0" applyNumberFormat="1" applyFont="1" applyFill="1" applyBorder="1" applyAlignment="1">
      <alignment horizontal="left" vertical="center"/>
    </xf>
    <xf numFmtId="0" fontId="0" fillId="2" borderId="14" xfId="0" applyNumberFormat="1" applyFont="1" applyFill="1" applyBorder="1" applyAlignment="1">
      <alignment horizontal="left" vertical="center"/>
    </xf>
    <xf numFmtId="0" fontId="0" fillId="2" borderId="5" xfId="0" applyNumberFormat="1" applyFont="1" applyFill="1" applyBorder="1" applyAlignment="1">
      <alignment horizontal="left" vertical="center"/>
    </xf>
    <xf numFmtId="0" fontId="0" fillId="2" borderId="1" xfId="0" applyNumberFormat="1" applyFont="1" applyFill="1" applyBorder="1" applyAlignment="1">
      <alignment horizontal="left" vertical="center"/>
    </xf>
    <xf numFmtId="0" fontId="0" fillId="2" borderId="3" xfId="0" applyNumberFormat="1" applyFont="1" applyFill="1" applyBorder="1" applyAlignment="1">
      <alignment horizontal="left" vertical="center"/>
    </xf>
    <xf numFmtId="0" fontId="0" fillId="2" borderId="17" xfId="0" applyNumberFormat="1" applyFont="1" applyFill="1" applyBorder="1" applyAlignment="1">
      <alignment horizontal="left" vertical="center"/>
    </xf>
    <xf numFmtId="0" fontId="0" fillId="2" borderId="2" xfId="0" applyNumberFormat="1" applyFont="1" applyFill="1" applyBorder="1" applyAlignment="1">
      <alignment horizontal="left" vertical="center"/>
    </xf>
    <xf numFmtId="0" fontId="0" fillId="2" borderId="18" xfId="0" applyNumberFormat="1" applyFont="1" applyFill="1" applyBorder="1" applyAlignment="1">
      <alignment horizontal="left" vertical="center"/>
    </xf>
    <xf numFmtId="49" fontId="0" fillId="2" borderId="20" xfId="0" applyNumberFormat="1" applyFont="1" applyFill="1" applyBorder="1" applyAlignment="1">
      <alignment vertical="center" wrapText="1"/>
    </xf>
    <xf numFmtId="0" fontId="0" fillId="2" borderId="21" xfId="0" applyNumberFormat="1" applyFont="1" applyFill="1" applyBorder="1" applyAlignment="1">
      <alignment vertical="center" wrapText="1"/>
    </xf>
    <xf numFmtId="0" fontId="0" fillId="2" borderId="22" xfId="0" applyNumberFormat="1" applyFont="1" applyFill="1" applyBorder="1" applyAlignment="1">
      <alignment vertical="center" wrapText="1"/>
    </xf>
    <xf numFmtId="0" fontId="0" fillId="2" borderId="23" xfId="0" applyNumberFormat="1" applyFont="1" applyFill="1" applyBorder="1" applyAlignment="1">
      <alignment vertical="center" wrapText="1"/>
    </xf>
    <xf numFmtId="0" fontId="0" fillId="2" borderId="24" xfId="0" applyNumberFormat="1" applyFont="1" applyFill="1" applyBorder="1" applyAlignment="1">
      <alignment vertical="center" wrapText="1"/>
    </xf>
    <xf numFmtId="0" fontId="0" fillId="2" borderId="25" xfId="0" applyNumberFormat="1" applyFont="1" applyFill="1" applyBorder="1" applyAlignment="1">
      <alignment vertical="center" wrapText="1"/>
    </xf>
    <xf numFmtId="0" fontId="0" fillId="2" borderId="26" xfId="0" applyNumberFormat="1" applyFont="1" applyFill="1" applyBorder="1" applyAlignment="1">
      <alignment vertical="center" wrapText="1"/>
    </xf>
    <xf numFmtId="0" fontId="0" fillId="2" borderId="27" xfId="0" applyNumberFormat="1" applyFont="1" applyFill="1" applyBorder="1" applyAlignment="1">
      <alignment vertical="center" wrapText="1"/>
    </xf>
    <xf numFmtId="0" fontId="0" fillId="2" borderId="28" xfId="0" applyNumberFormat="1" applyFont="1" applyFill="1" applyBorder="1" applyAlignment="1">
      <alignment vertical="center" wrapText="1"/>
    </xf>
    <xf numFmtId="0" fontId="0" fillId="2" borderId="6" xfId="0" applyNumberFormat="1" applyFont="1" applyFill="1" applyBorder="1" applyAlignment="1">
      <alignment horizontal="center" vertical="center" wrapText="1"/>
    </xf>
    <xf numFmtId="0" fontId="25" fillId="0" borderId="24" xfId="1" applyFont="1" applyAlignment="1">
      <alignment horizontal="center"/>
    </xf>
    <xf numFmtId="0" fontId="43" fillId="0" borderId="24" xfId="1" applyFont="1" applyBorder="1" applyAlignment="1">
      <alignment horizontal="right" vertical="center"/>
    </xf>
    <xf numFmtId="0" fontId="43" fillId="0" borderId="58" xfId="1" applyFont="1" applyBorder="1" applyAlignment="1">
      <alignment horizontal="right" vertical="center"/>
    </xf>
    <xf numFmtId="0" fontId="34" fillId="0" borderId="24" xfId="1" applyFont="1" applyBorder="1" applyAlignment="1">
      <alignment horizontal="center" vertical="center"/>
    </xf>
    <xf numFmtId="0" fontId="35" fillId="0" borderId="24" xfId="1" applyFont="1" applyBorder="1" applyAlignment="1">
      <alignment horizontal="center" vertical="center"/>
    </xf>
    <xf numFmtId="0" fontId="36" fillId="0" borderId="24" xfId="1" applyFont="1" applyBorder="1" applyAlignment="1">
      <alignment horizontal="center"/>
    </xf>
    <xf numFmtId="0" fontId="36" fillId="0" borderId="69" xfId="1" applyFont="1" applyBorder="1" applyAlignment="1">
      <alignment horizontal="right" vertical="center"/>
    </xf>
    <xf numFmtId="164" fontId="38" fillId="0" borderId="69" xfId="1" applyNumberFormat="1" applyFont="1" applyBorder="1" applyAlignment="1">
      <alignment horizontal="left" vertical="center"/>
    </xf>
    <xf numFmtId="0" fontId="36" fillId="0" borderId="69" xfId="1" applyFont="1" applyBorder="1" applyAlignment="1">
      <alignment horizontal="left" vertical="center"/>
    </xf>
    <xf numFmtId="0" fontId="36" fillId="0" borderId="68" xfId="1" applyFont="1" applyBorder="1" applyAlignment="1">
      <alignment horizontal="right" vertical="center"/>
    </xf>
    <xf numFmtId="0" fontId="36" fillId="0" borderId="68" xfId="1" applyFont="1" applyBorder="1" applyAlignment="1">
      <alignment horizontal="left" vertical="center"/>
    </xf>
    <xf numFmtId="0" fontId="1" fillId="0" borderId="53" xfId="1" applyFont="1" applyBorder="1" applyAlignment="1">
      <alignment horizontal="center"/>
    </xf>
    <xf numFmtId="0" fontId="1" fillId="0" borderId="54" xfId="1" applyFont="1" applyBorder="1" applyAlignment="1">
      <alignment horizontal="center"/>
    </xf>
    <xf numFmtId="0" fontId="1" fillId="0" borderId="55" xfId="1" applyFont="1" applyBorder="1" applyAlignment="1">
      <alignment horizontal="center"/>
    </xf>
    <xf numFmtId="0" fontId="40" fillId="0" borderId="71" xfId="4" applyFont="1" applyBorder="1" applyAlignment="1">
      <alignment horizontal="left" vertical="center"/>
    </xf>
    <xf numFmtId="0" fontId="40" fillId="0" borderId="60" xfId="4" applyFont="1" applyBorder="1" applyAlignment="1">
      <alignment horizontal="left" vertical="center" wrapText="1"/>
    </xf>
    <xf numFmtId="0" fontId="40" fillId="0" borderId="75" xfId="4" applyFont="1" applyBorder="1" applyAlignment="1">
      <alignment horizontal="left" vertical="center"/>
    </xf>
    <xf numFmtId="0" fontId="40" fillId="0" borderId="61" xfId="4" applyFont="1" applyBorder="1" applyAlignment="1">
      <alignment horizontal="left" vertical="center"/>
    </xf>
    <xf numFmtId="0" fontId="40" fillId="0" borderId="62" xfId="4" applyFont="1" applyBorder="1" applyAlignment="1">
      <alignment horizontal="left" vertical="center" wrapText="1"/>
    </xf>
    <xf numFmtId="0" fontId="40" fillId="0" borderId="77" xfId="4" applyFont="1" applyBorder="1" applyAlignment="1">
      <alignment horizontal="left" vertical="center"/>
    </xf>
    <xf numFmtId="0" fontId="40" fillId="0" borderId="78" xfId="4" applyFont="1" applyBorder="1" applyAlignment="1">
      <alignment horizontal="left" vertical="center" wrapText="1"/>
    </xf>
    <xf numFmtId="0" fontId="40" fillId="0" borderId="79" xfId="4" applyFont="1" applyBorder="1" applyAlignment="1">
      <alignment horizontal="left" vertical="center"/>
    </xf>
    <xf numFmtId="0" fontId="40" fillId="0" borderId="80" xfId="4" applyFont="1" applyBorder="1" applyAlignment="1">
      <alignment horizontal="left" vertical="center"/>
    </xf>
    <xf numFmtId="0" fontId="40" fillId="0" borderId="81" xfId="4" applyFont="1" applyBorder="1" applyAlignment="1">
      <alignment horizontal="left" vertical="center"/>
    </xf>
    <xf numFmtId="0" fontId="40" fillId="0" borderId="82" xfId="4" applyFont="1" applyBorder="1" applyAlignment="1">
      <alignment horizontal="left" vertical="center"/>
    </xf>
    <xf numFmtId="0" fontId="40" fillId="0" borderId="83" xfId="4" applyFont="1" applyBorder="1" applyAlignment="1">
      <alignment horizontal="left" vertical="center"/>
    </xf>
    <xf numFmtId="0" fontId="46" fillId="0" borderId="75" xfId="1" applyFont="1" applyBorder="1" applyAlignment="1">
      <alignment horizontal="left" vertical="center"/>
    </xf>
    <xf numFmtId="0" fontId="40" fillId="0" borderId="84" xfId="4" applyFont="1" applyBorder="1" applyAlignment="1">
      <alignment horizontal="left" vertical="center"/>
    </xf>
    <xf numFmtId="0" fontId="40" fillId="0" borderId="63" xfId="4" applyFont="1" applyBorder="1" applyAlignment="1">
      <alignment horizontal="left" vertical="center"/>
    </xf>
    <xf numFmtId="0" fontId="40" fillId="0" borderId="64" xfId="4" applyFont="1" applyBorder="1" applyAlignment="1">
      <alignment horizontal="left" vertical="center"/>
    </xf>
    <xf numFmtId="0" fontId="42" fillId="0" borderId="58" xfId="1" applyFont="1" applyBorder="1" applyAlignment="1">
      <alignment horizontal="left" vertical="center"/>
    </xf>
    <xf numFmtId="0" fontId="40" fillId="0" borderId="84" xfId="4" applyFont="1" applyBorder="1" applyAlignment="1">
      <alignment horizontal="left" vertical="center" wrapText="1"/>
    </xf>
    <xf numFmtId="0" fontId="40" fillId="0" borderId="63" xfId="4" applyFont="1" applyBorder="1" applyAlignment="1">
      <alignment horizontal="left" vertical="center" wrapText="1"/>
    </xf>
    <xf numFmtId="0" fontId="40" fillId="0" borderId="64" xfId="4" applyFont="1" applyBorder="1" applyAlignment="1">
      <alignment horizontal="left" vertical="center" wrapText="1"/>
    </xf>
    <xf numFmtId="0" fontId="46" fillId="0" borderId="58" xfId="1" applyFont="1" applyBorder="1" applyAlignment="1">
      <alignment horizontal="left" vertical="center"/>
    </xf>
    <xf numFmtId="0" fontId="40" fillId="0" borderId="86" xfId="4" applyFont="1" applyBorder="1" applyAlignment="1">
      <alignment horizontal="left" vertical="center"/>
    </xf>
    <xf numFmtId="0" fontId="40" fillId="0" borderId="65" xfId="4" applyFont="1" applyBorder="1" applyAlignment="1">
      <alignment horizontal="left" vertical="center"/>
    </xf>
    <xf numFmtId="0" fontId="40" fillId="0" borderId="66" xfId="4" applyFont="1" applyBorder="1" applyAlignment="1">
      <alignment horizontal="left" vertical="center"/>
    </xf>
    <xf numFmtId="0" fontId="40" fillId="0" borderId="72" xfId="4" applyFont="1" applyBorder="1" applyAlignment="1">
      <alignment horizontal="left" vertical="center" wrapText="1"/>
    </xf>
    <xf numFmtId="0" fontId="40" fillId="0" borderId="59" xfId="4" applyFont="1" applyBorder="1" applyAlignment="1">
      <alignment horizontal="left" vertical="center" wrapText="1"/>
    </xf>
    <xf numFmtId="0" fontId="40" fillId="0" borderId="59" xfId="4" applyFont="1" applyBorder="1" applyAlignment="1">
      <alignment horizontal="left" vertical="center"/>
    </xf>
    <xf numFmtId="0" fontId="40" fillId="0" borderId="75" xfId="4" applyFont="1" applyBorder="1" applyAlignment="1">
      <alignment horizontal="left" vertical="center" wrapText="1"/>
    </xf>
    <xf numFmtId="0" fontId="40" fillId="0" borderId="58" xfId="4" applyFont="1" applyBorder="1" applyAlignment="1">
      <alignment horizontal="left" vertical="center"/>
    </xf>
  </cellXfs>
  <cellStyles count="5">
    <cellStyle name="Normal" xfId="0" builtinId="0"/>
    <cellStyle name="Normal 2" xfId="1"/>
    <cellStyle name="Normal 2 2 2" xfId="2"/>
    <cellStyle name="Normal 3" xfId="3"/>
    <cellStyle name="Normal 4" xfId="4"/>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2EEDA"/>
      <rgbColor rgb="FFDEEAF6"/>
      <rgbColor rgb="FFD9DCE1"/>
      <rgbColor rgb="FFFFE598"/>
      <rgbColor rgb="FFFFF2CB"/>
      <rgbColor rgb="FFF4B083"/>
      <rgbColor rgb="FFFBE4D5"/>
      <rgbColor rgb="FFB4C6E7"/>
      <rgbColor rgb="FFD9E2F3"/>
      <rgbColor rgb="FFFF0000"/>
      <rgbColor rgb="FF00B050"/>
      <rgbColor rgb="FF92D050"/>
      <rgbColor rgb="FFED7D31"/>
      <rgbColor rgb="FFFFC000"/>
      <rgbColor rgb="FF7030A0"/>
      <rgbColor rgb="FFC00000"/>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231140</xdr:colOff>
      <xdr:row>20</xdr:row>
      <xdr:rowOff>126998</xdr:rowOff>
    </xdr:to>
    <xdr:pic>
      <xdr:nvPicPr>
        <xdr:cNvPr id="2" name="image1.png" descr="cid:image001.png@01D26DCD.E3C57EA0"/>
        <xdr:cNvPicPr>
          <a:picLocks noChangeAspect="1"/>
        </xdr:cNvPicPr>
      </xdr:nvPicPr>
      <xdr:blipFill>
        <a:blip xmlns:r="http://schemas.openxmlformats.org/officeDocument/2006/relationships" r:embed="rId1">
          <a:extLst/>
        </a:blip>
        <a:stretch>
          <a:fillRect/>
        </a:stretch>
      </xdr:blipFill>
      <xdr:spPr>
        <a:xfrm>
          <a:off x="0" y="0"/>
          <a:ext cx="4803141" cy="3441699"/>
        </a:xfrm>
        <a:prstGeom prst="rect">
          <a:avLst/>
        </a:prstGeom>
        <a:ln w="12700" cap="flat">
          <a:noFill/>
          <a:miter lim="400000"/>
        </a:ln>
        <a:effectLst/>
      </xdr:spPr>
    </xdr:pic>
    <xdr:clientData/>
  </xdr:twoCellAnchor>
  <xdr:twoCellAnchor>
    <xdr:from>
      <xdr:col>7</xdr:col>
      <xdr:colOff>50800</xdr:colOff>
      <xdr:row>0</xdr:row>
      <xdr:rowOff>0</xdr:rowOff>
    </xdr:from>
    <xdr:to>
      <xdr:col>13</xdr:col>
      <xdr:colOff>281940</xdr:colOff>
      <xdr:row>20</xdr:row>
      <xdr:rowOff>126998</xdr:rowOff>
    </xdr:to>
    <xdr:pic>
      <xdr:nvPicPr>
        <xdr:cNvPr id="3" name="image2.png" descr="cid:image002.png@01D26DCD.E3C57EA0"/>
        <xdr:cNvPicPr>
          <a:picLocks noChangeAspect="1"/>
        </xdr:cNvPicPr>
      </xdr:nvPicPr>
      <xdr:blipFill>
        <a:blip xmlns:r="http://schemas.openxmlformats.org/officeDocument/2006/relationships" r:embed="rId2">
          <a:extLst/>
        </a:blip>
        <a:stretch>
          <a:fillRect/>
        </a:stretch>
      </xdr:blipFill>
      <xdr:spPr>
        <a:xfrm>
          <a:off x="5384800" y="0"/>
          <a:ext cx="4803141" cy="3441699"/>
        </a:xfrm>
        <a:prstGeom prst="rect">
          <a:avLst/>
        </a:prstGeom>
        <a:ln w="12700" cap="flat">
          <a:noFill/>
          <a:miter lim="400000"/>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an/Downloads/BMS%20China%20Virology%20Call%20Validation%20WB-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访谈内容"/>
      <sheetName val="拜访记录"/>
      <sheetName val="SOAP方法"/>
      <sheetName val="SMART定义"/>
      <sheetName val="病毒rep"/>
      <sheetName val="权重"/>
    </sheetNames>
    <sheetDataSet>
      <sheetData sheetId="0"/>
      <sheetData sheetId="1">
        <row r="2">
          <cell r="G2">
            <v>0</v>
          </cell>
        </row>
        <row r="3">
          <cell r="G3">
            <v>3</v>
          </cell>
        </row>
        <row r="4">
          <cell r="G4">
            <v>6</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4"/>
  <sheetViews>
    <sheetView showGridLines="0" zoomScale="81" zoomScaleNormal="81" zoomScalePageLayoutView="81" workbookViewId="0">
      <selection activeCell="G21" sqref="G21"/>
    </sheetView>
  </sheetViews>
  <sheetFormatPr baseColWidth="10" defaultColWidth="18.1640625" defaultRowHeight="14.5" customHeight="1" x14ac:dyDescent="0.2"/>
  <cols>
    <col min="1" max="1" width="4.83203125" style="1" customWidth="1"/>
    <col min="2" max="2" width="50.5" style="1" customWidth="1"/>
    <col min="3" max="7" width="18.1640625" style="1" customWidth="1"/>
    <col min="8" max="8" width="27.83203125" style="1" customWidth="1"/>
    <col min="9" max="256" width="18.1640625" style="1" customWidth="1"/>
  </cols>
  <sheetData>
    <row r="1" spans="1:8" ht="15" customHeight="1" x14ac:dyDescent="0.2">
      <c r="A1" s="2"/>
      <c r="B1" s="3"/>
      <c r="C1" s="4"/>
      <c r="D1" s="5"/>
      <c r="E1" s="5"/>
      <c r="F1" s="5"/>
      <c r="G1" s="5"/>
      <c r="H1" s="6"/>
    </row>
    <row r="2" spans="1:8" ht="15.5" customHeight="1" x14ac:dyDescent="0.2">
      <c r="A2" s="7"/>
      <c r="B2" s="8" t="s">
        <v>0</v>
      </c>
      <c r="C2" s="181" t="s">
        <v>1</v>
      </c>
      <c r="D2" s="9"/>
      <c r="E2" s="5"/>
      <c r="F2" s="5"/>
      <c r="G2" s="5"/>
      <c r="H2" s="6"/>
    </row>
    <row r="3" spans="1:8" ht="15.5" customHeight="1" x14ac:dyDescent="0.2">
      <c r="A3" s="7"/>
      <c r="B3" s="10" t="s">
        <v>2</v>
      </c>
      <c r="C3" s="182" t="s">
        <v>3</v>
      </c>
      <c r="D3" s="9"/>
      <c r="E3" s="5"/>
      <c r="F3" s="5"/>
      <c r="G3" s="5"/>
      <c r="H3" s="6"/>
    </row>
    <row r="4" spans="1:8" ht="15.5" customHeight="1" x14ac:dyDescent="0.2">
      <c r="A4" s="7"/>
      <c r="B4" s="10" t="s">
        <v>4</v>
      </c>
      <c r="C4" s="48">
        <v>76030116</v>
      </c>
      <c r="D4" s="9"/>
      <c r="E4" s="5"/>
      <c r="F4" s="5"/>
      <c r="G4" s="5"/>
      <c r="H4" s="6"/>
    </row>
    <row r="5" spans="1:8" ht="16.25" customHeight="1" x14ac:dyDescent="0.2">
      <c r="A5" s="7"/>
      <c r="B5" s="11" t="s">
        <v>5</v>
      </c>
      <c r="C5" s="183" t="s">
        <v>6</v>
      </c>
      <c r="D5" s="9"/>
      <c r="E5" s="5"/>
      <c r="F5" s="5"/>
      <c r="G5" s="5"/>
      <c r="H5" s="6"/>
    </row>
    <row r="6" spans="1:8" ht="15.5" customHeight="1" x14ac:dyDescent="0.2">
      <c r="A6" s="2"/>
      <c r="B6" s="12"/>
      <c r="C6" s="13"/>
      <c r="D6" s="5"/>
      <c r="E6" s="5"/>
      <c r="F6" s="5"/>
      <c r="G6" s="5"/>
      <c r="H6" s="6"/>
    </row>
    <row r="7" spans="1:8" ht="15" customHeight="1" x14ac:dyDescent="0.2">
      <c r="A7" s="2"/>
      <c r="B7" s="3"/>
      <c r="C7" s="4"/>
      <c r="D7" s="14"/>
      <c r="E7" s="14"/>
      <c r="F7" s="14"/>
      <c r="G7" s="14"/>
      <c r="H7" s="15"/>
    </row>
    <row r="8" spans="1:8" ht="22.75" customHeight="1" x14ac:dyDescent="0.2">
      <c r="A8" s="7"/>
      <c r="B8" s="344" t="s">
        <v>7</v>
      </c>
      <c r="C8" s="345"/>
      <c r="D8" s="345"/>
      <c r="E8" s="345"/>
      <c r="F8" s="346"/>
      <c r="G8" s="16" t="s">
        <v>8</v>
      </c>
      <c r="H8" s="17" t="s">
        <v>9</v>
      </c>
    </row>
    <row r="9" spans="1:8" ht="23" customHeight="1" x14ac:dyDescent="0.2">
      <c r="A9" s="7">
        <v>1</v>
      </c>
      <c r="B9" s="18" t="s">
        <v>10</v>
      </c>
      <c r="C9" s="315"/>
      <c r="D9" s="316"/>
      <c r="E9" s="316"/>
      <c r="F9" s="317"/>
      <c r="G9" s="19">
        <v>2</v>
      </c>
      <c r="H9" s="338" t="s">
        <v>11</v>
      </c>
    </row>
    <row r="10" spans="1:8" ht="23" customHeight="1" x14ac:dyDescent="0.2">
      <c r="A10" s="7"/>
      <c r="B10" s="21" t="s">
        <v>12</v>
      </c>
      <c r="C10" s="331" t="s">
        <v>13</v>
      </c>
      <c r="D10" s="323"/>
      <c r="E10" s="323"/>
      <c r="F10" s="324"/>
      <c r="G10" s="335"/>
      <c r="H10" s="339"/>
    </row>
    <row r="11" spans="1:8" ht="23" customHeight="1" x14ac:dyDescent="0.2">
      <c r="A11" s="7"/>
      <c r="B11" s="22" t="s">
        <v>14</v>
      </c>
      <c r="C11" s="325"/>
      <c r="D11" s="326"/>
      <c r="E11" s="326"/>
      <c r="F11" s="327"/>
      <c r="G11" s="336"/>
      <c r="H11" s="339"/>
    </row>
    <row r="12" spans="1:8" ht="23" customHeight="1" x14ac:dyDescent="0.2">
      <c r="A12" s="7"/>
      <c r="B12" s="24" t="s">
        <v>15</v>
      </c>
      <c r="C12" s="328"/>
      <c r="D12" s="329"/>
      <c r="E12" s="329"/>
      <c r="F12" s="330"/>
      <c r="G12" s="337"/>
      <c r="H12" s="340"/>
    </row>
    <row r="13" spans="1:8" ht="23" customHeight="1" x14ac:dyDescent="0.2">
      <c r="A13" s="7">
        <v>2</v>
      </c>
      <c r="B13" s="25" t="s">
        <v>16</v>
      </c>
      <c r="C13" s="312"/>
      <c r="D13" s="313"/>
      <c r="E13" s="313"/>
      <c r="F13" s="314"/>
      <c r="G13" s="19">
        <v>1</v>
      </c>
      <c r="H13" s="338" t="s">
        <v>17</v>
      </c>
    </row>
    <row r="14" spans="1:8" ht="23" customHeight="1" x14ac:dyDescent="0.2">
      <c r="A14" s="7"/>
      <c r="B14" s="21" t="s">
        <v>18</v>
      </c>
      <c r="C14" s="322" t="s">
        <v>19</v>
      </c>
      <c r="D14" s="323"/>
      <c r="E14" s="323"/>
      <c r="F14" s="324"/>
      <c r="G14" s="335"/>
      <c r="H14" s="339"/>
    </row>
    <row r="15" spans="1:8" ht="23" customHeight="1" x14ac:dyDescent="0.2">
      <c r="A15" s="7"/>
      <c r="B15" s="22" t="s">
        <v>20</v>
      </c>
      <c r="C15" s="325"/>
      <c r="D15" s="326"/>
      <c r="E15" s="326"/>
      <c r="F15" s="327"/>
      <c r="G15" s="336"/>
      <c r="H15" s="339"/>
    </row>
    <row r="16" spans="1:8" ht="74" customHeight="1" x14ac:dyDescent="0.2">
      <c r="A16" s="7"/>
      <c r="B16" s="24" t="s">
        <v>21</v>
      </c>
      <c r="C16" s="328"/>
      <c r="D16" s="329"/>
      <c r="E16" s="329"/>
      <c r="F16" s="330"/>
      <c r="G16" s="337"/>
      <c r="H16" s="340"/>
    </row>
    <row r="17" spans="1:8" ht="23" customHeight="1" x14ac:dyDescent="0.2">
      <c r="A17" s="7">
        <v>3</v>
      </c>
      <c r="B17" s="25" t="s">
        <v>22</v>
      </c>
      <c r="C17" s="312"/>
      <c r="D17" s="313"/>
      <c r="E17" s="313"/>
      <c r="F17" s="314"/>
      <c r="G17" s="19">
        <v>1</v>
      </c>
      <c r="H17" s="338" t="s">
        <v>23</v>
      </c>
    </row>
    <row r="18" spans="1:8" ht="37.75" customHeight="1" x14ac:dyDescent="0.2">
      <c r="A18" s="7"/>
      <c r="B18" s="21" t="s">
        <v>24</v>
      </c>
      <c r="C18" s="356" t="s">
        <v>25</v>
      </c>
      <c r="D18" s="357"/>
      <c r="E18" s="357"/>
      <c r="F18" s="358"/>
      <c r="G18" s="335"/>
      <c r="H18" s="339"/>
    </row>
    <row r="19" spans="1:8" ht="43.5" customHeight="1" x14ac:dyDescent="0.2">
      <c r="A19" s="7"/>
      <c r="B19" s="22" t="s">
        <v>26</v>
      </c>
      <c r="C19" s="359"/>
      <c r="D19" s="360"/>
      <c r="E19" s="360"/>
      <c r="F19" s="361"/>
      <c r="G19" s="336"/>
      <c r="H19" s="339"/>
    </row>
    <row r="20" spans="1:8" ht="60.25" customHeight="1" x14ac:dyDescent="0.2">
      <c r="A20" s="7"/>
      <c r="B20" s="24" t="s">
        <v>27</v>
      </c>
      <c r="C20" s="362"/>
      <c r="D20" s="363"/>
      <c r="E20" s="363"/>
      <c r="F20" s="364"/>
      <c r="G20" s="337"/>
      <c r="H20" s="340"/>
    </row>
    <row r="21" spans="1:8" ht="23" customHeight="1" x14ac:dyDescent="0.2">
      <c r="A21" s="7">
        <v>4</v>
      </c>
      <c r="B21" s="25" t="s">
        <v>28</v>
      </c>
      <c r="C21" s="312"/>
      <c r="D21" s="313"/>
      <c r="E21" s="313"/>
      <c r="F21" s="314"/>
      <c r="G21" s="19"/>
      <c r="H21" s="338" t="s">
        <v>29</v>
      </c>
    </row>
    <row r="22" spans="1:8" ht="23" customHeight="1" x14ac:dyDescent="0.2">
      <c r="A22" s="7"/>
      <c r="B22" s="21" t="s">
        <v>30</v>
      </c>
      <c r="C22" s="331" t="s">
        <v>31</v>
      </c>
      <c r="D22" s="323"/>
      <c r="E22" s="323"/>
      <c r="F22" s="324"/>
      <c r="G22" s="26"/>
      <c r="H22" s="339"/>
    </row>
    <row r="23" spans="1:8" ht="23" customHeight="1" x14ac:dyDescent="0.2">
      <c r="A23" s="7"/>
      <c r="B23" s="22" t="s">
        <v>32</v>
      </c>
      <c r="C23" s="325"/>
      <c r="D23" s="326"/>
      <c r="E23" s="326"/>
      <c r="F23" s="327"/>
      <c r="G23" s="26"/>
      <c r="H23" s="339"/>
    </row>
    <row r="24" spans="1:8" ht="23" customHeight="1" x14ac:dyDescent="0.2">
      <c r="A24" s="7"/>
      <c r="B24" s="24" t="s">
        <v>33</v>
      </c>
      <c r="C24" s="328"/>
      <c r="D24" s="329"/>
      <c r="E24" s="329"/>
      <c r="F24" s="330"/>
      <c r="G24" s="27"/>
      <c r="H24" s="340"/>
    </row>
    <row r="25" spans="1:8" ht="23" customHeight="1" x14ac:dyDescent="0.2">
      <c r="A25" s="7">
        <v>5</v>
      </c>
      <c r="B25" s="25" t="s">
        <v>34</v>
      </c>
      <c r="C25" s="321" t="s">
        <v>35</v>
      </c>
      <c r="D25" s="313"/>
      <c r="E25" s="313"/>
      <c r="F25" s="314"/>
      <c r="G25" s="19">
        <v>2</v>
      </c>
      <c r="H25" s="338" t="s">
        <v>29</v>
      </c>
    </row>
    <row r="26" spans="1:8" ht="23" customHeight="1" x14ac:dyDescent="0.2">
      <c r="A26" s="7"/>
      <c r="B26" s="28" t="s">
        <v>32</v>
      </c>
      <c r="C26" s="318" t="s">
        <v>36</v>
      </c>
      <c r="D26" s="319"/>
      <c r="E26" s="319"/>
      <c r="F26" s="320"/>
      <c r="G26" s="335"/>
      <c r="H26" s="339"/>
    </row>
    <row r="27" spans="1:8" ht="23" customHeight="1" x14ac:dyDescent="0.2">
      <c r="A27" s="7"/>
      <c r="B27" s="29" t="s">
        <v>30</v>
      </c>
      <c r="C27" s="318" t="s">
        <v>37</v>
      </c>
      <c r="D27" s="319"/>
      <c r="E27" s="319"/>
      <c r="F27" s="320"/>
      <c r="G27" s="336"/>
      <c r="H27" s="339"/>
    </row>
    <row r="28" spans="1:8" ht="23" customHeight="1" x14ac:dyDescent="0.2">
      <c r="A28" s="7"/>
      <c r="B28" s="29" t="s">
        <v>33</v>
      </c>
      <c r="C28" s="318" t="s">
        <v>38</v>
      </c>
      <c r="D28" s="319"/>
      <c r="E28" s="319"/>
      <c r="F28" s="320"/>
      <c r="G28" s="336"/>
      <c r="H28" s="339"/>
    </row>
    <row r="29" spans="1:8" ht="23" customHeight="1" x14ac:dyDescent="0.2">
      <c r="A29" s="7"/>
      <c r="B29" s="30" t="s">
        <v>39</v>
      </c>
      <c r="C29" s="341">
        <v>1</v>
      </c>
      <c r="D29" s="342"/>
      <c r="E29" s="342"/>
      <c r="F29" s="343"/>
      <c r="G29" s="337"/>
      <c r="H29" s="340"/>
    </row>
    <row r="30" spans="1:8" ht="23" customHeight="1" x14ac:dyDescent="0.2">
      <c r="A30" s="7">
        <v>6</v>
      </c>
      <c r="B30" s="25" t="s">
        <v>40</v>
      </c>
      <c r="C30" s="332"/>
      <c r="D30" s="333"/>
      <c r="E30" s="333"/>
      <c r="F30" s="334"/>
      <c r="G30" s="19">
        <v>2</v>
      </c>
      <c r="H30" s="338" t="s">
        <v>41</v>
      </c>
    </row>
    <row r="31" spans="1:8" ht="23" customHeight="1" x14ac:dyDescent="0.2">
      <c r="A31" s="7"/>
      <c r="B31" s="21" t="s">
        <v>42</v>
      </c>
      <c r="C31" s="331" t="s">
        <v>43</v>
      </c>
      <c r="D31" s="323"/>
      <c r="E31" s="323"/>
      <c r="F31" s="324"/>
      <c r="G31" s="335"/>
      <c r="H31" s="339"/>
    </row>
    <row r="32" spans="1:8" ht="23" customHeight="1" x14ac:dyDescent="0.2">
      <c r="A32" s="7"/>
      <c r="B32" s="22" t="s">
        <v>44</v>
      </c>
      <c r="C32" s="325"/>
      <c r="D32" s="326"/>
      <c r="E32" s="326"/>
      <c r="F32" s="327"/>
      <c r="G32" s="336"/>
      <c r="H32" s="339"/>
    </row>
    <row r="33" spans="1:8" ht="23" customHeight="1" x14ac:dyDescent="0.2">
      <c r="A33" s="7"/>
      <c r="B33" s="24" t="s">
        <v>45</v>
      </c>
      <c r="C33" s="328"/>
      <c r="D33" s="329"/>
      <c r="E33" s="329"/>
      <c r="F33" s="330"/>
      <c r="G33" s="337"/>
      <c r="H33" s="340"/>
    </row>
    <row r="34" spans="1:8" ht="23" customHeight="1" x14ac:dyDescent="0.2">
      <c r="A34" s="7">
        <v>7</v>
      </c>
      <c r="B34" s="25" t="s">
        <v>46</v>
      </c>
      <c r="C34" s="312"/>
      <c r="D34" s="313"/>
      <c r="E34" s="313"/>
      <c r="F34" s="314"/>
      <c r="G34" s="19">
        <v>2</v>
      </c>
      <c r="H34" s="338" t="s">
        <v>47</v>
      </c>
    </row>
    <row r="35" spans="1:8" ht="23" customHeight="1" x14ac:dyDescent="0.2">
      <c r="A35" s="7"/>
      <c r="B35" s="31" t="s">
        <v>48</v>
      </c>
      <c r="C35" s="347" t="s">
        <v>271</v>
      </c>
      <c r="D35" s="348"/>
      <c r="E35" s="348"/>
      <c r="F35" s="349"/>
      <c r="G35" s="335"/>
      <c r="H35" s="339"/>
    </row>
    <row r="36" spans="1:8" ht="23" customHeight="1" x14ac:dyDescent="0.2">
      <c r="A36" s="7"/>
      <c r="B36" s="32" t="s">
        <v>49</v>
      </c>
      <c r="C36" s="350"/>
      <c r="D36" s="351"/>
      <c r="E36" s="351"/>
      <c r="F36" s="352"/>
      <c r="G36" s="336"/>
      <c r="H36" s="339"/>
    </row>
    <row r="37" spans="1:8" ht="23" customHeight="1" x14ac:dyDescent="0.2">
      <c r="A37" s="7"/>
      <c r="B37" s="32" t="s">
        <v>50</v>
      </c>
      <c r="C37" s="350"/>
      <c r="D37" s="351"/>
      <c r="E37" s="351"/>
      <c r="F37" s="352"/>
      <c r="G37" s="336"/>
      <c r="H37" s="339"/>
    </row>
    <row r="38" spans="1:8" ht="34.25" customHeight="1" x14ac:dyDescent="0.2">
      <c r="A38" s="7"/>
      <c r="B38" s="32" t="s">
        <v>51</v>
      </c>
      <c r="C38" s="350"/>
      <c r="D38" s="351"/>
      <c r="E38" s="351"/>
      <c r="F38" s="352"/>
      <c r="G38" s="336"/>
      <c r="H38" s="339"/>
    </row>
    <row r="39" spans="1:8" ht="26.5" customHeight="1" x14ac:dyDescent="0.2">
      <c r="A39" s="7"/>
      <c r="B39" s="33" t="s">
        <v>52</v>
      </c>
      <c r="C39" s="353"/>
      <c r="D39" s="354"/>
      <c r="E39" s="354"/>
      <c r="F39" s="355"/>
      <c r="G39" s="337"/>
      <c r="H39" s="340"/>
    </row>
    <row r="40" spans="1:8" ht="23" customHeight="1" x14ac:dyDescent="0.2">
      <c r="A40" s="7">
        <v>8</v>
      </c>
      <c r="B40" s="25" t="s">
        <v>53</v>
      </c>
      <c r="C40" s="312"/>
      <c r="D40" s="313"/>
      <c r="E40" s="313"/>
      <c r="F40" s="314"/>
      <c r="G40" s="19">
        <v>1</v>
      </c>
      <c r="H40" s="338" t="s">
        <v>54</v>
      </c>
    </row>
    <row r="41" spans="1:8" ht="139.25" customHeight="1" x14ac:dyDescent="0.2">
      <c r="A41" s="7"/>
      <c r="B41" s="34" t="s">
        <v>55</v>
      </c>
      <c r="C41" s="356" t="s">
        <v>56</v>
      </c>
      <c r="D41" s="357"/>
      <c r="E41" s="357"/>
      <c r="F41" s="358"/>
      <c r="G41" s="335"/>
      <c r="H41" s="339"/>
    </row>
    <row r="42" spans="1:8" ht="28" customHeight="1" x14ac:dyDescent="0.2">
      <c r="A42" s="7"/>
      <c r="B42" s="22" t="s">
        <v>57</v>
      </c>
      <c r="C42" s="359"/>
      <c r="D42" s="360"/>
      <c r="E42" s="360"/>
      <c r="F42" s="361"/>
      <c r="G42" s="336"/>
      <c r="H42" s="339"/>
    </row>
    <row r="43" spans="1:8" ht="63" customHeight="1" x14ac:dyDescent="0.2">
      <c r="A43" s="7"/>
      <c r="B43" s="35" t="s">
        <v>58</v>
      </c>
      <c r="C43" s="362"/>
      <c r="D43" s="363"/>
      <c r="E43" s="363"/>
      <c r="F43" s="364"/>
      <c r="G43" s="337"/>
      <c r="H43" s="340"/>
    </row>
    <row r="44" spans="1:8" ht="23" customHeight="1" x14ac:dyDescent="0.2">
      <c r="A44" s="2"/>
      <c r="B44" s="36"/>
      <c r="C44" s="13"/>
      <c r="D44" s="37"/>
      <c r="E44" s="37"/>
      <c r="F44" s="37"/>
      <c r="G44" s="37"/>
      <c r="H44" s="38"/>
    </row>
  </sheetData>
  <mergeCells count="35">
    <mergeCell ref="B8:F8"/>
    <mergeCell ref="H30:H33"/>
    <mergeCell ref="C35:F39"/>
    <mergeCell ref="G41:G43"/>
    <mergeCell ref="C10:F12"/>
    <mergeCell ref="H13:H16"/>
    <mergeCell ref="H34:H39"/>
    <mergeCell ref="C31:F33"/>
    <mergeCell ref="H21:H24"/>
    <mergeCell ref="C41:F43"/>
    <mergeCell ref="C18:F20"/>
    <mergeCell ref="G18:G20"/>
    <mergeCell ref="C34:F34"/>
    <mergeCell ref="H17:H20"/>
    <mergeCell ref="C13:F13"/>
    <mergeCell ref="H40:H43"/>
    <mergeCell ref="G31:G33"/>
    <mergeCell ref="G35:G39"/>
    <mergeCell ref="H25:H29"/>
    <mergeCell ref="G26:G29"/>
    <mergeCell ref="C21:F21"/>
    <mergeCell ref="C26:F26"/>
    <mergeCell ref="G10:G12"/>
    <mergeCell ref="C17:F17"/>
    <mergeCell ref="H9:H12"/>
    <mergeCell ref="C29:F29"/>
    <mergeCell ref="G14:G16"/>
    <mergeCell ref="C40:F40"/>
    <mergeCell ref="C9:F9"/>
    <mergeCell ref="C28:F28"/>
    <mergeCell ref="C25:F25"/>
    <mergeCell ref="C27:F27"/>
    <mergeCell ref="C14:F16"/>
    <mergeCell ref="C22:F24"/>
    <mergeCell ref="C30:F30"/>
  </mergeCells>
  <phoneticPr fontId="23" type="noConversion"/>
  <pageMargins left="0.45" right="0.45" top="0.5" bottom="0.5" header="0.3" footer="0.3"/>
  <pageSetup scale="41" orientation="landscape"/>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2"/>
  <sheetViews>
    <sheetView showGridLines="0" tabSelected="1" zoomScale="83" zoomScaleNormal="83" zoomScalePageLayoutView="83" workbookViewId="0">
      <selection activeCell="E12" sqref="E12"/>
    </sheetView>
  </sheetViews>
  <sheetFormatPr baseColWidth="10" defaultColWidth="18.1640625" defaultRowHeight="14.5" customHeight="1" x14ac:dyDescent="0.2"/>
  <cols>
    <col min="1" max="1" width="4.83203125" style="39" customWidth="1"/>
    <col min="2" max="2" width="50.5" style="39" customWidth="1"/>
    <col min="3" max="10" width="18.1640625" style="164" customWidth="1"/>
    <col min="11" max="11" width="18.1640625" style="154" customWidth="1"/>
    <col min="12" max="14" width="18.1640625" style="39" customWidth="1"/>
    <col min="15" max="15" width="26" style="39" customWidth="1"/>
    <col min="16" max="256" width="18.1640625" style="39" customWidth="1"/>
  </cols>
  <sheetData>
    <row r="1" spans="1:15" ht="15" customHeight="1" thickBot="1" x14ac:dyDescent="0.25">
      <c r="A1" s="2"/>
      <c r="B1" s="3"/>
      <c r="C1" s="159"/>
      <c r="D1" s="159"/>
      <c r="E1" s="159"/>
      <c r="F1" s="159"/>
      <c r="G1" s="159"/>
      <c r="H1" s="159"/>
      <c r="I1" s="159"/>
      <c r="J1" s="159"/>
      <c r="K1" s="130"/>
      <c r="L1" s="5"/>
      <c r="M1" s="5"/>
      <c r="N1" s="5"/>
      <c r="O1" s="6"/>
    </row>
    <row r="2" spans="1:15" ht="15.5" customHeight="1" x14ac:dyDescent="0.2">
      <c r="A2" s="7"/>
      <c r="B2" s="8" t="s">
        <v>0</v>
      </c>
      <c r="C2" s="159" t="s">
        <v>1</v>
      </c>
      <c r="D2" s="159"/>
      <c r="E2" s="159"/>
      <c r="F2" s="159"/>
      <c r="G2" s="159"/>
      <c r="H2" s="159"/>
      <c r="I2" s="159"/>
      <c r="J2" s="159"/>
      <c r="K2" s="130"/>
      <c r="L2" s="5"/>
      <c r="M2" s="5"/>
      <c r="N2" s="5"/>
      <c r="O2" s="6"/>
    </row>
    <row r="3" spans="1:15" ht="15.5" customHeight="1" x14ac:dyDescent="0.2">
      <c r="A3" s="7"/>
      <c r="B3" s="10" t="s">
        <v>2</v>
      </c>
      <c r="C3" s="159"/>
      <c r="D3" s="159"/>
      <c r="E3" s="159"/>
      <c r="F3" s="159"/>
      <c r="G3" s="159"/>
      <c r="H3" s="159"/>
      <c r="I3" s="159"/>
      <c r="J3" s="159"/>
      <c r="K3" s="130"/>
      <c r="L3" s="5"/>
      <c r="M3" s="5"/>
      <c r="N3" s="5"/>
      <c r="O3" s="6"/>
    </row>
    <row r="4" spans="1:15" ht="15.5" customHeight="1" x14ac:dyDescent="0.2">
      <c r="A4" s="7"/>
      <c r="B4" s="10" t="s">
        <v>4</v>
      </c>
      <c r="C4" s="159"/>
      <c r="D4" s="159"/>
      <c r="E4" s="159"/>
      <c r="F4" s="159"/>
      <c r="G4" s="159"/>
      <c r="H4" s="159"/>
      <c r="I4" s="159"/>
      <c r="J4" s="159"/>
      <c r="K4" s="130"/>
      <c r="L4" s="5"/>
      <c r="M4" s="5"/>
      <c r="N4" s="5"/>
      <c r="O4" s="6"/>
    </row>
    <row r="5" spans="1:15" ht="16.25" customHeight="1" thickBot="1" x14ac:dyDescent="0.25">
      <c r="A5" s="7"/>
      <c r="B5" s="11" t="s">
        <v>59</v>
      </c>
      <c r="C5" s="159" t="s">
        <v>385</v>
      </c>
      <c r="D5" s="159"/>
      <c r="E5" s="159"/>
      <c r="F5" s="159"/>
      <c r="G5" s="159"/>
      <c r="H5" s="159"/>
      <c r="I5" s="159"/>
      <c r="J5" s="159"/>
      <c r="K5" s="130"/>
      <c r="L5" s="5"/>
      <c r="M5" s="5"/>
      <c r="N5" s="5"/>
      <c r="O5" s="6"/>
    </row>
    <row r="6" spans="1:15" ht="15.5" customHeight="1" x14ac:dyDescent="0.2">
      <c r="A6" s="2"/>
      <c r="B6" s="12"/>
      <c r="C6" s="159"/>
      <c r="D6" s="159"/>
      <c r="E6" s="159"/>
      <c r="F6" s="159"/>
      <c r="G6" s="159"/>
      <c r="H6" s="159"/>
      <c r="I6" s="159"/>
      <c r="J6" s="159"/>
      <c r="K6" s="130"/>
      <c r="L6" s="5"/>
      <c r="M6" s="5"/>
      <c r="N6" s="5"/>
      <c r="O6" s="6"/>
    </row>
    <row r="7" spans="1:15" ht="23" customHeight="1" thickBot="1" x14ac:dyDescent="0.25">
      <c r="A7" s="2"/>
      <c r="B7" s="3"/>
      <c r="C7" s="160"/>
      <c r="D7" s="160"/>
      <c r="E7" s="160"/>
      <c r="F7" s="160"/>
      <c r="G7" s="160"/>
      <c r="H7" s="160"/>
      <c r="I7" s="160"/>
      <c r="J7" s="160"/>
      <c r="K7" s="3"/>
      <c r="L7" s="14"/>
      <c r="M7" s="14"/>
      <c r="N7" s="14"/>
      <c r="O7" s="15"/>
    </row>
    <row r="8" spans="1:15" ht="22.75" customHeight="1" thickBot="1" x14ac:dyDescent="0.25">
      <c r="A8" s="7"/>
      <c r="B8" s="40" t="s">
        <v>60</v>
      </c>
      <c r="C8" s="131" t="s">
        <v>61</v>
      </c>
      <c r="D8" s="131" t="s">
        <v>62</v>
      </c>
      <c r="E8" s="131" t="s">
        <v>63</v>
      </c>
      <c r="F8" s="131" t="s">
        <v>64</v>
      </c>
      <c r="G8" s="131" t="s">
        <v>65</v>
      </c>
      <c r="H8" s="131" t="s">
        <v>66</v>
      </c>
      <c r="I8" s="131" t="s">
        <v>67</v>
      </c>
      <c r="J8" s="131" t="s">
        <v>68</v>
      </c>
      <c r="K8" s="131" t="s">
        <v>69</v>
      </c>
      <c r="L8" s="41" t="s">
        <v>70</v>
      </c>
      <c r="M8" s="41" t="s">
        <v>71</v>
      </c>
      <c r="N8" s="41" t="s">
        <v>72</v>
      </c>
      <c r="O8" s="42" t="s">
        <v>73</v>
      </c>
    </row>
    <row r="9" spans="1:15" ht="26" customHeight="1" thickBot="1" x14ac:dyDescent="0.25">
      <c r="A9" s="7"/>
      <c r="B9" s="43" t="s">
        <v>74</v>
      </c>
      <c r="C9" s="132" t="s">
        <v>75</v>
      </c>
      <c r="D9" s="132" t="s">
        <v>75</v>
      </c>
      <c r="E9" s="132" t="s">
        <v>75</v>
      </c>
      <c r="F9" s="132" t="s">
        <v>75</v>
      </c>
      <c r="G9" s="132" t="s">
        <v>75</v>
      </c>
      <c r="H9" s="132" t="s">
        <v>75</v>
      </c>
      <c r="I9" s="132" t="s">
        <v>75</v>
      </c>
      <c r="J9" s="132" t="s">
        <v>75</v>
      </c>
      <c r="K9" s="132" t="s">
        <v>75</v>
      </c>
      <c r="L9" s="44" t="s">
        <v>75</v>
      </c>
      <c r="M9" s="44" t="s">
        <v>75</v>
      </c>
      <c r="N9" s="44" t="s">
        <v>75</v>
      </c>
      <c r="O9" s="17" t="s">
        <v>76</v>
      </c>
    </row>
    <row r="10" spans="1:15" ht="26" customHeight="1" thickBot="1" x14ac:dyDescent="0.25">
      <c r="A10" s="7"/>
      <c r="B10" s="45" t="s">
        <v>77</v>
      </c>
      <c r="C10" s="143" t="s">
        <v>78</v>
      </c>
      <c r="D10" s="143" t="s">
        <v>78</v>
      </c>
      <c r="E10" s="143" t="s">
        <v>78</v>
      </c>
      <c r="F10" s="143" t="s">
        <v>78</v>
      </c>
      <c r="G10" s="143" t="s">
        <v>78</v>
      </c>
      <c r="H10" s="143" t="s">
        <v>78</v>
      </c>
      <c r="I10" s="143" t="s">
        <v>78</v>
      </c>
      <c r="J10" s="143" t="s">
        <v>78</v>
      </c>
      <c r="K10" s="143"/>
      <c r="L10" s="46"/>
      <c r="M10" s="46"/>
      <c r="N10" s="46"/>
      <c r="O10" s="17" t="s">
        <v>79</v>
      </c>
    </row>
    <row r="11" spans="1:15" ht="26" customHeight="1" thickBot="1" x14ac:dyDescent="0.25">
      <c r="A11" s="7"/>
      <c r="B11" s="47" t="s">
        <v>80</v>
      </c>
      <c r="C11" s="166" t="s">
        <v>81</v>
      </c>
      <c r="D11" s="166" t="s">
        <v>82</v>
      </c>
      <c r="E11" s="126" t="s">
        <v>83</v>
      </c>
      <c r="F11" s="95" t="s">
        <v>84</v>
      </c>
      <c r="G11" s="95" t="s">
        <v>85</v>
      </c>
      <c r="H11" s="95" t="s">
        <v>389</v>
      </c>
      <c r="I11" s="95"/>
      <c r="J11" s="95" t="s">
        <v>86</v>
      </c>
      <c r="K11" s="95"/>
      <c r="L11" s="48"/>
      <c r="M11" s="48"/>
      <c r="N11" s="48"/>
      <c r="O11" s="17" t="s">
        <v>87</v>
      </c>
    </row>
    <row r="12" spans="1:15" ht="34.75" customHeight="1" thickBot="1" x14ac:dyDescent="0.25">
      <c r="A12" s="7"/>
      <c r="B12" s="49" t="s">
        <v>88</v>
      </c>
      <c r="C12" s="166" t="s">
        <v>384</v>
      </c>
      <c r="D12" s="166" t="s">
        <v>386</v>
      </c>
      <c r="E12" s="126" t="s">
        <v>391</v>
      </c>
      <c r="F12" s="95" t="s">
        <v>89</v>
      </c>
      <c r="G12" s="95" t="s">
        <v>387</v>
      </c>
      <c r="H12" s="95" t="s">
        <v>388</v>
      </c>
      <c r="I12" s="95" t="s">
        <v>390</v>
      </c>
      <c r="J12" s="95" t="s">
        <v>90</v>
      </c>
      <c r="K12" s="150"/>
      <c r="L12" s="50"/>
      <c r="M12" s="50"/>
      <c r="N12" s="50"/>
      <c r="O12" s="17" t="s">
        <v>91</v>
      </c>
    </row>
    <row r="13" spans="1:15" ht="20.5" customHeight="1" thickBot="1" x14ac:dyDescent="0.25">
      <c r="A13" s="7"/>
      <c r="B13" s="49" t="s">
        <v>92</v>
      </c>
      <c r="C13" s="166"/>
      <c r="D13" s="166" t="s">
        <v>32</v>
      </c>
      <c r="E13" s="126" t="s">
        <v>32</v>
      </c>
      <c r="F13" s="95" t="s">
        <v>32</v>
      </c>
      <c r="G13" s="95" t="s">
        <v>94</v>
      </c>
      <c r="H13" s="95" t="s">
        <v>32</v>
      </c>
      <c r="I13" s="95" t="s">
        <v>32</v>
      </c>
      <c r="J13" s="95" t="s">
        <v>93</v>
      </c>
      <c r="K13" s="150"/>
      <c r="L13" s="50"/>
      <c r="M13" s="50"/>
      <c r="N13" s="50"/>
      <c r="O13" s="17" t="s">
        <v>95</v>
      </c>
    </row>
    <row r="14" spans="1:15" ht="54.25" customHeight="1" thickBot="1" x14ac:dyDescent="0.25">
      <c r="A14" s="7"/>
      <c r="B14" s="49" t="s">
        <v>96</v>
      </c>
      <c r="C14" s="166" t="s">
        <v>97</v>
      </c>
      <c r="D14" s="166" t="s">
        <v>98</v>
      </c>
      <c r="E14" s="126" t="s">
        <v>99</v>
      </c>
      <c r="F14" s="95" t="s">
        <v>100</v>
      </c>
      <c r="G14" s="95" t="s">
        <v>101</v>
      </c>
      <c r="H14" s="95" t="s">
        <v>102</v>
      </c>
      <c r="I14" s="95" t="s">
        <v>103</v>
      </c>
      <c r="J14" s="95" t="s">
        <v>104</v>
      </c>
      <c r="K14" s="150"/>
      <c r="L14" s="50"/>
      <c r="M14" s="50"/>
      <c r="N14" s="50"/>
      <c r="O14" s="17" t="s">
        <v>105</v>
      </c>
    </row>
    <row r="15" spans="1:15" ht="27" customHeight="1" x14ac:dyDescent="0.2">
      <c r="A15" s="7"/>
      <c r="B15" s="49" t="s">
        <v>106</v>
      </c>
      <c r="C15" s="129" t="s">
        <v>107</v>
      </c>
      <c r="D15" s="129" t="s">
        <v>107</v>
      </c>
      <c r="E15" s="129" t="s">
        <v>107</v>
      </c>
      <c r="F15" s="129" t="s">
        <v>108</v>
      </c>
      <c r="G15" s="129" t="s">
        <v>109</v>
      </c>
      <c r="H15" s="129" t="s">
        <v>110</v>
      </c>
      <c r="I15" s="129" t="s">
        <v>111</v>
      </c>
      <c r="J15" s="129" t="s">
        <v>112</v>
      </c>
      <c r="K15" s="151"/>
      <c r="L15" s="52"/>
      <c r="M15" s="52"/>
      <c r="N15" s="52"/>
      <c r="O15" s="20" t="s">
        <v>113</v>
      </c>
    </row>
    <row r="16" spans="1:15" ht="37.75" customHeight="1" thickBot="1" x14ac:dyDescent="0.25">
      <c r="A16" s="7"/>
      <c r="B16" s="53" t="s">
        <v>114</v>
      </c>
      <c r="C16" s="186">
        <v>3</v>
      </c>
      <c r="D16" s="186">
        <v>3</v>
      </c>
      <c r="E16" s="186">
        <v>1.5</v>
      </c>
      <c r="F16" s="186">
        <v>3</v>
      </c>
      <c r="G16" s="186">
        <v>3</v>
      </c>
      <c r="H16" s="186">
        <v>3</v>
      </c>
      <c r="I16" s="155">
        <v>6</v>
      </c>
      <c r="J16" s="186">
        <v>3</v>
      </c>
      <c r="K16" s="155" t="s">
        <v>115</v>
      </c>
      <c r="L16" s="54" t="s">
        <v>115</v>
      </c>
      <c r="M16" s="54" t="s">
        <v>115</v>
      </c>
      <c r="N16" s="54" t="s">
        <v>115</v>
      </c>
      <c r="O16" s="55" t="s">
        <v>116</v>
      </c>
    </row>
    <row r="17" spans="1:15" ht="32.75" customHeight="1" x14ac:dyDescent="0.2">
      <c r="A17" s="7"/>
      <c r="B17" s="49" t="s">
        <v>117</v>
      </c>
      <c r="C17" s="134" t="s">
        <v>118</v>
      </c>
      <c r="D17" s="134" t="s">
        <v>119</v>
      </c>
      <c r="E17" s="134" t="s">
        <v>120</v>
      </c>
      <c r="F17" s="134" t="s">
        <v>121</v>
      </c>
      <c r="G17" s="134" t="s">
        <v>109</v>
      </c>
      <c r="H17" s="134" t="s">
        <v>122</v>
      </c>
      <c r="I17" s="134" t="s">
        <v>118</v>
      </c>
      <c r="J17" s="134" t="s">
        <v>123</v>
      </c>
      <c r="K17" s="134"/>
      <c r="L17" s="56"/>
      <c r="M17" s="56"/>
      <c r="N17" s="56"/>
      <c r="O17" s="20" t="s">
        <v>113</v>
      </c>
    </row>
    <row r="18" spans="1:15" ht="34.5" customHeight="1" thickBot="1" x14ac:dyDescent="0.25">
      <c r="A18" s="7"/>
      <c r="B18" s="53" t="s">
        <v>114</v>
      </c>
      <c r="C18" s="169">
        <v>6</v>
      </c>
      <c r="D18" s="169">
        <v>6</v>
      </c>
      <c r="E18" s="169">
        <v>6</v>
      </c>
      <c r="F18" s="169">
        <v>6</v>
      </c>
      <c r="G18" s="155">
        <v>6</v>
      </c>
      <c r="H18" s="155">
        <v>6</v>
      </c>
      <c r="I18" s="155">
        <v>6</v>
      </c>
      <c r="J18" s="155">
        <v>6</v>
      </c>
      <c r="K18" s="155" t="s">
        <v>115</v>
      </c>
      <c r="L18" s="54" t="s">
        <v>115</v>
      </c>
      <c r="M18" s="54" t="s">
        <v>115</v>
      </c>
      <c r="N18" s="54" t="s">
        <v>115</v>
      </c>
      <c r="O18" s="55" t="s">
        <v>124</v>
      </c>
    </row>
    <row r="19" spans="1:15" ht="34.25" customHeight="1" x14ac:dyDescent="0.2">
      <c r="A19" s="7"/>
      <c r="B19" s="49" t="s">
        <v>125</v>
      </c>
      <c r="C19" s="134" t="s">
        <v>126</v>
      </c>
      <c r="D19" s="134" t="s">
        <v>127</v>
      </c>
      <c r="E19" s="134" t="s">
        <v>99</v>
      </c>
      <c r="F19" s="134" t="s">
        <v>128</v>
      </c>
      <c r="G19" s="134" t="s">
        <v>129</v>
      </c>
      <c r="H19" s="134" t="s">
        <v>130</v>
      </c>
      <c r="I19" s="134" t="s">
        <v>131</v>
      </c>
      <c r="J19" s="134" t="s">
        <v>132</v>
      </c>
      <c r="K19" s="134"/>
      <c r="L19" s="56"/>
      <c r="M19" s="56"/>
      <c r="N19" s="56"/>
      <c r="O19" s="20" t="s">
        <v>113</v>
      </c>
    </row>
    <row r="20" spans="1:15" ht="29.5" customHeight="1" thickBot="1" x14ac:dyDescent="0.25">
      <c r="A20" s="7"/>
      <c r="B20" s="57" t="s">
        <v>114</v>
      </c>
      <c r="C20" s="169">
        <v>6</v>
      </c>
      <c r="D20" s="169">
        <v>8</v>
      </c>
      <c r="E20" s="169">
        <v>6</v>
      </c>
      <c r="F20" s="169">
        <v>6</v>
      </c>
      <c r="G20" s="169">
        <v>6</v>
      </c>
      <c r="H20" s="155">
        <v>6</v>
      </c>
      <c r="I20" s="155">
        <v>6</v>
      </c>
      <c r="J20" s="155">
        <v>6</v>
      </c>
      <c r="K20" s="155" t="s">
        <v>115</v>
      </c>
      <c r="L20" s="54" t="s">
        <v>115</v>
      </c>
      <c r="M20" s="54" t="s">
        <v>115</v>
      </c>
      <c r="N20" s="54" t="s">
        <v>115</v>
      </c>
      <c r="O20" s="55" t="s">
        <v>133</v>
      </c>
    </row>
    <row r="21" spans="1:15" ht="20.5" customHeight="1" thickBot="1" x14ac:dyDescent="0.25">
      <c r="A21" s="7"/>
      <c r="B21" s="58" t="s">
        <v>134</v>
      </c>
      <c r="C21" s="133"/>
      <c r="D21" s="133"/>
      <c r="E21" s="133"/>
      <c r="F21" s="133"/>
      <c r="G21" s="133"/>
      <c r="H21" s="133"/>
      <c r="I21" s="133"/>
      <c r="J21" s="133"/>
      <c r="K21" s="133"/>
      <c r="L21" s="23"/>
      <c r="M21" s="23"/>
      <c r="N21" s="23"/>
      <c r="O21" s="17" t="s">
        <v>76</v>
      </c>
    </row>
    <row r="22" spans="1:15" ht="32.75" customHeight="1" x14ac:dyDescent="0.2">
      <c r="A22" s="59"/>
      <c r="B22" s="49" t="s">
        <v>135</v>
      </c>
      <c r="C22" s="134"/>
      <c r="D22" s="134"/>
      <c r="E22" s="134"/>
      <c r="F22" s="134"/>
      <c r="G22" s="134"/>
      <c r="H22" s="134"/>
      <c r="I22" s="134"/>
      <c r="J22" s="134"/>
      <c r="K22" s="134"/>
      <c r="L22" s="56"/>
      <c r="M22" s="56"/>
      <c r="N22" s="56"/>
      <c r="O22" s="21" t="s">
        <v>136</v>
      </c>
    </row>
    <row r="23" spans="1:15" ht="32.75" customHeight="1" thickBot="1" x14ac:dyDescent="0.25">
      <c r="A23" s="7"/>
      <c r="B23" s="53" t="s">
        <v>114</v>
      </c>
      <c r="C23" s="155">
        <v>0</v>
      </c>
      <c r="D23" s="155">
        <v>0</v>
      </c>
      <c r="E23" s="155">
        <v>0</v>
      </c>
      <c r="F23" s="155">
        <v>0</v>
      </c>
      <c r="G23" s="155">
        <v>0</v>
      </c>
      <c r="H23" s="155">
        <v>0</v>
      </c>
      <c r="I23" s="155">
        <v>0</v>
      </c>
      <c r="J23" s="155">
        <v>0</v>
      </c>
      <c r="K23" s="155" t="s">
        <v>115</v>
      </c>
      <c r="L23" s="54" t="s">
        <v>115</v>
      </c>
      <c r="M23" s="54" t="s">
        <v>115</v>
      </c>
      <c r="N23" s="54" t="s">
        <v>115</v>
      </c>
      <c r="O23" s="55" t="s">
        <v>137</v>
      </c>
    </row>
    <row r="24" spans="1:15" ht="28.75" customHeight="1" x14ac:dyDescent="0.2">
      <c r="A24" s="7"/>
      <c r="B24" s="49" t="s">
        <v>138</v>
      </c>
      <c r="C24" s="135"/>
      <c r="D24" s="135"/>
      <c r="E24" s="135"/>
      <c r="F24" s="135"/>
      <c r="G24" s="135"/>
      <c r="H24" s="135"/>
      <c r="I24" s="135"/>
      <c r="J24" s="135"/>
      <c r="K24" s="135"/>
      <c r="L24" s="60"/>
      <c r="M24" s="60"/>
      <c r="N24" s="60"/>
      <c r="O24" s="338" t="s">
        <v>139</v>
      </c>
    </row>
    <row r="25" spans="1:15" ht="26.75" customHeight="1" x14ac:dyDescent="0.2">
      <c r="A25" s="7"/>
      <c r="B25" s="49" t="s">
        <v>140</v>
      </c>
      <c r="C25" s="166"/>
      <c r="D25" s="166"/>
      <c r="E25" s="126"/>
      <c r="F25" s="95"/>
      <c r="G25" s="95"/>
      <c r="H25" s="95"/>
      <c r="I25" s="95"/>
      <c r="J25" s="95"/>
      <c r="K25" s="95"/>
      <c r="L25" s="48"/>
      <c r="M25" s="48"/>
      <c r="N25" s="48"/>
      <c r="O25" s="339"/>
    </row>
    <row r="26" spans="1:15" ht="31.5" customHeight="1" x14ac:dyDescent="0.2">
      <c r="A26" s="7"/>
      <c r="B26" s="49" t="s">
        <v>141</v>
      </c>
      <c r="C26" s="129" t="s">
        <v>97</v>
      </c>
      <c r="D26" s="129" t="s">
        <v>98</v>
      </c>
      <c r="E26" s="129" t="s">
        <v>99</v>
      </c>
      <c r="F26" s="129" t="s">
        <v>100</v>
      </c>
      <c r="G26" s="129" t="s">
        <v>101</v>
      </c>
      <c r="H26" s="129" t="s">
        <v>102</v>
      </c>
      <c r="I26" s="129" t="s">
        <v>142</v>
      </c>
      <c r="J26" s="129" t="s">
        <v>97</v>
      </c>
      <c r="K26" s="129"/>
      <c r="L26" s="61"/>
      <c r="M26" s="61"/>
      <c r="N26" s="61"/>
      <c r="O26" s="339"/>
    </row>
    <row r="27" spans="1:15" ht="56.5" customHeight="1" thickBot="1" x14ac:dyDescent="0.25">
      <c r="A27" s="7"/>
      <c r="B27" s="57" t="s">
        <v>114</v>
      </c>
      <c r="C27" s="155">
        <v>0</v>
      </c>
      <c r="D27" s="155">
        <v>0</v>
      </c>
      <c r="E27" s="155">
        <v>0</v>
      </c>
      <c r="F27" s="155">
        <v>0</v>
      </c>
      <c r="G27" s="155">
        <v>0</v>
      </c>
      <c r="H27" s="155">
        <v>0</v>
      </c>
      <c r="I27" s="155">
        <v>0</v>
      </c>
      <c r="J27" s="155">
        <v>0</v>
      </c>
      <c r="K27" s="155" t="s">
        <v>115</v>
      </c>
      <c r="L27" s="54" t="s">
        <v>115</v>
      </c>
      <c r="M27" s="54" t="s">
        <v>115</v>
      </c>
      <c r="N27" s="54" t="s">
        <v>115</v>
      </c>
      <c r="O27" s="55" t="s">
        <v>143</v>
      </c>
    </row>
    <row r="28" spans="1:15" ht="260.5" customHeight="1" thickBot="1" x14ac:dyDescent="0.25">
      <c r="A28" s="7"/>
      <c r="B28" s="62" t="s">
        <v>144</v>
      </c>
      <c r="C28" s="156" t="s">
        <v>272</v>
      </c>
      <c r="D28" s="156" t="s">
        <v>262</v>
      </c>
      <c r="E28" s="156" t="s">
        <v>270</v>
      </c>
      <c r="F28" s="156" t="s">
        <v>145</v>
      </c>
      <c r="G28" s="156" t="s">
        <v>146</v>
      </c>
      <c r="H28" s="156" t="s">
        <v>147</v>
      </c>
      <c r="I28" s="156" t="s">
        <v>242</v>
      </c>
      <c r="J28" s="156" t="s">
        <v>246</v>
      </c>
      <c r="K28" s="156"/>
      <c r="L28" s="63"/>
      <c r="M28" s="63"/>
      <c r="N28" s="63"/>
      <c r="O28" s="17" t="s">
        <v>149</v>
      </c>
    </row>
    <row r="29" spans="1:15" ht="25.5" customHeight="1" thickBot="1" x14ac:dyDescent="0.25">
      <c r="A29" s="7"/>
      <c r="B29" s="64" t="s">
        <v>150</v>
      </c>
      <c r="C29" s="136" t="s">
        <v>75</v>
      </c>
      <c r="D29" s="136" t="s">
        <v>75</v>
      </c>
      <c r="E29" s="136"/>
      <c r="F29" s="136" t="s">
        <v>75</v>
      </c>
      <c r="G29" s="136" t="s">
        <v>75</v>
      </c>
      <c r="H29" s="136" t="s">
        <v>75</v>
      </c>
      <c r="I29" s="136" t="s">
        <v>75</v>
      </c>
      <c r="J29" s="136" t="s">
        <v>75</v>
      </c>
      <c r="K29" s="136" t="s">
        <v>75</v>
      </c>
      <c r="L29" s="65" t="s">
        <v>75</v>
      </c>
      <c r="M29" s="65" t="s">
        <v>75</v>
      </c>
      <c r="N29" s="65" t="s">
        <v>75</v>
      </c>
      <c r="O29" s="17" t="s">
        <v>76</v>
      </c>
    </row>
    <row r="30" spans="1:15" ht="35.5" customHeight="1" x14ac:dyDescent="0.2">
      <c r="A30" s="7"/>
      <c r="B30" s="66" t="s">
        <v>151</v>
      </c>
      <c r="C30" s="128"/>
      <c r="D30" s="128"/>
      <c r="E30" s="128"/>
      <c r="F30" s="128"/>
      <c r="G30" s="128"/>
      <c r="H30" s="128"/>
      <c r="I30" s="128" t="s">
        <v>152</v>
      </c>
      <c r="J30" s="128"/>
      <c r="K30" s="128"/>
      <c r="L30" s="67"/>
      <c r="M30" s="67"/>
      <c r="N30" s="67"/>
      <c r="O30" s="20" t="s">
        <v>153</v>
      </c>
    </row>
    <row r="31" spans="1:15" ht="31.5" customHeight="1" thickBot="1" x14ac:dyDescent="0.25">
      <c r="A31" s="7"/>
      <c r="B31" s="68" t="s">
        <v>114</v>
      </c>
      <c r="C31" s="137">
        <v>0</v>
      </c>
      <c r="D31" s="137">
        <v>0</v>
      </c>
      <c r="E31" s="137">
        <v>0</v>
      </c>
      <c r="F31" s="137">
        <v>0</v>
      </c>
      <c r="G31" s="137">
        <v>0</v>
      </c>
      <c r="H31" s="137">
        <v>0</v>
      </c>
      <c r="I31" s="137">
        <v>6</v>
      </c>
      <c r="J31" s="137">
        <v>0</v>
      </c>
      <c r="K31" s="137" t="s">
        <v>115</v>
      </c>
      <c r="L31" s="69" t="s">
        <v>115</v>
      </c>
      <c r="M31" s="69" t="s">
        <v>115</v>
      </c>
      <c r="N31" s="69" t="s">
        <v>115</v>
      </c>
      <c r="O31" s="55" t="s">
        <v>154</v>
      </c>
    </row>
    <row r="32" spans="1:15" ht="43.25" customHeight="1" x14ac:dyDescent="0.2">
      <c r="A32" s="7"/>
      <c r="B32" s="49" t="s">
        <v>155</v>
      </c>
      <c r="C32" s="134" t="s">
        <v>273</v>
      </c>
      <c r="D32" s="134" t="s">
        <v>251</v>
      </c>
      <c r="E32" s="134"/>
      <c r="F32" s="134" t="s">
        <v>156</v>
      </c>
      <c r="G32" s="134" t="s">
        <v>157</v>
      </c>
      <c r="H32" s="134" t="s">
        <v>158</v>
      </c>
      <c r="I32" s="134" t="s">
        <v>148</v>
      </c>
      <c r="J32" s="134" t="s">
        <v>248</v>
      </c>
      <c r="K32" s="134"/>
      <c r="L32" s="56"/>
      <c r="M32" s="56"/>
      <c r="N32" s="56"/>
      <c r="O32" s="20" t="s">
        <v>159</v>
      </c>
    </row>
    <row r="33" spans="1:15" ht="50.5" customHeight="1" thickBot="1" x14ac:dyDescent="0.25">
      <c r="A33" s="7"/>
      <c r="B33" s="68" t="s">
        <v>114</v>
      </c>
      <c r="C33" s="137">
        <v>6</v>
      </c>
      <c r="D33" s="137">
        <v>6</v>
      </c>
      <c r="E33" s="137">
        <v>0</v>
      </c>
      <c r="F33" s="180">
        <v>6</v>
      </c>
      <c r="G33" s="137">
        <v>6</v>
      </c>
      <c r="H33" s="137">
        <v>6</v>
      </c>
      <c r="I33" s="137">
        <v>6</v>
      </c>
      <c r="J33" s="137">
        <v>3</v>
      </c>
      <c r="K33" s="137" t="s">
        <v>115</v>
      </c>
      <c r="L33" s="69" t="s">
        <v>115</v>
      </c>
      <c r="M33" s="69" t="s">
        <v>115</v>
      </c>
      <c r="N33" s="69" t="s">
        <v>115</v>
      </c>
      <c r="O33" s="55" t="s">
        <v>160</v>
      </c>
    </row>
    <row r="34" spans="1:15" ht="21.5" customHeight="1" x14ac:dyDescent="0.2">
      <c r="A34" s="7"/>
      <c r="B34" s="49" t="s">
        <v>161</v>
      </c>
      <c r="C34" s="135"/>
      <c r="D34" s="135"/>
      <c r="E34" s="135"/>
      <c r="F34" s="135"/>
      <c r="G34" s="135"/>
      <c r="H34" s="135"/>
      <c r="I34" s="135"/>
      <c r="J34" s="135"/>
      <c r="K34" s="135"/>
      <c r="L34" s="60"/>
      <c r="M34" s="60"/>
      <c r="N34" s="60"/>
      <c r="O34" s="338" t="s">
        <v>162</v>
      </c>
    </row>
    <row r="35" spans="1:15" ht="20.5" customHeight="1" x14ac:dyDescent="0.2">
      <c r="A35" s="7"/>
      <c r="B35" s="49" t="s">
        <v>163</v>
      </c>
      <c r="C35" s="166"/>
      <c r="D35" s="166"/>
      <c r="E35" s="126"/>
      <c r="F35" s="95"/>
      <c r="G35" s="95"/>
      <c r="H35" s="95"/>
      <c r="I35" s="95"/>
      <c r="J35" s="95"/>
      <c r="K35" s="95"/>
      <c r="L35" s="48"/>
      <c r="M35" s="48"/>
      <c r="N35" s="48"/>
      <c r="O35" s="339"/>
    </row>
    <row r="36" spans="1:15" ht="18" customHeight="1" x14ac:dyDescent="0.2">
      <c r="A36" s="7"/>
      <c r="B36" s="49" t="s">
        <v>164</v>
      </c>
      <c r="C36" s="166" t="s">
        <v>274</v>
      </c>
      <c r="D36" s="184" t="s">
        <v>281</v>
      </c>
      <c r="E36" s="126"/>
      <c r="F36" s="95"/>
      <c r="G36" s="95"/>
      <c r="H36" s="95"/>
      <c r="I36" s="95" t="s">
        <v>152</v>
      </c>
      <c r="J36" s="95"/>
      <c r="K36" s="95"/>
      <c r="L36" s="48"/>
      <c r="M36" s="48"/>
      <c r="N36" s="48"/>
      <c r="O36" s="339"/>
    </row>
    <row r="37" spans="1:15" ht="24" customHeight="1" x14ac:dyDescent="0.2">
      <c r="A37" s="7"/>
      <c r="B37" s="49" t="s">
        <v>165</v>
      </c>
      <c r="C37" s="129"/>
      <c r="D37" s="129"/>
      <c r="E37" s="129" t="s">
        <v>263</v>
      </c>
      <c r="F37" s="129" t="s">
        <v>156</v>
      </c>
      <c r="G37" s="129" t="s">
        <v>157</v>
      </c>
      <c r="H37" s="129" t="s">
        <v>158</v>
      </c>
      <c r="I37" s="129"/>
      <c r="J37" s="129" t="s">
        <v>248</v>
      </c>
      <c r="K37" s="129"/>
      <c r="L37" s="61"/>
      <c r="M37" s="61"/>
      <c r="N37" s="61"/>
      <c r="O37" s="339"/>
    </row>
    <row r="38" spans="1:15" ht="26.5" customHeight="1" thickBot="1" x14ac:dyDescent="0.25">
      <c r="A38" s="7"/>
      <c r="B38" s="70" t="s">
        <v>114</v>
      </c>
      <c r="C38" s="170">
        <v>6</v>
      </c>
      <c r="D38" s="170">
        <v>6</v>
      </c>
      <c r="E38" s="170">
        <v>6</v>
      </c>
      <c r="F38" s="138">
        <v>6</v>
      </c>
      <c r="G38" s="138">
        <v>6</v>
      </c>
      <c r="H38" s="138">
        <v>6</v>
      </c>
      <c r="I38" s="138">
        <v>6</v>
      </c>
      <c r="J38" s="170">
        <v>3</v>
      </c>
      <c r="K38" s="138" t="s">
        <v>115</v>
      </c>
      <c r="L38" s="71" t="s">
        <v>115</v>
      </c>
      <c r="M38" s="71" t="s">
        <v>115</v>
      </c>
      <c r="N38" s="71" t="s">
        <v>115</v>
      </c>
      <c r="O38" s="55" t="s">
        <v>166</v>
      </c>
    </row>
    <row r="39" spans="1:15" ht="25.75" customHeight="1" thickBot="1" x14ac:dyDescent="0.25">
      <c r="A39" s="7"/>
      <c r="B39" s="72" t="s">
        <v>167</v>
      </c>
      <c r="C39" s="139" t="s">
        <v>75</v>
      </c>
      <c r="D39" s="139" t="s">
        <v>75</v>
      </c>
      <c r="E39" s="139" t="s">
        <v>75</v>
      </c>
      <c r="F39" s="139" t="s">
        <v>75</v>
      </c>
      <c r="G39" s="139" t="s">
        <v>75</v>
      </c>
      <c r="H39" s="139" t="s">
        <v>75</v>
      </c>
      <c r="I39" s="139" t="s">
        <v>75</v>
      </c>
      <c r="J39" s="139" t="s">
        <v>75</v>
      </c>
      <c r="K39" s="139" t="s">
        <v>75</v>
      </c>
      <c r="L39" s="73" t="s">
        <v>75</v>
      </c>
      <c r="M39" s="73" t="s">
        <v>75</v>
      </c>
      <c r="N39" s="73" t="s">
        <v>75</v>
      </c>
      <c r="O39" s="72" t="s">
        <v>76</v>
      </c>
    </row>
    <row r="40" spans="1:15" ht="22.5" customHeight="1" x14ac:dyDescent="0.2">
      <c r="A40" s="7"/>
      <c r="B40" s="66" t="s">
        <v>168</v>
      </c>
      <c r="C40" s="128" t="s">
        <v>276</v>
      </c>
      <c r="D40" s="128" t="s">
        <v>267</v>
      </c>
      <c r="E40" s="128" t="s">
        <v>263</v>
      </c>
      <c r="F40" s="128"/>
      <c r="G40" s="128"/>
      <c r="H40" s="128"/>
      <c r="I40" s="128" t="s">
        <v>169</v>
      </c>
      <c r="J40" s="128"/>
      <c r="K40" s="128"/>
      <c r="L40" s="67"/>
      <c r="M40" s="67"/>
      <c r="N40" s="67"/>
      <c r="O40" s="20" t="s">
        <v>170</v>
      </c>
    </row>
    <row r="41" spans="1:15" ht="22.5" customHeight="1" thickBot="1" x14ac:dyDescent="0.25">
      <c r="A41" s="7"/>
      <c r="B41" s="74" t="s">
        <v>114</v>
      </c>
      <c r="C41" s="171">
        <v>6</v>
      </c>
      <c r="D41" s="171">
        <v>6</v>
      </c>
      <c r="E41" s="171">
        <v>6</v>
      </c>
      <c r="F41" s="140">
        <v>0</v>
      </c>
      <c r="G41" s="140">
        <v>0</v>
      </c>
      <c r="H41" s="140">
        <v>0</v>
      </c>
      <c r="I41" s="140">
        <v>6</v>
      </c>
      <c r="J41" s="171">
        <v>0</v>
      </c>
      <c r="K41" s="140" t="s">
        <v>115</v>
      </c>
      <c r="L41" s="75" t="s">
        <v>115</v>
      </c>
      <c r="M41" s="75" t="s">
        <v>115</v>
      </c>
      <c r="N41" s="75" t="s">
        <v>115</v>
      </c>
      <c r="O41" s="55" t="s">
        <v>171</v>
      </c>
    </row>
    <row r="42" spans="1:15" ht="22.5" customHeight="1" x14ac:dyDescent="0.2">
      <c r="A42" s="7"/>
      <c r="B42" s="49" t="s">
        <v>172</v>
      </c>
      <c r="C42" s="134"/>
      <c r="D42" s="134" t="s">
        <v>252</v>
      </c>
      <c r="E42" s="134"/>
      <c r="F42" s="134"/>
      <c r="G42" s="134"/>
      <c r="H42" s="134"/>
      <c r="I42" s="134"/>
      <c r="J42" s="134"/>
      <c r="K42" s="134"/>
      <c r="L42" s="56"/>
      <c r="M42" s="56"/>
      <c r="N42" s="56"/>
      <c r="O42" s="20" t="s">
        <v>170</v>
      </c>
    </row>
    <row r="43" spans="1:15" ht="22.5" customHeight="1" thickBot="1" x14ac:dyDescent="0.25">
      <c r="A43" s="7"/>
      <c r="B43" s="74" t="s">
        <v>114</v>
      </c>
      <c r="C43" s="171">
        <v>0</v>
      </c>
      <c r="D43" s="171">
        <v>3</v>
      </c>
      <c r="E43" s="171">
        <v>0</v>
      </c>
      <c r="F43" s="140">
        <v>0</v>
      </c>
      <c r="G43" s="140">
        <v>0</v>
      </c>
      <c r="H43" s="140">
        <v>0</v>
      </c>
      <c r="I43" s="140">
        <v>0</v>
      </c>
      <c r="J43" s="171">
        <v>0</v>
      </c>
      <c r="K43" s="140" t="s">
        <v>115</v>
      </c>
      <c r="L43" s="75" t="s">
        <v>115</v>
      </c>
      <c r="M43" s="75" t="s">
        <v>115</v>
      </c>
      <c r="N43" s="75" t="s">
        <v>115</v>
      </c>
      <c r="O43" s="55" t="s">
        <v>171</v>
      </c>
    </row>
    <row r="44" spans="1:15" ht="22.5" customHeight="1" x14ac:dyDescent="0.2">
      <c r="A44" s="7"/>
      <c r="B44" s="49" t="s">
        <v>173</v>
      </c>
      <c r="C44" s="134" t="s">
        <v>258</v>
      </c>
      <c r="D44" s="134"/>
      <c r="E44" s="134" t="s">
        <v>264</v>
      </c>
      <c r="F44" s="134"/>
      <c r="G44" s="134"/>
      <c r="H44" s="134"/>
      <c r="I44" s="134"/>
      <c r="J44" s="134"/>
      <c r="K44" s="134"/>
      <c r="L44" s="56"/>
      <c r="M44" s="56"/>
      <c r="N44" s="56"/>
      <c r="O44" s="20" t="s">
        <v>170</v>
      </c>
    </row>
    <row r="45" spans="1:15" ht="22.5" customHeight="1" thickBot="1" x14ac:dyDescent="0.25">
      <c r="A45" s="7"/>
      <c r="B45" s="74" t="s">
        <v>114</v>
      </c>
      <c r="C45" s="171">
        <v>6</v>
      </c>
      <c r="D45" s="171">
        <v>0</v>
      </c>
      <c r="E45" s="171">
        <v>6</v>
      </c>
      <c r="F45" s="140">
        <v>0</v>
      </c>
      <c r="G45" s="140">
        <v>0</v>
      </c>
      <c r="H45" s="140">
        <v>0</v>
      </c>
      <c r="I45" s="140">
        <v>0</v>
      </c>
      <c r="J45" s="171">
        <v>0</v>
      </c>
      <c r="K45" s="140" t="s">
        <v>115</v>
      </c>
      <c r="L45" s="75" t="s">
        <v>115</v>
      </c>
      <c r="M45" s="75" t="s">
        <v>115</v>
      </c>
      <c r="N45" s="75" t="s">
        <v>115</v>
      </c>
      <c r="O45" s="55" t="s">
        <v>171</v>
      </c>
    </row>
    <row r="46" spans="1:15" ht="22.5" customHeight="1" x14ac:dyDescent="0.2">
      <c r="A46" s="7"/>
      <c r="B46" s="49" t="s">
        <v>174</v>
      </c>
      <c r="C46" s="134" t="s">
        <v>275</v>
      </c>
      <c r="D46" s="134" t="s">
        <v>252</v>
      </c>
      <c r="E46" s="134"/>
      <c r="F46" s="134"/>
      <c r="G46" s="134"/>
      <c r="H46" s="134"/>
      <c r="I46" s="134"/>
      <c r="J46" s="134"/>
      <c r="K46" s="134"/>
      <c r="L46" s="56"/>
      <c r="M46" s="56"/>
      <c r="N46" s="56"/>
      <c r="O46" s="20" t="s">
        <v>170</v>
      </c>
    </row>
    <row r="47" spans="1:15" ht="22.5" customHeight="1" thickBot="1" x14ac:dyDescent="0.25">
      <c r="A47" s="7"/>
      <c r="B47" s="74" t="s">
        <v>114</v>
      </c>
      <c r="C47" s="171">
        <v>3</v>
      </c>
      <c r="D47" s="171">
        <v>6</v>
      </c>
      <c r="E47" s="171">
        <v>0</v>
      </c>
      <c r="F47" s="140">
        <v>0</v>
      </c>
      <c r="G47" s="140">
        <v>0</v>
      </c>
      <c r="H47" s="140">
        <v>0</v>
      </c>
      <c r="I47" s="140">
        <v>0</v>
      </c>
      <c r="J47" s="171">
        <v>0</v>
      </c>
      <c r="K47" s="140" t="s">
        <v>115</v>
      </c>
      <c r="L47" s="75" t="s">
        <v>115</v>
      </c>
      <c r="M47" s="75" t="s">
        <v>115</v>
      </c>
      <c r="N47" s="75" t="s">
        <v>115</v>
      </c>
      <c r="O47" s="55" t="s">
        <v>171</v>
      </c>
    </row>
    <row r="48" spans="1:15" ht="22.5" customHeight="1" x14ac:dyDescent="0.2">
      <c r="A48" s="7"/>
      <c r="B48" s="49" t="s">
        <v>175</v>
      </c>
      <c r="C48" s="134" t="s">
        <v>275</v>
      </c>
      <c r="D48" s="134" t="s">
        <v>282</v>
      </c>
      <c r="E48" s="134"/>
      <c r="F48" s="134"/>
      <c r="G48" s="134"/>
      <c r="H48" s="134"/>
      <c r="I48" s="134" t="s">
        <v>148</v>
      </c>
      <c r="J48" s="134"/>
      <c r="K48" s="134"/>
      <c r="L48" s="56"/>
      <c r="M48" s="56"/>
      <c r="N48" s="56"/>
      <c r="O48" s="20" t="s">
        <v>170</v>
      </c>
    </row>
    <row r="49" spans="1:15" ht="22.5" customHeight="1" thickBot="1" x14ac:dyDescent="0.25">
      <c r="A49" s="7"/>
      <c r="B49" s="74" t="s">
        <v>114</v>
      </c>
      <c r="C49" s="171">
        <v>6</v>
      </c>
      <c r="D49" s="171">
        <v>6</v>
      </c>
      <c r="E49" s="171">
        <v>0</v>
      </c>
      <c r="F49" s="140">
        <v>0</v>
      </c>
      <c r="G49" s="140">
        <v>0</v>
      </c>
      <c r="H49" s="140">
        <v>0</v>
      </c>
      <c r="I49" s="140">
        <v>6</v>
      </c>
      <c r="J49" s="171">
        <v>0</v>
      </c>
      <c r="K49" s="140" t="s">
        <v>115</v>
      </c>
      <c r="L49" s="75" t="s">
        <v>115</v>
      </c>
      <c r="M49" s="75" t="s">
        <v>115</v>
      </c>
      <c r="N49" s="75" t="s">
        <v>115</v>
      </c>
      <c r="O49" s="55" t="s">
        <v>171</v>
      </c>
    </row>
    <row r="50" spans="1:15" ht="22.5" customHeight="1" x14ac:dyDescent="0.2">
      <c r="A50" s="7"/>
      <c r="B50" s="49" t="s">
        <v>176</v>
      </c>
      <c r="C50" s="134" t="s">
        <v>259</v>
      </c>
      <c r="D50" s="134" t="s">
        <v>253</v>
      </c>
      <c r="E50" s="134"/>
      <c r="F50" s="134"/>
      <c r="G50" s="134"/>
      <c r="H50" s="134"/>
      <c r="I50" s="134" t="s">
        <v>243</v>
      </c>
      <c r="J50" s="134"/>
      <c r="K50" s="134"/>
      <c r="L50" s="56"/>
      <c r="M50" s="56"/>
      <c r="N50" s="56"/>
      <c r="O50" s="20" t="s">
        <v>170</v>
      </c>
    </row>
    <row r="51" spans="1:15" ht="22.5" customHeight="1" thickBot="1" x14ac:dyDescent="0.25">
      <c r="A51" s="7"/>
      <c r="B51" s="74" t="s">
        <v>114</v>
      </c>
      <c r="C51" s="171">
        <v>0</v>
      </c>
      <c r="D51" s="171">
        <v>6</v>
      </c>
      <c r="E51" s="171">
        <v>0</v>
      </c>
      <c r="F51" s="171">
        <v>0</v>
      </c>
      <c r="G51" s="140">
        <v>0</v>
      </c>
      <c r="H51" s="140">
        <v>0</v>
      </c>
      <c r="I51" s="140">
        <v>3</v>
      </c>
      <c r="J51" s="171">
        <v>0</v>
      </c>
      <c r="K51" s="140" t="s">
        <v>115</v>
      </c>
      <c r="L51" s="75" t="s">
        <v>115</v>
      </c>
      <c r="M51" s="75" t="s">
        <v>115</v>
      </c>
      <c r="N51" s="75" t="s">
        <v>115</v>
      </c>
      <c r="O51" s="55" t="s">
        <v>171</v>
      </c>
    </row>
    <row r="52" spans="1:15" ht="22.5" customHeight="1" x14ac:dyDescent="0.2">
      <c r="A52" s="7"/>
      <c r="B52" s="49" t="s">
        <v>177</v>
      </c>
      <c r="C52" s="134" t="s">
        <v>257</v>
      </c>
      <c r="D52" s="134" t="s">
        <v>251</v>
      </c>
      <c r="E52" s="134"/>
      <c r="F52" s="134"/>
      <c r="G52" s="134"/>
      <c r="H52" s="134"/>
      <c r="I52" s="134"/>
      <c r="J52" s="134"/>
      <c r="K52" s="134"/>
      <c r="L52" s="56"/>
      <c r="M52" s="56"/>
      <c r="N52" s="56"/>
      <c r="O52" s="20" t="s">
        <v>170</v>
      </c>
    </row>
    <row r="53" spans="1:15" ht="22.5" customHeight="1" thickBot="1" x14ac:dyDescent="0.25">
      <c r="A53" s="7"/>
      <c r="B53" s="74" t="s">
        <v>114</v>
      </c>
      <c r="C53" s="171">
        <v>6</v>
      </c>
      <c r="D53" s="171">
        <v>6</v>
      </c>
      <c r="E53" s="171">
        <v>0</v>
      </c>
      <c r="F53" s="171">
        <v>0</v>
      </c>
      <c r="G53" s="140">
        <v>0</v>
      </c>
      <c r="H53" s="140">
        <v>0</v>
      </c>
      <c r="I53" s="140">
        <v>0</v>
      </c>
      <c r="J53" s="171">
        <v>0</v>
      </c>
      <c r="K53" s="140" t="s">
        <v>115</v>
      </c>
      <c r="L53" s="75" t="s">
        <v>115</v>
      </c>
      <c r="M53" s="75" t="s">
        <v>115</v>
      </c>
      <c r="N53" s="75" t="s">
        <v>115</v>
      </c>
      <c r="O53" s="55" t="s">
        <v>171</v>
      </c>
    </row>
    <row r="54" spans="1:15" ht="22.5" customHeight="1" x14ac:dyDescent="0.2">
      <c r="A54" s="7"/>
      <c r="B54" s="49" t="s">
        <v>178</v>
      </c>
      <c r="C54" s="134" t="s">
        <v>277</v>
      </c>
      <c r="D54" s="134" t="s">
        <v>280</v>
      </c>
      <c r="E54" s="134" t="s">
        <v>265</v>
      </c>
      <c r="F54" s="134"/>
      <c r="G54" s="134"/>
      <c r="H54" s="134"/>
      <c r="I54" s="134" t="s">
        <v>243</v>
      </c>
      <c r="J54" s="134"/>
      <c r="K54" s="134"/>
      <c r="L54" s="56"/>
      <c r="M54" s="56"/>
      <c r="N54" s="56"/>
      <c r="O54" s="20" t="s">
        <v>170</v>
      </c>
    </row>
    <row r="55" spans="1:15" ht="22.5" customHeight="1" thickBot="1" x14ac:dyDescent="0.25">
      <c r="A55" s="7"/>
      <c r="B55" s="76" t="s">
        <v>114</v>
      </c>
      <c r="C55" s="179">
        <v>3</v>
      </c>
      <c r="D55" s="179">
        <v>6</v>
      </c>
      <c r="E55" s="179">
        <v>6</v>
      </c>
      <c r="F55" s="179">
        <v>0</v>
      </c>
      <c r="G55" s="141">
        <v>0</v>
      </c>
      <c r="H55" s="141">
        <v>0</v>
      </c>
      <c r="I55" s="141">
        <v>6</v>
      </c>
      <c r="J55" s="179">
        <v>0</v>
      </c>
      <c r="K55" s="141" t="s">
        <v>115</v>
      </c>
      <c r="L55" s="77" t="s">
        <v>115</v>
      </c>
      <c r="M55" s="77" t="s">
        <v>115</v>
      </c>
      <c r="N55" s="77" t="s">
        <v>115</v>
      </c>
      <c r="O55" s="55" t="s">
        <v>171</v>
      </c>
    </row>
    <row r="56" spans="1:15" ht="25.5" customHeight="1" thickBot="1" x14ac:dyDescent="0.25">
      <c r="A56" s="7"/>
      <c r="B56" s="78" t="s">
        <v>179</v>
      </c>
      <c r="C56" s="142" t="s">
        <v>75</v>
      </c>
      <c r="D56" s="142" t="s">
        <v>75</v>
      </c>
      <c r="E56" s="142" t="s">
        <v>75</v>
      </c>
      <c r="F56" s="142" t="s">
        <v>75</v>
      </c>
      <c r="G56" s="142" t="s">
        <v>75</v>
      </c>
      <c r="H56" s="142" t="s">
        <v>75</v>
      </c>
      <c r="I56" s="142" t="s">
        <v>75</v>
      </c>
      <c r="J56" s="142" t="s">
        <v>75</v>
      </c>
      <c r="K56" s="142" t="s">
        <v>75</v>
      </c>
      <c r="L56" s="79" t="s">
        <v>75</v>
      </c>
      <c r="M56" s="79" t="s">
        <v>75</v>
      </c>
      <c r="N56" s="79" t="s">
        <v>75</v>
      </c>
      <c r="O56" s="17" t="s">
        <v>76</v>
      </c>
    </row>
    <row r="57" spans="1:15" ht="42.25" customHeight="1" x14ac:dyDescent="0.2">
      <c r="A57" s="7"/>
      <c r="B57" s="66" t="s">
        <v>180</v>
      </c>
      <c r="C57" s="143"/>
      <c r="D57" s="143"/>
      <c r="E57" s="143"/>
      <c r="F57" s="143"/>
      <c r="G57" s="143"/>
      <c r="H57" s="143"/>
      <c r="I57" s="143"/>
      <c r="J57" s="143"/>
      <c r="K57" s="143"/>
      <c r="L57" s="46"/>
      <c r="M57" s="46"/>
      <c r="N57" s="46"/>
      <c r="O57" s="20" t="s">
        <v>180</v>
      </c>
    </row>
    <row r="58" spans="1:15" ht="41.75" customHeight="1" x14ac:dyDescent="0.2">
      <c r="A58" s="7"/>
      <c r="B58" s="49" t="s">
        <v>181</v>
      </c>
      <c r="C58" s="129"/>
      <c r="D58" s="129" t="s">
        <v>254</v>
      </c>
      <c r="E58" s="129"/>
      <c r="F58" s="129"/>
      <c r="G58" s="129"/>
      <c r="H58" s="129"/>
      <c r="I58" s="129"/>
      <c r="J58" s="129"/>
      <c r="K58" s="129"/>
      <c r="L58" s="61"/>
      <c r="M58" s="61"/>
      <c r="N58" s="61"/>
      <c r="O58" s="51" t="s">
        <v>182</v>
      </c>
    </row>
    <row r="59" spans="1:15" ht="23" customHeight="1" thickBot="1" x14ac:dyDescent="0.25">
      <c r="A59" s="7"/>
      <c r="B59" s="80" t="s">
        <v>114</v>
      </c>
      <c r="C59" s="177">
        <v>0</v>
      </c>
      <c r="D59" s="177">
        <v>3</v>
      </c>
      <c r="E59" s="177">
        <v>6</v>
      </c>
      <c r="F59" s="177">
        <v>0</v>
      </c>
      <c r="G59" s="144">
        <v>0</v>
      </c>
      <c r="H59" s="144">
        <v>0</v>
      </c>
      <c r="I59" s="178">
        <v>0</v>
      </c>
      <c r="J59" s="177">
        <v>0</v>
      </c>
      <c r="K59" s="144" t="s">
        <v>115</v>
      </c>
      <c r="L59" s="81" t="s">
        <v>115</v>
      </c>
      <c r="M59" s="81" t="s">
        <v>115</v>
      </c>
      <c r="N59" s="81" t="s">
        <v>115</v>
      </c>
      <c r="O59" s="55" t="s">
        <v>183</v>
      </c>
    </row>
    <row r="60" spans="1:15" ht="44.5" customHeight="1" x14ac:dyDescent="0.2">
      <c r="A60" s="7"/>
      <c r="B60" s="49" t="s">
        <v>184</v>
      </c>
      <c r="C60" s="134"/>
      <c r="D60" s="134" t="s">
        <v>254</v>
      </c>
      <c r="E60" s="134"/>
      <c r="F60" s="134"/>
      <c r="G60" s="134"/>
      <c r="H60" s="134"/>
      <c r="I60" s="134"/>
      <c r="J60" s="134"/>
      <c r="K60" s="134"/>
      <c r="L60" s="56"/>
      <c r="M60" s="56"/>
      <c r="N60" s="56"/>
      <c r="O60" s="338" t="s">
        <v>185</v>
      </c>
    </row>
    <row r="61" spans="1:15" ht="32.75" customHeight="1" thickBot="1" x14ac:dyDescent="0.25">
      <c r="A61" s="7"/>
      <c r="B61" s="80" t="s">
        <v>114</v>
      </c>
      <c r="C61" s="177">
        <v>0</v>
      </c>
      <c r="D61" s="177">
        <v>3</v>
      </c>
      <c r="E61" s="177">
        <v>0</v>
      </c>
      <c r="F61" s="177">
        <v>0</v>
      </c>
      <c r="G61" s="144">
        <v>0</v>
      </c>
      <c r="H61" s="144">
        <v>0</v>
      </c>
      <c r="I61" s="178">
        <v>0</v>
      </c>
      <c r="J61" s="177">
        <v>0</v>
      </c>
      <c r="K61" s="144" t="s">
        <v>115</v>
      </c>
      <c r="L61" s="81" t="s">
        <v>115</v>
      </c>
      <c r="M61" s="81" t="s">
        <v>115</v>
      </c>
      <c r="N61" s="81" t="s">
        <v>115</v>
      </c>
      <c r="O61" s="340"/>
    </row>
    <row r="62" spans="1:15" ht="23" customHeight="1" x14ac:dyDescent="0.2">
      <c r="A62" s="7"/>
      <c r="B62" s="49" t="s">
        <v>186</v>
      </c>
      <c r="C62" s="134"/>
      <c r="D62" s="134" t="s">
        <v>266</v>
      </c>
      <c r="E62" s="134"/>
      <c r="F62" s="134"/>
      <c r="G62" s="134" t="s">
        <v>157</v>
      </c>
      <c r="H62" s="134" t="s">
        <v>158</v>
      </c>
      <c r="I62" s="134"/>
      <c r="J62" s="134" t="s">
        <v>246</v>
      </c>
      <c r="K62" s="134"/>
      <c r="L62" s="56"/>
      <c r="M62" s="56"/>
      <c r="N62" s="56"/>
      <c r="O62" s="338" t="s">
        <v>187</v>
      </c>
    </row>
    <row r="63" spans="1:15" ht="27.5" customHeight="1" thickBot="1" x14ac:dyDescent="0.25">
      <c r="A63" s="7"/>
      <c r="B63" s="82" t="s">
        <v>114</v>
      </c>
      <c r="C63" s="176">
        <v>0</v>
      </c>
      <c r="D63" s="176">
        <v>6</v>
      </c>
      <c r="E63" s="176">
        <v>6</v>
      </c>
      <c r="F63" s="176">
        <v>0</v>
      </c>
      <c r="G63" s="145">
        <v>6</v>
      </c>
      <c r="H63" s="145">
        <v>6</v>
      </c>
      <c r="I63" s="145">
        <v>0</v>
      </c>
      <c r="J63" s="176">
        <v>6</v>
      </c>
      <c r="K63" s="145" t="s">
        <v>115</v>
      </c>
      <c r="L63" s="83" t="s">
        <v>115</v>
      </c>
      <c r="M63" s="83" t="s">
        <v>115</v>
      </c>
      <c r="N63" s="83" t="s">
        <v>115</v>
      </c>
      <c r="O63" s="340"/>
    </row>
    <row r="64" spans="1:15" ht="27.5" customHeight="1" thickBot="1" x14ac:dyDescent="0.25">
      <c r="A64" s="84"/>
      <c r="B64" s="85"/>
      <c r="C64" s="146"/>
      <c r="D64" s="146"/>
      <c r="E64" s="146"/>
      <c r="F64" s="146"/>
      <c r="G64" s="146"/>
      <c r="H64" s="146"/>
      <c r="I64" s="146"/>
      <c r="J64" s="146"/>
      <c r="K64" s="157"/>
      <c r="L64" s="86"/>
      <c r="M64" s="86"/>
      <c r="N64" s="86"/>
      <c r="O64" s="87"/>
    </row>
    <row r="65" spans="1:15" ht="43.75" customHeight="1" thickBot="1" x14ac:dyDescent="0.25">
      <c r="A65" s="7"/>
      <c r="B65" s="88" t="s">
        <v>188</v>
      </c>
      <c r="C65" s="147" t="s">
        <v>189</v>
      </c>
      <c r="D65" s="147" t="s">
        <v>189</v>
      </c>
      <c r="E65" s="147" t="s">
        <v>189</v>
      </c>
      <c r="F65" s="147" t="s">
        <v>189</v>
      </c>
      <c r="G65" s="147" t="s">
        <v>189</v>
      </c>
      <c r="H65" s="147" t="s">
        <v>189</v>
      </c>
      <c r="I65" s="147" t="s">
        <v>189</v>
      </c>
      <c r="J65" s="147" t="s">
        <v>189</v>
      </c>
      <c r="K65" s="147" t="s">
        <v>189</v>
      </c>
      <c r="L65" s="89" t="s">
        <v>189</v>
      </c>
      <c r="M65" s="89" t="s">
        <v>189</v>
      </c>
      <c r="N65" s="89" t="s">
        <v>189</v>
      </c>
      <c r="O65" s="17" t="s">
        <v>190</v>
      </c>
    </row>
    <row r="66" spans="1:15" ht="21" customHeight="1" thickBot="1" x14ac:dyDescent="0.25">
      <c r="A66" s="7"/>
      <c r="B66" s="90" t="s">
        <v>191</v>
      </c>
      <c r="C66" s="175">
        <v>4</v>
      </c>
      <c r="D66" s="175">
        <v>4</v>
      </c>
      <c r="E66" s="175">
        <v>2</v>
      </c>
      <c r="F66" s="175">
        <v>0</v>
      </c>
      <c r="G66" s="174">
        <v>0</v>
      </c>
      <c r="H66" s="174">
        <v>0</v>
      </c>
      <c r="I66" s="175">
        <v>4</v>
      </c>
      <c r="J66" s="175">
        <v>4</v>
      </c>
      <c r="K66" s="148" t="s">
        <v>115</v>
      </c>
      <c r="L66" s="91" t="s">
        <v>115</v>
      </c>
      <c r="M66" s="91" t="s">
        <v>115</v>
      </c>
      <c r="N66" s="91" t="s">
        <v>115</v>
      </c>
      <c r="O66" s="338" t="s">
        <v>192</v>
      </c>
    </row>
    <row r="67" spans="1:15" ht="28.25" customHeight="1" x14ac:dyDescent="0.2">
      <c r="A67" s="7"/>
      <c r="B67" s="21" t="s">
        <v>193</v>
      </c>
      <c r="C67" s="135"/>
      <c r="D67" s="135" t="s">
        <v>193</v>
      </c>
      <c r="E67" s="135" t="s">
        <v>193</v>
      </c>
      <c r="F67" s="135"/>
      <c r="G67" s="135"/>
      <c r="H67" s="135"/>
      <c r="I67" s="135" t="s">
        <v>244</v>
      </c>
      <c r="J67" s="135"/>
      <c r="K67" s="149"/>
      <c r="L67" s="92"/>
      <c r="M67" s="92"/>
      <c r="N67" s="92"/>
      <c r="O67" s="339"/>
    </row>
    <row r="68" spans="1:15" ht="26.5" customHeight="1" x14ac:dyDescent="0.2">
      <c r="A68" s="7"/>
      <c r="B68" s="22" t="s">
        <v>194</v>
      </c>
      <c r="C68" s="166"/>
      <c r="D68" s="166"/>
      <c r="E68" s="126"/>
      <c r="F68" s="95"/>
      <c r="G68" s="95"/>
      <c r="H68" s="95"/>
      <c r="I68" s="95"/>
      <c r="J68" s="95"/>
      <c r="K68" s="150"/>
      <c r="L68" s="50"/>
      <c r="M68" s="50"/>
      <c r="N68" s="50"/>
      <c r="O68" s="339"/>
    </row>
    <row r="69" spans="1:15" ht="26.5" customHeight="1" thickBot="1" x14ac:dyDescent="0.25">
      <c r="A69" s="7"/>
      <c r="B69" s="24" t="s">
        <v>195</v>
      </c>
      <c r="C69" s="161" t="s">
        <v>196</v>
      </c>
      <c r="D69" s="161"/>
      <c r="E69" s="161"/>
      <c r="F69" s="161"/>
      <c r="G69" s="161"/>
      <c r="H69" s="161"/>
      <c r="I69" s="161"/>
      <c r="J69" s="161" t="s">
        <v>249</v>
      </c>
      <c r="K69" s="158"/>
      <c r="L69" s="52"/>
      <c r="M69" s="52"/>
      <c r="N69" s="52"/>
      <c r="O69" s="340"/>
    </row>
    <row r="70" spans="1:15" ht="24" customHeight="1" thickBot="1" x14ac:dyDescent="0.25">
      <c r="A70" s="7"/>
      <c r="B70" s="90" t="s">
        <v>197</v>
      </c>
      <c r="C70" s="172">
        <v>4</v>
      </c>
      <c r="D70" s="172">
        <v>4</v>
      </c>
      <c r="E70" s="172">
        <v>2</v>
      </c>
      <c r="F70" s="172">
        <v>0</v>
      </c>
      <c r="G70" s="173">
        <v>0</v>
      </c>
      <c r="H70" s="173">
        <v>0</v>
      </c>
      <c r="I70" s="172">
        <v>4</v>
      </c>
      <c r="J70" s="172">
        <v>0</v>
      </c>
      <c r="K70" s="152" t="s">
        <v>115</v>
      </c>
      <c r="L70" s="93" t="s">
        <v>115</v>
      </c>
      <c r="M70" s="93" t="s">
        <v>115</v>
      </c>
      <c r="N70" s="93" t="s">
        <v>115</v>
      </c>
      <c r="O70" s="338" t="s">
        <v>198</v>
      </c>
    </row>
    <row r="71" spans="1:15" ht="28" customHeight="1" x14ac:dyDescent="0.2">
      <c r="A71" s="7"/>
      <c r="B71" s="21" t="s">
        <v>18</v>
      </c>
      <c r="C71" s="135"/>
      <c r="D71" s="135" t="s">
        <v>18</v>
      </c>
      <c r="E71" s="135" t="s">
        <v>18</v>
      </c>
      <c r="F71" s="135"/>
      <c r="G71" s="135"/>
      <c r="H71" s="135"/>
      <c r="I71" s="135" t="s">
        <v>18</v>
      </c>
      <c r="J71" s="135"/>
      <c r="K71" s="149"/>
      <c r="L71" s="92"/>
      <c r="M71" s="92"/>
      <c r="N71" s="92"/>
      <c r="O71" s="339"/>
    </row>
    <row r="72" spans="1:15" ht="28" customHeight="1" x14ac:dyDescent="0.2">
      <c r="A72" s="7"/>
      <c r="B72" s="22" t="s">
        <v>20</v>
      </c>
      <c r="C72" s="166"/>
      <c r="D72" s="166"/>
      <c r="E72" s="126"/>
      <c r="F72" s="95"/>
      <c r="G72" s="95"/>
      <c r="H72" s="95"/>
      <c r="I72" s="95"/>
      <c r="J72" s="95"/>
      <c r="K72" s="150"/>
      <c r="L72" s="50"/>
      <c r="M72" s="50"/>
      <c r="N72" s="50"/>
      <c r="O72" s="339"/>
    </row>
    <row r="73" spans="1:15" ht="28" customHeight="1" thickBot="1" x14ac:dyDescent="0.25">
      <c r="A73" s="7"/>
      <c r="B73" s="24" t="s">
        <v>199</v>
      </c>
      <c r="C73" s="129" t="s">
        <v>199</v>
      </c>
      <c r="D73" s="129"/>
      <c r="E73" s="129"/>
      <c r="F73" s="129"/>
      <c r="G73" s="129"/>
      <c r="H73" s="129"/>
      <c r="I73" s="129"/>
      <c r="J73" s="129"/>
      <c r="K73" s="151"/>
      <c r="L73" s="52"/>
      <c r="M73" s="52"/>
      <c r="N73" s="52"/>
      <c r="O73" s="340"/>
    </row>
    <row r="74" spans="1:15" ht="24.5" customHeight="1" thickBot="1" x14ac:dyDescent="0.25">
      <c r="A74" s="7"/>
      <c r="B74" s="90" t="s">
        <v>200</v>
      </c>
      <c r="C74" s="172">
        <v>4</v>
      </c>
      <c r="D74" s="172">
        <v>4</v>
      </c>
      <c r="E74" s="172">
        <v>2</v>
      </c>
      <c r="F74" s="172">
        <v>0</v>
      </c>
      <c r="G74" s="173">
        <v>0</v>
      </c>
      <c r="H74" s="173">
        <v>0</v>
      </c>
      <c r="I74" s="172">
        <v>4</v>
      </c>
      <c r="J74" s="172">
        <v>2</v>
      </c>
      <c r="K74" s="152" t="s">
        <v>115</v>
      </c>
      <c r="L74" s="93" t="s">
        <v>115</v>
      </c>
      <c r="M74" s="93" t="s">
        <v>115</v>
      </c>
      <c r="N74" s="93" t="s">
        <v>115</v>
      </c>
      <c r="O74" s="338" t="s">
        <v>201</v>
      </c>
    </row>
    <row r="75" spans="1:15" ht="49.25" customHeight="1" x14ac:dyDescent="0.2">
      <c r="A75" s="7"/>
      <c r="B75" s="21" t="s">
        <v>24</v>
      </c>
      <c r="C75" s="135" t="s">
        <v>257</v>
      </c>
      <c r="D75" s="135" t="s">
        <v>251</v>
      </c>
      <c r="E75" s="135" t="s">
        <v>268</v>
      </c>
      <c r="F75" s="135"/>
      <c r="G75" s="135"/>
      <c r="H75" s="135"/>
      <c r="I75" s="135"/>
      <c r="J75" s="135"/>
      <c r="K75" s="149"/>
      <c r="L75" s="92"/>
      <c r="M75" s="92"/>
      <c r="N75" s="92"/>
      <c r="O75" s="339"/>
    </row>
    <row r="76" spans="1:15" ht="42" customHeight="1" x14ac:dyDescent="0.2">
      <c r="A76" s="7"/>
      <c r="B76" s="22" t="s">
        <v>26</v>
      </c>
      <c r="C76" s="166"/>
      <c r="D76" s="166"/>
      <c r="E76" s="126"/>
      <c r="F76" s="95"/>
      <c r="G76" s="95"/>
      <c r="H76" s="95"/>
      <c r="I76" s="95" t="s">
        <v>244</v>
      </c>
      <c r="J76" s="95" t="s">
        <v>247</v>
      </c>
      <c r="K76" s="150"/>
      <c r="L76" s="50"/>
      <c r="M76" s="50"/>
      <c r="N76" s="50"/>
      <c r="O76" s="339"/>
    </row>
    <row r="77" spans="1:15" ht="55.5" customHeight="1" thickBot="1" x14ac:dyDescent="0.25">
      <c r="A77" s="7"/>
      <c r="B77" s="24" t="s">
        <v>27</v>
      </c>
      <c r="C77" s="129"/>
      <c r="D77" s="129"/>
      <c r="E77" s="129"/>
      <c r="F77" s="129"/>
      <c r="G77" s="129"/>
      <c r="H77" s="129"/>
      <c r="I77" s="129"/>
      <c r="J77" s="129"/>
      <c r="K77" s="151"/>
      <c r="L77" s="52"/>
      <c r="M77" s="52"/>
      <c r="N77" s="52"/>
      <c r="O77" s="340"/>
    </row>
    <row r="78" spans="1:15" ht="24.25" customHeight="1" thickBot="1" x14ac:dyDescent="0.25">
      <c r="A78" s="7"/>
      <c r="B78" s="90" t="s">
        <v>202</v>
      </c>
      <c r="C78" s="172">
        <v>4</v>
      </c>
      <c r="D78" s="172">
        <v>4</v>
      </c>
      <c r="E78" s="172">
        <v>4</v>
      </c>
      <c r="F78" s="172">
        <v>4</v>
      </c>
      <c r="G78" s="173">
        <v>4</v>
      </c>
      <c r="H78" s="172">
        <v>4</v>
      </c>
      <c r="I78" s="172">
        <v>4</v>
      </c>
      <c r="J78" s="173">
        <v>4</v>
      </c>
      <c r="K78" s="152" t="s">
        <v>115</v>
      </c>
      <c r="L78" s="93" t="s">
        <v>115</v>
      </c>
      <c r="M78" s="93" t="s">
        <v>115</v>
      </c>
      <c r="N78" s="93" t="s">
        <v>115</v>
      </c>
      <c r="O78" s="338" t="s">
        <v>203</v>
      </c>
    </row>
    <row r="79" spans="1:15" ht="22.75" customHeight="1" x14ac:dyDescent="0.2">
      <c r="A79" s="7"/>
      <c r="B79" s="28" t="s">
        <v>32</v>
      </c>
      <c r="C79" s="135"/>
      <c r="D79" s="135" t="s">
        <v>32</v>
      </c>
      <c r="E79" s="135" t="s">
        <v>32</v>
      </c>
      <c r="F79" s="135" t="s">
        <v>32</v>
      </c>
      <c r="G79" s="135"/>
      <c r="H79" s="135" t="s">
        <v>32</v>
      </c>
      <c r="I79" s="135" t="s">
        <v>32</v>
      </c>
      <c r="J79" s="135"/>
      <c r="K79" s="149"/>
      <c r="L79" s="92"/>
      <c r="M79" s="92"/>
      <c r="N79" s="92"/>
      <c r="O79" s="339"/>
    </row>
    <row r="80" spans="1:15" ht="21.5" customHeight="1" x14ac:dyDescent="0.2">
      <c r="A80" s="7"/>
      <c r="B80" s="29" t="s">
        <v>30</v>
      </c>
      <c r="C80" s="166"/>
      <c r="D80" s="166"/>
      <c r="E80" s="126"/>
      <c r="F80" s="95"/>
      <c r="G80" s="95"/>
      <c r="H80" s="95"/>
      <c r="I80" s="95"/>
      <c r="J80" s="95"/>
      <c r="K80" s="150"/>
      <c r="L80" s="50"/>
      <c r="M80" s="50"/>
      <c r="N80" s="50"/>
      <c r="O80" s="339"/>
    </row>
    <row r="81" spans="1:15" ht="22.5" customHeight="1" thickBot="1" x14ac:dyDescent="0.25">
      <c r="A81" s="7"/>
      <c r="B81" s="94" t="s">
        <v>250</v>
      </c>
      <c r="C81" s="129" t="s">
        <v>94</v>
      </c>
      <c r="D81" s="129"/>
      <c r="E81" s="129"/>
      <c r="F81" s="129"/>
      <c r="G81" s="165" t="s">
        <v>94</v>
      </c>
      <c r="H81" s="129"/>
      <c r="I81" s="129"/>
      <c r="J81" s="165" t="s">
        <v>94</v>
      </c>
      <c r="K81" s="151"/>
      <c r="L81" s="52"/>
      <c r="M81" s="52"/>
      <c r="N81" s="52"/>
      <c r="O81" s="340"/>
    </row>
    <row r="82" spans="1:15" ht="25" customHeight="1" thickBot="1" x14ac:dyDescent="0.25">
      <c r="A82" s="7"/>
      <c r="B82" s="90" t="s">
        <v>204</v>
      </c>
      <c r="C82" s="172">
        <v>4</v>
      </c>
      <c r="D82" s="172">
        <v>4</v>
      </c>
      <c r="E82" s="172">
        <v>4</v>
      </c>
      <c r="F82" s="172">
        <v>4</v>
      </c>
      <c r="G82" s="173">
        <v>4</v>
      </c>
      <c r="H82" s="173">
        <v>4</v>
      </c>
      <c r="I82" s="172">
        <v>4</v>
      </c>
      <c r="J82" s="172">
        <v>4</v>
      </c>
      <c r="K82" s="152" t="s">
        <v>115</v>
      </c>
      <c r="L82" s="93" t="s">
        <v>115</v>
      </c>
      <c r="M82" s="93" t="s">
        <v>115</v>
      </c>
      <c r="N82" s="93" t="s">
        <v>115</v>
      </c>
      <c r="O82" s="338" t="s">
        <v>205</v>
      </c>
    </row>
    <row r="83" spans="1:15" ht="25" customHeight="1" x14ac:dyDescent="0.2">
      <c r="A83" s="7"/>
      <c r="B83" s="28" t="s">
        <v>32</v>
      </c>
      <c r="C83" s="135"/>
      <c r="D83" s="135" t="s">
        <v>32</v>
      </c>
      <c r="E83" s="135" t="s">
        <v>32</v>
      </c>
      <c r="F83" s="135" t="s">
        <v>32</v>
      </c>
      <c r="G83" s="135"/>
      <c r="H83" s="135" t="s">
        <v>32</v>
      </c>
      <c r="I83" s="135" t="s">
        <v>32</v>
      </c>
      <c r="J83" s="135"/>
      <c r="K83" s="149"/>
      <c r="L83" s="92"/>
      <c r="M83" s="92"/>
      <c r="N83" s="92"/>
      <c r="O83" s="339"/>
    </row>
    <row r="84" spans="1:15" ht="25" customHeight="1" x14ac:dyDescent="0.2">
      <c r="A84" s="7"/>
      <c r="B84" s="29" t="s">
        <v>30</v>
      </c>
      <c r="C84" s="166"/>
      <c r="D84" s="166"/>
      <c r="E84" s="126"/>
      <c r="F84" s="95"/>
      <c r="G84" s="95"/>
      <c r="H84" s="95"/>
      <c r="I84" s="95"/>
      <c r="J84" s="95"/>
      <c r="K84" s="150"/>
      <c r="L84" s="50"/>
      <c r="M84" s="50"/>
      <c r="N84" s="50"/>
      <c r="O84" s="339"/>
    </row>
    <row r="85" spans="1:15" ht="25" customHeight="1" thickBot="1" x14ac:dyDescent="0.25">
      <c r="A85" s="7"/>
      <c r="B85" s="94" t="s">
        <v>33</v>
      </c>
      <c r="C85" s="129" t="s">
        <v>94</v>
      </c>
      <c r="D85" s="129"/>
      <c r="E85" s="129"/>
      <c r="F85" s="129"/>
      <c r="G85" s="165" t="s">
        <v>94</v>
      </c>
      <c r="H85" s="129"/>
      <c r="I85" s="129"/>
      <c r="J85" s="165" t="s">
        <v>94</v>
      </c>
      <c r="K85" s="151"/>
      <c r="L85" s="52"/>
      <c r="M85" s="52"/>
      <c r="N85" s="52"/>
      <c r="O85" s="340"/>
    </row>
    <row r="86" spans="1:15" ht="24.5" customHeight="1" thickBot="1" x14ac:dyDescent="0.25">
      <c r="A86" s="7"/>
      <c r="B86" s="90" t="s">
        <v>206</v>
      </c>
      <c r="C86" s="172">
        <v>4</v>
      </c>
      <c r="D86" s="172">
        <v>4</v>
      </c>
      <c r="E86" s="172">
        <v>4</v>
      </c>
      <c r="F86" s="172">
        <v>0</v>
      </c>
      <c r="G86" s="173">
        <v>0</v>
      </c>
      <c r="H86" s="173">
        <v>0</v>
      </c>
      <c r="I86" s="172">
        <v>0</v>
      </c>
      <c r="J86" s="172">
        <v>0</v>
      </c>
      <c r="K86" s="152" t="s">
        <v>115</v>
      </c>
      <c r="L86" s="93" t="s">
        <v>115</v>
      </c>
      <c r="M86" s="93" t="s">
        <v>115</v>
      </c>
      <c r="N86" s="93" t="s">
        <v>115</v>
      </c>
      <c r="O86" s="338" t="s">
        <v>207</v>
      </c>
    </row>
    <row r="87" spans="1:15" ht="24.5" customHeight="1" x14ac:dyDescent="0.2">
      <c r="A87" s="7"/>
      <c r="B87" s="168" t="s">
        <v>260</v>
      </c>
      <c r="C87" s="135" t="s">
        <v>261</v>
      </c>
      <c r="D87" s="135" t="s">
        <v>255</v>
      </c>
      <c r="E87" s="135" t="s">
        <v>269</v>
      </c>
      <c r="F87" s="135"/>
      <c r="G87" s="135"/>
      <c r="H87" s="135"/>
      <c r="I87" s="135"/>
      <c r="J87" s="135"/>
      <c r="K87" s="149"/>
      <c r="L87" s="92"/>
      <c r="M87" s="92"/>
      <c r="N87" s="92"/>
      <c r="O87" s="339"/>
    </row>
    <row r="88" spans="1:15" ht="24.5" customHeight="1" x14ac:dyDescent="0.2">
      <c r="A88" s="7"/>
      <c r="B88" s="22" t="s">
        <v>44</v>
      </c>
      <c r="C88" s="166"/>
      <c r="D88" s="166"/>
      <c r="E88" s="126"/>
      <c r="F88" s="95"/>
      <c r="G88" s="95"/>
      <c r="H88" s="95"/>
      <c r="I88" s="95"/>
      <c r="J88" s="95"/>
      <c r="K88" s="150"/>
      <c r="L88" s="50"/>
      <c r="M88" s="50"/>
      <c r="N88" s="50"/>
      <c r="O88" s="339"/>
    </row>
    <row r="89" spans="1:15" ht="24.5" customHeight="1" thickBot="1" x14ac:dyDescent="0.25">
      <c r="A89" s="7"/>
      <c r="B89" s="24" t="s">
        <v>45</v>
      </c>
      <c r="C89" s="129"/>
      <c r="D89" s="129"/>
      <c r="E89" s="129"/>
      <c r="F89" s="129"/>
      <c r="G89" s="129"/>
      <c r="H89" s="129"/>
      <c r="I89" s="129"/>
      <c r="J89" s="129"/>
      <c r="K89" s="151"/>
      <c r="L89" s="52"/>
      <c r="M89" s="52"/>
      <c r="N89" s="52"/>
      <c r="O89" s="340"/>
    </row>
    <row r="90" spans="1:15" ht="25" customHeight="1" thickBot="1" x14ac:dyDescent="0.25">
      <c r="A90" s="7"/>
      <c r="B90" s="90" t="s">
        <v>208</v>
      </c>
      <c r="C90" s="172">
        <v>4</v>
      </c>
      <c r="D90" s="172">
        <v>4</v>
      </c>
      <c r="E90" s="172">
        <v>0</v>
      </c>
      <c r="F90" s="172">
        <v>0</v>
      </c>
      <c r="G90" s="173">
        <v>0</v>
      </c>
      <c r="H90" s="173">
        <v>0</v>
      </c>
      <c r="I90" s="172">
        <v>0</v>
      </c>
      <c r="J90" s="172">
        <v>0</v>
      </c>
      <c r="K90" s="152" t="s">
        <v>115</v>
      </c>
      <c r="L90" s="93" t="s">
        <v>115</v>
      </c>
      <c r="M90" s="93" t="s">
        <v>115</v>
      </c>
      <c r="N90" s="93" t="s">
        <v>115</v>
      </c>
      <c r="O90" s="338" t="s">
        <v>209</v>
      </c>
    </row>
    <row r="91" spans="1:15" ht="94.25" customHeight="1" thickBot="1" x14ac:dyDescent="0.25">
      <c r="A91" s="7"/>
      <c r="B91" s="167" t="s">
        <v>256</v>
      </c>
      <c r="C91" s="134" t="s">
        <v>278</v>
      </c>
      <c r="D91" s="134" t="s">
        <v>283</v>
      </c>
      <c r="E91" s="134"/>
      <c r="F91" s="134"/>
      <c r="G91" s="134"/>
      <c r="H91" s="134"/>
      <c r="I91" s="134"/>
      <c r="J91" s="134"/>
      <c r="K91" s="134"/>
      <c r="L91" s="56"/>
      <c r="M91" s="56"/>
      <c r="N91" s="56"/>
      <c r="O91" s="340"/>
    </row>
    <row r="92" spans="1:15" ht="22" customHeight="1" thickBot="1" x14ac:dyDescent="0.25">
      <c r="A92" s="7"/>
      <c r="B92" s="90" t="s">
        <v>210</v>
      </c>
      <c r="C92" s="152">
        <v>4</v>
      </c>
      <c r="D92" s="152">
        <v>4</v>
      </c>
      <c r="E92" s="172">
        <v>2</v>
      </c>
      <c r="F92" s="172">
        <v>0</v>
      </c>
      <c r="G92" s="173">
        <v>0</v>
      </c>
      <c r="H92" s="173">
        <v>0</v>
      </c>
      <c r="I92" s="172">
        <v>4</v>
      </c>
      <c r="J92" s="172">
        <v>0</v>
      </c>
      <c r="K92" s="152" t="s">
        <v>115</v>
      </c>
      <c r="L92" s="93" t="s">
        <v>115</v>
      </c>
      <c r="M92" s="93" t="s">
        <v>115</v>
      </c>
      <c r="N92" s="93" t="s">
        <v>115</v>
      </c>
      <c r="O92" s="338" t="s">
        <v>211</v>
      </c>
    </row>
    <row r="93" spans="1:15" ht="136.75" customHeight="1" x14ac:dyDescent="0.2">
      <c r="A93" s="59"/>
      <c r="B93" s="127" t="s">
        <v>245</v>
      </c>
      <c r="C93" s="185" t="s">
        <v>279</v>
      </c>
      <c r="D93" s="185" t="s">
        <v>279</v>
      </c>
      <c r="E93" s="185" t="s">
        <v>279</v>
      </c>
      <c r="F93" s="135"/>
      <c r="G93" s="135"/>
      <c r="H93" s="135"/>
      <c r="I93" s="185" t="s">
        <v>279</v>
      </c>
      <c r="J93" s="135"/>
      <c r="K93" s="135"/>
      <c r="L93" s="60"/>
      <c r="M93" s="60"/>
      <c r="N93" s="60"/>
      <c r="O93" s="365"/>
    </row>
    <row r="94" spans="1:15" ht="73.5" customHeight="1" thickBot="1" x14ac:dyDescent="0.25">
      <c r="A94" s="7"/>
      <c r="B94" s="96" t="s">
        <v>212</v>
      </c>
      <c r="C94" s="162"/>
      <c r="D94" s="162"/>
      <c r="E94" s="162"/>
      <c r="F94" s="162"/>
      <c r="G94" s="162"/>
      <c r="H94" s="162"/>
      <c r="I94" s="162"/>
      <c r="J94" s="162"/>
      <c r="K94" s="153"/>
      <c r="L94" s="97"/>
      <c r="M94" s="97"/>
      <c r="N94" s="97"/>
      <c r="O94" s="340"/>
    </row>
    <row r="95" spans="1:15" ht="14.5" customHeight="1" x14ac:dyDescent="0.2">
      <c r="A95" s="2"/>
      <c r="B95" s="98"/>
      <c r="C95" s="163"/>
      <c r="D95" s="163"/>
      <c r="E95" s="163"/>
      <c r="F95" s="163"/>
      <c r="G95" s="163"/>
      <c r="H95" s="163"/>
      <c r="I95" s="163"/>
      <c r="J95" s="163"/>
      <c r="K95" s="98"/>
      <c r="L95" s="99"/>
      <c r="M95" s="99"/>
      <c r="N95" s="99"/>
      <c r="O95" s="38"/>
    </row>
    <row r="96" spans="1:15" ht="21.5" customHeight="1" x14ac:dyDescent="0.2">
      <c r="A96" s="100"/>
      <c r="B96" s="101" t="s">
        <v>213</v>
      </c>
      <c r="C96" s="102" t="s">
        <v>214</v>
      </c>
      <c r="D96" s="102" t="s">
        <v>214</v>
      </c>
      <c r="E96" s="102" t="s">
        <v>214</v>
      </c>
      <c r="F96" s="102" t="s">
        <v>214</v>
      </c>
      <c r="G96" s="102" t="s">
        <v>214</v>
      </c>
      <c r="H96" s="102" t="s">
        <v>214</v>
      </c>
      <c r="I96" s="102" t="s">
        <v>214</v>
      </c>
      <c r="J96" s="102" t="s">
        <v>214</v>
      </c>
      <c r="K96" s="102" t="s">
        <v>214</v>
      </c>
      <c r="L96" s="102" t="s">
        <v>214</v>
      </c>
      <c r="M96" s="102" t="s">
        <v>214</v>
      </c>
      <c r="N96" s="102" t="s">
        <v>214</v>
      </c>
      <c r="O96" s="103"/>
    </row>
    <row r="97" spans="1:15" ht="30" customHeight="1" x14ac:dyDescent="0.2">
      <c r="A97" s="100"/>
      <c r="B97" s="104" t="s">
        <v>215</v>
      </c>
      <c r="C97" s="105">
        <v>0</v>
      </c>
      <c r="D97" s="105">
        <v>0</v>
      </c>
      <c r="E97" s="105">
        <v>0</v>
      </c>
      <c r="F97" s="105">
        <v>0</v>
      </c>
      <c r="G97" s="105">
        <v>0</v>
      </c>
      <c r="H97" s="105">
        <v>0</v>
      </c>
      <c r="I97" s="105">
        <v>0</v>
      </c>
      <c r="J97" s="105">
        <v>0</v>
      </c>
      <c r="K97" s="105">
        <v>0</v>
      </c>
      <c r="L97" s="105">
        <v>0</v>
      </c>
      <c r="M97" s="105">
        <v>0</v>
      </c>
      <c r="N97" s="105">
        <v>0</v>
      </c>
      <c r="O97" s="103"/>
    </row>
    <row r="98" spans="1:15" ht="30" customHeight="1" x14ac:dyDescent="0.2">
      <c r="A98" s="100"/>
      <c r="B98" s="106" t="s">
        <v>216</v>
      </c>
      <c r="C98" s="105">
        <v>0</v>
      </c>
      <c r="D98" s="105">
        <v>0</v>
      </c>
      <c r="E98" s="105">
        <v>0</v>
      </c>
      <c r="F98" s="105">
        <v>0</v>
      </c>
      <c r="G98" s="105">
        <v>0</v>
      </c>
      <c r="H98" s="105">
        <v>0</v>
      </c>
      <c r="I98" s="105">
        <v>0</v>
      </c>
      <c r="J98" s="105">
        <v>0</v>
      </c>
      <c r="K98" s="105">
        <v>0</v>
      </c>
      <c r="L98" s="105">
        <v>0</v>
      </c>
      <c r="M98" s="105">
        <v>0</v>
      </c>
      <c r="N98" s="105">
        <v>0</v>
      </c>
      <c r="O98" s="103"/>
    </row>
    <row r="99" spans="1:15" ht="45" customHeight="1" x14ac:dyDescent="0.2">
      <c r="A99" s="100"/>
      <c r="B99" s="107" t="s">
        <v>217</v>
      </c>
      <c r="C99" s="105">
        <v>1</v>
      </c>
      <c r="D99" s="105">
        <v>0</v>
      </c>
      <c r="E99" s="105">
        <v>0</v>
      </c>
      <c r="F99" s="105">
        <v>0</v>
      </c>
      <c r="G99" s="105">
        <v>0</v>
      </c>
      <c r="H99" s="105">
        <v>0</v>
      </c>
      <c r="I99" s="105">
        <v>0</v>
      </c>
      <c r="J99" s="105">
        <v>0</v>
      </c>
      <c r="K99" s="105">
        <v>0</v>
      </c>
      <c r="L99" s="105">
        <v>0</v>
      </c>
      <c r="M99" s="105">
        <v>0</v>
      </c>
      <c r="N99" s="105">
        <v>0</v>
      </c>
      <c r="O99" s="103"/>
    </row>
    <row r="100" spans="1:15" ht="30" customHeight="1" x14ac:dyDescent="0.2">
      <c r="A100" s="100"/>
      <c r="B100" s="108" t="s">
        <v>218</v>
      </c>
      <c r="C100" s="105">
        <v>0</v>
      </c>
      <c r="D100" s="105">
        <v>0</v>
      </c>
      <c r="E100" s="105">
        <v>1</v>
      </c>
      <c r="F100" s="105">
        <v>0</v>
      </c>
      <c r="G100" s="105">
        <v>0</v>
      </c>
      <c r="H100" s="105">
        <v>0</v>
      </c>
      <c r="I100" s="105">
        <v>1</v>
      </c>
      <c r="J100" s="105">
        <v>0</v>
      </c>
      <c r="K100" s="105">
        <v>0</v>
      </c>
      <c r="L100" s="105">
        <v>0</v>
      </c>
      <c r="M100" s="105">
        <v>0</v>
      </c>
      <c r="N100" s="105">
        <v>0</v>
      </c>
      <c r="O100" s="103"/>
    </row>
    <row r="101" spans="1:15" ht="22.75" customHeight="1" x14ac:dyDescent="0.2">
      <c r="A101" s="100"/>
      <c r="B101" s="109" t="s">
        <v>219</v>
      </c>
      <c r="C101" s="105">
        <v>0</v>
      </c>
      <c r="D101" s="105">
        <v>0</v>
      </c>
      <c r="E101" s="105">
        <v>0</v>
      </c>
      <c r="F101" s="105">
        <v>1</v>
      </c>
      <c r="G101" s="105">
        <v>1</v>
      </c>
      <c r="H101" s="105">
        <v>1</v>
      </c>
      <c r="I101" s="105">
        <v>0</v>
      </c>
      <c r="J101" s="105">
        <v>1</v>
      </c>
      <c r="K101" s="105">
        <v>0</v>
      </c>
      <c r="L101" s="105">
        <v>0</v>
      </c>
      <c r="M101" s="105">
        <v>0</v>
      </c>
      <c r="N101" s="105">
        <v>0</v>
      </c>
      <c r="O101" s="103"/>
    </row>
    <row r="102" spans="1:15" ht="23.5" customHeight="1" x14ac:dyDescent="0.2">
      <c r="A102" s="100"/>
      <c r="B102" s="110" t="s">
        <v>220</v>
      </c>
      <c r="C102" s="105">
        <v>0</v>
      </c>
      <c r="D102" s="105">
        <v>0</v>
      </c>
      <c r="E102" s="105">
        <v>0</v>
      </c>
      <c r="F102" s="105">
        <v>0</v>
      </c>
      <c r="G102" s="105">
        <v>0</v>
      </c>
      <c r="H102" s="105">
        <v>0</v>
      </c>
      <c r="I102" s="105">
        <v>0</v>
      </c>
      <c r="J102" s="105">
        <v>0</v>
      </c>
      <c r="K102" s="105">
        <v>0</v>
      </c>
      <c r="L102" s="105">
        <v>0</v>
      </c>
      <c r="M102" s="105">
        <v>0</v>
      </c>
      <c r="N102" s="105">
        <v>0</v>
      </c>
      <c r="O102" s="103"/>
    </row>
  </sheetData>
  <mergeCells count="12">
    <mergeCell ref="O92:O94"/>
    <mergeCell ref="O74:O77"/>
    <mergeCell ref="O86:O89"/>
    <mergeCell ref="O66:O69"/>
    <mergeCell ref="O70:O73"/>
    <mergeCell ref="O24:O26"/>
    <mergeCell ref="O90:O91"/>
    <mergeCell ref="O62:O63"/>
    <mergeCell ref="O60:O61"/>
    <mergeCell ref="O82:O85"/>
    <mergeCell ref="O34:O37"/>
    <mergeCell ref="O78:O81"/>
  </mergeCells>
  <phoneticPr fontId="23" type="noConversion"/>
  <pageMargins left="0.45" right="0.45" top="0.5" bottom="0.5" header="0.3" footer="0.3"/>
  <pageSetup scale="41" orientation="landscape"/>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1"/>
  <sheetViews>
    <sheetView showGridLines="0" workbookViewId="0"/>
  </sheetViews>
  <sheetFormatPr baseColWidth="10" defaultColWidth="10" defaultRowHeight="13" customHeight="1" x14ac:dyDescent="0.2"/>
  <cols>
    <col min="1" max="256" width="10" style="111" customWidth="1"/>
  </cols>
  <sheetData>
    <row r="1" spans="1:14" ht="13" customHeight="1" x14ac:dyDescent="0.2">
      <c r="A1" s="112"/>
      <c r="B1" s="113"/>
      <c r="C1" s="113"/>
      <c r="D1" s="113"/>
      <c r="E1" s="113"/>
      <c r="F1" s="113"/>
      <c r="G1" s="113"/>
      <c r="H1" s="113"/>
      <c r="I1" s="113"/>
      <c r="J1" s="113"/>
      <c r="K1" s="113"/>
      <c r="L1" s="113"/>
      <c r="M1" s="113"/>
      <c r="N1" s="114"/>
    </row>
    <row r="2" spans="1:14" ht="13" customHeight="1" x14ac:dyDescent="0.2">
      <c r="A2" s="115"/>
      <c r="B2" s="116"/>
      <c r="C2" s="116"/>
      <c r="D2" s="116"/>
      <c r="E2" s="116"/>
      <c r="F2" s="116"/>
      <c r="G2" s="116"/>
      <c r="H2" s="116"/>
      <c r="I2" s="116"/>
      <c r="J2" s="116"/>
      <c r="K2" s="116"/>
      <c r="L2" s="116"/>
      <c r="M2" s="116"/>
      <c r="N2" s="117"/>
    </row>
    <row r="3" spans="1:14" ht="13" customHeight="1" x14ac:dyDescent="0.2">
      <c r="A3" s="115"/>
      <c r="B3" s="116"/>
      <c r="C3" s="116"/>
      <c r="D3" s="116"/>
      <c r="E3" s="116"/>
      <c r="F3" s="116"/>
      <c r="G3" s="116"/>
      <c r="H3" s="116"/>
      <c r="I3" s="116"/>
      <c r="J3" s="116"/>
      <c r="K3" s="116"/>
      <c r="L3" s="116"/>
      <c r="M3" s="116"/>
      <c r="N3" s="117"/>
    </row>
    <row r="4" spans="1:14" ht="13" customHeight="1" x14ac:dyDescent="0.2">
      <c r="A4" s="115"/>
      <c r="B4" s="116"/>
      <c r="C4" s="116"/>
      <c r="D4" s="116"/>
      <c r="E4" s="116"/>
      <c r="F4" s="116"/>
      <c r="G4" s="116"/>
      <c r="H4" s="116"/>
      <c r="I4" s="116"/>
      <c r="J4" s="116"/>
      <c r="K4" s="116"/>
      <c r="L4" s="116"/>
      <c r="M4" s="116"/>
      <c r="N4" s="117"/>
    </row>
    <row r="5" spans="1:14" ht="13" customHeight="1" x14ac:dyDescent="0.2">
      <c r="A5" s="115"/>
      <c r="B5" s="116"/>
      <c r="C5" s="116"/>
      <c r="D5" s="116"/>
      <c r="E5" s="116"/>
      <c r="F5" s="116"/>
      <c r="G5" s="116"/>
      <c r="H5" s="116"/>
      <c r="I5" s="116"/>
      <c r="J5" s="116"/>
      <c r="K5" s="116"/>
      <c r="L5" s="116"/>
      <c r="M5" s="116"/>
      <c r="N5" s="117"/>
    </row>
    <row r="6" spans="1:14" ht="13" customHeight="1" x14ac:dyDescent="0.2">
      <c r="A6" s="115"/>
      <c r="B6" s="116"/>
      <c r="C6" s="116"/>
      <c r="D6" s="116"/>
      <c r="E6" s="116"/>
      <c r="F6" s="116"/>
      <c r="G6" s="116"/>
      <c r="H6" s="116"/>
      <c r="I6" s="116"/>
      <c r="J6" s="116"/>
      <c r="K6" s="116"/>
      <c r="L6" s="116"/>
      <c r="M6" s="116"/>
      <c r="N6" s="117"/>
    </row>
    <row r="7" spans="1:14" ht="13" customHeight="1" x14ac:dyDescent="0.2">
      <c r="A7" s="115"/>
      <c r="B7" s="116"/>
      <c r="C7" s="116"/>
      <c r="D7" s="116"/>
      <c r="E7" s="116"/>
      <c r="F7" s="116"/>
      <c r="G7" s="116"/>
      <c r="H7" s="116"/>
      <c r="I7" s="116"/>
      <c r="J7" s="116"/>
      <c r="K7" s="116"/>
      <c r="L7" s="116"/>
      <c r="M7" s="116"/>
      <c r="N7" s="117"/>
    </row>
    <row r="8" spans="1:14" ht="13" customHeight="1" x14ac:dyDescent="0.2">
      <c r="A8" s="115"/>
      <c r="B8" s="116"/>
      <c r="C8" s="116"/>
      <c r="D8" s="116"/>
      <c r="E8" s="116"/>
      <c r="F8" s="116"/>
      <c r="G8" s="116"/>
      <c r="H8" s="116"/>
      <c r="I8" s="116"/>
      <c r="J8" s="116"/>
      <c r="K8" s="116"/>
      <c r="L8" s="116"/>
      <c r="M8" s="116"/>
      <c r="N8" s="117"/>
    </row>
    <row r="9" spans="1:14" ht="13" customHeight="1" x14ac:dyDescent="0.2">
      <c r="A9" s="115"/>
      <c r="B9" s="116"/>
      <c r="C9" s="116"/>
      <c r="D9" s="116"/>
      <c r="E9" s="116"/>
      <c r="F9" s="116"/>
      <c r="G9" s="116"/>
      <c r="H9" s="116"/>
      <c r="I9" s="116"/>
      <c r="J9" s="116"/>
      <c r="K9" s="116"/>
      <c r="L9" s="116"/>
      <c r="M9" s="116"/>
      <c r="N9" s="117"/>
    </row>
    <row r="10" spans="1:14" ht="13" customHeight="1" x14ac:dyDescent="0.2">
      <c r="A10" s="115"/>
      <c r="B10" s="116"/>
      <c r="C10" s="116"/>
      <c r="D10" s="116"/>
      <c r="E10" s="116"/>
      <c r="F10" s="116"/>
      <c r="G10" s="116"/>
      <c r="H10" s="116"/>
      <c r="I10" s="116"/>
      <c r="J10" s="116"/>
      <c r="K10" s="116"/>
      <c r="L10" s="116"/>
      <c r="M10" s="116"/>
      <c r="N10" s="117"/>
    </row>
    <row r="11" spans="1:14" ht="13" customHeight="1" x14ac:dyDescent="0.2">
      <c r="A11" s="115"/>
      <c r="B11" s="116"/>
      <c r="C11" s="116"/>
      <c r="D11" s="116"/>
      <c r="E11" s="116"/>
      <c r="F11" s="116"/>
      <c r="G11" s="116"/>
      <c r="H11" s="116"/>
      <c r="I11" s="116"/>
      <c r="J11" s="116"/>
      <c r="K11" s="116"/>
      <c r="L11" s="116"/>
      <c r="M11" s="116"/>
      <c r="N11" s="117"/>
    </row>
    <row r="12" spans="1:14" ht="13" customHeight="1" x14ac:dyDescent="0.2">
      <c r="A12" s="115"/>
      <c r="B12" s="116"/>
      <c r="C12" s="116"/>
      <c r="D12" s="116"/>
      <c r="E12" s="116"/>
      <c r="F12" s="116"/>
      <c r="G12" s="116"/>
      <c r="H12" s="116"/>
      <c r="I12" s="116"/>
      <c r="J12" s="116"/>
      <c r="K12" s="116"/>
      <c r="L12" s="116"/>
      <c r="M12" s="116"/>
      <c r="N12" s="117"/>
    </row>
    <row r="13" spans="1:14" ht="13" customHeight="1" x14ac:dyDescent="0.2">
      <c r="A13" s="115"/>
      <c r="B13" s="116"/>
      <c r="C13" s="116"/>
      <c r="D13" s="116"/>
      <c r="E13" s="116"/>
      <c r="F13" s="116"/>
      <c r="G13" s="116"/>
      <c r="H13" s="116"/>
      <c r="I13" s="116"/>
      <c r="J13" s="116"/>
      <c r="K13" s="116"/>
      <c r="L13" s="116"/>
      <c r="M13" s="116"/>
      <c r="N13" s="117"/>
    </row>
    <row r="14" spans="1:14" ht="13" customHeight="1" x14ac:dyDescent="0.2">
      <c r="A14" s="115"/>
      <c r="B14" s="116"/>
      <c r="C14" s="116"/>
      <c r="D14" s="116"/>
      <c r="E14" s="116"/>
      <c r="F14" s="116"/>
      <c r="G14" s="116"/>
      <c r="H14" s="116"/>
      <c r="I14" s="116"/>
      <c r="J14" s="116"/>
      <c r="K14" s="116"/>
      <c r="L14" s="116"/>
      <c r="M14" s="116"/>
      <c r="N14" s="117"/>
    </row>
    <row r="15" spans="1:14" ht="13" customHeight="1" x14ac:dyDescent="0.2">
      <c r="A15" s="115"/>
      <c r="B15" s="116"/>
      <c r="C15" s="116"/>
      <c r="D15" s="116"/>
      <c r="E15" s="116"/>
      <c r="F15" s="116"/>
      <c r="G15" s="116"/>
      <c r="H15" s="116"/>
      <c r="I15" s="116"/>
      <c r="J15" s="116"/>
      <c r="K15" s="116"/>
      <c r="L15" s="116"/>
      <c r="M15" s="116"/>
      <c r="N15" s="117"/>
    </row>
    <row r="16" spans="1:14" ht="13" customHeight="1" x14ac:dyDescent="0.2">
      <c r="A16" s="115"/>
      <c r="B16" s="116"/>
      <c r="C16" s="116"/>
      <c r="D16" s="116"/>
      <c r="E16" s="116"/>
      <c r="F16" s="116"/>
      <c r="G16" s="116"/>
      <c r="H16" s="116"/>
      <c r="I16" s="116"/>
      <c r="J16" s="116"/>
      <c r="K16" s="116"/>
      <c r="L16" s="116"/>
      <c r="M16" s="116"/>
      <c r="N16" s="117"/>
    </row>
    <row r="17" spans="1:14" ht="13" customHeight="1" x14ac:dyDescent="0.2">
      <c r="A17" s="115"/>
      <c r="B17" s="116"/>
      <c r="C17" s="116"/>
      <c r="D17" s="116"/>
      <c r="E17" s="116"/>
      <c r="F17" s="116"/>
      <c r="G17" s="116"/>
      <c r="H17" s="116"/>
      <c r="I17" s="116"/>
      <c r="J17" s="116"/>
      <c r="K17" s="116"/>
      <c r="L17" s="116"/>
      <c r="M17" s="116"/>
      <c r="N17" s="117"/>
    </row>
    <row r="18" spans="1:14" ht="13" customHeight="1" x14ac:dyDescent="0.2">
      <c r="A18" s="115"/>
      <c r="B18" s="116"/>
      <c r="C18" s="116"/>
      <c r="D18" s="116"/>
      <c r="E18" s="116"/>
      <c r="F18" s="116"/>
      <c r="G18" s="116"/>
      <c r="H18" s="116"/>
      <c r="I18" s="116"/>
      <c r="J18" s="116"/>
      <c r="K18" s="116"/>
      <c r="L18" s="116"/>
      <c r="M18" s="116"/>
      <c r="N18" s="117"/>
    </row>
    <row r="19" spans="1:14" ht="13" customHeight="1" x14ac:dyDescent="0.2">
      <c r="A19" s="115"/>
      <c r="B19" s="116"/>
      <c r="C19" s="116"/>
      <c r="D19" s="116"/>
      <c r="E19" s="116"/>
      <c r="F19" s="116"/>
      <c r="G19" s="116"/>
      <c r="H19" s="116"/>
      <c r="I19" s="116"/>
      <c r="J19" s="116"/>
      <c r="K19" s="116"/>
      <c r="L19" s="116"/>
      <c r="M19" s="116"/>
      <c r="N19" s="117"/>
    </row>
    <row r="20" spans="1:14" ht="13" customHeight="1" x14ac:dyDescent="0.2">
      <c r="A20" s="115"/>
      <c r="B20" s="116"/>
      <c r="C20" s="116"/>
      <c r="D20" s="116"/>
      <c r="E20" s="116"/>
      <c r="F20" s="116"/>
      <c r="G20" s="116"/>
      <c r="H20" s="116"/>
      <c r="I20" s="116"/>
      <c r="J20" s="116"/>
      <c r="K20" s="116"/>
      <c r="L20" s="116"/>
      <c r="M20" s="116"/>
      <c r="N20" s="117"/>
    </row>
    <row r="21" spans="1:14" ht="13" customHeight="1" x14ac:dyDescent="0.2">
      <c r="A21" s="118"/>
      <c r="B21" s="119"/>
      <c r="C21" s="119"/>
      <c r="D21" s="119"/>
      <c r="E21" s="119"/>
      <c r="F21" s="119"/>
      <c r="G21" s="119"/>
      <c r="H21" s="119"/>
      <c r="I21" s="119"/>
      <c r="J21" s="119"/>
      <c r="K21" s="119"/>
      <c r="L21" s="119"/>
      <c r="M21" s="119"/>
      <c r="N21" s="120"/>
    </row>
  </sheetData>
  <phoneticPr fontId="23" type="noConversion"/>
  <pageMargins left="0.7" right="0.7" top="0.75" bottom="0.75" header="0.3" footer="0.3"/>
  <pageSetup orientation="portrait"/>
  <headerFooter>
    <oddFooter>&amp;C&amp;"Helvetica,Regular"&amp;12&amp;K000000&amp;P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1"/>
  <sheetViews>
    <sheetView showGridLines="0" workbookViewId="0"/>
  </sheetViews>
  <sheetFormatPr baseColWidth="10" defaultColWidth="8.83203125" defaultRowHeight="14.5" customHeight="1" x14ac:dyDescent="0.2"/>
  <cols>
    <col min="1" max="256" width="8.83203125" style="121" customWidth="1"/>
  </cols>
  <sheetData>
    <row r="1" spans="1:5" ht="17.5" customHeight="1" x14ac:dyDescent="0.2">
      <c r="A1" s="122" t="s">
        <v>221</v>
      </c>
      <c r="B1" s="5"/>
      <c r="C1" s="5"/>
      <c r="D1" s="5"/>
      <c r="E1" s="5"/>
    </row>
    <row r="2" spans="1:5" ht="15.5" customHeight="1" x14ac:dyDescent="0.2">
      <c r="A2" s="123" t="s">
        <v>222</v>
      </c>
      <c r="B2" s="5"/>
      <c r="C2" s="5"/>
      <c r="D2" s="5"/>
      <c r="E2" s="5"/>
    </row>
    <row r="3" spans="1:5" ht="16.25" customHeight="1" x14ac:dyDescent="0.2">
      <c r="A3" s="124" t="s">
        <v>223</v>
      </c>
      <c r="B3" s="5"/>
      <c r="C3" s="5"/>
      <c r="D3" s="5"/>
      <c r="E3" s="5"/>
    </row>
    <row r="4" spans="1:5" ht="15.5" customHeight="1" x14ac:dyDescent="0.2">
      <c r="A4" s="125" t="s">
        <v>224</v>
      </c>
      <c r="B4" s="5"/>
      <c r="C4" s="5"/>
      <c r="D4" s="5"/>
      <c r="E4" s="5"/>
    </row>
    <row r="5" spans="1:5" ht="16.25" customHeight="1" x14ac:dyDescent="0.2">
      <c r="A5" s="124" t="s">
        <v>225</v>
      </c>
      <c r="B5" s="5"/>
      <c r="C5" s="5"/>
      <c r="D5" s="5"/>
      <c r="E5" s="5"/>
    </row>
    <row r="6" spans="1:5" ht="16" customHeight="1" x14ac:dyDescent="0.2">
      <c r="A6" s="125" t="s">
        <v>226</v>
      </c>
      <c r="B6" s="5"/>
      <c r="C6" s="5"/>
      <c r="D6" s="5"/>
      <c r="E6" s="5"/>
    </row>
    <row r="7" spans="1:5" ht="15.5" customHeight="1" x14ac:dyDescent="0.2">
      <c r="A7" s="125" t="s">
        <v>227</v>
      </c>
      <c r="B7" s="5"/>
      <c r="C7" s="5"/>
      <c r="D7" s="5"/>
      <c r="E7" s="5"/>
    </row>
    <row r="8" spans="1:5" ht="15.5" customHeight="1" x14ac:dyDescent="0.2">
      <c r="A8" s="125" t="s">
        <v>228</v>
      </c>
      <c r="B8" s="5"/>
      <c r="C8" s="5"/>
      <c r="D8" s="5"/>
      <c r="E8" s="5"/>
    </row>
    <row r="9" spans="1:5" ht="16.25" customHeight="1" x14ac:dyDescent="0.2">
      <c r="A9" s="124" t="s">
        <v>229</v>
      </c>
      <c r="B9" s="5"/>
      <c r="C9" s="5"/>
      <c r="D9" s="5"/>
      <c r="E9" s="5"/>
    </row>
    <row r="10" spans="1:5" ht="16" customHeight="1" x14ac:dyDescent="0.2">
      <c r="A10" s="125" t="s">
        <v>230</v>
      </c>
      <c r="B10" s="5"/>
      <c r="C10" s="5"/>
      <c r="D10" s="5"/>
      <c r="E10" s="5"/>
    </row>
    <row r="11" spans="1:5" ht="15.5" customHeight="1" x14ac:dyDescent="0.2">
      <c r="A11" s="125" t="s">
        <v>231</v>
      </c>
      <c r="B11" s="5"/>
      <c r="C11" s="5"/>
      <c r="D11" s="5"/>
      <c r="E11" s="5"/>
    </row>
    <row r="12" spans="1:5" ht="16.25" customHeight="1" x14ac:dyDescent="0.2">
      <c r="A12" s="124" t="s">
        <v>232</v>
      </c>
      <c r="B12" s="5"/>
      <c r="C12" s="5"/>
      <c r="D12" s="5"/>
      <c r="E12" s="5"/>
    </row>
    <row r="13" spans="1:5" ht="15.5" customHeight="1" x14ac:dyDescent="0.2">
      <c r="A13" s="125" t="s">
        <v>233</v>
      </c>
      <c r="B13" s="5"/>
      <c r="C13" s="5"/>
      <c r="D13" s="5"/>
      <c r="E13" s="5"/>
    </row>
    <row r="14" spans="1:5" ht="15.5" customHeight="1" x14ac:dyDescent="0.2">
      <c r="A14" s="125" t="s">
        <v>234</v>
      </c>
      <c r="B14" s="5"/>
      <c r="C14" s="5"/>
      <c r="D14" s="5"/>
      <c r="E14" s="5"/>
    </row>
    <row r="15" spans="1:5" ht="15.5" customHeight="1" x14ac:dyDescent="0.2">
      <c r="A15" s="125" t="s">
        <v>235</v>
      </c>
      <c r="B15" s="5"/>
      <c r="C15" s="5"/>
      <c r="D15" s="5"/>
      <c r="E15" s="5"/>
    </row>
    <row r="16" spans="1:5" ht="15.5" customHeight="1" x14ac:dyDescent="0.2">
      <c r="A16" s="125" t="s">
        <v>236</v>
      </c>
      <c r="B16" s="5"/>
      <c r="C16" s="5"/>
      <c r="D16" s="5"/>
      <c r="E16" s="5"/>
    </row>
    <row r="17" spans="1:5" ht="16.25" customHeight="1" x14ac:dyDescent="0.2">
      <c r="A17" s="124" t="s">
        <v>237</v>
      </c>
      <c r="B17" s="5"/>
      <c r="C17" s="5"/>
      <c r="D17" s="5"/>
      <c r="E17" s="5"/>
    </row>
    <row r="18" spans="1:5" ht="15.5" customHeight="1" x14ac:dyDescent="0.2">
      <c r="A18" s="125" t="s">
        <v>238</v>
      </c>
      <c r="B18" s="5"/>
      <c r="C18" s="5"/>
      <c r="D18" s="5"/>
      <c r="E18" s="5"/>
    </row>
    <row r="19" spans="1:5" ht="16.25" customHeight="1" x14ac:dyDescent="0.2">
      <c r="A19" s="124" t="s">
        <v>239</v>
      </c>
      <c r="B19" s="5"/>
      <c r="C19" s="5"/>
      <c r="D19" s="5"/>
      <c r="E19" s="5"/>
    </row>
    <row r="20" spans="1:5" ht="15.5" customHeight="1" x14ac:dyDescent="0.2">
      <c r="A20" s="125" t="s">
        <v>240</v>
      </c>
      <c r="B20" s="5"/>
      <c r="C20" s="5"/>
      <c r="D20" s="5"/>
      <c r="E20" s="5"/>
    </row>
    <row r="21" spans="1:5" ht="15.5" customHeight="1" x14ac:dyDescent="0.2">
      <c r="A21" s="125" t="s">
        <v>241</v>
      </c>
      <c r="B21" s="5"/>
      <c r="C21" s="5"/>
      <c r="D21" s="5"/>
      <c r="E21" s="5"/>
    </row>
  </sheetData>
  <phoneticPr fontId="23" type="noConversion"/>
  <pageMargins left="0.7" right="0.7" top="0.75" bottom="0.75" header="0.3" footer="0.3"/>
  <pageSetup orientation="portrait" r:id="rId1"/>
  <headerFooter>
    <oddFooter>&amp;C&amp;"Helvetica,Regular"&amp;12&amp;K000000&amp;P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sheetPr>
  <dimension ref="A1:J57"/>
  <sheetViews>
    <sheetView topLeftCell="A14" zoomScale="124" zoomScaleNormal="124" zoomScalePageLayoutView="124" workbookViewId="0">
      <selection activeCell="D25" sqref="D25:D28"/>
    </sheetView>
  </sheetViews>
  <sheetFormatPr baseColWidth="10" defaultRowHeight="15" x14ac:dyDescent="0.2"/>
  <cols>
    <col min="1" max="1" width="15.33203125" style="187" customWidth="1"/>
    <col min="2" max="2" width="53.5" style="187" customWidth="1"/>
    <col min="3" max="3" width="10.83203125" style="187"/>
    <col min="4" max="4" width="20.1640625" style="187" bestFit="1" customWidth="1"/>
    <col min="5" max="5" width="20.1640625" style="187" customWidth="1"/>
    <col min="6" max="16384" width="10.83203125" style="187"/>
  </cols>
  <sheetData>
    <row r="1" spans="1:10" x14ac:dyDescent="0.2">
      <c r="A1" s="187" t="s">
        <v>320</v>
      </c>
    </row>
    <row r="2" spans="1:10" ht="19" x14ac:dyDescent="0.3">
      <c r="B2" s="188" t="s">
        <v>284</v>
      </c>
      <c r="C2" s="189">
        <v>0.15</v>
      </c>
    </row>
    <row r="3" spans="1:10" ht="19" x14ac:dyDescent="0.3">
      <c r="B3" s="188" t="s">
        <v>197</v>
      </c>
      <c r="C3" s="189">
        <v>0.15</v>
      </c>
    </row>
    <row r="4" spans="1:10" ht="19" x14ac:dyDescent="0.3">
      <c r="B4" s="188" t="s">
        <v>285</v>
      </c>
      <c r="C4" s="189">
        <v>0.2</v>
      </c>
    </row>
    <row r="5" spans="1:10" ht="19" x14ac:dyDescent="0.3">
      <c r="B5" s="188" t="s">
        <v>286</v>
      </c>
      <c r="C5" s="189">
        <v>0.1</v>
      </c>
    </row>
    <row r="6" spans="1:10" ht="19" x14ac:dyDescent="0.3">
      <c r="B6" s="188" t="s">
        <v>204</v>
      </c>
      <c r="C6" s="189">
        <v>0.1</v>
      </c>
    </row>
    <row r="7" spans="1:10" ht="19" x14ac:dyDescent="0.3">
      <c r="B7" s="188" t="s">
        <v>206</v>
      </c>
      <c r="C7" s="189">
        <v>0.1</v>
      </c>
    </row>
    <row r="8" spans="1:10" ht="19" x14ac:dyDescent="0.3">
      <c r="B8" s="188" t="s">
        <v>208</v>
      </c>
      <c r="C8" s="189">
        <v>0.1</v>
      </c>
    </row>
    <row r="9" spans="1:10" ht="16" customHeight="1" x14ac:dyDescent="0.3">
      <c r="C9" s="196">
        <v>0.1</v>
      </c>
      <c r="D9" s="366" t="s">
        <v>210</v>
      </c>
      <c r="E9" s="366"/>
      <c r="F9" s="366"/>
      <c r="G9" s="366"/>
      <c r="H9" s="366"/>
      <c r="I9" s="195"/>
      <c r="J9" s="254"/>
    </row>
    <row r="10" spans="1:10" ht="19" x14ac:dyDescent="0.3">
      <c r="B10" s="188" t="s">
        <v>287</v>
      </c>
      <c r="C10" s="189">
        <v>1</v>
      </c>
    </row>
    <row r="13" spans="1:10" ht="22" x14ac:dyDescent="0.35">
      <c r="A13" s="190" t="s">
        <v>321</v>
      </c>
      <c r="B13" s="191" t="s">
        <v>288</v>
      </c>
      <c r="C13" s="191" t="s">
        <v>289</v>
      </c>
      <c r="D13" s="191" t="s">
        <v>290</v>
      </c>
      <c r="E13" s="191"/>
    </row>
    <row r="14" spans="1:10" ht="19" x14ac:dyDescent="0.3">
      <c r="C14" s="255"/>
      <c r="D14" s="256" t="s">
        <v>322</v>
      </c>
      <c r="E14" s="256"/>
      <c r="F14" s="257" t="s">
        <v>291</v>
      </c>
      <c r="G14" s="254"/>
      <c r="H14" s="254"/>
      <c r="I14" s="254"/>
      <c r="J14" s="254"/>
    </row>
    <row r="15" spans="1:10" ht="19" x14ac:dyDescent="0.3">
      <c r="B15" s="194">
        <f>SUM(C16:C20)</f>
        <v>0.2</v>
      </c>
      <c r="C15" s="195"/>
      <c r="D15" s="193"/>
      <c r="E15" s="193"/>
    </row>
    <row r="16" spans="1:10" ht="19" x14ac:dyDescent="0.3">
      <c r="B16" s="188" t="s">
        <v>292</v>
      </c>
      <c r="C16" s="189">
        <v>0.02</v>
      </c>
      <c r="D16" s="199">
        <f>C16/B15</f>
        <v>9.9999999999999992E-2</v>
      </c>
      <c r="E16" s="199"/>
    </row>
    <row r="17" spans="2:10" ht="19" x14ac:dyDescent="0.3">
      <c r="C17" s="196">
        <v>0.02</v>
      </c>
      <c r="D17" s="258">
        <f>C17/B15</f>
        <v>9.9999999999999992E-2</v>
      </c>
      <c r="E17" s="258"/>
      <c r="F17" s="195" t="s">
        <v>293</v>
      </c>
      <c r="G17" s="254"/>
      <c r="H17" s="254"/>
      <c r="I17" s="254"/>
      <c r="J17" s="254"/>
    </row>
    <row r="18" spans="2:10" ht="19" x14ac:dyDescent="0.3">
      <c r="B18" s="188" t="s">
        <v>294</v>
      </c>
      <c r="C18" s="189">
        <v>0.02</v>
      </c>
      <c r="D18" s="199">
        <f>C18/B15</f>
        <v>9.9999999999999992E-2</v>
      </c>
      <c r="E18" s="199"/>
    </row>
    <row r="19" spans="2:10" ht="19" x14ac:dyDescent="0.3">
      <c r="B19" s="195" t="s">
        <v>135</v>
      </c>
      <c r="C19" s="196">
        <v>0.04</v>
      </c>
      <c r="D19" s="199">
        <f>C19/B15</f>
        <v>0.19999999999999998</v>
      </c>
      <c r="E19" s="199"/>
    </row>
    <row r="20" spans="2:10" ht="19" x14ac:dyDescent="0.3">
      <c r="B20" s="188" t="s">
        <v>295</v>
      </c>
      <c r="C20" s="189">
        <v>0.1</v>
      </c>
      <c r="D20" s="199">
        <f>C20/B15</f>
        <v>0.5</v>
      </c>
      <c r="E20" s="199"/>
    </row>
    <row r="21" spans="2:10" ht="19" x14ac:dyDescent="0.3">
      <c r="B21" s="192" t="s">
        <v>296</v>
      </c>
      <c r="C21" s="259"/>
      <c r="D21" s="199"/>
      <c r="E21" s="199"/>
    </row>
    <row r="22" spans="2:10" ht="15" customHeight="1" x14ac:dyDescent="0.3">
      <c r="B22" s="194">
        <f>SUM(C23:C28)</f>
        <v>0.1</v>
      </c>
      <c r="C22" s="195"/>
      <c r="D22" s="199"/>
      <c r="E22" s="199"/>
    </row>
    <row r="23" spans="2:10" ht="19" x14ac:dyDescent="0.3">
      <c r="B23" s="195" t="s">
        <v>135</v>
      </c>
      <c r="C23" s="196">
        <v>0.02</v>
      </c>
      <c r="D23" s="199">
        <f>C23/B22</f>
        <v>0.19999999999999998</v>
      </c>
      <c r="E23" s="199"/>
    </row>
    <row r="24" spans="2:10" ht="19" x14ac:dyDescent="0.3">
      <c r="B24" s="188" t="s">
        <v>297</v>
      </c>
      <c r="C24" s="197">
        <v>1.4999999999999999E-2</v>
      </c>
      <c r="D24" s="199">
        <f>C24/B22</f>
        <v>0.15</v>
      </c>
      <c r="E24" s="199"/>
    </row>
    <row r="25" spans="2:10" ht="19" x14ac:dyDescent="0.3">
      <c r="B25" s="188" t="s">
        <v>298</v>
      </c>
      <c r="C25" s="197">
        <v>1.4999999999999999E-2</v>
      </c>
      <c r="D25" s="199">
        <f>C25/B22</f>
        <v>0.15</v>
      </c>
      <c r="E25" s="199"/>
    </row>
    <row r="26" spans="2:10" ht="19" x14ac:dyDescent="0.3">
      <c r="B26" s="188" t="s">
        <v>299</v>
      </c>
      <c r="C26" s="197">
        <v>1.4999999999999999E-2</v>
      </c>
      <c r="D26" s="199">
        <f>C26/B22</f>
        <v>0.15</v>
      </c>
      <c r="E26" s="199"/>
    </row>
    <row r="27" spans="2:10" ht="19" x14ac:dyDescent="0.3">
      <c r="B27" s="188" t="s">
        <v>323</v>
      </c>
      <c r="C27" s="197">
        <v>1.4999999999999999E-2</v>
      </c>
      <c r="D27" s="199">
        <f>C27/B22</f>
        <v>0.15</v>
      </c>
      <c r="E27" s="199"/>
    </row>
    <row r="28" spans="2:10" ht="19" x14ac:dyDescent="0.3">
      <c r="B28" s="188" t="s">
        <v>300</v>
      </c>
      <c r="C28" s="189">
        <v>0.02</v>
      </c>
      <c r="D28" s="199">
        <f>C28/B22</f>
        <v>0.19999999999999998</v>
      </c>
      <c r="E28" s="199"/>
    </row>
    <row r="29" spans="2:10" ht="19" x14ac:dyDescent="0.3">
      <c r="B29" s="192" t="s">
        <v>301</v>
      </c>
      <c r="C29" s="259"/>
      <c r="D29" s="199"/>
      <c r="E29" s="199"/>
    </row>
    <row r="30" spans="2:10" ht="15" customHeight="1" x14ac:dyDescent="0.3">
      <c r="B30" s="194">
        <f>SUM(C31:C38)</f>
        <v>0.39999999999999997</v>
      </c>
      <c r="C30" s="195"/>
      <c r="D30" s="199"/>
      <c r="E30" s="199"/>
    </row>
    <row r="31" spans="2:10" ht="19" x14ac:dyDescent="0.3">
      <c r="B31" s="195" t="s">
        <v>168</v>
      </c>
      <c r="C31" s="196">
        <v>0.04</v>
      </c>
      <c r="D31" s="199">
        <f>C31/B30</f>
        <v>0.1</v>
      </c>
      <c r="E31" s="199"/>
    </row>
    <row r="32" spans="2:10" ht="19" x14ac:dyDescent="0.3">
      <c r="B32" s="188" t="s">
        <v>302</v>
      </c>
      <c r="C32" s="189">
        <v>0.04</v>
      </c>
      <c r="D32" s="199">
        <f>C32/B30</f>
        <v>0.1</v>
      </c>
      <c r="E32" s="199"/>
    </row>
    <row r="33" spans="2:6" ht="19" x14ac:dyDescent="0.3">
      <c r="B33" s="188" t="s">
        <v>303</v>
      </c>
      <c r="C33" s="189">
        <v>0.04</v>
      </c>
      <c r="D33" s="199">
        <f>C33/B30</f>
        <v>0.1</v>
      </c>
      <c r="E33" s="199"/>
    </row>
    <row r="34" spans="2:6" ht="19" x14ac:dyDescent="0.3">
      <c r="B34" s="188" t="s">
        <v>304</v>
      </c>
      <c r="C34" s="189">
        <v>0.04</v>
      </c>
      <c r="D34" s="199">
        <f>C34/B30</f>
        <v>0.1</v>
      </c>
      <c r="E34" s="199"/>
    </row>
    <row r="35" spans="2:6" ht="19" x14ac:dyDescent="0.3">
      <c r="B35" s="188" t="s">
        <v>175</v>
      </c>
      <c r="C35" s="189">
        <v>0.04</v>
      </c>
      <c r="D35" s="199">
        <f>C35/B30</f>
        <v>0.1</v>
      </c>
      <c r="E35" s="199"/>
    </row>
    <row r="36" spans="2:6" ht="19" x14ac:dyDescent="0.3">
      <c r="B36" s="188" t="s">
        <v>176</v>
      </c>
      <c r="C36" s="189">
        <v>0.04</v>
      </c>
      <c r="D36" s="199">
        <f>C36/B30</f>
        <v>0.1</v>
      </c>
      <c r="E36" s="199"/>
    </row>
    <row r="37" spans="2:6" ht="19" x14ac:dyDescent="0.3">
      <c r="B37" s="188" t="s">
        <v>305</v>
      </c>
      <c r="C37" s="189">
        <v>0.12</v>
      </c>
      <c r="D37" s="199">
        <f>C37/B30</f>
        <v>0.3</v>
      </c>
      <c r="E37" s="199"/>
    </row>
    <row r="38" spans="2:6" ht="19" x14ac:dyDescent="0.3">
      <c r="B38" s="188" t="s">
        <v>178</v>
      </c>
      <c r="C38" s="189">
        <v>0.04</v>
      </c>
      <c r="D38" s="199">
        <f>C38/B30</f>
        <v>0.1</v>
      </c>
      <c r="E38" s="199"/>
    </row>
    <row r="39" spans="2:6" ht="19" x14ac:dyDescent="0.3">
      <c r="B39" s="192" t="s">
        <v>306</v>
      </c>
      <c r="C39" s="259"/>
      <c r="D39" s="199"/>
      <c r="E39" s="199"/>
    </row>
    <row r="40" spans="2:6" ht="15" customHeight="1" x14ac:dyDescent="0.3">
      <c r="B40" s="194">
        <f>SUM(C41:C44)</f>
        <v>0.3</v>
      </c>
      <c r="C40" s="195"/>
      <c r="D40" s="199"/>
      <c r="E40" s="199"/>
    </row>
    <row r="41" spans="2:6" ht="19" x14ac:dyDescent="0.3">
      <c r="B41" s="195" t="s">
        <v>307</v>
      </c>
      <c r="C41" s="196">
        <v>0.08</v>
      </c>
      <c r="D41" s="199">
        <f>C41/B40</f>
        <v>0.26666666666666666</v>
      </c>
      <c r="E41" s="199"/>
    </row>
    <row r="42" spans="2:6" ht="19" x14ac:dyDescent="0.3">
      <c r="B42" s="188" t="s">
        <v>184</v>
      </c>
      <c r="C42" s="189">
        <v>0.08</v>
      </c>
      <c r="D42" s="199">
        <f>C42/B40</f>
        <v>0.26666666666666666</v>
      </c>
      <c r="E42" s="199"/>
    </row>
    <row r="43" spans="2:6" ht="19" x14ac:dyDescent="0.3">
      <c r="B43" s="188" t="s">
        <v>308</v>
      </c>
      <c r="C43" s="189">
        <v>0.08</v>
      </c>
      <c r="D43" s="199">
        <f>C43/B40</f>
        <v>0.26666666666666666</v>
      </c>
      <c r="E43" s="199"/>
    </row>
    <row r="44" spans="2:6" ht="19" x14ac:dyDescent="0.3">
      <c r="B44" s="188" t="s">
        <v>309</v>
      </c>
      <c r="C44" s="189">
        <v>0.06</v>
      </c>
      <c r="D44" s="199">
        <f>C44/B40</f>
        <v>0.2</v>
      </c>
      <c r="E44" s="199"/>
    </row>
    <row r="45" spans="2:6" ht="19" x14ac:dyDescent="0.3">
      <c r="B45" s="192" t="s">
        <v>287</v>
      </c>
      <c r="C45" s="189">
        <f>SUM(C16:C44)</f>
        <v>0.99999999999999978</v>
      </c>
      <c r="D45" s="198"/>
      <c r="E45" s="198"/>
      <c r="F45" s="198"/>
    </row>
    <row r="46" spans="2:6" x14ac:dyDescent="0.2">
      <c r="C46" s="254"/>
      <c r="D46" s="254"/>
      <c r="E46" s="254"/>
    </row>
    <row r="47" spans="2:6" x14ac:dyDescent="0.2">
      <c r="C47" s="254"/>
      <c r="D47" s="254"/>
      <c r="E47" s="254"/>
    </row>
    <row r="48" spans="2:6" x14ac:dyDescent="0.2">
      <c r="C48" s="254"/>
      <c r="D48" s="254"/>
      <c r="E48" s="254"/>
    </row>
    <row r="49" spans="3:9" x14ac:dyDescent="0.2">
      <c r="C49" s="254"/>
      <c r="D49" s="254"/>
      <c r="E49" s="254"/>
    </row>
    <row r="50" spans="3:9" x14ac:dyDescent="0.2">
      <c r="C50" s="254"/>
      <c r="D50" s="254"/>
      <c r="E50" s="254"/>
    </row>
    <row r="51" spans="3:9" x14ac:dyDescent="0.2">
      <c r="C51" s="254"/>
      <c r="D51" s="254"/>
      <c r="E51" s="254"/>
    </row>
    <row r="52" spans="3:9" x14ac:dyDescent="0.2">
      <c r="C52" s="254"/>
      <c r="D52" s="254"/>
      <c r="E52" s="254"/>
    </row>
    <row r="53" spans="3:9" x14ac:dyDescent="0.2">
      <c r="C53" s="254"/>
      <c r="D53" s="254"/>
      <c r="E53" s="254"/>
    </row>
    <row r="54" spans="3:9" x14ac:dyDescent="0.2">
      <c r="C54" s="254"/>
      <c r="D54" s="254"/>
      <c r="E54" s="254"/>
    </row>
    <row r="55" spans="3:9" x14ac:dyDescent="0.2">
      <c r="C55" s="254"/>
      <c r="D55" s="254"/>
      <c r="E55" s="254"/>
    </row>
    <row r="56" spans="3:9" x14ac:dyDescent="0.2">
      <c r="C56" s="254"/>
      <c r="D56" s="254"/>
      <c r="E56" s="254"/>
      <c r="G56" s="187" t="str">
        <f ca="1">INDIRECT("拜访记录!m11")  &amp; ""</f>
        <v/>
      </c>
      <c r="H56" s="187" t="str">
        <f ca="1">INDIRECT("拜访记录!m13")  &amp; ""</f>
        <v/>
      </c>
      <c r="I56" s="187" t="str">
        <f ca="1">INDIRECT("拜访记录!m12")  &amp; ""</f>
        <v/>
      </c>
    </row>
    <row r="57" spans="3:9" x14ac:dyDescent="0.2">
      <c r="C57" s="254"/>
      <c r="D57" s="254"/>
      <c r="E57" s="254"/>
      <c r="F57" s="254"/>
      <c r="G57" s="187" t="str">
        <f ca="1">INDIRECT("拜访记录!n11")  &amp; ""</f>
        <v/>
      </c>
      <c r="H57" s="187" t="str">
        <f ca="1">INDIRECT("拜访记录!n13")  &amp; ""</f>
        <v/>
      </c>
      <c r="I57" s="187" t="str">
        <f ca="1">INDIRECT("拜访记录!n12")  &amp; ""</f>
        <v/>
      </c>
    </row>
  </sheetData>
  <mergeCells count="1">
    <mergeCell ref="D9:H9"/>
  </mergeCell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K89"/>
  <sheetViews>
    <sheetView topLeftCell="A43" zoomScale="110" zoomScaleNormal="110" zoomScaleSheetLayoutView="196" zoomScalePageLayoutView="110" workbookViewId="0">
      <selection activeCell="E71" sqref="E71"/>
    </sheetView>
  </sheetViews>
  <sheetFormatPr baseColWidth="10" defaultColWidth="8.83203125" defaultRowHeight="15" x14ac:dyDescent="0.2"/>
  <cols>
    <col min="1" max="1" width="2.6640625" style="187" customWidth="1"/>
    <col min="2" max="2" width="9.6640625" style="187" customWidth="1"/>
    <col min="3" max="3" width="7" style="187" customWidth="1"/>
    <col min="4" max="4" width="7.6640625" style="187" customWidth="1"/>
    <col min="5" max="5" width="5" style="187" customWidth="1"/>
    <col min="6" max="6" width="4" style="187" customWidth="1"/>
    <col min="7" max="7" width="9.83203125" style="187" customWidth="1"/>
    <col min="8" max="8" width="8.6640625" style="187" customWidth="1"/>
    <col min="9" max="9" width="7.1640625" style="187" customWidth="1"/>
    <col min="10" max="10" width="5" style="220" customWidth="1"/>
    <col min="11" max="11" width="5" style="187" customWidth="1"/>
    <col min="12" max="12" width="1.5" style="187" customWidth="1"/>
    <col min="13" max="14" width="8.83203125" style="187" customWidth="1"/>
    <col min="15" max="16384" width="8.83203125" style="187"/>
  </cols>
  <sheetData>
    <row r="1" spans="1:11" x14ac:dyDescent="0.2">
      <c r="A1" s="200"/>
      <c r="B1" s="200"/>
      <c r="C1" s="200"/>
      <c r="D1" s="200"/>
      <c r="E1" s="200"/>
      <c r="F1" s="200"/>
      <c r="G1" s="200"/>
      <c r="H1" s="200"/>
      <c r="I1" s="200"/>
      <c r="J1" s="201"/>
      <c r="K1" s="200"/>
    </row>
    <row r="2" spans="1:11" x14ac:dyDescent="0.2">
      <c r="A2" s="200"/>
      <c r="B2" s="200"/>
      <c r="C2" s="200"/>
      <c r="D2" s="200"/>
      <c r="E2" s="200"/>
      <c r="F2" s="200"/>
      <c r="G2" s="200"/>
      <c r="H2" s="200"/>
      <c r="I2" s="200"/>
      <c r="J2" s="201"/>
      <c r="K2" s="200"/>
    </row>
    <row r="3" spans="1:11" x14ac:dyDescent="0.2">
      <c r="A3" s="200"/>
      <c r="B3" s="200"/>
      <c r="C3" s="200"/>
      <c r="D3" s="200"/>
      <c r="E3" s="200"/>
      <c r="F3" s="200"/>
      <c r="G3" s="200"/>
      <c r="H3" s="200"/>
      <c r="I3" s="200"/>
      <c r="J3" s="201"/>
      <c r="K3" s="200"/>
    </row>
    <row r="4" spans="1:11" x14ac:dyDescent="0.2">
      <c r="A4" s="200"/>
      <c r="B4" s="200"/>
      <c r="C4" s="200"/>
      <c r="D4" s="200"/>
      <c r="E4" s="200"/>
      <c r="F4" s="200"/>
      <c r="G4" s="200"/>
      <c r="H4" s="200"/>
      <c r="I4" s="200"/>
      <c r="J4" s="201"/>
      <c r="K4" s="200"/>
    </row>
    <row r="5" spans="1:11" x14ac:dyDescent="0.2">
      <c r="A5" s="200"/>
      <c r="B5" s="200"/>
      <c r="C5" s="200"/>
      <c r="D5" s="200"/>
      <c r="E5" s="200"/>
      <c r="F5" s="200"/>
      <c r="G5" s="200"/>
      <c r="H5" s="200"/>
      <c r="I5" s="200"/>
      <c r="J5" s="201"/>
      <c r="K5" s="200"/>
    </row>
    <row r="6" spans="1:11" x14ac:dyDescent="0.2">
      <c r="A6" s="200"/>
      <c r="B6" s="200"/>
      <c r="C6" s="200"/>
      <c r="D6" s="200"/>
      <c r="E6" s="200"/>
      <c r="F6" s="200"/>
      <c r="G6" s="200"/>
      <c r="H6" s="200"/>
      <c r="I6" s="200"/>
      <c r="J6" s="201"/>
      <c r="K6" s="200"/>
    </row>
    <row r="7" spans="1:11" x14ac:dyDescent="0.2">
      <c r="A7" s="200"/>
      <c r="B7" s="200"/>
      <c r="C7" s="200"/>
      <c r="D7" s="200"/>
      <c r="E7" s="200"/>
      <c r="F7" s="200"/>
      <c r="G7" s="200"/>
      <c r="H7" s="200"/>
      <c r="I7" s="200"/>
      <c r="J7" s="201"/>
      <c r="K7" s="200"/>
    </row>
    <row r="8" spans="1:11" ht="15" customHeight="1" x14ac:dyDescent="0.2">
      <c r="A8" s="200"/>
      <c r="B8" s="200"/>
      <c r="C8" s="200"/>
      <c r="D8" s="200"/>
      <c r="E8" s="200"/>
      <c r="F8" s="200"/>
      <c r="G8" s="200"/>
      <c r="H8" s="200"/>
      <c r="I8" s="200"/>
      <c r="J8" s="201"/>
      <c r="K8" s="200"/>
    </row>
    <row r="9" spans="1:11" ht="42" customHeight="1" x14ac:dyDescent="0.2">
      <c r="C9" s="202"/>
      <c r="D9" s="369" t="s">
        <v>324</v>
      </c>
      <c r="E9" s="369"/>
      <c r="F9" s="369"/>
      <c r="G9" s="369"/>
      <c r="H9" s="369"/>
      <c r="I9" s="202"/>
      <c r="J9" s="202"/>
      <c r="K9" s="202"/>
    </row>
    <row r="10" spans="1:11" ht="15" customHeight="1" x14ac:dyDescent="0.2">
      <c r="A10" s="202"/>
      <c r="B10" s="202"/>
      <c r="C10" s="202"/>
      <c r="D10" s="202"/>
      <c r="E10" s="202"/>
      <c r="F10" s="202"/>
      <c r="G10" s="202"/>
      <c r="H10" s="202"/>
      <c r="I10" s="202"/>
      <c r="J10" s="203"/>
      <c r="K10" s="202"/>
    </row>
    <row r="11" spans="1:11" ht="15" customHeight="1" x14ac:dyDescent="0.2">
      <c r="A11" s="202"/>
      <c r="B11" s="202"/>
      <c r="C11" s="202"/>
      <c r="D11" s="202"/>
      <c r="E11" s="202"/>
      <c r="F11" s="202"/>
      <c r="G11" s="202"/>
      <c r="H11" s="202"/>
      <c r="I11" s="202"/>
      <c r="J11" s="203"/>
      <c r="K11" s="202"/>
    </row>
    <row r="12" spans="1:11" ht="9.75" customHeight="1" x14ac:dyDescent="0.2">
      <c r="A12" s="200"/>
      <c r="B12" s="200"/>
      <c r="C12" s="200"/>
      <c r="D12" s="200"/>
      <c r="E12" s="200"/>
      <c r="F12" s="200"/>
      <c r="G12" s="200"/>
      <c r="H12" s="200"/>
      <c r="I12" s="200"/>
      <c r="J12" s="201"/>
      <c r="K12" s="200"/>
    </row>
    <row r="13" spans="1:11" hidden="1" x14ac:dyDescent="0.2">
      <c r="A13" s="200"/>
      <c r="B13" s="200"/>
      <c r="C13" s="200"/>
      <c r="D13" s="200"/>
      <c r="E13" s="200"/>
      <c r="F13" s="200"/>
      <c r="G13" s="200"/>
      <c r="H13" s="200"/>
      <c r="I13" s="200"/>
      <c r="J13" s="201"/>
      <c r="K13" s="200"/>
    </row>
    <row r="14" spans="1:11" ht="34.5" customHeight="1" x14ac:dyDescent="0.2">
      <c r="A14" s="200"/>
      <c r="C14" s="260"/>
      <c r="D14" s="260"/>
      <c r="E14" s="370" t="s">
        <v>325</v>
      </c>
      <c r="F14" s="370"/>
      <c r="G14" s="370"/>
      <c r="H14" s="260"/>
      <c r="I14" s="260"/>
      <c r="J14" s="260"/>
      <c r="K14" s="200"/>
    </row>
    <row r="15" spans="1:11" x14ac:dyDescent="0.2">
      <c r="A15" s="200"/>
      <c r="B15" s="200"/>
      <c r="C15" s="200"/>
      <c r="D15" s="200"/>
      <c r="E15" s="200"/>
      <c r="F15" s="200"/>
      <c r="G15" s="200"/>
      <c r="H15" s="200"/>
      <c r="I15" s="200"/>
      <c r="J15" s="201"/>
      <c r="K15" s="200"/>
    </row>
    <row r="16" spans="1:11" x14ac:dyDescent="0.2">
      <c r="A16" s="200"/>
      <c r="B16" s="200"/>
      <c r="C16" s="200"/>
      <c r="D16" s="200"/>
      <c r="E16" s="200"/>
      <c r="F16" s="200"/>
      <c r="G16" s="200"/>
      <c r="H16" s="200"/>
      <c r="I16" s="200"/>
      <c r="J16" s="201"/>
      <c r="K16" s="200"/>
    </row>
    <row r="17" spans="1:11" ht="35" x14ac:dyDescent="0.35">
      <c r="C17" s="261"/>
      <c r="D17" s="261"/>
      <c r="E17" s="371" t="s">
        <v>310</v>
      </c>
      <c r="F17" s="371"/>
      <c r="G17" s="371"/>
      <c r="H17" s="261"/>
      <c r="I17" s="261"/>
      <c r="J17" s="261"/>
      <c r="K17" s="251"/>
    </row>
    <row r="18" spans="1:11" x14ac:dyDescent="0.2">
      <c r="A18" s="200"/>
      <c r="B18" s="200"/>
      <c r="C18" s="200"/>
      <c r="D18" s="200"/>
      <c r="E18" s="200"/>
      <c r="F18" s="200"/>
      <c r="G18" s="200"/>
      <c r="H18" s="200"/>
      <c r="I18" s="200"/>
      <c r="J18" s="201"/>
      <c r="K18" s="200"/>
    </row>
    <row r="19" spans="1:11" x14ac:dyDescent="0.2">
      <c r="A19" s="200"/>
      <c r="B19" s="200"/>
      <c r="C19" s="200"/>
      <c r="D19" s="200"/>
      <c r="E19" s="200"/>
      <c r="F19" s="200"/>
      <c r="G19" s="200"/>
      <c r="H19" s="200"/>
      <c r="I19" s="200"/>
      <c r="J19" s="201"/>
      <c r="K19" s="200"/>
    </row>
    <row r="20" spans="1:11" ht="21" x14ac:dyDescent="0.2">
      <c r="A20" s="252"/>
      <c r="B20" s="252"/>
      <c r="C20" s="252"/>
      <c r="D20" s="252"/>
      <c r="E20" s="252"/>
      <c r="F20" s="252"/>
      <c r="G20" s="252"/>
      <c r="H20" s="252"/>
      <c r="I20" s="252"/>
      <c r="J20" s="252"/>
      <c r="K20" s="252"/>
    </row>
    <row r="21" spans="1:11" x14ac:dyDescent="0.2">
      <c r="A21" s="200"/>
      <c r="B21" s="200"/>
      <c r="C21" s="200"/>
      <c r="D21" s="200"/>
      <c r="E21" s="200"/>
      <c r="F21" s="200"/>
      <c r="G21" s="200"/>
      <c r="H21" s="200"/>
      <c r="I21" s="200"/>
      <c r="J21" s="201"/>
      <c r="K21" s="200"/>
    </row>
    <row r="22" spans="1:11" x14ac:dyDescent="0.2">
      <c r="A22" s="200"/>
      <c r="B22" s="200"/>
      <c r="C22" s="200"/>
      <c r="D22" s="200"/>
      <c r="E22" s="200"/>
      <c r="F22" s="200"/>
      <c r="G22" s="200"/>
      <c r="H22" s="200"/>
      <c r="I22" s="200"/>
      <c r="J22" s="201"/>
      <c r="K22" s="200"/>
    </row>
    <row r="23" spans="1:11" x14ac:dyDescent="0.2">
      <c r="A23" s="200"/>
      <c r="B23" s="200"/>
      <c r="C23" s="200"/>
      <c r="D23" s="200"/>
      <c r="E23" s="200"/>
      <c r="F23" s="200"/>
      <c r="G23" s="200"/>
      <c r="H23" s="200"/>
      <c r="I23" s="200"/>
      <c r="J23" s="201"/>
      <c r="K23" s="200"/>
    </row>
    <row r="24" spans="1:11" x14ac:dyDescent="0.2">
      <c r="A24" s="200"/>
      <c r="B24" s="200"/>
      <c r="C24" s="200"/>
      <c r="D24" s="200"/>
      <c r="E24" s="200"/>
      <c r="F24" s="200"/>
      <c r="G24" s="200"/>
      <c r="H24" s="200"/>
      <c r="I24" s="200"/>
      <c r="J24" s="201"/>
      <c r="K24" s="200"/>
    </row>
    <row r="25" spans="1:11" x14ac:dyDescent="0.2">
      <c r="A25" s="200"/>
      <c r="B25" s="200"/>
      <c r="C25" s="200"/>
      <c r="D25" s="200"/>
      <c r="E25" s="200"/>
      <c r="F25" s="200"/>
      <c r="G25" s="200"/>
      <c r="H25" s="200"/>
      <c r="I25" s="200"/>
      <c r="J25" s="201"/>
      <c r="K25" s="200"/>
    </row>
    <row r="26" spans="1:11" x14ac:dyDescent="0.2">
      <c r="A26" s="200"/>
      <c r="B26" s="200"/>
      <c r="C26" s="200"/>
      <c r="D26" s="200"/>
      <c r="E26" s="200"/>
      <c r="F26" s="200"/>
      <c r="G26" s="200"/>
      <c r="H26" s="200"/>
      <c r="I26" s="200"/>
      <c r="J26" s="201"/>
      <c r="K26" s="200"/>
    </row>
    <row r="27" spans="1:11" x14ac:dyDescent="0.2">
      <c r="A27" s="200"/>
      <c r="B27" s="200"/>
      <c r="C27" s="200"/>
      <c r="D27" s="200"/>
      <c r="E27" s="200"/>
      <c r="F27" s="200"/>
      <c r="G27" s="200"/>
      <c r="H27" s="200"/>
      <c r="I27" s="200"/>
      <c r="J27" s="201"/>
      <c r="K27" s="200"/>
    </row>
    <row r="28" spans="1:11" x14ac:dyDescent="0.2">
      <c r="A28" s="200"/>
      <c r="B28" s="200"/>
      <c r="C28" s="200"/>
      <c r="D28" s="200"/>
      <c r="E28" s="200"/>
      <c r="F28" s="200"/>
      <c r="G28" s="200"/>
      <c r="H28" s="200"/>
      <c r="I28" s="200"/>
      <c r="J28" s="201"/>
      <c r="K28" s="200"/>
    </row>
    <row r="29" spans="1:11" x14ac:dyDescent="0.2">
      <c r="A29" s="200"/>
      <c r="B29" s="200"/>
      <c r="C29" s="200"/>
      <c r="D29" s="262"/>
      <c r="E29" s="262"/>
      <c r="F29" s="262"/>
      <c r="G29" s="262"/>
      <c r="H29" s="262"/>
      <c r="I29" s="200"/>
      <c r="J29" s="201"/>
      <c r="K29" s="200"/>
    </row>
    <row r="30" spans="1:11" ht="26" x14ac:dyDescent="0.2">
      <c r="A30" s="204"/>
      <c r="B30" s="205"/>
      <c r="C30" s="205"/>
      <c r="D30" s="372" t="s">
        <v>326</v>
      </c>
      <c r="E30" s="372"/>
      <c r="F30" s="372"/>
      <c r="G30" s="373">
        <f ca="1">TODAY()</f>
        <v>42810</v>
      </c>
      <c r="H30" s="373"/>
      <c r="I30" s="205"/>
      <c r="J30" s="206"/>
      <c r="K30" s="205"/>
    </row>
    <row r="31" spans="1:11" ht="28" customHeight="1" x14ac:dyDescent="0.2">
      <c r="A31" s="204"/>
      <c r="B31" s="204"/>
      <c r="C31" s="204"/>
      <c r="D31" s="372" t="s">
        <v>327</v>
      </c>
      <c r="E31" s="372"/>
      <c r="F31" s="372"/>
      <c r="G31" s="374" t="str">
        <f ca="1">INDIRECT("访谈内容!c3") &amp; ""</f>
        <v>黄颖欣</v>
      </c>
      <c r="H31" s="374"/>
      <c r="I31" s="204"/>
      <c r="J31" s="207"/>
      <c r="K31" s="204"/>
    </row>
    <row r="32" spans="1:11" ht="29" customHeight="1" x14ac:dyDescent="0.2">
      <c r="A32" s="204"/>
      <c r="B32" s="204"/>
      <c r="C32" s="204"/>
      <c r="D32" s="372" t="s">
        <v>328</v>
      </c>
      <c r="E32" s="372"/>
      <c r="F32" s="372"/>
      <c r="G32" s="374" t="s">
        <v>329</v>
      </c>
      <c r="H32" s="374"/>
      <c r="I32" s="204"/>
      <c r="J32" s="207"/>
      <c r="K32" s="204"/>
    </row>
    <row r="33" spans="1:11" ht="27" customHeight="1" x14ac:dyDescent="0.2">
      <c r="A33" s="204"/>
      <c r="B33" s="204"/>
      <c r="C33" s="204"/>
      <c r="D33" s="375" t="s">
        <v>330</v>
      </c>
      <c r="E33" s="375"/>
      <c r="F33" s="375"/>
      <c r="G33" s="376" t="str">
        <f ca="1">INDIRECT("访谈内容!c4") &amp; ""</f>
        <v>76030116</v>
      </c>
      <c r="H33" s="376"/>
      <c r="I33" s="204"/>
      <c r="J33" s="207"/>
      <c r="K33" s="204"/>
    </row>
    <row r="34" spans="1:11" x14ac:dyDescent="0.2">
      <c r="A34" s="200"/>
      <c r="B34" s="200"/>
      <c r="C34" s="200"/>
      <c r="D34" s="200"/>
      <c r="E34" s="200"/>
      <c r="F34" s="200"/>
      <c r="G34" s="200"/>
      <c r="H34" s="200"/>
      <c r="I34" s="200"/>
      <c r="J34" s="201"/>
      <c r="K34" s="200"/>
    </row>
    <row r="35" spans="1:11" x14ac:dyDescent="0.2">
      <c r="A35" s="200"/>
      <c r="B35" s="200"/>
      <c r="C35" s="200"/>
      <c r="D35" s="200"/>
      <c r="E35" s="200"/>
      <c r="F35" s="200"/>
      <c r="G35" s="200"/>
      <c r="H35" s="200"/>
      <c r="I35" s="200"/>
      <c r="J35" s="201"/>
      <c r="K35" s="200"/>
    </row>
    <row r="36" spans="1:11" x14ac:dyDescent="0.2">
      <c r="A36" s="200"/>
      <c r="B36" s="200"/>
      <c r="C36" s="200"/>
      <c r="D36" s="200"/>
      <c r="E36" s="200"/>
      <c r="F36" s="200"/>
      <c r="G36" s="200"/>
      <c r="H36" s="200"/>
      <c r="I36" s="200"/>
      <c r="J36" s="201"/>
      <c r="K36" s="200"/>
    </row>
    <row r="37" spans="1:11" x14ac:dyDescent="0.2">
      <c r="A37" s="200"/>
      <c r="B37" s="200"/>
      <c r="C37" s="200"/>
      <c r="D37" s="200"/>
      <c r="E37" s="200"/>
      <c r="F37" s="200"/>
      <c r="G37" s="200"/>
      <c r="H37" s="200"/>
      <c r="I37" s="200"/>
      <c r="J37" s="201"/>
      <c r="K37" s="200"/>
    </row>
    <row r="38" spans="1:11" x14ac:dyDescent="0.2">
      <c r="A38" s="200"/>
      <c r="B38" s="200"/>
      <c r="C38" s="200"/>
      <c r="D38" s="200"/>
      <c r="E38" s="200"/>
      <c r="F38" s="200"/>
      <c r="G38" s="200"/>
      <c r="H38" s="200"/>
      <c r="I38" s="200"/>
      <c r="J38" s="201"/>
      <c r="K38" s="200"/>
    </row>
    <row r="39" spans="1:11" x14ac:dyDescent="0.2">
      <c r="A39" s="200"/>
      <c r="B39" s="200"/>
      <c r="C39" s="200"/>
      <c r="D39" s="200"/>
      <c r="E39" s="200"/>
      <c r="F39" s="200"/>
      <c r="G39" s="200"/>
      <c r="H39" s="200"/>
      <c r="I39" s="200"/>
      <c r="J39" s="201"/>
      <c r="K39" s="200"/>
    </row>
    <row r="40" spans="1:11" ht="16" x14ac:dyDescent="0.2">
      <c r="B40" s="208" t="s">
        <v>331</v>
      </c>
      <c r="C40" s="208" t="str">
        <f ca="1">G31</f>
        <v>黄颖欣</v>
      </c>
      <c r="D40" s="209"/>
      <c r="E40" s="209"/>
      <c r="F40" s="209"/>
      <c r="H40" s="377" t="s">
        <v>332</v>
      </c>
      <c r="I40" s="378"/>
      <c r="J40" s="379"/>
    </row>
    <row r="41" spans="1:11" x14ac:dyDescent="0.2">
      <c r="B41" s="208" t="s">
        <v>333</v>
      </c>
      <c r="C41" s="208" t="str">
        <f ca="1">G33</f>
        <v>76030116</v>
      </c>
      <c r="D41" s="208"/>
      <c r="E41" s="208"/>
      <c r="F41" s="209"/>
      <c r="H41" s="210" t="s">
        <v>334</v>
      </c>
      <c r="I41" s="211" t="s">
        <v>311</v>
      </c>
      <c r="J41" s="212">
        <f ca="1">J77</f>
        <v>1.3499999999999999</v>
      </c>
    </row>
    <row r="42" spans="1:11" x14ac:dyDescent="0.2">
      <c r="B42" s="208" t="s">
        <v>335</v>
      </c>
      <c r="C42" s="213" t="str">
        <f ca="1">INDIRECT("拜访记录!C5") &amp; ""</f>
        <v>22/23/2017</v>
      </c>
      <c r="D42" s="213"/>
      <c r="E42" s="213"/>
      <c r="F42" s="208"/>
      <c r="H42" s="210" t="s">
        <v>336</v>
      </c>
      <c r="I42" s="211" t="s">
        <v>312</v>
      </c>
      <c r="J42" s="212">
        <f ca="1">J85</f>
        <v>2.2249999999999996</v>
      </c>
    </row>
    <row r="43" spans="1:11" x14ac:dyDescent="0.2">
      <c r="H43" s="210" t="s">
        <v>60</v>
      </c>
      <c r="I43" s="211" t="s">
        <v>313</v>
      </c>
      <c r="J43" s="212">
        <f ca="1">J60</f>
        <v>1.8574999999999999</v>
      </c>
    </row>
    <row r="44" spans="1:11" x14ac:dyDescent="0.2">
      <c r="B44" s="214"/>
      <c r="C44" s="214"/>
      <c r="D44" s="214"/>
      <c r="E44" s="214"/>
      <c r="F44" s="214"/>
      <c r="H44" s="215" t="s">
        <v>337</v>
      </c>
      <c r="I44" s="216" t="s">
        <v>314</v>
      </c>
      <c r="J44" s="217">
        <f ca="1">SUM(J41:J43)</f>
        <v>5.4324999999999992</v>
      </c>
    </row>
    <row r="45" spans="1:11" ht="16" customHeight="1" x14ac:dyDescent="0.2">
      <c r="B45" s="218" t="s">
        <v>315</v>
      </c>
      <c r="C45" s="219"/>
      <c r="D45" s="219"/>
      <c r="E45" s="219"/>
      <c r="F45" s="219"/>
      <c r="G45" s="219"/>
    </row>
    <row r="46" spans="1:11" s="209" customFormat="1" ht="16" customHeight="1" x14ac:dyDescent="0.15">
      <c r="B46" s="221"/>
      <c r="C46" s="221" t="s">
        <v>316</v>
      </c>
      <c r="D46" s="221"/>
      <c r="E46" s="221"/>
      <c r="F46" s="221"/>
      <c r="G46" s="221" t="s">
        <v>317</v>
      </c>
      <c r="H46" s="221" t="s">
        <v>318</v>
      </c>
      <c r="I46" s="221" t="s">
        <v>338</v>
      </c>
      <c r="J46" s="222"/>
      <c r="K46" s="222"/>
    </row>
    <row r="47" spans="1:11" ht="16" customHeight="1" x14ac:dyDescent="0.2">
      <c r="B47" s="187">
        <f ca="1">IF(ISBLANK(INDIRECT("拜访记录!c10")), "", 1)</f>
        <v>1</v>
      </c>
      <c r="C47" s="223" t="str">
        <f ca="1">INDIRECT("拜访记录!C10")  &amp; ""</f>
        <v>中山大学附属第三医院</v>
      </c>
      <c r="D47" s="223"/>
      <c r="E47" s="223"/>
      <c r="G47" s="223" t="str">
        <f ca="1">INDIRECT("拜访记录!C11")  &amp; ""</f>
        <v>李慧</v>
      </c>
      <c r="H47" s="223" t="str">
        <f ca="1">INDIRECT("拜访记录!C13")  &amp; ""</f>
        <v/>
      </c>
      <c r="I47" s="223" t="str">
        <f ca="1">INDIRECT("拜访记录!C12")  &amp; ""</f>
        <v>10:22 -10:28</v>
      </c>
    </row>
    <row r="48" spans="1:11" ht="16" customHeight="1" x14ac:dyDescent="0.2">
      <c r="B48" s="187">
        <f ca="1">IF(ISBLANK(INDIRECT("拜访记录!d10")), "", 2)</f>
        <v>2</v>
      </c>
      <c r="C48" s="223" t="str">
        <f ca="1">INDIRECT("拜访记录!D10")  &amp; ""</f>
        <v>中山大学附属第三医院</v>
      </c>
      <c r="D48" s="223"/>
      <c r="E48" s="223"/>
      <c r="G48" s="223" t="str">
        <f ca="1">INDIRECT("拜访记录!D11")  &amp; ""</f>
        <v>林登娜</v>
      </c>
      <c r="H48" s="223" t="str">
        <f ca="1">INDIRECT("拜访记录!D13")  &amp; ""</f>
        <v>感染科</v>
      </c>
      <c r="I48" s="223" t="str">
        <f ca="1">INDIRECT("拜访记录!D12")  &amp; ""</f>
        <v>11:00-1100</v>
      </c>
    </row>
    <row r="49" spans="1:11" ht="16" customHeight="1" x14ac:dyDescent="0.2">
      <c r="B49" s="187">
        <f ca="1">IF(ISBLANK(INDIRECT("拜访记录!e10")), "", 3)</f>
        <v>3</v>
      </c>
      <c r="C49" s="223" t="str">
        <f ca="1">INDIRECT("拜访记录!E10")  &amp; ""</f>
        <v>中山大学附属第三医院</v>
      </c>
      <c r="D49" s="223"/>
      <c r="E49" s="223"/>
      <c r="G49" s="223" t="str">
        <f ca="1">INDIRECT("拜访记录!E11")  &amp; ""</f>
        <v>李展翼</v>
      </c>
      <c r="H49" s="223" t="str">
        <f ca="1">INDIRECT("拜访记录!E13")  &amp; ""</f>
        <v>感染科</v>
      </c>
      <c r="I49" s="223" t="str">
        <f ca="1">INDIRECT("拜访记录!E12")  &amp; ""</f>
        <v>11:20  11:22</v>
      </c>
    </row>
    <row r="50" spans="1:11" ht="16" customHeight="1" x14ac:dyDescent="0.2">
      <c r="B50" s="187">
        <f ca="1">IF(ISBLANK(INDIRECT("拜访记录!f10")), "", 4)</f>
        <v>4</v>
      </c>
      <c r="C50" s="223" t="str">
        <f ca="1">INDIRECT("拜访记录!F10")  &amp; ""</f>
        <v>中山大学附属第三医院</v>
      </c>
      <c r="D50" s="223"/>
      <c r="E50" s="223"/>
      <c r="G50" s="223" t="str">
        <f ca="1">INDIRECT("拜访记录!F11")  &amp; ""</f>
        <v>邓子德</v>
      </c>
      <c r="H50" s="223" t="str">
        <f ca="1">INDIRECT("拜访记录!F13")  &amp; ""</f>
        <v>感染科</v>
      </c>
      <c r="I50" s="223" t="str">
        <f ca="1">INDIRECT("拜访记录!F12")  &amp; ""</f>
        <v>11:45-11:46</v>
      </c>
    </row>
    <row r="51" spans="1:11" ht="16" customHeight="1" x14ac:dyDescent="0.2">
      <c r="B51" s="187">
        <f ca="1">IF(ISBLANK(INDIRECT("拜访记录!g10")), "", 5)</f>
        <v>5</v>
      </c>
      <c r="C51" s="223" t="str">
        <f ca="1">INDIRECT("拜访记录!G10")  &amp; ""</f>
        <v>中山大学附属第三医院</v>
      </c>
      <c r="D51" s="223"/>
      <c r="E51" s="223"/>
      <c r="G51" s="223" t="str">
        <f ca="1">INDIRECT("拜访记录!G11")  &amp; ""</f>
        <v>汪根树</v>
      </c>
      <c r="H51" s="223" t="str">
        <f ca="1">INDIRECT("拜访记录!G13")  &amp; ""</f>
        <v>肝胆外科</v>
      </c>
      <c r="I51" s="223" t="str">
        <f ca="1">INDIRECT("拜访记录!G12")  &amp; ""</f>
        <v>16:20-16:02</v>
      </c>
    </row>
    <row r="52" spans="1:11" ht="16" customHeight="1" x14ac:dyDescent="0.2">
      <c r="B52" s="187">
        <f ca="1">IF(ISBLANK(INDIRECT("拜访记录!h10")), "", 6)</f>
        <v>6</v>
      </c>
      <c r="C52" s="223" t="str">
        <f ca="1">INDIRECT("拜访记录!H10")  &amp; ""</f>
        <v>中山大学附属第三医院</v>
      </c>
      <c r="D52" s="223"/>
      <c r="E52" s="223"/>
      <c r="G52" s="223" t="str">
        <f ca="1">INDIRECT("拜访记录!H11")  &amp; ""</f>
        <v>的事</v>
      </c>
      <c r="H52" s="223" t="str">
        <f ca="1">INDIRECT("拜访记录!H13")  &amp; ""</f>
        <v>感染科</v>
      </c>
      <c r="I52" s="223" t="str">
        <f ca="1">INDIRECT("拜访记录!H12")  &amp; ""</f>
        <v>16:10---16:12</v>
      </c>
    </row>
    <row r="53" spans="1:11" ht="16" customHeight="1" x14ac:dyDescent="0.2">
      <c r="B53" s="187">
        <f ca="1">IF(ISBLANK(INDIRECT("拜访记录!i10")), "", 7)</f>
        <v>7</v>
      </c>
      <c r="C53" s="223" t="str">
        <f ca="1">INDIRECT("拜访记录!i10")  &amp; ""</f>
        <v>中山大学附属第三医院</v>
      </c>
      <c r="D53" s="223"/>
      <c r="E53" s="223"/>
      <c r="G53" s="223" t="str">
        <f ca="1">INDIRECT("拜访记录!i11")  &amp; ""</f>
        <v/>
      </c>
      <c r="H53" s="223" t="str">
        <f ca="1">INDIRECT("拜访记录!i13")  &amp; ""</f>
        <v>感染科</v>
      </c>
      <c r="I53" s="223" t="str">
        <f ca="1">INDIRECT("拜访记录!i12")  &amp; ""</f>
        <v>1730-16:35</v>
      </c>
    </row>
    <row r="54" spans="1:11" ht="16" customHeight="1" x14ac:dyDescent="0.2">
      <c r="B54" s="187">
        <f ca="1">IF(ISBLANK(INDIRECT("拜访记录!j10")), "", 8)</f>
        <v>8</v>
      </c>
      <c r="C54" s="223" t="str">
        <f ca="1">INDIRECT("拜访记录!j10")  &amp; ""</f>
        <v>中山大学附属第三医院</v>
      </c>
      <c r="D54" s="223"/>
      <c r="E54" s="223"/>
      <c r="G54" s="223" t="str">
        <f ca="1">INDIRECT("拜访记录!j11")  &amp; ""</f>
        <v>姜楠</v>
      </c>
      <c r="H54" s="223" t="str">
        <f ca="1">INDIRECT("拜访记录!j13")  &amp; ""</f>
        <v>肝脏外科</v>
      </c>
      <c r="I54" s="223" t="str">
        <f ca="1">INDIRECT("拜访记录!j12")  &amp; ""</f>
        <v>17:45-17:47</v>
      </c>
      <c r="J54" s="224"/>
    </row>
    <row r="55" spans="1:11" ht="16" customHeight="1" x14ac:dyDescent="0.2">
      <c r="B55" s="187" t="str">
        <f ca="1">IF(ISBLANK(INDIRECT("拜访记录!k10")), "", 9)</f>
        <v/>
      </c>
      <c r="C55" s="223" t="str">
        <f ca="1">INDIRECT("拜访记录!k10")  &amp; ""</f>
        <v/>
      </c>
      <c r="D55" s="223"/>
      <c r="E55" s="223"/>
      <c r="G55" s="223" t="str">
        <f ca="1">INDIRECT("拜访记录!k11")  &amp; ""</f>
        <v/>
      </c>
      <c r="H55" s="223" t="str">
        <f ca="1">INDIRECT("拜访记录!k13")  &amp; ""</f>
        <v/>
      </c>
      <c r="I55" s="223" t="str">
        <f ca="1">INDIRECT("拜访记录!k12")  &amp; ""</f>
        <v/>
      </c>
      <c r="J55" s="224"/>
    </row>
    <row r="56" spans="1:11" ht="16" customHeight="1" x14ac:dyDescent="0.2">
      <c r="B56" s="187" t="str">
        <f ca="1">IF(ISBLANK(INDIRECT("拜访记录!l10")), "", 10)</f>
        <v/>
      </c>
      <c r="C56" s="223" t="str">
        <f ca="1">INDIRECT("拜访记录!l10")  &amp; ""</f>
        <v/>
      </c>
      <c r="D56" s="223"/>
      <c r="E56" s="223"/>
      <c r="G56" s="223" t="str">
        <f ca="1">INDIRECT("拜访记录!l11")  &amp; ""</f>
        <v/>
      </c>
      <c r="H56" s="223" t="str">
        <f ca="1">INDIRECT("拜访记录!l13")  &amp; ""</f>
        <v/>
      </c>
      <c r="I56" s="223" t="str">
        <f ca="1">INDIRECT("拜访记录!l12")  &amp; ""</f>
        <v/>
      </c>
      <c r="J56" s="224"/>
    </row>
    <row r="57" spans="1:11" ht="16" customHeight="1" x14ac:dyDescent="0.2">
      <c r="B57" s="187" t="str">
        <f ca="1">IF(ISBLANK(INDIRECT("拜访记录!m10")), "", 11)</f>
        <v/>
      </c>
      <c r="C57" s="223" t="str">
        <f ca="1">INDIRECT("拜访记录!m10")  &amp; ""</f>
        <v/>
      </c>
      <c r="D57" s="223" t="str">
        <f ca="1">INDIRECT("拜访记录!m11")  &amp; ""</f>
        <v/>
      </c>
      <c r="E57" s="223"/>
      <c r="G57" s="223" t="str">
        <f ca="1">INDIRECT("拜访记录!m11")  &amp; ""</f>
        <v/>
      </c>
      <c r="H57" s="223" t="str">
        <f ca="1">INDIRECT("拜访记录!m13")  &amp; ""</f>
        <v/>
      </c>
      <c r="I57" s="223" t="str">
        <f ca="1">INDIRECT("拜访记录!m12")  &amp; ""</f>
        <v/>
      </c>
      <c r="J57" s="224"/>
    </row>
    <row r="58" spans="1:11" ht="16" customHeight="1" x14ac:dyDescent="0.2">
      <c r="B58" s="226" t="str">
        <f ca="1">IF(ISBLANK(INDIRECT("拜访记录!n10")), "", 12)</f>
        <v/>
      </c>
      <c r="C58" s="227" t="str">
        <f ca="1">INDIRECT("拜访记录!n10")  &amp; ""</f>
        <v/>
      </c>
      <c r="D58" s="227" t="str">
        <f ca="1">INDIRECT("拜访记录!n11")  &amp; ""</f>
        <v/>
      </c>
      <c r="E58" s="227"/>
      <c r="F58" s="227"/>
      <c r="G58" s="227" t="str">
        <f ca="1">INDIRECT("拜访记录!n11")  &amp; ""</f>
        <v/>
      </c>
      <c r="H58" s="227" t="str">
        <f ca="1">INDIRECT("拜访记录!n13")  &amp; ""</f>
        <v/>
      </c>
      <c r="I58" s="227" t="str">
        <f ca="1">INDIRECT("拜访记录!n12")  &amp; ""</f>
        <v/>
      </c>
      <c r="J58" s="228"/>
      <c r="K58" s="228"/>
    </row>
    <row r="59" spans="1:11" ht="16" customHeight="1" x14ac:dyDescent="0.2">
      <c r="H59" s="225"/>
      <c r="I59" s="200"/>
      <c r="J59" s="224"/>
    </row>
    <row r="60" spans="1:11" ht="20" customHeight="1" x14ac:dyDescent="0.2">
      <c r="B60" s="218" t="s">
        <v>60</v>
      </c>
      <c r="C60" s="218"/>
      <c r="D60" s="367" t="s">
        <v>319</v>
      </c>
      <c r="E60" s="367"/>
      <c r="F60" s="367"/>
      <c r="G60" s="368"/>
      <c r="H60" s="368"/>
      <c r="I60" s="368"/>
      <c r="J60" s="263">
        <f ca="1">E61*INDIRECT("权重!B15") + E70*INDIRECT("权重!B22")+J61*INDIRECT("权重!B30")+J70*INDIRECT("权重!B40")</f>
        <v>1.8574999999999999</v>
      </c>
    </row>
    <row r="61" spans="1:11" ht="18" customHeight="1" x14ac:dyDescent="0.2">
      <c r="A61" s="200"/>
      <c r="B61" s="278" t="s">
        <v>339</v>
      </c>
      <c r="C61" s="279" t="s">
        <v>340</v>
      </c>
      <c r="D61" s="280" t="s">
        <v>319</v>
      </c>
      <c r="E61" s="264">
        <f ca="1">E62 * INDIRECT("权重!D16") + E63 *  INDIRECT("权重!D17") + E64 *  INDIRECT("权重!D18") + E65 *  INDIRECT("权重!D19") + E66 *  INDIRECT("权重!D20")</f>
        <v>1.54375</v>
      </c>
      <c r="F61" s="281"/>
      <c r="G61" s="282" t="s">
        <v>341</v>
      </c>
      <c r="H61" s="283" t="s">
        <v>342</v>
      </c>
      <c r="I61" s="284" t="s">
        <v>319</v>
      </c>
      <c r="J61" s="229">
        <f ca="1">J62 *  INDIRECT("权重!D31") + J63 *  INDIRECT("权重!D32") + J64 *  INDIRECT("权重!D33") + J65 *  INDIRECT("权重!D34") + J66 * INDIRECT("权重!D35") + J67 *  INDIRECT("权重!D36") +J68 * INDIRECT("权重!D37")+ J69 *  INDIRECT("权重!D38")</f>
        <v>1.6500000000000001</v>
      </c>
      <c r="K61" s="229"/>
    </row>
    <row r="62" spans="1:11" ht="28" customHeight="1" x14ac:dyDescent="0.2">
      <c r="A62" s="200"/>
      <c r="B62" s="380" t="s">
        <v>343</v>
      </c>
      <c r="C62" s="380"/>
      <c r="D62" s="380"/>
      <c r="E62" s="265">
        <f ca="1">AVERAGE(INDIRECT("拜访记录!C16:n16"))</f>
        <v>3.1875</v>
      </c>
      <c r="F62" s="285" t="s">
        <v>344</v>
      </c>
      <c r="G62" s="381" t="s">
        <v>345</v>
      </c>
      <c r="H62" s="381"/>
      <c r="I62" s="381"/>
      <c r="J62" s="266">
        <f ca="1">AVERAGE(INDIRECT("拜访记录!C41:n41"))</f>
        <v>3</v>
      </c>
      <c r="K62" s="286" t="s">
        <v>344</v>
      </c>
    </row>
    <row r="63" spans="1:11" ht="18" customHeight="1" x14ac:dyDescent="0.2">
      <c r="A63" s="200"/>
      <c r="B63" s="382" t="s">
        <v>346</v>
      </c>
      <c r="C63" s="382"/>
      <c r="D63" s="382"/>
      <c r="E63" s="267">
        <f ca="1">AVERAGE(INDIRECT("拜访记录!C18:n18"))</f>
        <v>6</v>
      </c>
      <c r="F63" s="287" t="s">
        <v>344</v>
      </c>
      <c r="G63" s="383" t="s">
        <v>347</v>
      </c>
      <c r="H63" s="383"/>
      <c r="I63" s="383"/>
      <c r="J63" s="267">
        <f ca="1">AVERAGE(INDIRECT("拜访记录!C43:n43"))</f>
        <v>0.375</v>
      </c>
      <c r="K63" s="288" t="s">
        <v>344</v>
      </c>
    </row>
    <row r="64" spans="1:11" ht="27" customHeight="1" x14ac:dyDescent="0.2">
      <c r="A64" s="200"/>
      <c r="B64" s="382" t="s">
        <v>348</v>
      </c>
      <c r="C64" s="382"/>
      <c r="D64" s="382"/>
      <c r="E64" s="267">
        <f ca="1">AVERAGE(INDIRECT("拜访记录!C20:n20"))</f>
        <v>6.25</v>
      </c>
      <c r="F64" s="287" t="s">
        <v>344</v>
      </c>
      <c r="G64" s="384" t="s">
        <v>349</v>
      </c>
      <c r="H64" s="384"/>
      <c r="I64" s="384"/>
      <c r="J64" s="267">
        <f ca="1">AVERAGE(INDIRECT("拜访记录!C45:n45"))</f>
        <v>1.5</v>
      </c>
      <c r="K64" s="288" t="s">
        <v>344</v>
      </c>
    </row>
    <row r="65" spans="1:11" ht="32.25" customHeight="1" x14ac:dyDescent="0.2">
      <c r="A65" s="200"/>
      <c r="B65" s="385" t="s">
        <v>350</v>
      </c>
      <c r="C65" s="385"/>
      <c r="D65" s="385"/>
      <c r="E65" s="267">
        <f ca="1">AVERAGE(INDIRECT("拜访记录!C23:n23"))</f>
        <v>0</v>
      </c>
      <c r="F65" s="287" t="s">
        <v>344</v>
      </c>
      <c r="G65" s="386" t="s">
        <v>351</v>
      </c>
      <c r="H65" s="387"/>
      <c r="I65" s="388"/>
      <c r="J65" s="267">
        <f ca="1">AVERAGE(INDIRECT("拜访记录!C47:n47"))</f>
        <v>1.125</v>
      </c>
      <c r="K65" s="288" t="s">
        <v>344</v>
      </c>
    </row>
    <row r="66" spans="1:11" ht="18" customHeight="1" x14ac:dyDescent="0.2">
      <c r="A66" s="200"/>
      <c r="B66" s="383" t="s">
        <v>352</v>
      </c>
      <c r="C66" s="383"/>
      <c r="D66" s="383"/>
      <c r="E66" s="267">
        <f ca="1">AVERAGE(INDIRECT("拜访记录!C27:n27"))</f>
        <v>0</v>
      </c>
      <c r="F66" s="287" t="s">
        <v>353</v>
      </c>
      <c r="G66" s="389" t="s">
        <v>354</v>
      </c>
      <c r="H66" s="390"/>
      <c r="I66" s="391"/>
      <c r="J66" s="267">
        <f ca="1">AVERAGE(INDIRECT("拜访记录!C49:n49"))</f>
        <v>2.25</v>
      </c>
      <c r="K66" s="288" t="s">
        <v>344</v>
      </c>
    </row>
    <row r="67" spans="1:11" ht="18" customHeight="1" x14ac:dyDescent="0.2">
      <c r="B67" s="392"/>
      <c r="C67" s="392"/>
      <c r="D67" s="392"/>
      <c r="E67" s="268"/>
      <c r="F67" s="289"/>
      <c r="G67" s="393" t="s">
        <v>355</v>
      </c>
      <c r="H67" s="394"/>
      <c r="I67" s="395"/>
      <c r="J67" s="267">
        <f ca="1">AVERAGE(INDIRECT("拜访记录!C51:n51"))</f>
        <v>1.125</v>
      </c>
      <c r="K67" s="288" t="s">
        <v>344</v>
      </c>
    </row>
    <row r="68" spans="1:11" ht="26" customHeight="1" x14ac:dyDescent="0.2">
      <c r="B68" s="392"/>
      <c r="C68" s="392"/>
      <c r="D68" s="392"/>
      <c r="E68" s="268"/>
      <c r="F68" s="289"/>
      <c r="G68" s="397" t="s">
        <v>356</v>
      </c>
      <c r="H68" s="398"/>
      <c r="I68" s="399"/>
      <c r="J68" s="267">
        <f ca="1">AVERAGE(INDIRECT("拜访记录!C53:n53"))</f>
        <v>1.5</v>
      </c>
      <c r="K68" s="288" t="s">
        <v>357</v>
      </c>
    </row>
    <row r="69" spans="1:11" ht="18" customHeight="1" x14ac:dyDescent="0.2">
      <c r="B69" s="400"/>
      <c r="C69" s="400"/>
      <c r="D69" s="400"/>
      <c r="E69" s="269"/>
      <c r="F69" s="290"/>
      <c r="G69" s="401" t="s">
        <v>358</v>
      </c>
      <c r="H69" s="402"/>
      <c r="I69" s="403"/>
      <c r="J69" s="246">
        <f ca="1">AVERAGE(INDIRECT("拜访记录!C55:n55"))</f>
        <v>2.625</v>
      </c>
      <c r="K69" s="291" t="s">
        <v>344</v>
      </c>
    </row>
    <row r="70" spans="1:11" ht="18" customHeight="1" x14ac:dyDescent="0.2">
      <c r="B70" s="292" t="s">
        <v>359</v>
      </c>
      <c r="C70" s="293" t="s">
        <v>360</v>
      </c>
      <c r="D70" s="294" t="s">
        <v>319</v>
      </c>
      <c r="E70" s="270">
        <f ca="1">E71 * INDIRECT("权重!D23") + E72*INDIRECT("权重!D24") + E73*SUM(INDIRECT("权重!d25:d28"))</f>
        <v>4.5374999999999996</v>
      </c>
      <c r="F70" s="295"/>
      <c r="G70" s="296" t="s">
        <v>361</v>
      </c>
      <c r="H70" s="297" t="s">
        <v>362</v>
      </c>
      <c r="I70" s="298" t="s">
        <v>319</v>
      </c>
      <c r="J70" s="231">
        <f ca="1">J71*(INDIRECT("权重!D41")  + INDIRECT("权重!D43") ) + J72*(INDIRECT("权重!D41")  + INDIRECT("权重!D43") )+ J73*INDIRECT("权重!D42") + J74*INDIRECT("权重!D44")</f>
        <v>1.4500000000000002</v>
      </c>
      <c r="K70" s="299"/>
    </row>
    <row r="71" spans="1:11" ht="24" customHeight="1" x14ac:dyDescent="0.2">
      <c r="A71" s="200"/>
      <c r="B71" s="404" t="s">
        <v>363</v>
      </c>
      <c r="C71" s="404"/>
      <c r="D71" s="404"/>
      <c r="E71" s="266">
        <f ca="1">AVERAGE(INDIRECT("拜访记录!C31:n31"))</f>
        <v>0.75</v>
      </c>
      <c r="F71" s="300" t="s">
        <v>364</v>
      </c>
      <c r="G71" s="405" t="s">
        <v>365</v>
      </c>
      <c r="H71" s="406"/>
      <c r="I71" s="406"/>
      <c r="J71" s="266">
        <f ca="1">AVERAGE(IF(INDIRECT("拜访记录!C59") = 6, 6,IF(ISNUMBER(INDIRECT("拜访记录!c59")),0, A999)), IF(INDIRECT("拜访记录!d59")=6, 6,IF(ISNUMBER(INDIRECT("拜访记录!d59")),0, A999)), IF(INDIRECT("拜访记录!e59")=6, 6,IF(ISNUMBER(INDIRECT("拜访记录!e59")),0, A999)), IF(INDIRECT("拜访记录!f59")=6, 6,IF(ISNUMBER(INDIRECT("拜访记录!f59")),0, A999)),IF(INDIRECT("拜访记录!g59")=6, 6,IF(ISNUMBER(INDIRECT("拜访记录!g59")),0, A999)), IF(INDIRECT("拜访记录!h59")=6, 6,IF(ISNUMBER(INDIRECT("拜访记录!h59")),0, A999)), IF(INDIRECT("拜访记录!i59")=6,6,IF(ISNUMBER(INDIRECT("拜访记录!i59")),0, A999)), IF(INDIRECT("拜访记录!j59")=6, 6,IF(ISNUMBER(INDIRECT("拜访记录!j59")),0, A999)), IF(INDIRECT("拜访记录!k59")=6, 6,IF(ISNUMBER(INDIRECT("拜访记录!k59")),0, A999)), IF(INDIRECT("拜访记录!l59")=6, 6,IF(ISNUMBER(INDIRECT("拜访记录!l59")),0, A999)), IF(INDIRECT("拜访记录!m59")=6, 6,IF(ISNUMBER(INDIRECT("拜访记录!m59")),0, A999)), IF(INDIRECT("拜访记录!n59")=6, 6,IF(ISNUMBER(INDIRECT("拜访记录!n59")),0, A999)))</f>
        <v>0.75</v>
      </c>
      <c r="K71" s="286" t="s">
        <v>366</v>
      </c>
    </row>
    <row r="72" spans="1:11" ht="28" customHeight="1" x14ac:dyDescent="0.2">
      <c r="A72" s="200"/>
      <c r="B72" s="407" t="s">
        <v>367</v>
      </c>
      <c r="C72" s="382"/>
      <c r="D72" s="382"/>
      <c r="E72" s="267">
        <f ca="1">AVERAGE(INDIRECT("拜访记录!C33:n33"))</f>
        <v>4.875</v>
      </c>
      <c r="F72" s="287" t="s">
        <v>368</v>
      </c>
      <c r="G72" s="407" t="s">
        <v>369</v>
      </c>
      <c r="H72" s="382"/>
      <c r="I72" s="382"/>
      <c r="J72" s="267">
        <f ca="1">AVERAGE(IF(INDIRECT("拜访记录!C59") = 3, 3,IF(ISNUMBER(INDIRECT("拜访记录!c59")),0, A999)), IF(INDIRECT("拜访记录!d59")=3, 3,IF(ISNUMBER(INDIRECT("拜访记录!d59")),0, A999)), IF(INDIRECT("拜访记录!e59")=3, 3,IF(ISNUMBER(INDIRECT("拜访记录!e59")),0, A999)), IF(INDIRECT("拜访记录!f59")=3, 3,IF(ISNUMBER(INDIRECT("拜访记录!f59")),0, A999)),IF(INDIRECT("拜访记录!g59")=3, 3,IF(ISNUMBER(INDIRECT("拜访记录!g59")),0, A999)), IF(INDIRECT("拜访记录!h59")=3, 3,IF(ISNUMBER(INDIRECT("拜访记录!h59")),0, A999)), IF(INDIRECT("拜访记录!i59")=3,3,IF(ISNUMBER(INDIRECT("拜访记录!i59")),0, A999)), IF(INDIRECT("拜访记录!j59")=3, 3,IF(ISNUMBER(INDIRECT("拜访记录!j59")),0, A999)), IF(INDIRECT("拜访记录!k59")=3, 3,IF(ISNUMBER(INDIRECT("拜访记录!k59")),0, A999)), IF(INDIRECT("拜访记录!l59")=3, 3,IF(ISNUMBER(INDIRECT("拜访记录!l59")),0, A999)), IF(INDIRECT("拜访记录!m59")=3, 3,IF(ISNUMBER(INDIRECT("拜访记录!m59")),0, A999)), IF(INDIRECT("拜访记录!n59")=3, 3,IF(ISNUMBER(INDIRECT("拜访记录!n59")),0, A999)))</f>
        <v>0.375</v>
      </c>
      <c r="K72" s="288" t="s">
        <v>366</v>
      </c>
    </row>
    <row r="73" spans="1:11" ht="28" customHeight="1" x14ac:dyDescent="0.2">
      <c r="A73" s="200"/>
      <c r="B73" s="407" t="s">
        <v>370</v>
      </c>
      <c r="C73" s="407"/>
      <c r="D73" s="407"/>
      <c r="E73" s="267">
        <f ca="1" xml:space="preserve"> AVERAGE(INDIRECT("拜访记录!C38:N38"))</f>
        <v>5.625</v>
      </c>
      <c r="F73" s="287" t="s">
        <v>371</v>
      </c>
      <c r="G73" s="407" t="s">
        <v>372</v>
      </c>
      <c r="H73" s="407"/>
      <c r="I73" s="407"/>
      <c r="J73" s="267">
        <f ca="1">AVERAGE(INDIRECT("拜访记录!C61:n61"))</f>
        <v>0.375</v>
      </c>
      <c r="K73" s="288" t="s">
        <v>373</v>
      </c>
    </row>
    <row r="74" spans="1:11" x14ac:dyDescent="0.2">
      <c r="B74" s="408"/>
      <c r="C74" s="408"/>
      <c r="D74" s="408"/>
      <c r="E74" s="246"/>
      <c r="F74" s="301"/>
      <c r="G74" s="302" t="s">
        <v>374</v>
      </c>
      <c r="H74" s="302"/>
      <c r="I74" s="302"/>
      <c r="J74" s="246">
        <f ca="1">AVERAGE(INDIRECT("拜访记录!C63:n63"))</f>
        <v>3.75</v>
      </c>
      <c r="K74" s="291" t="s">
        <v>364</v>
      </c>
    </row>
    <row r="75" spans="1:11" ht="18" customHeight="1" x14ac:dyDescent="0.2">
      <c r="B75" s="303" t="s">
        <v>375</v>
      </c>
      <c r="C75" s="232"/>
      <c r="D75" s="232"/>
      <c r="E75" s="236"/>
      <c r="F75" s="233"/>
      <c r="G75" s="232"/>
      <c r="H75" s="232"/>
      <c r="I75" s="232"/>
      <c r="J75" s="234"/>
    </row>
    <row r="76" spans="1:11" ht="18" customHeight="1" x14ac:dyDescent="0.2">
      <c r="B76" s="235"/>
      <c r="C76" s="236"/>
      <c r="D76" s="236"/>
      <c r="E76" s="236"/>
      <c r="F76" s="233"/>
      <c r="G76" s="236"/>
      <c r="H76" s="236"/>
      <c r="I76" s="236"/>
      <c r="J76" s="234"/>
    </row>
    <row r="77" spans="1:11" ht="20" customHeight="1" x14ac:dyDescent="0.2">
      <c r="B77" s="237" t="s">
        <v>334</v>
      </c>
      <c r="C77" s="238"/>
      <c r="D77" s="239"/>
      <c r="E77" s="239"/>
      <c r="F77" s="220"/>
      <c r="G77" s="238"/>
      <c r="H77" s="238"/>
      <c r="I77" s="240" t="s">
        <v>319</v>
      </c>
      <c r="J77" s="271">
        <f ca="1">E78*INDIRECT("权重!C2")+E79*INDIRECT("权重!C3") + E80 * INDIRECT("权重!C4") + E81 * INDIRECT("权重!C6") + J78 * INDIRECT("权重!C5") + J79 *INDIRECT("权重!C7") + J80 *INDIRECT("权重!C8") +J81 * INDIRECT("权重!C9")</f>
        <v>1.3499999999999999</v>
      </c>
    </row>
    <row r="78" spans="1:11" ht="20" customHeight="1" x14ac:dyDescent="0.2">
      <c r="B78" s="304" t="s">
        <v>376</v>
      </c>
      <c r="C78" s="242"/>
      <c r="D78" s="242"/>
      <c r="E78" s="243">
        <f ca="1">INDIRECT("访谈内容!g9")</f>
        <v>2</v>
      </c>
      <c r="F78" s="272"/>
      <c r="G78" s="304" t="s">
        <v>377</v>
      </c>
      <c r="H78" s="242"/>
      <c r="I78" s="242"/>
      <c r="J78" s="243">
        <f ca="1">INDIRECT("访谈内容!g25")</f>
        <v>2</v>
      </c>
      <c r="K78" s="305"/>
    </row>
    <row r="79" spans="1:11" ht="20" customHeight="1" x14ac:dyDescent="0.2">
      <c r="B79" s="306" t="s">
        <v>378</v>
      </c>
      <c r="C79" s="253"/>
      <c r="D79" s="253"/>
      <c r="E79" s="230">
        <f ca="1">INDIRECT("访谈内容!g13")</f>
        <v>1</v>
      </c>
      <c r="F79" s="273"/>
      <c r="G79" s="306" t="s">
        <v>379</v>
      </c>
      <c r="H79" s="253"/>
      <c r="I79" s="253"/>
      <c r="J79" s="230">
        <f ca="1">INDIRECT("访谈内容!g30")</f>
        <v>2</v>
      </c>
      <c r="K79" s="305"/>
    </row>
    <row r="80" spans="1:11" ht="20" customHeight="1" x14ac:dyDescent="0.2">
      <c r="B80" s="304" t="s">
        <v>380</v>
      </c>
      <c r="C80" s="241"/>
      <c r="D80" s="241"/>
      <c r="E80" s="244">
        <f ca="1">INDIRECT("访谈内容!g17")</f>
        <v>1</v>
      </c>
      <c r="F80" s="274"/>
      <c r="G80" s="304" t="s">
        <v>381</v>
      </c>
      <c r="H80" s="241"/>
      <c r="I80" s="241"/>
      <c r="J80" s="244">
        <f ca="1">INDIRECT("访谈内容!g34")</f>
        <v>2</v>
      </c>
      <c r="K80" s="305"/>
    </row>
    <row r="81" spans="2:11" ht="20" customHeight="1" x14ac:dyDescent="0.2">
      <c r="B81" s="307" t="s">
        <v>382</v>
      </c>
      <c r="C81" s="245"/>
      <c r="D81" s="245"/>
      <c r="E81" s="246">
        <f ca="1">INDIRECT("访谈内容!g21")</f>
        <v>0</v>
      </c>
      <c r="F81" s="275"/>
      <c r="G81" s="307" t="s">
        <v>383</v>
      </c>
      <c r="H81" s="245"/>
      <c r="I81" s="245"/>
      <c r="J81" s="246">
        <f ca="1">INDIRECT("访谈内容!g40")</f>
        <v>1</v>
      </c>
      <c r="K81" s="305"/>
    </row>
    <row r="82" spans="2:11" x14ac:dyDescent="0.2">
      <c r="E82" s="220"/>
      <c r="K82" s="308"/>
    </row>
    <row r="83" spans="2:11" x14ac:dyDescent="0.2">
      <c r="E83" s="220"/>
      <c r="K83" s="308"/>
    </row>
    <row r="84" spans="2:11" x14ac:dyDescent="0.2">
      <c r="E84" s="220"/>
      <c r="K84" s="309"/>
    </row>
    <row r="85" spans="2:11" ht="18" x14ac:dyDescent="0.2">
      <c r="B85" s="396" t="s">
        <v>336</v>
      </c>
      <c r="C85" s="396"/>
      <c r="D85" s="247"/>
      <c r="E85" s="248"/>
      <c r="F85" s="247"/>
      <c r="G85" s="226"/>
      <c r="H85" s="226"/>
      <c r="I85" s="240" t="s">
        <v>319</v>
      </c>
      <c r="J85" s="276">
        <f ca="1">E86*INDIRECT("权重!C2") + E87*INDIRECT("权重!C3") + E88*INDIRECT("权重!C4") + E89*INDIRECT("权重!C5")+J86*INDIRECT("权重!C6")+J87*INDIRECT("权重!C7")+J88*INDIRECT("权重!C8")+J89*INDIRECT("权重!C9")</f>
        <v>2.2249999999999996</v>
      </c>
      <c r="K85" s="310"/>
    </row>
    <row r="86" spans="2:11" ht="22" customHeight="1" x14ac:dyDescent="0.2">
      <c r="B86" s="311" t="s">
        <v>376</v>
      </c>
      <c r="C86" s="249"/>
      <c r="D86" s="249"/>
      <c r="E86" s="244">
        <f ca="1">AVERAGE(INDIRECT("拜访记录!C66:n66"))</f>
        <v>2.25</v>
      </c>
      <c r="F86" s="274"/>
      <c r="G86" s="311" t="s">
        <v>377</v>
      </c>
      <c r="H86" s="249"/>
      <c r="I86" s="249"/>
      <c r="J86" s="250">
        <f ca="1">AVERAGE(INDIRECT("拜访记录!C82:n82"))</f>
        <v>4</v>
      </c>
      <c r="K86" s="305"/>
    </row>
    <row r="87" spans="2:11" ht="20" customHeight="1" x14ac:dyDescent="0.2">
      <c r="B87" s="306" t="s">
        <v>378</v>
      </c>
      <c r="C87" s="253"/>
      <c r="D87" s="253"/>
      <c r="E87" s="230">
        <f ca="1">AVERAGE(INDIRECT("拜访记录!C70:n70"))</f>
        <v>1.75</v>
      </c>
      <c r="F87" s="273"/>
      <c r="G87" s="306" t="s">
        <v>379</v>
      </c>
      <c r="H87" s="253"/>
      <c r="I87" s="253"/>
      <c r="J87" s="230">
        <f ca="1">AVERAGE(INDIRECT("拜访记录!C86:n86"))</f>
        <v>1.5</v>
      </c>
      <c r="K87" s="305"/>
    </row>
    <row r="88" spans="2:11" ht="20" customHeight="1" x14ac:dyDescent="0.2">
      <c r="B88" s="304" t="s">
        <v>380</v>
      </c>
      <c r="C88" s="241"/>
      <c r="D88" s="241"/>
      <c r="E88" s="244">
        <f ca="1">AVERAGE(INDIRECT("拜访记录!C74:n74"))</f>
        <v>2</v>
      </c>
      <c r="F88" s="274"/>
      <c r="G88" s="304" t="s">
        <v>381</v>
      </c>
      <c r="H88" s="241"/>
      <c r="I88" s="241"/>
      <c r="J88" s="244">
        <f ca="1">AVERAGE(INDIRECT("拜访记录!C90:n90"))</f>
        <v>1</v>
      </c>
      <c r="K88" s="305"/>
    </row>
    <row r="89" spans="2:11" ht="20" customHeight="1" x14ac:dyDescent="0.2">
      <c r="B89" s="307" t="s">
        <v>382</v>
      </c>
      <c r="C89" s="245"/>
      <c r="D89" s="245"/>
      <c r="E89" s="246">
        <f ca="1">AVERAGE(INDIRECT("拜访记录!C78:n78"))</f>
        <v>4</v>
      </c>
      <c r="F89" s="277"/>
      <c r="G89" s="307" t="s">
        <v>383</v>
      </c>
      <c r="H89" s="245"/>
      <c r="I89" s="245"/>
      <c r="J89" s="246">
        <f ca="1">AVERAGE(INDIRECT("拜访记录!C92:n92"))</f>
        <v>1.75</v>
      </c>
      <c r="K89" s="305"/>
    </row>
  </sheetData>
  <mergeCells count="37">
    <mergeCell ref="B85:C85"/>
    <mergeCell ref="B68:D68"/>
    <mergeCell ref="G68:I68"/>
    <mergeCell ref="B69:D69"/>
    <mergeCell ref="G69:I69"/>
    <mergeCell ref="B71:D71"/>
    <mergeCell ref="G71:I71"/>
    <mergeCell ref="B72:D72"/>
    <mergeCell ref="G72:I72"/>
    <mergeCell ref="B73:D73"/>
    <mergeCell ref="G73:I73"/>
    <mergeCell ref="B74:D74"/>
    <mergeCell ref="B65:D65"/>
    <mergeCell ref="G65:I65"/>
    <mergeCell ref="B66:D66"/>
    <mergeCell ref="G66:I66"/>
    <mergeCell ref="B67:D67"/>
    <mergeCell ref="G67:I67"/>
    <mergeCell ref="B62:D62"/>
    <mergeCell ref="G62:I62"/>
    <mergeCell ref="B63:D63"/>
    <mergeCell ref="G63:I63"/>
    <mergeCell ref="B64:D64"/>
    <mergeCell ref="G64:I64"/>
    <mergeCell ref="D60:I60"/>
    <mergeCell ref="D9:H9"/>
    <mergeCell ref="E14:G14"/>
    <mergeCell ref="E17:G17"/>
    <mergeCell ref="D30:F30"/>
    <mergeCell ref="G30:H30"/>
    <mergeCell ref="D31:F31"/>
    <mergeCell ref="G31:H31"/>
    <mergeCell ref="D32:F32"/>
    <mergeCell ref="G32:H32"/>
    <mergeCell ref="D33:F33"/>
    <mergeCell ref="G33:H33"/>
    <mergeCell ref="H40:J40"/>
  </mergeCells>
  <phoneticPr fontId="49" type="noConversion"/>
  <pageMargins left="1.1968503937007875" right="0.8" top="1" bottom="1" header="0.5" footer="0.5"/>
  <pageSetup paperSize="9" orientation="portrait" horizontalDpi="4294967295" verticalDpi="4294967295" r:id="rId1"/>
  <headerFooter differentFirst="1">
    <oddFooter>第 &amp;P 页，共 &amp;N 页</oddFooter>
  </headerFooter>
  <rowBreaks count="1" manualBreakCount="1">
    <brk id="76"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访谈内容</vt:lpstr>
      <vt:lpstr>拜访记录</vt:lpstr>
      <vt:lpstr>SOAP方法</vt:lpstr>
      <vt:lpstr>SMART定义</vt:lpstr>
      <vt:lpstr>权重</vt:lpstr>
      <vt:lpstr>病毒rep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Peggy Huang</dc:creator>
  <cp:lastModifiedBy>Bing Ran</cp:lastModifiedBy>
  <cp:lastPrinted>2017-03-01T02:27:17Z</cp:lastPrinted>
  <dcterms:created xsi:type="dcterms:W3CDTF">2017-02-24T05:49:32Z</dcterms:created>
  <dcterms:modified xsi:type="dcterms:W3CDTF">2017-03-16T05:09:25Z</dcterms:modified>
</cp:coreProperties>
</file>