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hidden" name="Restoration deliverables summar" sheetId="2" r:id="rId4"/>
    <sheet state="visible" name="New Restoration deliverables su" sheetId="3" r:id="rId5"/>
    <sheet state="visible" name="in-situ Acer outplants" sheetId="4" r:id="rId6"/>
    <sheet state="visible" name="ex-situ Apal outplants" sheetId="5" r:id="rId7"/>
    <sheet state="visible" name="ex-situ Massive outplants" sheetId="6" r:id="rId8"/>
    <sheet state="visible" name="ex-situ Acer outplants" sheetId="7" r:id="rId9"/>
    <sheet state="visible" name="in-situ Massive outplants" sheetId="8" r:id="rId10"/>
    <sheet state="visible" name="in-situ Apal outplants" sheetId="9" r:id="rId11"/>
    <sheet state="visible" name="Upper Keys Outplants" sheetId="10" r:id="rId12"/>
    <sheet state="hidden" name="Calendar" sheetId="11" r:id="rId13"/>
  </sheets>
  <definedNames>
    <definedName hidden="1" localSheetId="3" name="Z_F40789E8_4FAD_4723_AD63_EA79B6E74457_.wvu.FilterData">'in-situ Acer outplants'!$C$1:$C$278</definedName>
    <definedName hidden="1" localSheetId="4" name="Z_F40789E8_4FAD_4723_AD63_EA79B6E74457_.wvu.FilterData">'ex-situ Apal outplants'!$A$1:$BL$79</definedName>
  </definedNames>
  <calcPr/>
  <customWorkbookViews>
    <customWorkbookView activeSheetId="0" maximized="1" windowHeight="0" windowWidth="0" guid="{F40789E8-4FAD-4723-AD63-EA79B6E74457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49">
      <text>
        <t xml:space="preserve">Sorry, one more small bit of missing data I was hoping you could confirm if N/A or just not entered
@zcraig@mote.org
_Assigned to zcraig@mote.org_
	-IC2R3 Monitoring</t>
      </text>
    </comment>
  </commentList>
</comments>
</file>

<file path=xl/sharedStrings.xml><?xml version="1.0" encoding="utf-8"?>
<sst xmlns="http://schemas.openxmlformats.org/spreadsheetml/2006/main" count="7635" uniqueCount="1922">
  <si>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</si>
  <si>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</si>
  <si>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</si>
  <si>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</si>
  <si>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</si>
  <si>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</si>
  <si>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</si>
  <si>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</si>
  <si>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</si>
  <si>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</si>
  <si>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</si>
  <si>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</si>
  <si>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</si>
  <si>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</si>
  <si>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</si>
  <si>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</si>
  <si>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</si>
  <si>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</si>
  <si>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</si>
  <si>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</si>
  <si>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</si>
  <si>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</si>
  <si>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</si>
  <si>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</si>
  <si>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</si>
  <si>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</si>
  <si>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</si>
  <si>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</si>
  <si>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</si>
  <si>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</si>
  <si>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</si>
  <si>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</si>
  <si>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</si>
  <si>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</si>
  <si>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</si>
  <si>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</si>
  <si>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</si>
  <si>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</si>
  <si>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</si>
  <si>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</si>
  <si>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</si>
  <si>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</si>
  <si>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</si>
  <si>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</si>
  <si>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</si>
  <si>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</si>
  <si>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</si>
  <si>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</si>
  <si>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</si>
  <si>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</si>
  <si>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</si>
  <si>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</si>
  <si>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</si>
  <si>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</si>
  <si>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</si>
  <si>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</si>
  <si>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</si>
  <si>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</si>
  <si>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</si>
  <si>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</si>
  <si>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</si>
  <si>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</si>
  <si>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</si>
  <si>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</si>
  <si>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</si>
  <si>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</si>
  <si>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</si>
  <si>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</si>
  <si>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</si>
  <si>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</si>
  <si>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</si>
  <si>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</si>
  <si>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</si>
  <si>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</si>
  <si>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</si>
  <si>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</si>
  <si>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</si>
  <si>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</si>
  <si>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t>TDC - Lower Keys</t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</si>
  <si>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</si>
  <si>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t>TDC - Marathon</t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</si>
  <si>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</si>
  <si>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</si>
  <si>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</si>
  <si>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</si>
  <si>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</si>
  <si>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</si>
  <si>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</si>
  <si>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</si>
  <si>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</si>
  <si>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</si>
  <si>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</si>
  <si>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</si>
  <si>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</si>
  <si>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</si>
  <si>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</si>
  <si>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</si>
  <si>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</si>
  <si>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</si>
  <si>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</si>
  <si>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</si>
  <si>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</si>
  <si>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</si>
  <si>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</si>
  <si>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</si>
  <si>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</si>
  <si>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</si>
  <si>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</si>
  <si>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Notes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</si>
  <si>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</si>
  <si>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</si>
  <si>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</si>
  <si>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</si>
  <si>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</si>
  <si>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</si>
  <si>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</si>
  <si>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</si>
  <si>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</si>
  <si>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</si>
  <si>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</si>
  <si>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Tags</t>
  </si>
  <si>
    <t>Lat</t>
  </si>
  <si>
    <t>Long</t>
  </si>
  <si>
    <t>1-month Monitoring</t>
  </si>
  <si>
    <t>1-month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</si>
  <si>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</si>
  <si>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</si>
  <si>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</si>
  <si>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</si>
  <si>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</si>
  <si>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</si>
  <si>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</si>
  <si>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</si>
  <si>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</si>
  <si>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</si>
  <si>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</si>
  <si>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</si>
  <si>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</si>
  <si>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</si>
  <si>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Post-Bleaching 2023 Monitoring</t>
  </si>
  <si>
    <t># Acer Alive</t>
  </si>
  <si>
    <t>% survival</t>
  </si>
  <si>
    <t>Gentoypes Represented at the Site</t>
  </si>
  <si>
    <t>Site "1" (nearshore)</t>
  </si>
  <si>
    <t>Site_1</t>
  </si>
  <si>
    <t>Mote/TNC</t>
  </si>
  <si>
    <t>Research</t>
  </si>
  <si>
    <t>1-30</t>
  </si>
  <si>
    <t>monitored at 3 and 7 months</t>
  </si>
  <si>
    <t>N/A</t>
  </si>
  <si>
    <t>1,2,3,4,5,6,7,8,9,10</t>
  </si>
  <si>
    <t>Site "2" (midchannel)</t>
  </si>
  <si>
    <t>Site_2</t>
  </si>
  <si>
    <t>1,3,4,5,6,7,8,9,10,2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</si>
  <si>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</si>
  <si>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</si>
  <si>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</si>
  <si>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</si>
  <si>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</si>
  <si>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</si>
  <si>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</si>
  <si>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</si>
  <si>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</si>
  <si>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51,8,34,6,31,50,44,36,42,41</t>
  </si>
  <si>
    <t>Dave's Ledge</t>
  </si>
  <si>
    <t>C_1</t>
  </si>
  <si>
    <t>Mote/Media</t>
  </si>
  <si>
    <t>51,41,50,34,44,8,36,6,31,42</t>
  </si>
  <si>
    <t>Q (American)</t>
  </si>
  <si>
    <t>D_1</t>
  </si>
  <si>
    <t>Mote</t>
  </si>
  <si>
    <t>50,42,51,8,31,34,44,36,6,41</t>
  </si>
  <si>
    <t>P (BP Ledges)</t>
  </si>
  <si>
    <t>B_1</t>
  </si>
  <si>
    <t>36,50,8,41,44,34,42,6,51,31</t>
  </si>
  <si>
    <t>E_1</t>
  </si>
  <si>
    <t>1-80</t>
  </si>
  <si>
    <t>added to existing site A arrays 1, 2, 5, 6, 9, 10, 13, 14</t>
  </si>
  <si>
    <t>41,1,44,45,50,48,47,31,38,34</t>
  </si>
  <si>
    <t>G_1</t>
  </si>
  <si>
    <t>Mote/FIU</t>
  </si>
  <si>
    <t>1-192</t>
  </si>
  <si>
    <t>research (Mark Ladd) - 16 plots of 12</t>
  </si>
  <si>
    <t>41,20,1,7,34,44,48,31</t>
  </si>
  <si>
    <t>E_2</t>
  </si>
  <si>
    <t>Mote/MD School</t>
  </si>
  <si>
    <t>Community</t>
  </si>
  <si>
    <t>81-115</t>
  </si>
  <si>
    <t>1 extra array of singles, 5 plots of 5</t>
  </si>
  <si>
    <t>1,31,45,44,34,50,41,38,47,48</t>
  </si>
  <si>
    <t>Delta Shoals</t>
  </si>
  <si>
    <t>Delta</t>
  </si>
  <si>
    <t>Mote/FWC</t>
  </si>
  <si>
    <t>research (NOAA fish habitat study)</t>
  </si>
  <si>
    <t>31,41,44</t>
  </si>
  <si>
    <t>E_3</t>
  </si>
  <si>
    <t>Mote/ Pittsburg Zoo</t>
  </si>
  <si>
    <t>116-125</t>
  </si>
  <si>
    <t>31,34,41,44,46,47,48,50,54,56</t>
  </si>
  <si>
    <t>Looe ROA</t>
  </si>
  <si>
    <t>I_1</t>
  </si>
  <si>
    <t>Mote/RSMAS</t>
  </si>
  <si>
    <t>research (Steph Shopmeyer) - damselfish</t>
  </si>
  <si>
    <t>44,47,56,46,31,34,54,48,41,50</t>
  </si>
  <si>
    <t>patch E. of Looe ROA</t>
  </si>
  <si>
    <t>J_1</t>
  </si>
  <si>
    <t>48,54,47,56,34,31,46,41,44,50</t>
  </si>
  <si>
    <t>F_1</t>
  </si>
  <si>
    <t>1-70</t>
  </si>
  <si>
    <t>31,46,38,34,44,41,47,45,50,42</t>
  </si>
  <si>
    <t>Cook Island Heads</t>
  </si>
  <si>
    <t>K_1</t>
  </si>
  <si>
    <t>1-10</t>
  </si>
  <si>
    <t>research (Dan Merselis)</t>
  </si>
  <si>
    <t>47,20,41,7,51,9,48,46,57,25</t>
  </si>
  <si>
    <t>Big Pine Shoals</t>
  </si>
  <si>
    <t>L_1</t>
  </si>
  <si>
    <t>1-20</t>
  </si>
  <si>
    <t>outplanted 3/5/14 &amp; 5/6/14</t>
  </si>
  <si>
    <t>13,2,5,7,1,25,4,6,20,3,38,51,31,50,56,41,34,54,48,53</t>
  </si>
  <si>
    <t>E_4</t>
  </si>
  <si>
    <t>Mote/RSMAS/AOML</t>
  </si>
  <si>
    <t>126-129</t>
  </si>
  <si>
    <t>research (Steph Shopmeyer) - OA study</t>
  </si>
  <si>
    <t>13,20,34,41</t>
  </si>
  <si>
    <t>Munson Reef</t>
  </si>
  <si>
    <t>M_1</t>
  </si>
  <si>
    <t>1-4</t>
  </si>
  <si>
    <t>20,41,13,34</t>
  </si>
  <si>
    <t>I_2</t>
  </si>
  <si>
    <t>31-34</t>
  </si>
  <si>
    <t>20,13,41,34</t>
  </si>
  <si>
    <t>FKCC Reef</t>
  </si>
  <si>
    <t>H_1</t>
  </si>
  <si>
    <t>Mote/FKCC/FIU</t>
  </si>
  <si>
    <t>1-60</t>
  </si>
  <si>
    <t>outplanted 4/24/14-5/5/14</t>
  </si>
  <si>
    <t>7,2,31,1,13,4,5,34,20,3,57,56,51,45,43,55,58,50,54,38,47,52,53,60,41,36,42,46,44,48</t>
  </si>
  <si>
    <t>H_2</t>
  </si>
  <si>
    <t>151-156</t>
  </si>
  <si>
    <t>ouplanted 5/29/14-6/11/14 (6 plots of 33)</t>
  </si>
  <si>
    <t>34,41</t>
  </si>
  <si>
    <t>N (SNI)</t>
  </si>
  <si>
    <t>N_1</t>
  </si>
  <si>
    <t>Mote/SNI</t>
  </si>
  <si>
    <t>54,4,3,6,34,38,58,60,20,13,43,57,5,42,41,46,1,55,10,9,29,25,44,36,31,45,2,56,8,7,52,48,53,51,47,50</t>
  </si>
  <si>
    <t>CWV</t>
  </si>
  <si>
    <t>CWV_1</t>
  </si>
  <si>
    <t>Mote/CWV</t>
  </si>
  <si>
    <t>1-50</t>
  </si>
  <si>
    <t>2,7,4,3,1</t>
  </si>
  <si>
    <t>E_4a</t>
  </si>
  <si>
    <t>130-133</t>
  </si>
  <si>
    <t>13,1,34,41</t>
  </si>
  <si>
    <t>M_1a</t>
  </si>
  <si>
    <t>5-8</t>
  </si>
  <si>
    <t>34,41,1,13</t>
  </si>
  <si>
    <t>P_1</t>
  </si>
  <si>
    <t>Mote/FKCC</t>
  </si>
  <si>
    <t>1-200</t>
  </si>
  <si>
    <t>4,7,41,1,34,13,3,31,44,5,54,58,50,56,57,38</t>
  </si>
  <si>
    <t>Q_1</t>
  </si>
  <si>
    <t>1,3,56,41,31,57,58,50,7,47,34,38,54</t>
  </si>
  <si>
    <t>O_1</t>
  </si>
  <si>
    <t>41,44,50,31,34,4,1,3,54,7,57,56,51,?,36</t>
  </si>
  <si>
    <t>K_2</t>
  </si>
  <si>
    <t>11-60</t>
  </si>
  <si>
    <t>4,31,44,41,1,3,34,7,50,54</t>
  </si>
  <si>
    <t>S (Sand Key)</t>
  </si>
  <si>
    <t>S_1</t>
  </si>
  <si>
    <t>5,41,7,3,1,57,31,56,34,50,?</t>
  </si>
  <si>
    <t>CWV_2</t>
  </si>
  <si>
    <t>Mote/CWV/SNI</t>
  </si>
  <si>
    <t>51-100</t>
  </si>
  <si>
    <t>1,58,3,7,57,41,50,34,31,5</t>
  </si>
  <si>
    <t>U (SWG)</t>
  </si>
  <si>
    <t>SWG_1</t>
  </si>
  <si>
    <t>Mote/TNC/FWC</t>
  </si>
  <si>
    <t>research (SWG-multispecies)</t>
  </si>
  <si>
    <t>62</t>
  </si>
  <si>
    <t>S_2</t>
  </si>
  <si>
    <t>200-400</t>
  </si>
  <si>
    <t>7,34,5,3,41,1,31,50,56,57,?</t>
  </si>
  <si>
    <t>Q_2</t>
  </si>
  <si>
    <t>201-400</t>
  </si>
  <si>
    <t>1,3,41,31,57,58,50,7,34,56,38,54,47,62,48,63</t>
  </si>
  <si>
    <t>R (Rock Key)</t>
  </si>
  <si>
    <t>R_1</t>
  </si>
  <si>
    <t>CU-41,CU-29,31X,CU-32,50,CU-129,7,CU-049,CU-130,CU-78,CU-036,62,63,50X,57X,34,48X,47X,53X,8X,38X,1X,13,CU-103,31,48,75,CU-035,70,41,5,8,1</t>
  </si>
  <si>
    <t>CWV_3</t>
  </si>
  <si>
    <t>101-200</t>
  </si>
  <si>
    <t>7,62,50,34,63</t>
  </si>
  <si>
    <t>T (EDR)</t>
  </si>
  <si>
    <t>T_1</t>
  </si>
  <si>
    <t>31,41,42,48,7,8,63,62,1,50,75,47,56,34,5,FM-18/19,70,60,89,20,3,FM-13,10,86,9,36,4,57,CU-77,76,77,38,CU-41,78,58,CU-008,CU-007,CU-128,FM-4/9,FM-5,CM-032,51,84,80,55,13,CU-015,54,CU-100,CU-020,CM-031,6,29,FM-14,69,85,44,79,82,FM-7,43,FM-20,CU-089,83,87,CU-066,88</t>
  </si>
  <si>
    <t>U_1</t>
  </si>
  <si>
    <t>Only array 5 exists after Irma.  Outplanted over existing dead arrays</t>
  </si>
  <si>
    <t>5,54,4,7,56,31,8,34,63,CU-044,CU-129,CU-035,CU-130,62,1,41,50,CU-103,CU-41,CU-041,CU-29,CU-053,CU-015,3,CU-32,CU-076,13,CU-78,CU-100,CU-008,CU-128,CU-036,CU-77,CU-049</t>
  </si>
  <si>
    <t>P_2</t>
  </si>
  <si>
    <t>201-300</t>
  </si>
  <si>
    <t>54,56,44,7,4,50,38,5,41,13,34,1,31,?,3,57,58</t>
  </si>
  <si>
    <t>T_2</t>
  </si>
  <si>
    <t>34,FM-20,6,31,7,75,62,41,63,CM-032,FM-14,70,76,FM-18/19,CU-129,FM-4/9,38,CM-031,CU-130,9,77,84,43,42,68,79,81,FM-7,5,20,FM-5,44,CU-020,10,FM-13,80,50</t>
  </si>
  <si>
    <t>R_2</t>
  </si>
  <si>
    <t>7,31,50,62,63,41</t>
  </si>
  <si>
    <t>Q_3</t>
  </si>
  <si>
    <t>401-600</t>
  </si>
  <si>
    <t>20,3,8,7,6,1,4,9,5,13,31,34,CU-100,36,42,44,CU-089,43,41,38,CU-78X,CU-044,CU-77X,CU-129X,CU-41,CU-041,CU-32,CU-049,CU-076,CU-103,CU-128,CU-035,CM-032,CU-015,CU-036,CU-020,CM-031,CU-053,CU-008,CU-007</t>
  </si>
  <si>
    <t>U_2</t>
  </si>
  <si>
    <t>56,48,70,62,50,FM-20,FM-5,47,FM-18/19,51,57,58,82,87,81,78,77,79,80,84,83,75,76,85,86,88,34,42,13,1,20,5,9,8,41,3,7,4,6,31</t>
  </si>
  <si>
    <t>CWV_4</t>
  </si>
  <si>
    <t>75,48,63,70,56,51,50,47,31,7</t>
  </si>
  <si>
    <t>N_2</t>
  </si>
  <si>
    <t>61-160</t>
  </si>
  <si>
    <t>CU-020,CU-128,CU-29,CU-008,CU-049,CU-041,CU-015,CU-007,CU-32,CU-035,FM-14,7,CM-032,FM-18/19,FM-4/9,FM-5,CU-100,CU-77,CU-103,CU-076</t>
  </si>
  <si>
    <t>S_3</t>
  </si>
  <si>
    <t>401-500</t>
  </si>
  <si>
    <t>48,70,47,56,58,54,50,63,51,69</t>
  </si>
  <si>
    <t>Site V</t>
  </si>
  <si>
    <t>V_1</t>
  </si>
  <si>
    <t>research (DOT)</t>
  </si>
  <si>
    <t/>
  </si>
  <si>
    <t>34,48,1,41,75,62,31,50,7,8,55,51,58,70,CU-007,78,CU-008,76,77,CU-78,CU-076,CU-100,CU-77,CU-015,CU-41,CU-32,CU-103,CU-049,CU-089,CU-041</t>
  </si>
  <si>
    <t>R_3</t>
  </si>
  <si>
    <t>CM-032,83,79,80,FM-5,FM-4/9,87,78,84,77,75,86,76,63,CM-031,7,89,FM-7,81,82</t>
  </si>
  <si>
    <t>T_3</t>
  </si>
  <si>
    <t>58,63,50,48,3,7,47,10,56,5,69,51,8,13,20,41,70,1,4</t>
  </si>
  <si>
    <t>W (Looe)</t>
  </si>
  <si>
    <t>CK_LK</t>
  </si>
  <si>
    <t>Mote/USC/Eckerd</t>
  </si>
  <si>
    <t>Research (Carly Kenkel)</t>
  </si>
  <si>
    <t>36,3,62,31,50,13,44,1,7,41</t>
  </si>
  <si>
    <t>Bahia Honda</t>
  </si>
  <si>
    <t>CK_BH</t>
  </si>
  <si>
    <t>7,1,31,3,50,13,36,44,41,62</t>
  </si>
  <si>
    <t>CK_BPS</t>
  </si>
  <si>
    <t>13,41,62,50,36,44,1,31,7,3</t>
  </si>
  <si>
    <t>E. Sambo</t>
  </si>
  <si>
    <t>CK_ES</t>
  </si>
  <si>
    <t>41,1,31,3,44,62,13,7,36,50</t>
  </si>
  <si>
    <t>W. Sambo</t>
  </si>
  <si>
    <t>CK_WS</t>
  </si>
  <si>
    <t>1,7,62,31,13,3,36,44,50,41</t>
  </si>
  <si>
    <t>CK_DL</t>
  </si>
  <si>
    <t>50,3,31,44,1,7,36,41,13,62</t>
  </si>
  <si>
    <t>Maryland Shoals</t>
  </si>
  <si>
    <t>CK_MS</t>
  </si>
  <si>
    <t>31,41,3,50,62,13,36,7,44,1</t>
  </si>
  <si>
    <t>CK_EDR</t>
  </si>
  <si>
    <t>3,1,41,31,7,44,62,13,50,36</t>
  </si>
  <si>
    <t>M32</t>
  </si>
  <si>
    <t>CK_M32</t>
  </si>
  <si>
    <t>50,44,36,1,41,3,13,62,7,31</t>
  </si>
  <si>
    <t>W_1</t>
  </si>
  <si>
    <t>31-140</t>
  </si>
  <si>
    <t>CU-129,5,3,88,7,58,47,80,63,75,50</t>
  </si>
  <si>
    <t>R_4</t>
  </si>
  <si>
    <t>501-650</t>
  </si>
  <si>
    <t>31,7,5,1,50,3,75,38,63,77</t>
  </si>
  <si>
    <t>S_4</t>
  </si>
  <si>
    <t>75,50,7,31,79,77,38,3,5,1</t>
  </si>
  <si>
    <t>Q_4</t>
  </si>
  <si>
    <t>601-710</t>
  </si>
  <si>
    <t>50,80,62,31,29,41,79,47,75,44</t>
  </si>
  <si>
    <t>T_4</t>
  </si>
  <si>
    <t>31,3,50,36,20,7,4,34,5,38,41,13,1</t>
  </si>
  <si>
    <t>U_3</t>
  </si>
  <si>
    <t>401-540</t>
  </si>
  <si>
    <t>50,31,7,4,5,34,57,20,36,3,13,38</t>
  </si>
  <si>
    <t>CWV_5</t>
  </si>
  <si>
    <t>301-360</t>
  </si>
  <si>
    <t>50,20,13,31,4,5,63,3,29,7,41,34</t>
  </si>
  <si>
    <t>W_1a</t>
  </si>
  <si>
    <t>31a-140a</t>
  </si>
  <si>
    <t>CU-129,5,3,80,7,58,47</t>
  </si>
  <si>
    <t>Q_4a</t>
  </si>
  <si>
    <t>601a-750a, 711-715</t>
  </si>
  <si>
    <t>29,41,50</t>
  </si>
  <si>
    <t>U_3a</t>
  </si>
  <si>
    <t>401a-540a</t>
  </si>
  <si>
    <t>50,31,7,5,20,13,38</t>
  </si>
  <si>
    <t>S_4a</t>
  </si>
  <si>
    <t>501a-650a</t>
  </si>
  <si>
    <t>75,50,7,31,79,77,38,41,5,1</t>
  </si>
  <si>
    <t>T_4a</t>
  </si>
  <si>
    <t>R_4a</t>
  </si>
  <si>
    <t>31,5,1,75,38,63,77</t>
  </si>
  <si>
    <t>S_5</t>
  </si>
  <si>
    <t>651-750</t>
  </si>
  <si>
    <t>77,57,75,41,51,50,8,58,44,31</t>
  </si>
  <si>
    <t>Q_5</t>
  </si>
  <si>
    <t>716-815</t>
  </si>
  <si>
    <t>75,34,56,50,31,CU-100,5,63,77,57</t>
  </si>
  <si>
    <t>T_5</t>
  </si>
  <si>
    <t>31,44,20,51,75,57,50,8,58,77</t>
  </si>
  <si>
    <t>N_3</t>
  </si>
  <si>
    <t>161-260</t>
  </si>
  <si>
    <t>44,1X,56,38,75,31,63,50,34,36</t>
  </si>
  <si>
    <t>R_5</t>
  </si>
  <si>
    <t>44,57,31,20,8,13,77X,50,75,51</t>
  </si>
  <si>
    <t>A_2</t>
  </si>
  <si>
    <t>151-250</t>
  </si>
  <si>
    <t>57,72,58,44,36,63,50,56,31,75</t>
  </si>
  <si>
    <t>P_3</t>
  </si>
  <si>
    <t>75,CU-100,34,3,4,36,31,56,50,63</t>
  </si>
  <si>
    <t>U_4</t>
  </si>
  <si>
    <t>541-640</t>
  </si>
  <si>
    <t>77,50,36,44,57,62,75,38,34,31</t>
  </si>
  <si>
    <t>S_6</t>
  </si>
  <si>
    <t>751-850</t>
  </si>
  <si>
    <t>77,5,44,57,20,78,75,62,31,50</t>
  </si>
  <si>
    <t>T_6</t>
  </si>
  <si>
    <t>20,50,58,75,8,77X,78,31,63,13</t>
  </si>
  <si>
    <t>Q_6</t>
  </si>
  <si>
    <t>816-915</t>
  </si>
  <si>
    <t>63,75,58,CU-007,31,44,48,47,51,CU-100</t>
  </si>
  <si>
    <t>A_3</t>
  </si>
  <si>
    <t>251-350</t>
  </si>
  <si>
    <t>63,80,47,79,77,75,CU-066,70,FM-13,CU-007</t>
  </si>
  <si>
    <t>R_6</t>
  </si>
  <si>
    <t>751-800</t>
  </si>
  <si>
    <t>50,77,57,31,44</t>
  </si>
  <si>
    <t>P_4</t>
  </si>
  <si>
    <t>301-400</t>
  </si>
  <si>
    <t>63,7,38,77,3,50,44,75,8,31</t>
  </si>
  <si>
    <t>M32_1</t>
  </si>
  <si>
    <t>1-120</t>
  </si>
  <si>
    <t>31,8,41,4,10,5,44,20,13,50</t>
  </si>
  <si>
    <t>Site C</t>
  </si>
  <si>
    <t>C_2</t>
  </si>
  <si>
    <t xml:space="preserve"> </t>
  </si>
  <si>
    <t>47,8,41,7,3,77,50,31,75,1</t>
  </si>
  <si>
    <t>SWG_2</t>
  </si>
  <si>
    <t>research (SWG multi-species)</t>
  </si>
  <si>
    <t>7,50,75</t>
  </si>
  <si>
    <t>SWG_3</t>
  </si>
  <si>
    <t>50,75,7</t>
  </si>
  <si>
    <t>Maryland Shoals Rockpiles</t>
  </si>
  <si>
    <t>MB_MSR</t>
  </si>
  <si>
    <t>Mote/ODU</t>
  </si>
  <si>
    <t>multiple</t>
  </si>
  <si>
    <t>sites</t>
  </si>
  <si>
    <t>research (Mark Butler)</t>
  </si>
  <si>
    <t>7,31,50,62,75</t>
  </si>
  <si>
    <t>MB_AS</t>
  </si>
  <si>
    <t>ODU</t>
  </si>
  <si>
    <t>R_7</t>
  </si>
  <si>
    <t>801-950</t>
  </si>
  <si>
    <t>31,50,77,57,79,38,1,10,56,46</t>
  </si>
  <si>
    <t>Nursery Reef</t>
  </si>
  <si>
    <t>UF_AA_NR_1</t>
  </si>
  <si>
    <t>Mote/UF</t>
  </si>
  <si>
    <t>1-25</t>
  </si>
  <si>
    <t>research (Andrew Altieri)</t>
  </si>
  <si>
    <t>50,57,7,77,31</t>
  </si>
  <si>
    <t>UF_AA_SN_1</t>
  </si>
  <si>
    <t>research (Andrew Altieri)/3-year overlapping with SN-2</t>
  </si>
  <si>
    <t>57,7,31,50,77</t>
  </si>
  <si>
    <t>P_5</t>
  </si>
  <si>
    <t>501-600</t>
  </si>
  <si>
    <t>58,47,70,56,7,31,63,50,1,75</t>
  </si>
  <si>
    <t>UF_AA_CI_1</t>
  </si>
  <si>
    <t>50,57,31,7,77</t>
  </si>
  <si>
    <t>Munson</t>
  </si>
  <si>
    <t>UF_AA_MR_1</t>
  </si>
  <si>
    <t>7,50,77,31,57</t>
  </si>
  <si>
    <t>U_5</t>
  </si>
  <si>
    <t>641-750</t>
  </si>
  <si>
    <t>50,CU-100,77,80,56,62,31,88,CU-103,7</t>
  </si>
  <si>
    <t>C_3</t>
  </si>
  <si>
    <t>63,80,79,7,48,77,31,5,50,1</t>
  </si>
  <si>
    <t>Q_7</t>
  </si>
  <si>
    <t>916-</t>
  </si>
  <si>
    <t>56,31,75,CU-100,77,36,3,62,7,50</t>
  </si>
  <si>
    <t>-1015</t>
  </si>
  <si>
    <t>CWV_6</t>
  </si>
  <si>
    <t>361-460</t>
  </si>
  <si>
    <t>31,1,5,13,46,3,44,CU-131,CU-076,8</t>
  </si>
  <si>
    <t>S_7</t>
  </si>
  <si>
    <t>851-950</t>
  </si>
  <si>
    <t>CU-103,38,77,13,34,44,57,31,50,78</t>
  </si>
  <si>
    <t>C_4</t>
  </si>
  <si>
    <t>351-450</t>
  </si>
  <si>
    <t>34,75,31,47,3,51,1,48,38,CU-128</t>
  </si>
  <si>
    <t>U_6</t>
  </si>
  <si>
    <t>FM-14,CU-076,CU-103,CU-130,FM-13,CU-100,FM-18/19,CU-008,CU-007,CU-066</t>
  </si>
  <si>
    <t>A_4</t>
  </si>
  <si>
    <t>3,50,77,76,5,31,47,44,8,62</t>
  </si>
  <si>
    <t>T_7</t>
  </si>
  <si>
    <t>36,56,31,58,5,50,57,75,78,13</t>
  </si>
  <si>
    <t>Q_8</t>
  </si>
  <si>
    <t>1016-1100</t>
  </si>
  <si>
    <t>31,50,77,47,44,8,62,76</t>
  </si>
  <si>
    <t>R_8</t>
  </si>
  <si>
    <t>951-1050</t>
  </si>
  <si>
    <t>47,79,31,57,77,50,8,CU-103,20,44</t>
  </si>
  <si>
    <t>M32_2</t>
  </si>
  <si>
    <t>121-220</t>
  </si>
  <si>
    <t>31,63,48,44,75,57,77,50</t>
  </si>
  <si>
    <t>C_5</t>
  </si>
  <si>
    <t>451-550</t>
  </si>
  <si>
    <t>77,3,47,10,62,44,31,8,50,76</t>
  </si>
  <si>
    <t>Site B</t>
  </si>
  <si>
    <t>B_2</t>
  </si>
  <si>
    <t>Same as B-1, no old frags left.</t>
  </si>
  <si>
    <t>34,20,CU-131,CU-128,8,41,3,63,31,77</t>
  </si>
  <si>
    <t>W_2</t>
  </si>
  <si>
    <t>141-300</t>
  </si>
  <si>
    <t>outplanted on 8/22 (300) and 8/23 (500)</t>
  </si>
  <si>
    <t>CU-128,31,CU-100,CU-036,CU-130,3,CU-020,79,36,47,5,38,50,80,58,75</t>
  </si>
  <si>
    <t>S_8</t>
  </si>
  <si>
    <t>4,50,31,56,20,77,5,48,CU-103,57</t>
  </si>
  <si>
    <t>Q_9</t>
  </si>
  <si>
    <t>1101-1200</t>
  </si>
  <si>
    <t>38,34,CU-128,3,44,31,CU-036,41,CU-100,20</t>
  </si>
  <si>
    <t>Y (Because)</t>
  </si>
  <si>
    <t>Y_1</t>
  </si>
  <si>
    <t>1-100</t>
  </si>
  <si>
    <t>Not a good site choice</t>
  </si>
  <si>
    <t>31,48,CU-020,58,75,70,1,CU-100,CU-066,57</t>
  </si>
  <si>
    <t>X (Hugs&amp;Kisses)</t>
  </si>
  <si>
    <t>X_1</t>
  </si>
  <si>
    <t>31,10,44,54,20,76,56,50,58</t>
  </si>
  <si>
    <t>B_3</t>
  </si>
  <si>
    <t>78,CM-032,CU-008,88,CM-029,FM-18/19,FM-5,FM-14,77,79</t>
  </si>
  <si>
    <t>U_7</t>
  </si>
  <si>
    <t>48,31,70,50,34,76,36,44,20,38</t>
  </si>
  <si>
    <t>V_2</t>
  </si>
  <si>
    <t>151-240</t>
  </si>
  <si>
    <t>outplanted on 11/4 (50) and 11/6 (400)</t>
  </si>
  <si>
    <t>75,CU-130,CU-100,CU-066,48,CU-076,FM-18/19,FM-5,CU-103</t>
  </si>
  <si>
    <t>V_2a</t>
  </si>
  <si>
    <t>241-250</t>
  </si>
  <si>
    <t>31</t>
  </si>
  <si>
    <t>Q_10</t>
  </si>
  <si>
    <t>1201-1300</t>
  </si>
  <si>
    <t>4,38,46,5,34,1,10,20,31,8</t>
  </si>
  <si>
    <t>B_4</t>
  </si>
  <si>
    <t>88,63,76,79,58,56,75,77,50,54</t>
  </si>
  <si>
    <t>C_6</t>
  </si>
  <si>
    <t>551-650</t>
  </si>
  <si>
    <t>5,36,CU-130,70,CU-129,3,75,41,77,1</t>
  </si>
  <si>
    <t>V_3</t>
  </si>
  <si>
    <t>261-350</t>
  </si>
  <si>
    <t>CU-129,77,41,38,8,80,57,10,58</t>
  </si>
  <si>
    <t>V_3a</t>
  </si>
  <si>
    <t>251-260</t>
  </si>
  <si>
    <t>5</t>
  </si>
  <si>
    <t>U_8</t>
  </si>
  <si>
    <t>46,38,44,5,4,3,13,10,8,1</t>
  </si>
  <si>
    <t>V_4</t>
  </si>
  <si>
    <t>351-470</t>
  </si>
  <si>
    <t>58,48,88,76,54,57,79,56,62,47,51,78</t>
  </si>
  <si>
    <t>T_8</t>
  </si>
  <si>
    <t>no 3 year photogramatry</t>
  </si>
  <si>
    <t>77,50,FM-18/19,79,FM-13,CU-103,78,48,31</t>
  </si>
  <si>
    <t>R_9</t>
  </si>
  <si>
    <t>1051-1150</t>
  </si>
  <si>
    <t>75,77,48,31,54,76,78,63,50,79</t>
  </si>
  <si>
    <t>S_9</t>
  </si>
  <si>
    <t>58,78,56,20,31,50,77,57,48,79</t>
  </si>
  <si>
    <t>W_3</t>
  </si>
  <si>
    <t>CU-008,FM-18/19,20,CM-029,CU-103,41,13,CU-015,CM-032,34</t>
  </si>
  <si>
    <t>C_7</t>
  </si>
  <si>
    <t>CU-036,20,FM-14,CU-008,FM-18/19,62,CM-029,CU-015,CU-103,CM-032</t>
  </si>
  <si>
    <t>B_5</t>
  </si>
  <si>
    <t>7,CU-066,10,CU-100,13,CU-076,47,CU-103,63,CU-130</t>
  </si>
  <si>
    <t>P_6</t>
  </si>
  <si>
    <t>601-700</t>
  </si>
  <si>
    <t>79,CU-034,88,FM-18/19,76,CU-066,78,CM-029,80,CU-131</t>
  </si>
  <si>
    <t>X_2</t>
  </si>
  <si>
    <t>3,48,56,77,47,57,1,5,20,50</t>
  </si>
  <si>
    <t>T_9</t>
  </si>
  <si>
    <t>FM-13,FM-18/19,56,77,63,58,75,84,CU-103,79</t>
  </si>
  <si>
    <t>M32_3</t>
  </si>
  <si>
    <t>221-300</t>
  </si>
  <si>
    <t>57,31,4,FM-14,20,CU-103,FM-5,62</t>
  </si>
  <si>
    <t>Site Z</t>
  </si>
  <si>
    <t>Z_1</t>
  </si>
  <si>
    <t>77,79,58,75,76,78,55,63,57,70</t>
  </si>
  <si>
    <t>S_10</t>
  </si>
  <si>
    <t>1151-1250</t>
  </si>
  <si>
    <t>no photos/mosaic taken at 3 year</t>
  </si>
  <si>
    <t>8,38,5,31,41,57,13,50,1,34</t>
  </si>
  <si>
    <t>U_9</t>
  </si>
  <si>
    <t>CU-015,84,51,54,58,63,48,89,88,47</t>
  </si>
  <si>
    <t>Site AA</t>
  </si>
  <si>
    <t>AA_1</t>
  </si>
  <si>
    <t>10,38,77,55,CU-036,CU-100,3,20,31,56</t>
  </si>
  <si>
    <t>R_10</t>
  </si>
  <si>
    <t>31,7,41,10,36,50,79,1,77,20</t>
  </si>
  <si>
    <t>BA (9-Ft. Stake)</t>
  </si>
  <si>
    <t>BA_1</t>
  </si>
  <si>
    <t>13,10,31,7,48,FM-18/19,84,78,5,50</t>
  </si>
  <si>
    <t>Z_2</t>
  </si>
  <si>
    <t>84,CU-066,56,80,CU-034,75,CU-130,62,79,CM-031</t>
  </si>
  <si>
    <t>Site H</t>
  </si>
  <si>
    <t>H_3</t>
  </si>
  <si>
    <t>157-300</t>
  </si>
  <si>
    <t>CU-100,5,CU-128,CU-036,34,62,57,FM-14,50,1,31,41,CU-015,CM-029,CU-066</t>
  </si>
  <si>
    <t>X_3</t>
  </si>
  <si>
    <t>48,54,47,76,79,80,77,58,57,50</t>
  </si>
  <si>
    <t>AA_2</t>
  </si>
  <si>
    <t>31,41,13,34,75,36,8,38,4,54</t>
  </si>
  <si>
    <t>Q_11</t>
  </si>
  <si>
    <t>1301-1400</t>
  </si>
  <si>
    <t>Hurricane Laura.  A lot of loose/abraded coral</t>
  </si>
  <si>
    <t>CU-100,80,CU-076,FM-18/19,CM-029,CU-129,58,62,CU-130</t>
  </si>
  <si>
    <t>SK Nursery Reef (BB)</t>
  </si>
  <si>
    <t>BB_1</t>
  </si>
  <si>
    <t>10,CU-103,47,57,31,58,76,50,75,38</t>
  </si>
  <si>
    <t>S_11</t>
  </si>
  <si>
    <t>1251-1350</t>
  </si>
  <si>
    <t>31,3,44,50,38,4,1,20,5</t>
  </si>
  <si>
    <t>Joes Reef (AB)</t>
  </si>
  <si>
    <t>AB_1</t>
  </si>
  <si>
    <t>31,75,88,54,51,47,50,80,78</t>
  </si>
  <si>
    <t>T_10</t>
  </si>
  <si>
    <t>Hurricane Laura.  A lot of loose/abraded coral. 1year TS Elsa!</t>
  </si>
  <si>
    <t>50,20,13,FM-5,31,3,77,58,8,38</t>
  </si>
  <si>
    <t>C_8</t>
  </si>
  <si>
    <t>CU-100,31,5,20,38,FM-18/19,CU-130,FM-14,CU-129,1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</si>
  <si>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</si>
  <si>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</si>
  <si>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</si>
  <si>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</si>
  <si>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</si>
  <si>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</si>
  <si>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</si>
  <si>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1,50,31,62,34,7,13,3,47,44</t>
  </si>
  <si>
    <t>Z_3</t>
  </si>
  <si>
    <t>47,48,34,31,54,1,3,10,7,50</t>
  </si>
  <si>
    <t>V_5</t>
  </si>
  <si>
    <t>471-570</t>
  </si>
  <si>
    <t>3,CU-130,75,80,63,34,36,20,41,1</t>
  </si>
  <si>
    <t>X_4</t>
  </si>
  <si>
    <t>89,10,5,36,7,77,78,54,57,44</t>
  </si>
  <si>
    <t>AA_3</t>
  </si>
  <si>
    <t>79,36,89,70,50,78,54,63,34,20</t>
  </si>
  <si>
    <t>BB_2</t>
  </si>
  <si>
    <t>Hurricane Eta (2020).  A lot loose/missing</t>
  </si>
  <si>
    <t>56,77,79,78,50,76,20,48,47,CU-103</t>
  </si>
  <si>
    <t>BC (WEDR)</t>
  </si>
  <si>
    <t>BC_1</t>
  </si>
  <si>
    <t>34,1,41,3,36,8,48,4,50,47</t>
  </si>
  <si>
    <t>IC_Z_2</t>
  </si>
  <si>
    <t>CU-100,8,76,CM-029,FM-18/19</t>
  </si>
  <si>
    <t>IC_C_1</t>
  </si>
  <si>
    <t>FM-18/19,CM-029,8,76,CU-100</t>
  </si>
  <si>
    <t>IC_U_2</t>
  </si>
  <si>
    <t>CU-100,CM-029,76,FM-18/19,8</t>
  </si>
  <si>
    <t>P_7</t>
  </si>
  <si>
    <t>701-800</t>
  </si>
  <si>
    <t>1,4,79,84,6,31,36,41,77,80</t>
  </si>
  <si>
    <t>AA_4</t>
  </si>
  <si>
    <t>1,CM-032,5,CU-076,29,CU-128,47,FM-18/19,48,CU-015</t>
  </si>
  <si>
    <t>BB_3</t>
  </si>
  <si>
    <t>5,3,38,34,44,4,8,10,1,13</t>
  </si>
  <si>
    <t>BC_2</t>
  </si>
  <si>
    <t>89,63,77,FM-5,47,76,54,50,58,56</t>
  </si>
  <si>
    <t>U_10</t>
  </si>
  <si>
    <t>1151-1195</t>
  </si>
  <si>
    <t>Hanna's old Looe spawning colonies</t>
  </si>
  <si>
    <t>41,50,34,13,3,31,62,7,44</t>
  </si>
  <si>
    <t>U_11</t>
  </si>
  <si>
    <t>1196-1250</t>
  </si>
  <si>
    <t>CU-128,CU-100,CU-035,CU-130,CU-036</t>
  </si>
  <si>
    <t>U_12</t>
  </si>
  <si>
    <t>3,5,7,8,10,20,38,36,34,13</t>
  </si>
  <si>
    <t>AB_2</t>
  </si>
  <si>
    <t>A lot of Wild ACER at site</t>
  </si>
  <si>
    <t>3,CM-031,5,44,7,CU-007,41,CU-009,CM-029,CU-128</t>
  </si>
  <si>
    <t>S_12</t>
  </si>
  <si>
    <t>1351-1450</t>
  </si>
  <si>
    <t>46,41,50,58,48,1,79,38,57,4</t>
  </si>
  <si>
    <t>Q_12</t>
  </si>
  <si>
    <t>1401-1500</t>
  </si>
  <si>
    <t>79,76,77,80,55,88,75,56,70,62</t>
  </si>
  <si>
    <t>R_11</t>
  </si>
  <si>
    <t>47,76,41,FM-5,44,78,FM-13,CU-103,50,79</t>
  </si>
  <si>
    <t>AA_5</t>
  </si>
  <si>
    <t>54,CU-129,47,FM-18/19,48,FM-12,CM-032,CU-103,51</t>
  </si>
  <si>
    <t>WS_1</t>
  </si>
  <si>
    <t>79,75,77,CM-031,FM-5,48,76,63,CU-103,78</t>
  </si>
  <si>
    <t>MS_1</t>
  </si>
  <si>
    <t>54,50,57,84,80,79,58,63,48,56</t>
  </si>
  <si>
    <t>Z_4</t>
  </si>
  <si>
    <t>46,6,5,31,1,34,44,8,13,38</t>
  </si>
  <si>
    <t>S_13</t>
  </si>
  <si>
    <t>1451-1550</t>
  </si>
  <si>
    <t>CM-032,FM-4/9,CU-103,89,FM-13,FM-18/19,78,76,77,FM-5</t>
  </si>
  <si>
    <t>C_9</t>
  </si>
  <si>
    <t>5,80,20,89,76,29,88,6,13,3</t>
  </si>
  <si>
    <t>AB_3</t>
  </si>
  <si>
    <t>34,80,CU-036,51,36,58,38,78,75,57</t>
  </si>
  <si>
    <t>T_11</t>
  </si>
  <si>
    <t>5,38,46,41,62,13,56,31,10,58</t>
  </si>
  <si>
    <t>T_12a</t>
  </si>
  <si>
    <t>1351-1480</t>
  </si>
  <si>
    <t>CU-103,FM-5,77,FM-18/19,75,79,CM-032,FM-4/9</t>
  </si>
  <si>
    <t>T_13a</t>
  </si>
  <si>
    <t>1501-1620</t>
  </si>
  <si>
    <t>31,50,1,7,34,3,47</t>
  </si>
  <si>
    <t>East of MS (AC)</t>
  </si>
  <si>
    <t>AC_1</t>
  </si>
  <si>
    <t>very high energy reef...many loose!</t>
  </si>
  <si>
    <t>70,41,1,10,13,47,8,63,76,4</t>
  </si>
  <si>
    <t>AA_6</t>
  </si>
  <si>
    <t xml:space="preserve">~ 10 small wild ACER at site </t>
  </si>
  <si>
    <t>4,10,6,63,1,47,41,CU-100,44,7</t>
  </si>
  <si>
    <t>Z_5</t>
  </si>
  <si>
    <t>few small "wild" ACER at site</t>
  </si>
  <si>
    <t>CU-066,CU-015,CU-035,FM-21,CU-103,FM-18/19,CM-031,CU-129,CU-130,CU-020</t>
  </si>
  <si>
    <t>AB_4</t>
  </si>
  <si>
    <t>8,6,4,55,62,56,10,20,13,29</t>
  </si>
  <si>
    <t>UF_AA_NR_2</t>
  </si>
  <si>
    <t>26-55</t>
  </si>
  <si>
    <t>1,31,50,57,77</t>
  </si>
  <si>
    <t>UF_AA_MR_2</t>
  </si>
  <si>
    <t>7,31,50,57,77</t>
  </si>
  <si>
    <t>U_13</t>
  </si>
  <si>
    <t xml:space="preserve">lots of old mortality/1m monitor before TS Elsa </t>
  </si>
  <si>
    <t>89,79,78,FM-18/19,CU-009,CU-007,CU-053,CM-032,FM-12</t>
  </si>
  <si>
    <t>BA_2</t>
  </si>
  <si>
    <t>Outplanted right before TS Elsa/Monitored Post Elsa</t>
  </si>
  <si>
    <t>4,8,6,10,7,3,5,41,38,29</t>
  </si>
  <si>
    <t>BB_4</t>
  </si>
  <si>
    <t>79,84,78,75,56,54,62,88,77,76</t>
  </si>
  <si>
    <t>V_6</t>
  </si>
  <si>
    <t>571-670</t>
  </si>
  <si>
    <t>FM-21,CU-103,89,FM-18/19,62,54,CU-076,CU-038,CU-036,CU-035</t>
  </si>
  <si>
    <t>IC_U_3</t>
  </si>
  <si>
    <t>84,CU-130,CU-036,FM-18/19,80</t>
  </si>
  <si>
    <t>IC_C_3</t>
  </si>
  <si>
    <t>IC_Z_3</t>
  </si>
  <si>
    <t>BC_3</t>
  </si>
  <si>
    <t>TS FRED</t>
  </si>
  <si>
    <t>3,29,44,41,34,31,7,10,6,5</t>
  </si>
  <si>
    <t>V_7</t>
  </si>
  <si>
    <t>671-800</t>
  </si>
  <si>
    <t>50,55,89,38,31,76,84,44,6,FM-18/19</t>
  </si>
  <si>
    <t>T_14</t>
  </si>
  <si>
    <t>1651-1750</t>
  </si>
  <si>
    <t>29,41,3,44,FM-18/19,58,84,6,57,56</t>
  </si>
  <si>
    <t>Q_13a</t>
  </si>
  <si>
    <t>1501-1540</t>
  </si>
  <si>
    <t>Tags 1351-1390</t>
  </si>
  <si>
    <t>3,29,41,76</t>
  </si>
  <si>
    <t>Q_13b</t>
  </si>
  <si>
    <t>1541-1600</t>
  </si>
  <si>
    <t>Tags 1391-1450</t>
  </si>
  <si>
    <t>1,7,34,38,80,84</t>
  </si>
  <si>
    <t>C_10</t>
  </si>
  <si>
    <t>31,34,36,41,3,10,47,57,62,80</t>
  </si>
  <si>
    <t>V_8</t>
  </si>
  <si>
    <t>801-900</t>
  </si>
  <si>
    <t>CU-020,CU-035,10,1,44,38,4,5,6,31</t>
  </si>
  <si>
    <t>AA_7</t>
  </si>
  <si>
    <t>few "wild" colonies at site</t>
  </si>
  <si>
    <t>38,20,75,CU-053,CU-128,CU-015,77,57,79,1</t>
  </si>
  <si>
    <t>U_14</t>
  </si>
  <si>
    <t>CU-020,CU-044,CU-035,44,5,6,41,38,CU-131,CU-038</t>
  </si>
  <si>
    <t>Z_6</t>
  </si>
  <si>
    <t>89,55,58,CU-008,57,50,CU-053,51,FM-4/9,84</t>
  </si>
  <si>
    <t>A_5</t>
  </si>
  <si>
    <t>451-470</t>
  </si>
  <si>
    <t>Restoration Workshop</t>
  </si>
  <si>
    <t>FM-4/9</t>
  </si>
  <si>
    <t>AC_2</t>
  </si>
  <si>
    <t>47,58,CU-035,84,75,5,CU-020,38,56,10</t>
  </si>
  <si>
    <t>R_12</t>
  </si>
  <si>
    <t>7,3,47,89,80,34,38,4,41,78</t>
  </si>
  <si>
    <t>T_15</t>
  </si>
  <si>
    <t>1751-1850</t>
  </si>
  <si>
    <t>"V" formation</t>
  </si>
  <si>
    <t>75,80,3,4,10,41,36,76,FM-16,84</t>
  </si>
  <si>
    <t>MS_2</t>
  </si>
  <si>
    <t>very high energy reef...many loose after 1 month</t>
  </si>
  <si>
    <t>84,CU-008,50,FM-6,54,FM-18/19,55,CM-029,62,FM-4/9</t>
  </si>
  <si>
    <t>T_12b</t>
  </si>
  <si>
    <t>1381-1500</t>
  </si>
  <si>
    <t>84,88,80,62,56,6,38</t>
  </si>
  <si>
    <t>T_13b</t>
  </si>
  <si>
    <t>1521-1650</t>
  </si>
  <si>
    <t>51,34,31,CU-103,89,FM-18/19,4,3</t>
  </si>
  <si>
    <t>Pelican Shoals</t>
  </si>
  <si>
    <t>PS_1</t>
  </si>
  <si>
    <t>6,77,3,58,5,31,76,41,20,34</t>
  </si>
  <si>
    <t>T_16</t>
  </si>
  <si>
    <t>1851-1910</t>
  </si>
  <si>
    <t>50,75,CM-032,29,1,34</t>
  </si>
  <si>
    <t>Z_7</t>
  </si>
  <si>
    <t>5,36,3,CU-015,CU-053,54,29,6,CU-035,47</t>
  </si>
  <si>
    <t>M32_4</t>
  </si>
  <si>
    <t>1,10,77,51,20,47,5,38,3,36</t>
  </si>
  <si>
    <t>AB_5</t>
  </si>
  <si>
    <t>several wild ACER colonies/rubbly reef/high energy/bad site</t>
  </si>
  <si>
    <t>47,CU-007,CU-009,CU-129,CU-035,CU-100,FM-4/9,CU-053,FM-6,90</t>
  </si>
  <si>
    <t>C_11</t>
  </si>
  <si>
    <t>actual tags are 1101-1200</t>
  </si>
  <si>
    <t>CU-044,FM-21,FM-18/19,FM-12,CU-035,CU-103,FM-6,CU-128,CM-031</t>
  </si>
  <si>
    <t>WS_2</t>
  </si>
  <si>
    <t>36,38,6,29,13,10,31,56,34,4</t>
  </si>
  <si>
    <t>Q_14</t>
  </si>
  <si>
    <t>1601-1700</t>
  </si>
  <si>
    <t>34,31,5,CU-036,CU-130,3,44,20,10,CU-044</t>
  </si>
  <si>
    <t>AA_8</t>
  </si>
  <si>
    <t>1-month, lots of fine particulate/ciliates/base mortality</t>
  </si>
  <si>
    <t>80,CU-053,CU-007,58,FM-4/9,84,76,CM-031,79</t>
  </si>
  <si>
    <t>Site AD</t>
  </si>
  <si>
    <t>AD_1</t>
  </si>
  <si>
    <t>6,4,3,20,41,38,10,31,8,13</t>
  </si>
  <si>
    <t>X_5</t>
  </si>
  <si>
    <t>13,38,84,34,4,31,3,62,41,10</t>
  </si>
  <si>
    <t>Cook Island Heads (Site K)</t>
  </si>
  <si>
    <t>CI_AC_3</t>
  </si>
  <si>
    <t>95-103</t>
  </si>
  <si>
    <t>Hanna/Courtney's Thermal Stress Study with ex-situ ACER</t>
  </si>
  <si>
    <t>1,3,7,13,31,34,47,50,62</t>
  </si>
  <si>
    <t>CatsPaw</t>
  </si>
  <si>
    <t>CP_AC_1</t>
  </si>
  <si>
    <t>65-73</t>
  </si>
  <si>
    <t>BA_3</t>
  </si>
  <si>
    <t>41,31,1,3,10,89,13,36,7,34</t>
  </si>
  <si>
    <t>I Owe You (AE)</t>
  </si>
  <si>
    <t>AE_1</t>
  </si>
  <si>
    <t>48,52,51,70,58,55,88,94,78,54</t>
  </si>
  <si>
    <t>BC_4</t>
  </si>
  <si>
    <t>31,13,50,57,84,47,20,58,38,10</t>
  </si>
  <si>
    <t>P (BP Ledge)</t>
  </si>
  <si>
    <t>P_8</t>
  </si>
  <si>
    <t>75,70,56,89,76,80,54,48,47,57</t>
  </si>
  <si>
    <t>AC_3</t>
  </si>
  <si>
    <t>20,3,CU-034,CU-020,36,31,CU-128,6,7,CU-015</t>
  </si>
  <si>
    <t>U_15</t>
  </si>
  <si>
    <t>1551-1650</t>
  </si>
  <si>
    <t>lots of ciliates at 1-month/turf algae/many queen conch</t>
  </si>
  <si>
    <t>CU-129,79,CU-007,CM-029,58,77,75,70,55,84</t>
  </si>
  <si>
    <t>C_12</t>
  </si>
  <si>
    <t>CU-103,CM-031,CU-009,CU-036,CU-038,CU-035,90,CU-130,FM-18/19,CU-129</t>
  </si>
  <si>
    <t>V_9</t>
  </si>
  <si>
    <t>901-1000</t>
  </si>
  <si>
    <t>CU-076,CU-129,CU-103,FM-21,CM-031,90,CU-007,CM-029,FM-18/19,CU-130</t>
  </si>
  <si>
    <t>Middle Sambos</t>
  </si>
  <si>
    <t>MD_1</t>
  </si>
  <si>
    <t>80,36,41,50,5,6,3,84,31,57</t>
  </si>
  <si>
    <t>AB_6</t>
  </si>
  <si>
    <t>CU-103,FM-21,CM-031,CU-035,CU-015,CU-009,CU-129,CU-053,CU-076,CU-130</t>
  </si>
  <si>
    <t>Q_15</t>
  </si>
  <si>
    <t>1701-1800</t>
  </si>
  <si>
    <t>3,5,88,78,54,6,58,62,56,75</t>
  </si>
  <si>
    <t>Site BD</t>
  </si>
  <si>
    <t>BD_1</t>
  </si>
  <si>
    <t>31,5,38,34,41,1,29,13,36,4</t>
  </si>
  <si>
    <t>Z_8</t>
  </si>
  <si>
    <t>88,75,89,56,57,54,47,48,80,94</t>
  </si>
  <si>
    <t>S_14a</t>
  </si>
  <si>
    <t>1551-1610</t>
  </si>
  <si>
    <t>47,4,5,CM-032,31,36</t>
  </si>
  <si>
    <t>S_14b</t>
  </si>
  <si>
    <t>1611-1650</t>
  </si>
  <si>
    <t>1,34,75,76</t>
  </si>
  <si>
    <t>AA_9</t>
  </si>
  <si>
    <t>29,31,CU-076,58,CU-053,62,CU-103,CU-044,CU-129,CU-038</t>
  </si>
  <si>
    <t>AD_2</t>
  </si>
  <si>
    <t>First photo mosaic</t>
  </si>
  <si>
    <t>55,51,57,44,5,29,CU-015,CU-036,CU-062,CU-057</t>
  </si>
  <si>
    <t>T_17</t>
  </si>
  <si>
    <t>1911-2010</t>
  </si>
  <si>
    <t>29,6,10,4,20,38,36,34,8,31</t>
  </si>
  <si>
    <t>CK_LK_2</t>
  </si>
  <si>
    <t>CK 1 - CK 100</t>
  </si>
  <si>
    <t>Kenkel NSF expt.</t>
  </si>
  <si>
    <t>41,50,31,62,13,7,1,44,36,3</t>
  </si>
  <si>
    <t>CK_DL_2</t>
  </si>
  <si>
    <t>CK 101-CK 200</t>
  </si>
  <si>
    <t>31,1,62,50,41,7,3,44,13,36</t>
  </si>
  <si>
    <t>T_18</t>
  </si>
  <si>
    <t>2011-2060</t>
  </si>
  <si>
    <t>62,80,84,56,34</t>
  </si>
  <si>
    <t>T_19</t>
  </si>
  <si>
    <t>2061-2200</t>
  </si>
  <si>
    <t>89,38,84,CM-032,FM-5,CU-103,31,FM-14,76,80</t>
  </si>
  <si>
    <t>V_10</t>
  </si>
  <si>
    <t>1001-1100</t>
  </si>
  <si>
    <t>FM-21,78,CU-015,70,75,CU-038,80,51,54,62</t>
  </si>
  <si>
    <t>MS_3</t>
  </si>
  <si>
    <t>38,34,1,75,58,5,8,48,47,6</t>
  </si>
  <si>
    <t>U_16</t>
  </si>
  <si>
    <t>CU-036,36,CU-034,50,62,CM-031,55,70,38,76</t>
  </si>
  <si>
    <t>AB_7</t>
  </si>
  <si>
    <t>31,5,CU-076,CU-129,CU-130,55,CU-020,51,62,75</t>
  </si>
  <si>
    <t>C_13</t>
  </si>
  <si>
    <t>70,CU-007,88,58,FM-4/9,95,FM-6,CU-038,36,41</t>
  </si>
  <si>
    <t xml:space="preserve">West of Pelican </t>
  </si>
  <si>
    <t>BE_1</t>
  </si>
  <si>
    <t xml:space="preserve">Restoration </t>
  </si>
  <si>
    <t>3,FM-21,CU-035,6,41,CU-100,31,58,CU-126,RD-33</t>
  </si>
  <si>
    <t>T_20</t>
  </si>
  <si>
    <t>2201-2340</t>
  </si>
  <si>
    <t>FM-4/9,89,80,75,CU-103,1,31,FM-13,20,51</t>
  </si>
  <si>
    <t>Z_9</t>
  </si>
  <si>
    <t>77,6,62,58,20,50,31,78,1,34</t>
  </si>
  <si>
    <t>IC_U_2b</t>
  </si>
  <si>
    <t>Do not monitor</t>
  </si>
  <si>
    <t>CU-100,76,FM-18/19,8</t>
  </si>
  <si>
    <t>IC_U_3b</t>
  </si>
  <si>
    <t>IC_C_1b</t>
  </si>
  <si>
    <t>FM-18/19,8,76,CU-100</t>
  </si>
  <si>
    <t>IC_C_3b</t>
  </si>
  <si>
    <t>IC_Z_2b</t>
  </si>
  <si>
    <t>CU-100,8,75,FM-18/19</t>
  </si>
  <si>
    <t>IC_Z_3b</t>
  </si>
  <si>
    <t>Q_16</t>
  </si>
  <si>
    <t>1801-1900</t>
  </si>
  <si>
    <t>80,CU-015,CL-117,CL-123,75,79,CU-020,CU-035,70,57</t>
  </si>
  <si>
    <t>AC_4</t>
  </si>
  <si>
    <t>FM-18/19,FM-4/9,CM-029,41,44,47,54,58,CU-009</t>
  </si>
  <si>
    <t>MS_4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</si>
  <si>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</si>
  <si>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</si>
  <si>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</si>
  <si>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</si>
  <si>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</si>
  <si>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</si>
  <si>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</si>
  <si>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</si>
  <si>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</si>
  <si>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</si>
  <si>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</si>
  <si>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</si>
  <si>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</si>
  <si>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</si>
  <si>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</si>
  <si>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</si>
  <si>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</si>
  <si>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</si>
  <si>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</si>
  <si>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</si>
  <si>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</si>
  <si>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</si>
  <si>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</si>
  <si>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</si>
  <si>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</si>
  <si>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</si>
  <si>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</si>
  <si>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</si>
  <si>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</si>
  <si>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</si>
  <si>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</si>
  <si>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</si>
  <si>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</si>
  <si>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</si>
  <si>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</si>
  <si>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</si>
  <si>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</si>
  <si>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</si>
  <si>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</si>
  <si>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</si>
  <si>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</si>
  <si>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</si>
  <si>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</si>
  <si>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</si>
  <si>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</si>
  <si>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</si>
  <si>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</si>
  <si>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</si>
  <si>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</si>
  <si>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</si>
  <si>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</si>
  <si>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</si>
  <si>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</si>
  <si>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</si>
  <si>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</si>
  <si>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</si>
  <si>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</si>
  <si>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</si>
  <si>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1-month Monitoring?</t>
  </si>
  <si>
    <t>12-month Monitoring?</t>
  </si>
  <si>
    <t>3-Year Monitoring</t>
  </si>
  <si>
    <t>5-Year Monitoring</t>
  </si>
  <si>
    <t># Apal Alive</t>
  </si>
  <si>
    <t>Genotypes represented at the Site</t>
  </si>
  <si>
    <t>CK_LK_AP</t>
  </si>
  <si>
    <t>Mote/USC</t>
  </si>
  <si>
    <t>31-45</t>
  </si>
  <si>
    <t>AP7</t>
  </si>
  <si>
    <t>AP5</t>
  </si>
  <si>
    <t>AP9</t>
  </si>
  <si>
    <t>AP20</t>
  </si>
  <si>
    <t>AP24</t>
  </si>
  <si>
    <t>CK_BH_AP</t>
  </si>
  <si>
    <t>CK_BPS_AP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</si>
  <si>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</si>
  <si>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</si>
  <si>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</si>
  <si>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</si>
  <si>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</si>
  <si>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</si>
  <si>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</si>
  <si>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</si>
  <si>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W_AP_2</t>
  </si>
  <si>
    <t>16-30</t>
  </si>
  <si>
    <t>AP19</t>
  </si>
  <si>
    <t>Q_AP_1</t>
  </si>
  <si>
    <t>126-140</t>
  </si>
  <si>
    <t>AB_LK_AP</t>
  </si>
  <si>
    <t>Mote/FKNMS</t>
  </si>
  <si>
    <t>375-377,380,383</t>
  </si>
  <si>
    <t>AP14</t>
  </si>
  <si>
    <t>AP18</t>
  </si>
  <si>
    <t>AP2</t>
  </si>
  <si>
    <t>T_AP_1</t>
  </si>
  <si>
    <t>46-69</t>
  </si>
  <si>
    <t>AP23</t>
  </si>
  <si>
    <t>Q_AP_2</t>
  </si>
  <si>
    <t>16-70</t>
  </si>
  <si>
    <t>AP17</t>
  </si>
  <si>
    <t>AP16</t>
  </si>
  <si>
    <t>AP21</t>
  </si>
  <si>
    <t>AP10</t>
  </si>
  <si>
    <t>AP22</t>
  </si>
  <si>
    <t>AP4</t>
  </si>
  <si>
    <t>AP8</t>
  </si>
  <si>
    <t>A_AP_1</t>
  </si>
  <si>
    <t>1-55</t>
  </si>
  <si>
    <t>W_AP_3</t>
  </si>
  <si>
    <t>46-107</t>
  </si>
  <si>
    <t>AP15</t>
  </si>
  <si>
    <t>P_AP_1</t>
  </si>
  <si>
    <t>1-66</t>
  </si>
  <si>
    <t>M32_AP_1</t>
  </si>
  <si>
    <t>AP30</t>
  </si>
  <si>
    <t>C_AP_1</t>
  </si>
  <si>
    <t>S_AP_1</t>
  </si>
  <si>
    <t>1-57</t>
  </si>
  <si>
    <t>AP13</t>
  </si>
  <si>
    <t>AP32</t>
  </si>
  <si>
    <t>AP27</t>
  </si>
  <si>
    <t>AP26</t>
  </si>
  <si>
    <t>W_AP_4</t>
  </si>
  <si>
    <t>108-171</t>
  </si>
  <si>
    <t>Ball 2</t>
  </si>
  <si>
    <t>AP6</t>
  </si>
  <si>
    <t>AP12</t>
  </si>
  <si>
    <t>W_AP_5</t>
  </si>
  <si>
    <t>172-245</t>
  </si>
  <si>
    <t>Ball 3</t>
  </si>
  <si>
    <t>AP29</t>
  </si>
  <si>
    <t>W_AP_6</t>
  </si>
  <si>
    <t>246-309, 312-316</t>
  </si>
  <si>
    <t>Ball 5</t>
  </si>
  <si>
    <t>AP28</t>
  </si>
  <si>
    <t>Biscayne BB1</t>
  </si>
  <si>
    <t>BNP_AP_1</t>
  </si>
  <si>
    <t>Mote/NPS</t>
  </si>
  <si>
    <t>1-101</t>
  </si>
  <si>
    <t>BB1</t>
  </si>
  <si>
    <t>AP52</t>
  </si>
  <si>
    <t>AP91</t>
  </si>
  <si>
    <t>AP62</t>
  </si>
  <si>
    <t>AP92</t>
  </si>
  <si>
    <t>AP89</t>
  </si>
  <si>
    <t>AP88</t>
  </si>
  <si>
    <t>AP63</t>
  </si>
  <si>
    <t>AP65</t>
  </si>
  <si>
    <t>AP68</t>
  </si>
  <si>
    <t>AP69</t>
  </si>
  <si>
    <t>AP70</t>
  </si>
  <si>
    <t>AP67</t>
  </si>
  <si>
    <t>AP86</t>
  </si>
  <si>
    <t>AP59</t>
  </si>
  <si>
    <t>AP87</t>
  </si>
  <si>
    <t>AP79</t>
  </si>
  <si>
    <t>AP60</t>
  </si>
  <si>
    <t>Biscayne BB2</t>
  </si>
  <si>
    <t>BNP_AP_2</t>
  </si>
  <si>
    <t>102-210</t>
  </si>
  <si>
    <t>BB2</t>
  </si>
  <si>
    <t>AP73</t>
  </si>
  <si>
    <t>AP72</t>
  </si>
  <si>
    <t>AP83</t>
  </si>
  <si>
    <t>AP74</t>
  </si>
  <si>
    <t>AP84</t>
  </si>
  <si>
    <t>AP51</t>
  </si>
  <si>
    <t>AP76</t>
  </si>
  <si>
    <t>AP85</t>
  </si>
  <si>
    <t>AP77</t>
  </si>
  <si>
    <t>AP78</t>
  </si>
  <si>
    <t>AP71</t>
  </si>
  <si>
    <t>AP81</t>
  </si>
  <si>
    <t>AP80</t>
  </si>
  <si>
    <t>AP66</t>
  </si>
  <si>
    <t>AP57</t>
  </si>
  <si>
    <t>AP50</t>
  </si>
  <si>
    <t>W_AP_7</t>
  </si>
  <si>
    <t>317-391</t>
  </si>
  <si>
    <t>W_AP_8</t>
  </si>
  <si>
    <t>392-451</t>
  </si>
  <si>
    <t>W_AP_9</t>
  </si>
  <si>
    <t>452-511</t>
  </si>
  <si>
    <t>off ball 9(?)</t>
  </si>
  <si>
    <t>W_AP_10</t>
  </si>
  <si>
    <t>512-571</t>
  </si>
  <si>
    <t>B_AP_1</t>
  </si>
  <si>
    <t>67-166</t>
  </si>
  <si>
    <t>0% @ 4/20/23</t>
  </si>
  <si>
    <t>V_AP_1</t>
  </si>
  <si>
    <t>1-61</t>
  </si>
  <si>
    <t>enzymedica</t>
  </si>
  <si>
    <t>W_AP_11</t>
  </si>
  <si>
    <t>572-631</t>
  </si>
  <si>
    <t>off ball 11</t>
  </si>
  <si>
    <t>W_AP_12</t>
  </si>
  <si>
    <t>632-693</t>
  </si>
  <si>
    <t>AP82</t>
  </si>
  <si>
    <t>AP64</t>
  </si>
  <si>
    <t>AP90</t>
  </si>
  <si>
    <t>AP75</t>
  </si>
  <si>
    <t>S_AP_2</t>
  </si>
  <si>
    <t>58-157</t>
  </si>
  <si>
    <t>AP61</t>
  </si>
  <si>
    <t>AP93</t>
  </si>
  <si>
    <t>AP102</t>
  </si>
  <si>
    <t>AP101</t>
  </si>
  <si>
    <t>AP100</t>
  </si>
  <si>
    <t>AP106</t>
  </si>
  <si>
    <t>AP94</t>
  </si>
  <si>
    <t>AP99</t>
  </si>
  <si>
    <t>AP97</t>
  </si>
  <si>
    <t>AP96</t>
  </si>
  <si>
    <t>AP98</t>
  </si>
  <si>
    <t>V_AP_2</t>
  </si>
  <si>
    <t>62-95</t>
  </si>
  <si>
    <t>Z_AP_1</t>
  </si>
  <si>
    <t>1-48</t>
  </si>
  <si>
    <t>AP58</t>
  </si>
  <si>
    <t>Z_AP_2</t>
  </si>
  <si>
    <t>49-88</t>
  </si>
  <si>
    <t>M32_AP_2</t>
  </si>
  <si>
    <t>46-55, 99-118</t>
  </si>
  <si>
    <t>Z_AP_3</t>
  </si>
  <si>
    <t>89-188</t>
  </si>
  <si>
    <t>Alligator</t>
  </si>
  <si>
    <t>ICARE_AG_AP_1</t>
  </si>
  <si>
    <t>Mote/Icare</t>
  </si>
  <si>
    <t>no tags</t>
  </si>
  <si>
    <t>S_AP_3</t>
  </si>
  <si>
    <t>158-235</t>
  </si>
  <si>
    <t>ICARE_AG_AP_2</t>
  </si>
  <si>
    <t>S_AP_4</t>
  </si>
  <si>
    <t>236-304</t>
  </si>
  <si>
    <t>MS_AP_1</t>
  </si>
  <si>
    <t>1-58, 61-100</t>
  </si>
  <si>
    <t>T_AP_2</t>
  </si>
  <si>
    <t>71-220</t>
  </si>
  <si>
    <t>FWRI_W_1a</t>
  </si>
  <si>
    <t>Mote/FWRI</t>
  </si>
  <si>
    <t>no tags (mapped)</t>
  </si>
  <si>
    <t>T_AP_3a</t>
  </si>
  <si>
    <t>221-470</t>
  </si>
  <si>
    <t>Sombrero</t>
  </si>
  <si>
    <t>FWRI_SR_1</t>
  </si>
  <si>
    <t>T_AP_4</t>
  </si>
  <si>
    <t>471-595</t>
  </si>
  <si>
    <t>T_AP_5</t>
  </si>
  <si>
    <t>596-720</t>
  </si>
  <si>
    <t>FWRI_W_1b</t>
  </si>
  <si>
    <t>Alligator Reef</t>
  </si>
  <si>
    <t>ICARE_AG_AP_3</t>
  </si>
  <si>
    <t>ICare/Mote</t>
  </si>
  <si>
    <t>V_AP_3</t>
  </si>
  <si>
    <t>96-148</t>
  </si>
  <si>
    <t>AP42</t>
  </si>
  <si>
    <t>AP43</t>
  </si>
  <si>
    <t>AP34</t>
  </si>
  <si>
    <t>AP41</t>
  </si>
  <si>
    <t>T_AP_6</t>
  </si>
  <si>
    <t>721-791</t>
  </si>
  <si>
    <t>AP40</t>
  </si>
  <si>
    <t>AP33</t>
  </si>
  <si>
    <t>AP55</t>
  </si>
  <si>
    <t>M32_AP_3</t>
  </si>
  <si>
    <t>119-218</t>
  </si>
  <si>
    <t>T_AP_7</t>
  </si>
  <si>
    <t>792-916</t>
  </si>
  <si>
    <t>AP107</t>
  </si>
  <si>
    <t>AP36</t>
  </si>
  <si>
    <t>AP95</t>
  </si>
  <si>
    <t>BC (WDR)</t>
  </si>
  <si>
    <t>BC_AP_1</t>
  </si>
  <si>
    <t>1-81</t>
  </si>
  <si>
    <t>0% @ 4/14/23</t>
  </si>
  <si>
    <t>W_AP_13</t>
  </si>
  <si>
    <t>JC1-JC4</t>
  </si>
  <si>
    <t>jeff corwin filming</t>
  </si>
  <si>
    <t>T_AP_8</t>
  </si>
  <si>
    <t>917-1041</t>
  </si>
  <si>
    <t>AP11</t>
  </si>
  <si>
    <t>AP3</t>
  </si>
  <si>
    <t>T_AP_9</t>
  </si>
  <si>
    <t>1042-1166</t>
  </si>
  <si>
    <t>AP56</t>
  </si>
  <si>
    <t>AP53</t>
  </si>
  <si>
    <t>T_AP_10</t>
  </si>
  <si>
    <t>1167-1226</t>
  </si>
  <si>
    <t>W_AP_14</t>
  </si>
  <si>
    <t>694-753</t>
  </si>
  <si>
    <t>DK_Q_2_APAL</t>
  </si>
  <si>
    <t>37-66</t>
  </si>
  <si>
    <t>SR (Sombrero)</t>
  </si>
  <si>
    <t>SR_AP_1</t>
  </si>
  <si>
    <t>Q_AP_3</t>
  </si>
  <si>
    <t>71-110</t>
  </si>
  <si>
    <t>Q_AP_4</t>
  </si>
  <si>
    <t>111-170</t>
  </si>
  <si>
    <t>AP37</t>
  </si>
  <si>
    <t>AP135</t>
  </si>
  <si>
    <t>T_AP_3b</t>
  </si>
  <si>
    <t>X271-X320, X380-X420, X1127-X1276</t>
  </si>
  <si>
    <t>T_AP_11</t>
  </si>
  <si>
    <t>X1277-X1401</t>
  </si>
  <si>
    <t>AP105</t>
  </si>
  <si>
    <t>AP114</t>
  </si>
  <si>
    <t>AP118</t>
  </si>
  <si>
    <t>AP120</t>
  </si>
  <si>
    <t>AP121</t>
  </si>
  <si>
    <t>AP123</t>
  </si>
  <si>
    <t>AP124</t>
  </si>
  <si>
    <t>AP127</t>
  </si>
  <si>
    <t>T_AP_12</t>
  </si>
  <si>
    <t>X1402-X1526</t>
  </si>
  <si>
    <t>AP128</t>
  </si>
  <si>
    <t>AP129</t>
  </si>
  <si>
    <t>T_AP_13</t>
  </si>
  <si>
    <t>X1527-X1651</t>
  </si>
  <si>
    <t>AP134</t>
  </si>
  <si>
    <t>T_AP_14</t>
  </si>
  <si>
    <t>X1652-X1901</t>
  </si>
  <si>
    <t>AP25</t>
  </si>
  <si>
    <t>WS (W. Sambo)</t>
  </si>
  <si>
    <t>WS_AP_1</t>
  </si>
  <si>
    <t>X1-X60</t>
  </si>
  <si>
    <t>BNP (Biscayne)</t>
  </si>
  <si>
    <t>BNP_AP_3</t>
  </si>
  <si>
    <t>X211-X310</t>
  </si>
  <si>
    <t>AP109</t>
  </si>
  <si>
    <t>AP122</t>
  </si>
  <si>
    <t>AP136</t>
  </si>
  <si>
    <t>WS_AP_2</t>
  </si>
  <si>
    <t>X61-x278</t>
  </si>
  <si>
    <t>Q_AP_5</t>
  </si>
  <si>
    <t>X171-X266</t>
  </si>
  <si>
    <t>AP138</t>
  </si>
  <si>
    <t>AP140</t>
  </si>
  <si>
    <t>UF_AA_W_AP_1</t>
  </si>
  <si>
    <t>AA181-AA210</t>
  </si>
  <si>
    <t>AP110</t>
  </si>
  <si>
    <t>AP132</t>
  </si>
  <si>
    <t>UF_AA_P_AP_1</t>
  </si>
  <si>
    <t>AA271-AA300</t>
  </si>
  <si>
    <t>WS_AP_3a</t>
  </si>
  <si>
    <t>X279-X460 (X461-X463, X465, X467-X469, X471-X475, X503-X544, X548-X550, X660-X678)</t>
  </si>
  <si>
    <t>AP117</t>
  </si>
  <si>
    <t>AP125</t>
  </si>
  <si>
    <t>AP131</t>
  </si>
  <si>
    <t>AP137</t>
  </si>
  <si>
    <t>AP139</t>
  </si>
  <si>
    <t>AP54</t>
  </si>
  <si>
    <t>WS_AP_3b</t>
  </si>
  <si>
    <t>X461-X681</t>
  </si>
  <si>
    <t>AP141</t>
  </si>
  <si>
    <t>T_AP_15</t>
  </si>
  <si>
    <t>X1902-X2403</t>
  </si>
  <si>
    <t>AP104</t>
  </si>
  <si>
    <t>AP116</t>
  </si>
  <si>
    <t>AP126</t>
  </si>
  <si>
    <t>AP133</t>
  </si>
  <si>
    <t>T_AP_16a</t>
  </si>
  <si>
    <t>X2404-X2583</t>
  </si>
  <si>
    <t>AP115</t>
  </si>
  <si>
    <t>AP119</t>
  </si>
  <si>
    <t>T_AP_16b</t>
  </si>
  <si>
    <t>X2584-X2620, X2631-X2679, X2690-X2715</t>
  </si>
  <si>
    <t>AP31</t>
  </si>
  <si>
    <t>AP38</t>
  </si>
  <si>
    <t>T_AP_17</t>
  </si>
  <si>
    <t>X2779-X2983 (no corals @2809)</t>
  </si>
  <si>
    <t>P_AP_2</t>
  </si>
  <si>
    <t>X67-X95</t>
  </si>
  <si>
    <t>306 Apal, 28 Past</t>
  </si>
  <si>
    <t>APX1</t>
  </si>
  <si>
    <t>APX2</t>
  </si>
  <si>
    <t>APX3</t>
  </si>
  <si>
    <t>APX4</t>
  </si>
  <si>
    <t>APX5</t>
  </si>
  <si>
    <t>APX6</t>
  </si>
  <si>
    <t>APX7</t>
  </si>
  <si>
    <t>APX8</t>
  </si>
  <si>
    <t>APX9</t>
  </si>
  <si>
    <t>APX10</t>
  </si>
  <si>
    <t>APX11</t>
  </si>
  <si>
    <t>T_AP_18a</t>
  </si>
  <si>
    <t>X2984-X3106</t>
  </si>
  <si>
    <t>T_AP_18b</t>
  </si>
  <si>
    <t>X3107-X3278</t>
  </si>
  <si>
    <t>W_AP_15</t>
  </si>
  <si>
    <t>X754-X881</t>
  </si>
  <si>
    <t>Ball 14</t>
  </si>
  <si>
    <t>W_AP_16</t>
  </si>
  <si>
    <t>X882-X1032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</si>
  <si>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</si>
  <si>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</si>
  <si>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</si>
  <si>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</si>
  <si>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</si>
  <si>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</si>
  <si>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</si>
  <si>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</si>
  <si>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</si>
  <si>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</si>
  <si>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</si>
  <si>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</si>
  <si>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</si>
  <si>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</si>
  <si>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</si>
  <si>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</si>
  <si>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</si>
  <si>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</si>
  <si>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</si>
  <si>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</si>
  <si>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</si>
  <si>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</si>
  <si>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</si>
  <si>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</si>
  <si>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</si>
  <si>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</si>
  <si>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</si>
  <si>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</si>
  <si>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</si>
  <si>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</si>
  <si>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</si>
  <si>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</si>
  <si>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</si>
  <si>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</si>
  <si>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</si>
  <si>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</si>
  <si>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</si>
  <si>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</si>
  <si>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</si>
  <si>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</si>
  <si>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</si>
  <si>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</si>
  <si>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</si>
  <si>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</si>
  <si>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</si>
  <si>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</si>
  <si>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</si>
  <si>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</si>
  <si>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</si>
  <si>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</si>
  <si>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</si>
  <si>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</si>
  <si>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</si>
  <si>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</si>
  <si>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</si>
  <si>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</si>
  <si>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</si>
  <si>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</si>
  <si>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</si>
  <si>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</si>
  <si>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</si>
  <si>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</si>
  <si>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</si>
  <si>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</si>
  <si>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Lon</t>
  </si>
  <si>
    <t>MCAV</t>
  </si>
  <si>
    <t>OFAV</t>
  </si>
  <si>
    <t>PCLI</t>
  </si>
  <si>
    <t>PSTR</t>
  </si>
  <si>
    <t>PAST</t>
  </si>
  <si>
    <t>SBOU</t>
  </si>
  <si>
    <t>CNAT</t>
  </si>
  <si>
    <t>SSID</t>
  </si>
  <si>
    <t>DLAB</t>
  </si>
  <si>
    <t>Genotypes Represented</t>
  </si>
  <si>
    <t>2011</t>
  </si>
  <si>
    <t>June 2011</t>
  </si>
  <si>
    <t>Cook Island</t>
  </si>
  <si>
    <t>Year(s)</t>
  </si>
  <si>
    <t>NFH Blocks</t>
  </si>
  <si>
    <t>2013</t>
  </si>
  <si>
    <t>May 2013</t>
  </si>
  <si>
    <t>NFH Pin</t>
  </si>
  <si>
    <t>NFH Plant</t>
  </si>
  <si>
    <t>2013-2015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</si>
  <si>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</si>
  <si>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</si>
  <si>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</si>
  <si>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</si>
  <si>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</si>
  <si>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</si>
  <si>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</si>
  <si>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</si>
  <si>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</si>
  <si>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</si>
  <si>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</si>
  <si>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</si>
  <si>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</si>
  <si>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</si>
  <si>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</si>
  <si>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</si>
  <si>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</si>
  <si>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</si>
  <si>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OF-125</t>
  </si>
  <si>
    <t>OF-1</t>
  </si>
  <si>
    <t>OF-61</t>
  </si>
  <si>
    <t>KW Airport Heads</t>
  </si>
  <si>
    <t>WSP_M_1</t>
  </si>
  <si>
    <t>7-110</t>
  </si>
  <si>
    <t>nearshore</t>
  </si>
  <si>
    <t>OF-27</t>
  </si>
  <si>
    <t>OF-12</t>
  </si>
  <si>
    <t>PC-12</t>
  </si>
  <si>
    <t>PC-17</t>
  </si>
  <si>
    <t>PC-3</t>
  </si>
  <si>
    <t>OF-173</t>
  </si>
  <si>
    <t>OF-516</t>
  </si>
  <si>
    <t>OF-132</t>
  </si>
  <si>
    <t>OF-11</t>
  </si>
  <si>
    <t>OF-8</t>
  </si>
  <si>
    <t>Site N</t>
  </si>
  <si>
    <t>N_M_1</t>
  </si>
  <si>
    <t>1-88</t>
  </si>
  <si>
    <t>offshore</t>
  </si>
  <si>
    <t>MC-1</t>
  </si>
  <si>
    <t>OF-3</t>
  </si>
  <si>
    <t>PC-1</t>
  </si>
  <si>
    <t>MC-11</t>
  </si>
  <si>
    <t>OF-2</t>
  </si>
  <si>
    <t>OF-303</t>
  </si>
  <si>
    <t>OF-126</t>
  </si>
  <si>
    <t>OF-32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</si>
  <si>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</si>
  <si>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</si>
  <si>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</si>
  <si>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</si>
  <si>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</si>
  <si>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</si>
  <si>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</si>
  <si>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</si>
  <si>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</si>
  <si>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</si>
  <si>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</si>
  <si>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</si>
  <si>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</si>
  <si>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</si>
  <si>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</si>
  <si>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PC17</t>
  </si>
  <si>
    <t>PC12</t>
  </si>
  <si>
    <t>OF1</t>
  </si>
  <si>
    <t>OF125</t>
  </si>
  <si>
    <t>MC1</t>
  </si>
  <si>
    <t>7/20/19-7/23/19</t>
  </si>
  <si>
    <t>Lower Keys</t>
  </si>
  <si>
    <t>MC11</t>
  </si>
  <si>
    <t>PC1</t>
  </si>
  <si>
    <t>Upper keys-Marathon (SWG)</t>
  </si>
  <si>
    <t>FWC/Mote</t>
  </si>
  <si>
    <t>OF61</t>
  </si>
  <si>
    <t>Catspaw</t>
  </si>
  <si>
    <t>CP_M_1</t>
  </si>
  <si>
    <t>OF-331</t>
  </si>
  <si>
    <t>OF-635</t>
  </si>
  <si>
    <t>ENZ_M_1</t>
  </si>
  <si>
    <t>Enzymedica</t>
  </si>
  <si>
    <t>NFH</t>
  </si>
  <si>
    <t>NFH_M_1</t>
  </si>
  <si>
    <t>X1-X23</t>
  </si>
  <si>
    <t>OF308</t>
  </si>
  <si>
    <t>OF575</t>
  </si>
  <si>
    <t>OF564</t>
  </si>
  <si>
    <t>OF641</t>
  </si>
  <si>
    <t>OF418</t>
  </si>
  <si>
    <t>OF370</t>
  </si>
  <si>
    <t>OF331</t>
  </si>
  <si>
    <t>OF378</t>
  </si>
  <si>
    <t>OF516</t>
  </si>
  <si>
    <t>OF335</t>
  </si>
  <si>
    <t>OF326</t>
  </si>
  <si>
    <t>OF434</t>
  </si>
  <si>
    <t>CI_M_3</t>
  </si>
  <si>
    <t>36-44, 46-59</t>
  </si>
  <si>
    <t>Lookout</t>
  </si>
  <si>
    <t>OF11</t>
  </si>
  <si>
    <t>OF8</t>
  </si>
  <si>
    <t>OF483</t>
  </si>
  <si>
    <t>OF524</t>
  </si>
  <si>
    <t>CP_M_2</t>
  </si>
  <si>
    <t>X25-X-47</t>
  </si>
  <si>
    <t>OF607</t>
  </si>
  <si>
    <t>OF610</t>
  </si>
  <si>
    <t>OF583</t>
  </si>
  <si>
    <t>OF324</t>
  </si>
  <si>
    <t>OF381</t>
  </si>
  <si>
    <t>OF635</t>
  </si>
  <si>
    <t>OF386</t>
  </si>
  <si>
    <t>OF605</t>
  </si>
  <si>
    <t>OF332</t>
  </si>
  <si>
    <t>OF630</t>
  </si>
  <si>
    <t>OF231</t>
  </si>
  <si>
    <t>OF510</t>
  </si>
  <si>
    <t>OF503</t>
  </si>
  <si>
    <t>OF471</t>
  </si>
  <si>
    <t>OF631</t>
  </si>
  <si>
    <t>OF266</t>
  </si>
  <si>
    <t>OF629</t>
  </si>
  <si>
    <t>OF567</t>
  </si>
  <si>
    <t>OF217</t>
  </si>
  <si>
    <t>OF250</t>
  </si>
  <si>
    <t>OF382</t>
  </si>
  <si>
    <t>Dogsleg</t>
  </si>
  <si>
    <t>DL_M_1</t>
  </si>
  <si>
    <t>X1-X44</t>
  </si>
  <si>
    <t>MC32</t>
  </si>
  <si>
    <t>MC35</t>
  </si>
  <si>
    <t>PC6</t>
  </si>
  <si>
    <t>OF216</t>
  </si>
  <si>
    <t>OF241</t>
  </si>
  <si>
    <t>OF509</t>
  </si>
  <si>
    <t>OF642</t>
  </si>
  <si>
    <t>OF443</t>
  </si>
  <si>
    <t>OF210</t>
  </si>
  <si>
    <t>OF307</t>
  </si>
  <si>
    <t>OF627</t>
  </si>
  <si>
    <t>OF622</t>
  </si>
  <si>
    <t>OF357</t>
  </si>
  <si>
    <t>OF173</t>
  </si>
  <si>
    <t>OF232</t>
  </si>
  <si>
    <t>OF344</t>
  </si>
  <si>
    <t>OF467</t>
  </si>
  <si>
    <t>OF376</t>
  </si>
  <si>
    <t>OF343</t>
  </si>
  <si>
    <t>OF201</t>
  </si>
  <si>
    <t>OF393</t>
  </si>
  <si>
    <t>NFH_M_2</t>
  </si>
  <si>
    <t>X24-X42</t>
  </si>
  <si>
    <t>MC31</t>
  </si>
  <si>
    <t>MC36</t>
  </si>
  <si>
    <t>MC70</t>
  </si>
  <si>
    <t>MC38</t>
  </si>
  <si>
    <t>PC7</t>
  </si>
  <si>
    <t>PC9</t>
  </si>
  <si>
    <t>PC5</t>
  </si>
  <si>
    <t>NFH_M_3</t>
  </si>
  <si>
    <t>X43-X63</t>
  </si>
  <si>
    <t>OF420</t>
  </si>
  <si>
    <t>NFH_M_4</t>
  </si>
  <si>
    <t>X64-X80</t>
  </si>
  <si>
    <t>OF36</t>
  </si>
  <si>
    <t>OF200</t>
  </si>
  <si>
    <t>OF432</t>
  </si>
  <si>
    <t>NFH_M_5</t>
  </si>
  <si>
    <t>X81-X98</t>
  </si>
  <si>
    <t>OF27</t>
  </si>
  <si>
    <t>OF5</t>
  </si>
  <si>
    <t>PC3</t>
  </si>
  <si>
    <t>PC8</t>
  </si>
  <si>
    <t>V_M_2</t>
  </si>
  <si>
    <t>X9-X16</t>
  </si>
  <si>
    <t>PS1</t>
  </si>
  <si>
    <t>PS5</t>
  </si>
  <si>
    <t>PS3</t>
  </si>
  <si>
    <t>CP_M_3</t>
  </si>
  <si>
    <t>X48-X-68</t>
  </si>
  <si>
    <t>OF21</t>
  </si>
  <si>
    <t>MC30</t>
  </si>
  <si>
    <t>MC3</t>
  </si>
  <si>
    <t>CP_M_4</t>
  </si>
  <si>
    <t>X67-X91</t>
  </si>
  <si>
    <t>SB1</t>
  </si>
  <si>
    <t>SB2</t>
  </si>
  <si>
    <t>SB3</t>
  </si>
  <si>
    <t>SB6</t>
  </si>
  <si>
    <t>SB7</t>
  </si>
  <si>
    <t>PA1</t>
  </si>
  <si>
    <t>PA2</t>
  </si>
  <si>
    <t>PA4</t>
  </si>
  <si>
    <t>PA5</t>
  </si>
  <si>
    <t>PA8</t>
  </si>
  <si>
    <t>PA10</t>
  </si>
  <si>
    <t>PA11</t>
  </si>
  <si>
    <t>PA20</t>
  </si>
  <si>
    <t>IC_Z_2_M_1</t>
  </si>
  <si>
    <t>X1-X2</t>
  </si>
  <si>
    <t>OF3</t>
  </si>
  <si>
    <t>IC_C_1_M_1</t>
  </si>
  <si>
    <t>IC_U_2_M_1</t>
  </si>
  <si>
    <t>Restoration Trials</t>
  </si>
  <si>
    <t>RT_M_1</t>
  </si>
  <si>
    <t>Mote/FWC/CRF/UM/FAU</t>
  </si>
  <si>
    <t>multiple sites</t>
  </si>
  <si>
    <t>OF127</t>
  </si>
  <si>
    <t>OF32</t>
  </si>
  <si>
    <t>OF415</t>
  </si>
  <si>
    <t>OF345</t>
  </si>
  <si>
    <t>OF227</t>
  </si>
  <si>
    <t>OF132</t>
  </si>
  <si>
    <t>OF126</t>
  </si>
  <si>
    <t>OF58</t>
  </si>
  <si>
    <t>OF75</t>
  </si>
  <si>
    <t>MC4</t>
  </si>
  <si>
    <t>MC33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</si>
  <si>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</si>
  <si>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</si>
  <si>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</si>
  <si>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</si>
  <si>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</si>
  <si>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</si>
  <si>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</si>
  <si>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</si>
  <si>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</si>
  <si>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</si>
  <si>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</si>
  <si>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</si>
  <si>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MC51</t>
  </si>
  <si>
    <t>PC2</t>
  </si>
  <si>
    <t>V_M_3</t>
  </si>
  <si>
    <t>X17-23</t>
  </si>
  <si>
    <t>DL_M_4</t>
  </si>
  <si>
    <t>X68-X80</t>
  </si>
  <si>
    <t>OF56</t>
  </si>
  <si>
    <t>OF57</t>
  </si>
  <si>
    <t>OF667</t>
  </si>
  <si>
    <t>DL_M_5</t>
  </si>
  <si>
    <t>X81-X101</t>
  </si>
  <si>
    <t>OF686</t>
  </si>
  <si>
    <t>OF590</t>
  </si>
  <si>
    <t>OF669</t>
  </si>
  <si>
    <t>OF673</t>
  </si>
  <si>
    <t>OF675</t>
  </si>
  <si>
    <t>OF698</t>
  </si>
  <si>
    <t>OF350</t>
  </si>
  <si>
    <t>OF441</t>
  </si>
  <si>
    <t>OF656</t>
  </si>
  <si>
    <t>OF662</t>
  </si>
  <si>
    <t>OF668</t>
  </si>
  <si>
    <t>OF672</t>
  </si>
  <si>
    <t>OF674</t>
  </si>
  <si>
    <t>OF688</t>
  </si>
  <si>
    <t>OF689</t>
  </si>
  <si>
    <t>OF697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</si>
  <si>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</si>
  <si>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</si>
  <si>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</si>
  <si>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</si>
  <si>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</si>
  <si>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</si>
  <si>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</si>
  <si>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</si>
  <si>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SS25</t>
  </si>
  <si>
    <t>SS28</t>
  </si>
  <si>
    <t>SS37</t>
  </si>
  <si>
    <t>SS38</t>
  </si>
  <si>
    <t>SS39</t>
  </si>
  <si>
    <t>SS40</t>
  </si>
  <si>
    <t>SS42</t>
  </si>
  <si>
    <t>SS3</t>
  </si>
  <si>
    <t>SS24</t>
  </si>
  <si>
    <t>SS27</t>
  </si>
  <si>
    <t>SS32</t>
  </si>
  <si>
    <t>SS33</t>
  </si>
  <si>
    <t>SS29</t>
  </si>
  <si>
    <t>SS30</t>
  </si>
  <si>
    <t>SS31</t>
  </si>
  <si>
    <t>SS34</t>
  </si>
  <si>
    <t>SS35</t>
  </si>
  <si>
    <t>SS41</t>
  </si>
  <si>
    <t>SS22</t>
  </si>
  <si>
    <t>SS23</t>
  </si>
  <si>
    <t>SS26</t>
  </si>
  <si>
    <t>SS36</t>
  </si>
  <si>
    <t>RTp_M_2</t>
  </si>
  <si>
    <t>SS1</t>
  </si>
  <si>
    <t>SS2</t>
  </si>
  <si>
    <t>SS43</t>
  </si>
  <si>
    <t>Cook Island (Dusty Kemp POR)</t>
  </si>
  <si>
    <t>DK_CI_1_OFAV</t>
  </si>
  <si>
    <t>OF23</t>
  </si>
  <si>
    <t>American Shoal (Dusty Kemp POR)</t>
  </si>
  <si>
    <t>DK_Q_1_OFAV</t>
  </si>
  <si>
    <t>19-38</t>
  </si>
  <si>
    <t>CP_M_5</t>
  </si>
  <si>
    <t>92-119</t>
  </si>
  <si>
    <t>MC57</t>
  </si>
  <si>
    <t>MC59</t>
  </si>
  <si>
    <t>MC201</t>
  </si>
  <si>
    <t>MC61</t>
  </si>
  <si>
    <t>MC56</t>
  </si>
  <si>
    <t>MC60</t>
  </si>
  <si>
    <t>MC58</t>
  </si>
  <si>
    <t>CP_M_6</t>
  </si>
  <si>
    <t>X120-X173</t>
  </si>
  <si>
    <t>PSX1</t>
  </si>
  <si>
    <t>PSX2</t>
  </si>
  <si>
    <t>PSX3</t>
  </si>
  <si>
    <t>PSX4</t>
  </si>
  <si>
    <t>PSX5</t>
  </si>
  <si>
    <t>PSX6</t>
  </si>
  <si>
    <t>PSX7</t>
  </si>
  <si>
    <t>PSX8</t>
  </si>
  <si>
    <t>PSX9</t>
  </si>
  <si>
    <t>PSX10</t>
  </si>
  <si>
    <t>PSX11</t>
  </si>
  <si>
    <t>PSX12</t>
  </si>
  <si>
    <t>PSX13</t>
  </si>
  <si>
    <t>PSX14</t>
  </si>
  <si>
    <t>PSX15</t>
  </si>
  <si>
    <t>PSX16</t>
  </si>
  <si>
    <t>PSX17</t>
  </si>
  <si>
    <t>PSX18</t>
  </si>
  <si>
    <t>PSX20</t>
  </si>
  <si>
    <t>PSX21</t>
  </si>
  <si>
    <t>PSX22</t>
  </si>
  <si>
    <t>PSX23</t>
  </si>
  <si>
    <t>PSX24</t>
  </si>
  <si>
    <t>PSX25</t>
  </si>
  <si>
    <t>PSX26</t>
  </si>
  <si>
    <t>PSX27</t>
  </si>
  <si>
    <t>PSX28</t>
  </si>
  <si>
    <t>PSX29</t>
  </si>
  <si>
    <t>PSX30</t>
  </si>
  <si>
    <t>PSX31</t>
  </si>
  <si>
    <t>PSX32</t>
  </si>
  <si>
    <t>PSX33</t>
  </si>
  <si>
    <t>PSX34</t>
  </si>
  <si>
    <t>PSX35</t>
  </si>
  <si>
    <t>PSX36</t>
  </si>
  <si>
    <t>PSX37</t>
  </si>
  <si>
    <t>PSX38</t>
  </si>
  <si>
    <t>PSX39</t>
  </si>
  <si>
    <t>PSX40</t>
  </si>
  <si>
    <t>PSX41</t>
  </si>
  <si>
    <t>PSX42</t>
  </si>
  <si>
    <t>PSX43</t>
  </si>
  <si>
    <t>PSX44</t>
  </si>
  <si>
    <t>PSX45</t>
  </si>
  <si>
    <t>PSX46</t>
  </si>
  <si>
    <t>PSX47</t>
  </si>
  <si>
    <t>PSX48</t>
  </si>
  <si>
    <t>PSX49</t>
  </si>
  <si>
    <t>PSX50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</si>
  <si>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</si>
  <si>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</si>
  <si>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</si>
  <si>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</si>
  <si>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</si>
  <si>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</si>
  <si>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</si>
  <si>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</si>
  <si>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</t>
  </si>
  <si>
    <t>X5-X16</t>
  </si>
  <si>
    <t>Site U</t>
  </si>
  <si>
    <t>IC_U_3_M_2</t>
  </si>
  <si>
    <t>IC_Z_3_M_2</t>
  </si>
  <si>
    <t>HH_M_2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</si>
  <si>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</si>
  <si>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</si>
  <si>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</si>
  <si>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</si>
  <si>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</si>
  <si>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</si>
  <si>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</si>
  <si>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</si>
  <si>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</si>
  <si>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</si>
  <si>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</si>
  <si>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</si>
  <si>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</si>
  <si>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</si>
  <si>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</si>
  <si>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</si>
  <si>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</si>
  <si>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</si>
  <si>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</si>
  <si>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</si>
  <si>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</si>
  <si>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</si>
  <si>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</si>
  <si>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</si>
  <si>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</si>
  <si>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</si>
  <si>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</si>
  <si>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</si>
  <si>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</si>
  <si>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</si>
  <si>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</si>
  <si>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</si>
  <si>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</si>
  <si>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</si>
  <si>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</si>
  <si>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</si>
  <si>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</si>
  <si>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</si>
  <si>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</si>
  <si>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</si>
  <si>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</si>
  <si>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</si>
  <si>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</si>
  <si>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</si>
  <si>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</si>
  <si>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</si>
  <si>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</si>
  <si>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</si>
  <si>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</si>
  <si>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</si>
  <si>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</si>
  <si>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</si>
  <si>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</si>
  <si>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</si>
  <si>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</si>
  <si>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</si>
  <si>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</si>
  <si>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</si>
  <si>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</si>
  <si>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</si>
  <si>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</si>
  <si>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</si>
  <si>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</si>
  <si>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</si>
  <si>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</si>
  <si>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</si>
  <si>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</si>
  <si>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</si>
  <si>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</si>
  <si>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</si>
  <si>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</si>
  <si>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</si>
  <si>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</si>
  <si>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</si>
  <si>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</si>
  <si>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</si>
  <si>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</si>
  <si>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</si>
  <si>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</si>
  <si>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</si>
  <si>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</si>
  <si>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</si>
  <si>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</si>
  <si>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</si>
  <si>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</si>
  <si>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</si>
  <si>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</si>
  <si>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</si>
  <si>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</si>
  <si>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</si>
  <si>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</si>
  <si>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</si>
  <si>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</si>
  <si>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</si>
  <si>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</si>
  <si>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</si>
  <si>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</si>
  <si>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</si>
  <si>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</si>
  <si>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</si>
  <si>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</si>
  <si>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</si>
  <si>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</si>
  <si>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</si>
  <si>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</si>
  <si>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</si>
  <si>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</si>
  <si>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1-month plot survival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</si>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</sst>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&quot;/&quot;d&quot;/&quot;yy"/>
    <numFmt numFmtId="165" formatCode="m/d/yy"/>
    <numFmt numFmtId="166" formatCode="0.00000"/>
    <numFmt numFmtId="167" formatCode="0.0%"/>
    <numFmt numFmtId="168" formatCode="m-d"/>
    <numFmt numFmtId="169" formatCode="M/d/yyyy"/>
    <numFmt numFmtId="170" formatCode="mm/dd/yy"/>
    <numFmt numFmtId="171" formatCode="m/d/yyyy"/>
    <numFmt numFmtId="172" formatCode="0.0"/>
  </numFmts>
  <fonts count="42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name val="Calibri"/>
    </font>
    <font>
      <b/>
      <sz val="9.0"/>
      <color rgb="FFFF0000"/>
      <name val="Calibri"/>
    </font>
    <font>
      <sz val="9.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FF0000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color rgb="FFFF0000"/>
      <name val="Calibri"/>
    </font>
    <font>
      <i/>
      <sz val="9.0"/>
      <name val="Calibri"/>
    </font>
    <font>
      <i/>
      <sz val="8.0"/>
      <color rgb="FF00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i/>
      <sz val="8.0"/>
      <name val="Calibri"/>
    </font>
    <font>
      <b/>
    </font>
    <font>
      <b/>
      <sz val="8.0"/>
      <name val="Calibri"/>
    </font>
    <font>
      <b/>
      <sz val="10.0"/>
      <color rgb="FF000000"/>
      <name val="Calibri"/>
    </font>
    <font>
      <b/>
      <sz val="10.0"/>
      <color rgb="FFFF9900"/>
      <name val="Calibri"/>
    </font>
    <font>
      <sz val="10.0"/>
      <color rgb="FF0000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0000"/>
      <name val="Calibri"/>
    </font>
    <font>
      <strike/>
      <sz val="10.0"/>
      <color rgb="FFFF990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i/>
      <sz val="10.0"/>
      <color rgb="FF000000"/>
      <name val="Calibri"/>
    </font>
    <font>
      <sz val="9.0"/>
      <color rgb="FF1F1F1F"/>
      <name val="&quot;Google Sans&quot;"/>
    </font>
    <font>
      <sz val="8.0"/>
      <color rgb="FF000000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8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39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6" fontId="1" numFmtId="0" xfId="0" applyAlignment="1" applyBorder="1" applyFill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 vertical="center"/>
    </xf>
    <xf borderId="22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8" numFmtId="0" xfId="0" applyAlignment="1" applyBorder="1" applyFont="1">
      <alignment horizontal="center" readingOrder="0" shrinkToFit="0" wrapText="1"/>
    </xf>
    <xf borderId="23" fillId="0" fontId="8" numFmtId="164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vertical="bottom" wrapText="1"/>
    </xf>
    <xf borderId="25" fillId="3" fontId="8" numFmtId="0" xfId="0" applyAlignment="1" applyBorder="1" applyFont="1">
      <alignment horizontal="center" shrinkToFit="0" vertical="bottom" wrapText="1"/>
    </xf>
    <xf borderId="23" fillId="3" fontId="8" numFmtId="0" xfId="0" applyAlignment="1" applyBorder="1" applyFont="1">
      <alignment horizontal="center" readingOrder="0" shrinkToFit="0" vertical="bottom" wrapText="1"/>
    </xf>
    <xf borderId="23" fillId="7" fontId="9" numFmtId="0" xfId="0" applyAlignment="1" applyBorder="1" applyFont="1">
      <alignment horizontal="center" readingOrder="0" shrinkToFit="0" vertical="bottom" wrapText="1"/>
    </xf>
    <xf borderId="26" fillId="3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shrinkToFit="0" vertical="bottom" wrapText="1"/>
    </xf>
    <xf borderId="27" fillId="3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23" fillId="0" fontId="8" numFmtId="3" xfId="0" applyAlignment="1" applyBorder="1" applyFont="1" applyNumberFormat="1">
      <alignment horizontal="center" shrinkToFit="0" vertical="bottom" wrapText="1"/>
    </xf>
    <xf borderId="28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/>
    </xf>
    <xf borderId="0" fillId="2" fontId="10" numFmtId="164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30" fillId="2" fontId="11" numFmtId="0" xfId="0" applyAlignment="1" applyBorder="1" applyFont="1">
      <alignment horizontal="center"/>
    </xf>
    <xf borderId="0" fillId="7" fontId="11" numFmtId="0" xfId="0" applyAlignment="1" applyFont="1">
      <alignment horizontal="center" readingOrder="0"/>
    </xf>
    <xf borderId="31" fillId="2" fontId="11" numFmtId="0" xfId="0" applyAlignment="1" applyBorder="1" applyFont="1">
      <alignment horizontal="center"/>
    </xf>
    <xf borderId="32" fillId="2" fontId="10" numFmtId="0" xfId="0" applyAlignment="1" applyBorder="1" applyFont="1">
      <alignment horizontal="center"/>
    </xf>
    <xf borderId="33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4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29" fillId="2" fontId="10" numFmtId="0" xfId="0" applyAlignment="1" applyBorder="1" applyFont="1">
      <alignment horizontal="left" readingOrder="0"/>
    </xf>
    <xf borderId="29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34" fillId="0" fontId="10" numFmtId="0" xfId="0" applyAlignment="1" applyBorder="1" applyFont="1">
      <alignment horizontal="center" readingOrder="0"/>
    </xf>
    <xf borderId="35" fillId="2" fontId="10" numFmtId="164" xfId="0" applyAlignment="1" applyBorder="1" applyFont="1" applyNumberFormat="1">
      <alignment horizontal="center" readingOrder="0" vertical="center"/>
    </xf>
    <xf borderId="36" fillId="2" fontId="10" numFmtId="0" xfId="0" applyAlignment="1" applyBorder="1" applyFont="1">
      <alignment horizontal="center" readingOrder="0" vertical="center"/>
    </xf>
    <xf borderId="35" fillId="2" fontId="11" numFmtId="0" xfId="0" applyAlignment="1" applyBorder="1" applyFont="1">
      <alignment horizontal="center" vertical="center"/>
    </xf>
    <xf borderId="35" fillId="7" fontId="11" numFmtId="0" xfId="0" applyAlignment="1" applyBorder="1" applyFont="1">
      <alignment horizontal="center" vertical="center"/>
    </xf>
    <xf borderId="35" fillId="7" fontId="12" numFmtId="0" xfId="0" applyAlignment="1" applyBorder="1" applyFont="1">
      <alignment horizontal="center" vertical="center"/>
    </xf>
    <xf borderId="37" fillId="2" fontId="11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center" readingOrder="0" vertical="center"/>
    </xf>
    <xf borderId="37" fillId="7" fontId="11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 vertical="center"/>
    </xf>
    <xf borderId="35" fillId="2" fontId="10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39" fillId="0" fontId="10" numFmtId="0" xfId="0" applyAlignment="1" applyBorder="1" applyFont="1">
      <alignment horizontal="left" readingOrder="0" vertical="center"/>
    </xf>
    <xf borderId="40" fillId="0" fontId="10" numFmtId="0" xfId="0" applyAlignment="1" applyBorder="1" applyFont="1">
      <alignment horizontal="left" readingOrder="0" vertical="center"/>
    </xf>
    <xf borderId="41" fillId="0" fontId="3" numFmtId="0" xfId="0" applyBorder="1" applyFont="1"/>
    <xf borderId="42" fillId="2" fontId="10" numFmtId="0" xfId="0" applyAlignment="1" applyBorder="1" applyFont="1">
      <alignment horizontal="center" readingOrder="0" vertical="center"/>
    </xf>
    <xf borderId="41" fillId="2" fontId="11" numFmtId="0" xfId="0" applyAlignment="1" applyBorder="1" applyFont="1">
      <alignment horizontal="center" vertical="center"/>
    </xf>
    <xf borderId="41" fillId="7" fontId="11" numFmtId="0" xfId="0" applyAlignment="1" applyBorder="1" applyFont="1">
      <alignment horizontal="center" readingOrder="0" vertical="center"/>
    </xf>
    <xf borderId="43" fillId="2" fontId="11" numFmtId="0" xfId="0" applyAlignment="1" applyBorder="1" applyFont="1">
      <alignment horizontal="center" vertical="center"/>
    </xf>
    <xf borderId="43" fillId="7" fontId="11" numFmtId="0" xfId="0" applyAlignment="1" applyBorder="1" applyFont="1">
      <alignment horizontal="center" readingOrder="0" vertical="center"/>
    </xf>
    <xf borderId="44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34" fillId="9" fontId="10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34" fillId="2" fontId="10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0" fillId="7" fontId="14" numFmtId="0" xfId="0" applyAlignment="1" applyFont="1">
      <alignment horizontal="center" readingOrder="0"/>
    </xf>
    <xf borderId="31" fillId="2" fontId="13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7" fontId="10" numFmtId="0" xfId="0" applyAlignment="1" applyFont="1">
      <alignment horizontal="center" readingOrder="0"/>
    </xf>
    <xf borderId="30" fillId="2" fontId="13" numFmtId="0" xfId="0" applyAlignment="1" applyBorder="1" applyFont="1">
      <alignment horizontal="center"/>
    </xf>
    <xf borderId="0" fillId="10" fontId="10" numFmtId="0" xfId="0" applyAlignment="1" applyFill="1" applyFont="1">
      <alignment horizontal="center"/>
    </xf>
    <xf borderId="34" fillId="10" fontId="10" numFmtId="0" xfId="0" applyAlignment="1" applyBorder="1" applyFont="1">
      <alignment horizontal="center" readingOrder="0"/>
    </xf>
    <xf borderId="0" fillId="11" fontId="10" numFmtId="165" xfId="0" applyAlignment="1" applyFill="1" applyFont="1" applyNumberFormat="1">
      <alignment horizontal="center" readingOrder="0"/>
    </xf>
    <xf borderId="29" fillId="11" fontId="10" numFmtId="0" xfId="0" applyAlignment="1" applyBorder="1" applyFont="1">
      <alignment horizontal="center" readingOrder="0"/>
    </xf>
    <xf borderId="30" fillId="3" fontId="13" numFmtId="0" xfId="0" applyAlignment="1" applyBorder="1" applyFont="1">
      <alignment horizontal="center"/>
    </xf>
    <xf borderId="0" fillId="7" fontId="15" numFmtId="0" xfId="0" applyAlignment="1" applyFont="1">
      <alignment horizontal="center"/>
    </xf>
    <xf borderId="31" fillId="3" fontId="13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34" fillId="12" fontId="10" numFmtId="0" xfId="0" applyAlignment="1" applyBorder="1" applyFill="1" applyFont="1">
      <alignment horizontal="center" readingOrder="0"/>
    </xf>
    <xf borderId="34" fillId="11" fontId="10" numFmtId="0" xfId="0" applyAlignment="1" applyBorder="1" applyFont="1">
      <alignment horizontal="left" readingOrder="0"/>
    </xf>
    <xf borderId="0" fillId="7" fontId="8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11" fontId="11" numFmtId="0" xfId="0" applyAlignment="1" applyFont="1">
      <alignment readingOrder="0"/>
    </xf>
    <xf borderId="45" fillId="0" fontId="10" numFmtId="0" xfId="0" applyAlignment="1" applyBorder="1" applyFont="1">
      <alignment horizontal="center"/>
    </xf>
    <xf borderId="15" fillId="11" fontId="10" numFmtId="0" xfId="0" applyAlignment="1" applyBorder="1" applyFont="1">
      <alignment horizontal="center" readingOrder="0"/>
    </xf>
    <xf borderId="32" fillId="7" fontId="9" numFmtId="0" xfId="0" applyAlignment="1" applyBorder="1" applyFont="1">
      <alignment horizontal="center" readingOrder="0"/>
    </xf>
    <xf borderId="33" fillId="7" fontId="9" numFmtId="0" xfId="0" applyAlignment="1" applyBorder="1" applyFont="1">
      <alignment horizontal="center"/>
    </xf>
    <xf borderId="0" fillId="3" fontId="13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33" fillId="11" fontId="10" numFmtId="0" xfId="0" applyAlignment="1" applyBorder="1" applyFont="1">
      <alignment horizontal="left" readingOrder="0"/>
    </xf>
    <xf borderId="46" fillId="11" fontId="10" numFmtId="0" xfId="0" applyAlignment="1" applyBorder="1" applyFont="1">
      <alignment horizontal="center" readingOrder="0"/>
    </xf>
    <xf borderId="24" fillId="12" fontId="11" numFmtId="0" xfId="0" applyAlignment="1" applyBorder="1" applyFont="1">
      <alignment horizontal="center"/>
    </xf>
    <xf borderId="23" fillId="7" fontId="9" numFmtId="0" xfId="0" applyAlignment="1" applyBorder="1" applyFont="1">
      <alignment horizontal="center"/>
    </xf>
    <xf borderId="28" fillId="7" fontId="9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 readingOrder="0"/>
    </xf>
    <xf borderId="28" fillId="11" fontId="10" numFmtId="0" xfId="0" applyAlignment="1" applyBorder="1" applyFont="1">
      <alignment horizontal="left" readingOrder="0"/>
    </xf>
    <xf borderId="0" fillId="11" fontId="16" numFmtId="0" xfId="0" applyAlignment="1" applyFont="1">
      <alignment readingOrder="0"/>
    </xf>
    <xf borderId="30" fillId="3" fontId="13" numFmtId="0" xfId="0" applyAlignment="1" applyBorder="1" applyFont="1">
      <alignment horizontal="center" readingOrder="0"/>
    </xf>
    <xf borderId="31" fillId="3" fontId="13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1" fontId="10" numFmtId="0" xfId="0" applyAlignment="1" applyFont="1">
      <alignment horizontal="left" readingOrder="0"/>
    </xf>
    <xf borderId="0" fillId="13" fontId="10" numFmtId="165" xfId="0" applyAlignment="1" applyFill="1" applyFont="1" applyNumberFormat="1">
      <alignment horizontal="center" readingOrder="0"/>
    </xf>
    <xf borderId="45" fillId="2" fontId="10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45" fillId="11" fontId="10" numFmtId="0" xfId="0" applyAlignment="1" applyBorder="1" applyFont="1">
      <alignment horizontal="center" readingOrder="0"/>
    </xf>
    <xf borderId="30" fillId="0" fontId="10" numFmtId="0" xfId="0" applyAlignment="1" applyBorder="1" applyFont="1">
      <alignment horizontal="center"/>
    </xf>
    <xf borderId="34" fillId="11" fontId="10" numFmtId="0" xfId="0" applyAlignment="1" applyBorder="1" applyFont="1">
      <alignment readingOrder="0"/>
    </xf>
    <xf borderId="23" fillId="11" fontId="10" numFmtId="165" xfId="0" applyAlignment="1" applyBorder="1" applyFont="1" applyNumberFormat="1">
      <alignment horizontal="center" readingOrder="0"/>
    </xf>
    <xf borderId="23" fillId="7" fontId="14" numFmtId="0" xfId="0" applyAlignment="1" applyBorder="1" applyFont="1">
      <alignment horizontal="center"/>
    </xf>
    <xf borderId="11" fillId="14" fontId="8" numFmtId="0" xfId="0" applyAlignment="1" applyBorder="1" applyFill="1" applyFont="1">
      <alignment horizontal="center"/>
    </xf>
    <xf borderId="47" fillId="14" fontId="8" numFmtId="0" xfId="0" applyAlignment="1" applyBorder="1" applyFont="1">
      <alignment horizontal="center"/>
    </xf>
    <xf borderId="10" fillId="14" fontId="8" numFmtId="0" xfId="0" applyAlignment="1" applyBorder="1" applyFont="1">
      <alignment horizontal="center" readingOrder="0"/>
    </xf>
    <xf borderId="48" fillId="14" fontId="8" numFmtId="0" xfId="0" applyAlignment="1" applyBorder="1" applyFont="1">
      <alignment horizontal="center"/>
    </xf>
    <xf borderId="47" fillId="7" fontId="9" numFmtId="0" xfId="0" applyAlignment="1" applyBorder="1" applyFont="1">
      <alignment horizontal="center"/>
    </xf>
    <xf borderId="49" fillId="14" fontId="8" numFmtId="0" xfId="0" applyAlignment="1" applyBorder="1" applyFont="1">
      <alignment horizontal="center"/>
    </xf>
    <xf borderId="50" fillId="14" fontId="8" numFmtId="0" xfId="0" applyAlignment="1" applyBorder="1" applyFont="1">
      <alignment horizontal="center"/>
    </xf>
    <xf borderId="51" fillId="1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1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0" fontId="21" numFmtId="0" xfId="0" applyAlignment="1" applyFont="1">
      <alignment horizontal="center"/>
    </xf>
    <xf borderId="0" fillId="10" fontId="22" numFmtId="0" xfId="0" applyAlignment="1" applyFont="1">
      <alignment horizontal="center" readingOrder="0"/>
    </xf>
    <xf borderId="0" fillId="10" fontId="23" numFmtId="0" xfId="0" applyAlignment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17" numFmtId="0" xfId="0" applyAlignment="1" applyFont="1">
      <alignment horizontal="center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0" fillId="10" fontId="25" numFmtId="0" xfId="0" applyAlignment="1" applyFont="1">
      <alignment horizontal="center"/>
    </xf>
    <xf borderId="0" fillId="10" fontId="3" numFmtId="0" xfId="0" applyAlignment="1" applyFont="1">
      <alignment horizontal="center"/>
    </xf>
    <xf borderId="0" fillId="0" fontId="9" numFmtId="0" xfId="0" applyAlignment="1" applyFont="1">
      <alignment horizontal="center" readingOrder="0" shrinkToFit="0" wrapText="1"/>
    </xf>
    <xf borderId="45" fillId="15" fontId="8" numFmtId="0" xfId="0" applyAlignment="1" applyBorder="1" applyFont="1">
      <alignment horizontal="center" readingOrder="0" shrinkToFit="0" vertical="bottom" wrapText="1"/>
    </xf>
    <xf borderId="45" fillId="16" fontId="8" numFmtId="0" xfId="0" applyAlignment="1" applyBorder="1" applyFill="1" applyFont="1">
      <alignment horizontal="center" readingOrder="0" shrinkToFit="0" vertical="bottom" wrapText="1"/>
    </xf>
    <xf borderId="45" fillId="17" fontId="8" numFmtId="0" xfId="0" applyAlignment="1" applyBorder="1" applyFill="1" applyFont="1">
      <alignment horizontal="center" readingOrder="0" shrinkToFit="0" vertical="bottom" wrapText="1"/>
    </xf>
    <xf borderId="24" fillId="15" fontId="8" numFmtId="0" xfId="0" applyAlignment="1" applyBorder="1" applyFont="1">
      <alignment horizontal="center" readingOrder="0" shrinkToFit="0" vertical="bottom" wrapText="1"/>
    </xf>
    <xf borderId="23" fillId="15" fontId="8" numFmtId="0" xfId="0" applyAlignment="1" applyBorder="1" applyFont="1">
      <alignment horizontal="center" readingOrder="0" shrinkToFit="0" vertical="bottom" wrapText="1"/>
    </xf>
    <xf borderId="23" fillId="15" fontId="8" numFmtId="1" xfId="0" applyAlignment="1" applyBorder="1" applyFont="1" applyNumberFormat="1">
      <alignment horizontal="center" readingOrder="0" shrinkToFit="0" vertical="bottom" wrapText="1"/>
    </xf>
    <xf borderId="24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0"/>
    </xf>
    <xf borderId="24" fillId="17" fontId="8" numFmtId="0" xfId="0" applyAlignment="1" applyBorder="1" applyFont="1">
      <alignment horizontal="center" readingOrder="0" shrinkToFit="0" vertical="bottom" wrapText="1"/>
    </xf>
    <xf borderId="23" fillId="17" fontId="8" numFmtId="0" xfId="0" applyAlignment="1" applyBorder="1" applyFont="1">
      <alignment horizontal="center" readingOrder="0" shrinkToFit="0" vertical="bottom" wrapText="1"/>
    </xf>
    <xf borderId="24" fillId="0" fontId="10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45" fillId="0" fontId="8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45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45" fillId="0" fontId="10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45" fillId="0" fontId="8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45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47" fillId="0" fontId="3" numFmtId="0" xfId="0" applyBorder="1" applyFont="1"/>
    <xf borderId="47" fillId="0" fontId="8" numFmtId="0" xfId="0" applyAlignment="1" applyBorder="1" applyFont="1">
      <alignment horizontal="center" readingOrder="0"/>
    </xf>
    <xf borderId="47" fillId="0" fontId="8" numFmtId="0" xfId="0" applyAlignment="1" applyBorder="1" applyFont="1">
      <alignment horizontal="center"/>
    </xf>
    <xf borderId="47" fillId="0" fontId="8" numFmtId="1" xfId="0" applyAlignment="1" applyBorder="1" applyFont="1" applyNumberFormat="1">
      <alignment horizontal="center"/>
    </xf>
    <xf borderId="11" fillId="0" fontId="8" numFmtId="0" xfId="0" applyAlignment="1" applyBorder="1" applyFont="1">
      <alignment horizontal="center"/>
    </xf>
    <xf borderId="52" fillId="0" fontId="8" numFmtId="0" xfId="0" applyAlignment="1" applyBorder="1" applyFont="1">
      <alignment horizontal="center"/>
    </xf>
    <xf borderId="47" fillId="0" fontId="10" numFmtId="0" xfId="0" applyAlignment="1" applyBorder="1" applyFont="1">
      <alignment horizontal="center"/>
    </xf>
    <xf borderId="52" fillId="0" fontId="10" numFmtId="0" xfId="0" applyAlignment="1" applyBorder="1" applyFont="1">
      <alignment horizontal="center"/>
    </xf>
    <xf borderId="45" fillId="0" fontId="19" numFmtId="0" xfId="0" applyAlignment="1" applyBorder="1" applyFont="1">
      <alignment horizontal="center" readingOrder="0" vertical="bottom"/>
    </xf>
    <xf borderId="45" fillId="0" fontId="26" numFmtId="0" xfId="0" applyAlignment="1" applyBorder="1" applyFont="1">
      <alignment horizontal="center" vertical="bottom"/>
    </xf>
    <xf borderId="0" fillId="0" fontId="26" numFmtId="0" xfId="0" applyAlignment="1" applyFont="1">
      <alignment horizontal="center" readingOrder="0" vertical="bottom"/>
    </xf>
    <xf borderId="0" fillId="0" fontId="26" numFmtId="1" xfId="0" applyAlignment="1" applyFont="1" applyNumberFormat="1">
      <alignment horizontal="center" vertical="bottom"/>
    </xf>
    <xf borderId="0" fillId="0" fontId="26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45" fillId="0" fontId="17" numFmtId="0" xfId="0" applyAlignment="1" applyBorder="1" applyFont="1">
      <alignment horizontal="center" vertical="bottom"/>
    </xf>
    <xf borderId="45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45" fillId="0" fontId="27" numFmtId="0" xfId="0" applyAlignment="1" applyBorder="1" applyFont="1">
      <alignment horizontal="center"/>
    </xf>
    <xf borderId="45" fillId="0" fontId="22" numFmtId="0" xfId="0" applyAlignment="1" applyBorder="1" applyFont="1">
      <alignment horizontal="center" readingOrder="0"/>
    </xf>
    <xf borderId="45" fillId="0" fontId="28" numFmtId="0" xfId="0" applyAlignment="1" applyBorder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1" xfId="0" applyAlignment="1" applyFont="1" applyNumberFormat="1">
      <alignment horizontal="center" readingOrder="0"/>
    </xf>
    <xf borderId="45" fillId="0" fontId="28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164" xfId="0" applyAlignment="1" applyBorder="1" applyFont="1" applyNumberFormat="1">
      <alignment horizontal="center" shrinkToFit="0" vertical="bottom" wrapText="1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0" xfId="0" applyAlignment="1" applyBorder="1" applyFont="1">
      <alignment horizontal="center" shrinkToFit="0" vertical="bottom" wrapText="1"/>
    </xf>
    <xf borderId="23" fillId="0" fontId="29" numFmtId="49" xfId="0" applyAlignment="1" applyBorder="1" applyFont="1" applyNumberFormat="1">
      <alignment horizontal="center" shrinkToFit="0" vertical="bottom" wrapText="1"/>
    </xf>
    <xf borderId="23" fillId="0" fontId="29" numFmtId="166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readingOrder="0" shrinkToFit="0" vertical="bottom" wrapText="1"/>
    </xf>
    <xf borderId="15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0" xfId="0" applyAlignment="1" applyBorder="1" applyFon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4" fillId="0" fontId="30" numFmtId="167" xfId="0" applyAlignment="1" applyBorder="1" applyFont="1" applyNumberFormat="1">
      <alignment horizontal="center" readingOrder="0" shrinkToFit="0" vertical="bottom" wrapText="1"/>
    </xf>
    <xf borderId="23" fillId="0" fontId="30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readingOrder="0" shrinkToFit="0" vertical="bottom" wrapText="1"/>
    </xf>
    <xf borderId="23" fillId="0" fontId="29" numFmtId="1" xfId="0" applyAlignment="1" applyBorder="1" applyFont="1" applyNumberFormat="1">
      <alignment horizontal="center" readingOrder="0" shrinkToFit="0" vertical="bottom" wrapText="1"/>
    </xf>
    <xf borderId="23" fillId="0" fontId="29" numFmtId="167" xfId="0" applyAlignment="1" applyBorder="1" applyFont="1" applyNumberFormat="1">
      <alignment horizontal="center" readingOrder="0" shrinkToFit="0" vertical="bottom" wrapText="1"/>
    </xf>
    <xf borderId="2" fillId="18" fontId="1" numFmtId="0" xfId="0" applyAlignment="1" applyBorder="1" applyFill="1" applyFont="1">
      <alignment horizontal="center" readingOrder="0" shrinkToFit="0" vertical="bottom" wrapText="1"/>
    </xf>
    <xf borderId="3" fillId="18" fontId="1" numFmtId="0" xfId="0" applyAlignment="1" applyBorder="1" applyFont="1">
      <alignment horizontal="center" readingOrder="0" shrinkToFit="0" vertical="bottom" wrapText="1"/>
    </xf>
    <xf borderId="4" fillId="18" fontId="1" numFmtId="0" xfId="0" applyAlignment="1" applyBorder="1" applyFont="1">
      <alignment horizontal="center" readingOrder="0" shrinkToFit="0" vertical="bottom" wrapText="1"/>
    </xf>
    <xf borderId="28" fillId="19" fontId="1" numFmtId="0" xfId="0" applyAlignment="1" applyBorder="1" applyFill="1" applyFont="1">
      <alignment horizontal="center" readingOrder="0" shrinkToFit="0" vertical="bottom" wrapText="1"/>
    </xf>
    <xf borderId="32" fillId="0" fontId="31" numFmtId="0" xfId="0" applyAlignment="1" applyBorder="1" applyFont="1">
      <alignment horizontal="center" readingOrder="0" vertical="center"/>
    </xf>
    <xf borderId="32" fillId="0" fontId="31" numFmtId="164" xfId="0" applyAlignment="1" applyBorder="1" applyFont="1" applyNumberFormat="1">
      <alignment horizontal="center" readingOrder="0" vertical="center"/>
    </xf>
    <xf borderId="32" fillId="0" fontId="31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32" fillId="0" fontId="31" numFmtId="49" xfId="0" applyAlignment="1" applyBorder="1" applyFont="1" applyNumberFormat="1">
      <alignment horizontal="center" readingOrder="0" vertical="center"/>
    </xf>
    <xf borderId="32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readingOrder="0" vertical="center"/>
    </xf>
    <xf borderId="45" fillId="0" fontId="31" numFmtId="0" xfId="0" applyAlignment="1" applyBorder="1" applyFont="1">
      <alignment horizontal="center" readingOrder="0" vertical="center"/>
    </xf>
    <xf borderId="0" fillId="0" fontId="31" numFmtId="1" xfId="0" applyAlignment="1" applyFont="1" applyNumberFormat="1">
      <alignment horizontal="center" readingOrder="0" vertical="center"/>
    </xf>
    <xf borderId="0" fillId="0" fontId="31" numFmtId="167" xfId="0" applyAlignment="1" applyFont="1" applyNumberFormat="1">
      <alignment horizontal="center" readingOrder="0" vertical="center"/>
    </xf>
    <xf borderId="6" fillId="18" fontId="31" numFmtId="164" xfId="0" applyAlignment="1" applyBorder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7" fillId="18" fontId="31" numFmtId="167" xfId="0" applyAlignment="1" applyBorder="1" applyFont="1" applyNumberFormat="1">
      <alignment horizontal="center" vertical="center"/>
    </xf>
    <xf borderId="34" fillId="19" fontId="31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31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29" fillId="0" fontId="4" numFmtId="164" xfId="0" applyAlignment="1" applyBorder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164" xfId="0" applyAlignment="1" applyBorder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49" xfId="0" applyAlignment="1" applyBorder="1" applyFont="1" applyNumberFormat="1">
      <alignment horizontal="center" readingOrder="0" vertical="center"/>
    </xf>
    <xf borderId="23" fillId="0" fontId="4" numFmtId="166" xfId="0" applyAlignment="1" applyBorder="1" applyFont="1" applyNumberFormat="1">
      <alignment horizontal="center" readingOrder="0" shrinkToFit="0" vertical="center" wrapText="0"/>
    </xf>
    <xf borderId="23" fillId="0" fontId="4" numFmtId="0" xfId="0" applyAlignment="1" applyBorder="1" applyFont="1">
      <alignment horizontal="center" readingOrder="0" vertical="center"/>
    </xf>
    <xf borderId="46" fillId="0" fontId="4" numFmtId="164" xfId="0" applyAlignment="1" applyBorder="1" applyFont="1" applyNumberFormat="1">
      <alignment horizontal="center" readingOrder="0" vertical="center"/>
    </xf>
    <xf borderId="24" fillId="0" fontId="6" numFmtId="167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readingOrder="0" vertical="center"/>
    </xf>
    <xf borderId="24" fillId="0" fontId="32" numFmtId="167" xfId="0" applyAlignment="1" applyBorder="1" applyFont="1" applyNumberFormat="1">
      <alignment horizontal="center" readingOrder="0" vertical="center"/>
    </xf>
    <xf borderId="23" fillId="0" fontId="32" numFmtId="167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3" fillId="0" fontId="31" numFmtId="1" xfId="0" applyAlignment="1" applyBorder="1" applyFont="1" applyNumberFormat="1">
      <alignment horizontal="center" readingOrder="0" vertical="center"/>
    </xf>
    <xf borderId="23" fillId="0" fontId="31" numFmtId="167" xfId="0" applyAlignment="1" applyBorder="1" applyFont="1" applyNumberFormat="1">
      <alignment horizontal="center" readingOrder="0" vertical="center"/>
    </xf>
    <xf borderId="0" fillId="0" fontId="33" numFmtId="0" xfId="0" applyAlignment="1" applyFont="1">
      <alignment horizontal="center" vertical="center"/>
    </xf>
    <xf borderId="0" fillId="0" fontId="33" numFmtId="164" xfId="0" applyAlignment="1" applyFont="1" applyNumberFormat="1">
      <alignment horizontal="center" vertical="center"/>
    </xf>
    <xf borderId="0" fillId="0" fontId="33" numFmtId="0" xfId="0" applyAlignment="1" applyFont="1">
      <alignment horizontal="center" vertical="center"/>
    </xf>
    <xf borderId="0" fillId="0" fontId="33" numFmtId="0" xfId="0" applyAlignment="1" applyFont="1">
      <alignment horizontal="center" readingOrder="0" vertical="center"/>
    </xf>
    <xf borderId="0" fillId="0" fontId="33" numFmtId="0" xfId="0" applyAlignment="1" applyFont="1">
      <alignment horizontal="center" readingOrder="0" vertical="center"/>
    </xf>
    <xf borderId="0" fillId="0" fontId="33" numFmtId="49" xfId="0" applyAlignment="1" applyFont="1" applyNumberFormat="1">
      <alignment horizontal="center" vertical="center"/>
    </xf>
    <xf borderId="0" fillId="0" fontId="33" numFmtId="166" xfId="0" applyAlignment="1" applyFont="1" applyNumberFormat="1">
      <alignment horizontal="center" vertical="center"/>
    </xf>
    <xf borderId="0" fillId="0" fontId="34" numFmtId="0" xfId="0" applyAlignment="1" applyFont="1">
      <alignment horizontal="center" vertical="center"/>
    </xf>
    <xf borderId="29" fillId="0" fontId="34" numFmtId="164" xfId="0" applyAlignment="1" applyBorder="1" applyFont="1" applyNumberFormat="1">
      <alignment horizontal="center" readingOrder="0" vertical="center"/>
    </xf>
    <xf borderId="45" fillId="0" fontId="35" numFmtId="167" xfId="0" applyAlignment="1" applyBorder="1" applyFont="1" applyNumberFormat="1">
      <alignment horizontal="center" readingOrder="0" vertical="center"/>
    </xf>
    <xf borderId="0" fillId="0" fontId="35" numFmtId="167" xfId="0" applyAlignment="1" applyFont="1" applyNumberFormat="1">
      <alignment horizontal="center" readingOrder="0" vertical="center"/>
    </xf>
    <xf borderId="45" fillId="0" fontId="36" numFmtId="167" xfId="0" applyAlignment="1" applyBorder="1" applyFont="1" applyNumberFormat="1">
      <alignment horizontal="center" readingOrder="0" vertical="center"/>
    </xf>
    <xf borderId="0" fillId="0" fontId="36" numFmtId="167" xfId="0" applyAlignment="1" applyFont="1" applyNumberFormat="1">
      <alignment horizontal="center" readingOrder="0" vertical="center"/>
    </xf>
    <xf borderId="45" fillId="0" fontId="33" numFmtId="0" xfId="0" applyAlignment="1" applyBorder="1" applyFont="1">
      <alignment horizontal="center" readingOrder="0" vertical="center"/>
    </xf>
    <xf borderId="0" fillId="0" fontId="33" numFmtId="1" xfId="0" applyAlignment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 readingOrder="0" vertical="center"/>
    </xf>
    <xf borderId="0" fillId="0" fontId="33" numFmtId="164" xfId="0" applyAlignment="1" applyFont="1" applyNumberFormat="1">
      <alignment horizontal="center" readingOrder="0" vertical="center"/>
    </xf>
    <xf borderId="0" fillId="0" fontId="33" numFmtId="49" xfId="0" applyAlignment="1" applyFont="1" applyNumberFormat="1">
      <alignment horizontal="center" readingOrder="0" vertical="center"/>
    </xf>
    <xf borderId="0" fillId="0" fontId="33" numFmtId="166" xfId="0" applyAlignment="1" applyFont="1" applyNumberFormat="1">
      <alignment horizontal="center" readingOrder="0" vertical="center"/>
    </xf>
    <xf borderId="6" fillId="0" fontId="31" numFmtId="164" xfId="0" applyAlignment="1" applyBorder="1" applyFont="1" applyNumberFormat="1">
      <alignment horizontal="center" vertical="center"/>
    </xf>
    <xf borderId="23" fillId="0" fontId="33" numFmtId="0" xfId="0" applyAlignment="1" applyBorder="1" applyFont="1">
      <alignment horizontal="center" vertical="center"/>
    </xf>
    <xf borderId="23" fillId="0" fontId="33" numFmtId="164" xfId="0" applyAlignment="1" applyBorder="1" applyFont="1" applyNumberFormat="1">
      <alignment horizontal="center" vertical="center"/>
    </xf>
    <xf borderId="23" fillId="0" fontId="33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vertical="center"/>
    </xf>
    <xf borderId="23" fillId="0" fontId="33" numFmtId="49" xfId="0" applyAlignment="1" applyBorder="1" applyFont="1" applyNumberFormat="1">
      <alignment horizontal="center" vertical="center"/>
    </xf>
    <xf borderId="23" fillId="0" fontId="33" numFmtId="166" xfId="0" applyAlignment="1" applyBorder="1" applyFont="1" applyNumberFormat="1">
      <alignment horizontal="center" vertical="center"/>
    </xf>
    <xf borderId="23" fillId="0" fontId="34" numFmtId="0" xfId="0" applyAlignment="1" applyBorder="1" applyFont="1">
      <alignment horizontal="center" vertical="center"/>
    </xf>
    <xf borderId="46" fillId="0" fontId="34" numFmtId="164" xfId="0" applyAlignment="1" applyBorder="1" applyFont="1" applyNumberFormat="1">
      <alignment horizontal="center" readingOrder="0" vertical="center"/>
    </xf>
    <xf borderId="24" fillId="0" fontId="35" numFmtId="167" xfId="0" applyAlignment="1" applyBorder="1" applyFont="1" applyNumberFormat="1">
      <alignment horizontal="center" readingOrder="0" vertical="center"/>
    </xf>
    <xf borderId="23" fillId="0" fontId="35" numFmtId="167" xfId="0" applyAlignment="1" applyBorder="1" applyFont="1" applyNumberFormat="1">
      <alignment horizontal="center" readingOrder="0" vertical="center"/>
    </xf>
    <xf borderId="24" fillId="0" fontId="36" numFmtId="167" xfId="0" applyAlignment="1" applyBorder="1" applyFont="1" applyNumberFormat="1">
      <alignment horizontal="center" readingOrder="0" vertical="center"/>
    </xf>
    <xf borderId="23" fillId="0" fontId="36" numFmtId="167" xfId="0" applyAlignment="1" applyBorder="1" applyFont="1" applyNumberFormat="1">
      <alignment horizontal="center" readingOrder="0" vertical="center"/>
    </xf>
    <xf borderId="24" fillId="0" fontId="33" numFmtId="0" xfId="0" applyAlignment="1" applyBorder="1" applyFont="1">
      <alignment horizontal="center" readingOrder="0" vertical="center"/>
    </xf>
    <xf borderId="23" fillId="0" fontId="33" numFmtId="1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0" fillId="0" fontId="33" numFmtId="164" xfId="0" applyAlignment="1" applyFont="1" applyNumberFormat="1">
      <alignment horizontal="center" readingOrder="0" shrinkToFit="0" vertical="center" wrapText="0"/>
    </xf>
    <xf borderId="0" fillId="0" fontId="34" numFmtId="0" xfId="0" applyAlignment="1" applyFont="1">
      <alignment horizontal="center" readingOrder="0" vertical="center"/>
    </xf>
    <xf borderId="0" fillId="0" fontId="33" numFmtId="0" xfId="0" applyAlignment="1" applyFont="1">
      <alignment horizontal="center" readingOrder="0" shrinkToFit="0" vertical="center" wrapText="0"/>
    </xf>
    <xf borderId="0" fillId="0" fontId="33" numFmtId="0" xfId="0" applyAlignment="1" applyFont="1">
      <alignment horizontal="center" readingOrder="0" shrinkToFit="0" vertical="center" wrapText="0"/>
    </xf>
    <xf borderId="0" fillId="0" fontId="33" numFmtId="166" xfId="0" applyAlignment="1" applyFont="1" applyNumberFormat="1">
      <alignment horizontal="center" readingOrder="0"/>
    </xf>
    <xf borderId="29" fillId="0" fontId="34" numFmtId="0" xfId="0" applyAlignment="1" applyBorder="1" applyFont="1">
      <alignment horizontal="center" readingOrder="0" vertical="center"/>
    </xf>
    <xf borderId="6" fillId="18" fontId="33" numFmtId="164" xfId="0" applyAlignment="1" applyBorder="1" applyFont="1" applyNumberFormat="1">
      <alignment horizontal="center" vertical="center"/>
    </xf>
    <xf borderId="0" fillId="18" fontId="33" numFmtId="0" xfId="0" applyAlignment="1" applyFont="1">
      <alignment horizontal="center" vertical="center"/>
    </xf>
    <xf borderId="7" fillId="18" fontId="33" numFmtId="167" xfId="0" applyAlignment="1" applyBorder="1" applyFont="1" applyNumberFormat="1">
      <alignment horizontal="center" vertical="center"/>
    </xf>
    <xf borderId="34" fillId="19" fontId="33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vertical="center"/>
    </xf>
    <xf borderId="0" fillId="0" fontId="31" numFmtId="166" xfId="0" applyAlignment="1" applyFont="1" applyNumberFormat="1">
      <alignment horizontal="center" readingOrder="0"/>
    </xf>
    <xf borderId="0" fillId="0" fontId="33" numFmtId="0" xfId="0" applyAlignment="1" applyFont="1">
      <alignment horizontal="center" readingOrder="0" vertical="center"/>
    </xf>
    <xf borderId="29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vertical="center"/>
    </xf>
    <xf borderId="0" fillId="0" fontId="31" numFmtId="164" xfId="0" applyAlignment="1" applyFont="1" applyNumberFormat="1">
      <alignment horizontal="center" vertical="center"/>
    </xf>
    <xf borderId="0" fillId="0" fontId="31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49" xfId="0" applyAlignment="1" applyFont="1" applyNumberFormat="1">
      <alignment horizontal="center" vertical="center"/>
    </xf>
    <xf borderId="23" fillId="0" fontId="31" numFmtId="0" xfId="0" applyAlignment="1" applyBorder="1" applyFont="1">
      <alignment horizontal="center" vertical="center"/>
    </xf>
    <xf borderId="23" fillId="0" fontId="31" numFmtId="164" xfId="0" applyAlignment="1" applyBorder="1" applyFont="1" applyNumberFormat="1">
      <alignment horizontal="center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29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3" numFmtId="0" xfId="0" applyAlignment="1" applyFont="1">
      <alignment horizontal="center" readingOrder="0"/>
    </xf>
    <xf borderId="23" fillId="0" fontId="31" numFmtId="0" xfId="0" applyAlignment="1" applyBorder="1" applyFont="1">
      <alignment horizontal="center" readingOrder="0" shrinkToFit="0" vertical="center" wrapText="0"/>
    </xf>
    <xf borderId="23" fillId="0" fontId="31" numFmtId="0" xfId="0" applyAlignment="1" applyBorder="1" applyFont="1">
      <alignment horizontal="center" readingOrder="0" shrinkToFit="0" vertical="center" wrapText="0"/>
    </xf>
    <xf borderId="23" fillId="0" fontId="31" numFmtId="0" xfId="0" applyAlignment="1" applyBorder="1" applyFont="1">
      <alignment horizontal="center" readingOrder="0"/>
    </xf>
    <xf borderId="23" fillId="0" fontId="4" numFmtId="49" xfId="0" applyAlignment="1" applyBorder="1" applyFont="1" applyNumberFormat="1">
      <alignment horizontal="center" readingOrder="0" vertical="center"/>
    </xf>
    <xf borderId="23" fillId="0" fontId="31" numFmtId="166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/>
    </xf>
    <xf borderId="45" fillId="0" fontId="31" numFmtId="165" xfId="0" applyAlignment="1" applyBorder="1" applyFont="1" applyNumberFormat="1">
      <alignment horizontal="center" readingOrder="0" vertical="center"/>
    </xf>
    <xf borderId="23" fillId="0" fontId="33" numFmtId="164" xfId="0" applyAlignment="1" applyBorder="1" applyFont="1" applyNumberFormat="1">
      <alignment horizontal="center" readingOrder="0" shrinkToFit="0" vertical="center" wrapText="0"/>
    </xf>
    <xf borderId="23" fillId="0" fontId="34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readingOrder="0" shrinkToFit="0" vertical="center" wrapText="0"/>
    </xf>
    <xf borderId="23" fillId="0" fontId="33" numFmtId="0" xfId="0" applyAlignment="1" applyBorder="1" applyFont="1">
      <alignment horizontal="center" readingOrder="0" shrinkToFit="0" vertical="center" wrapText="0"/>
    </xf>
    <xf borderId="23" fillId="0" fontId="33" numFmtId="0" xfId="0" applyAlignment="1" applyBorder="1" applyFont="1">
      <alignment horizontal="center" readingOrder="0"/>
    </xf>
    <xf borderId="23" fillId="0" fontId="33" numFmtId="49" xfId="0" applyAlignment="1" applyBorder="1" applyFont="1" applyNumberFormat="1">
      <alignment horizontal="center" readingOrder="0" vertical="center"/>
    </xf>
    <xf borderId="23" fillId="0" fontId="33" numFmtId="166" xfId="0" applyAlignment="1" applyBorder="1" applyFont="1" applyNumberFormat="1">
      <alignment horizontal="center" readingOrder="0"/>
    </xf>
    <xf borderId="4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45" fillId="0" fontId="33" numFmtId="165" xfId="0" applyAlignment="1" applyBorder="1" applyFont="1" applyNumberForma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24" fillId="0" fontId="33" numFmtId="165" xfId="0" applyAlignment="1" applyBorder="1" applyFont="1" applyNumberFormat="1">
      <alignment horizontal="center" readingOrder="0" vertical="center"/>
    </xf>
    <xf borderId="0" fillId="14" fontId="33" numFmtId="0" xfId="0" applyAlignment="1" applyFont="1">
      <alignment horizontal="center" vertical="center"/>
    </xf>
    <xf borderId="0" fillId="14" fontId="33" numFmtId="164" xfId="0" applyAlignment="1" applyFont="1" applyNumberFormat="1">
      <alignment horizontal="center" vertical="center"/>
    </xf>
    <xf borderId="0" fillId="14" fontId="33" numFmtId="0" xfId="0" applyAlignment="1" applyFont="1">
      <alignment horizontal="center" readingOrder="0" vertical="center"/>
    </xf>
    <xf borderId="0" fillId="14" fontId="33" numFmtId="0" xfId="0" applyAlignment="1" applyFont="1">
      <alignment horizontal="center" readingOrder="0" vertical="center"/>
    </xf>
    <xf borderId="0" fillId="14" fontId="34" numFmtId="0" xfId="0" applyAlignment="1" applyFont="1">
      <alignment horizontal="center" readingOrder="0" vertical="center"/>
    </xf>
    <xf borderId="0" fillId="14" fontId="33" numFmtId="0" xfId="0" applyAlignment="1" applyFont="1">
      <alignment horizontal="center" vertical="center"/>
    </xf>
    <xf borderId="0" fillId="14" fontId="33" numFmtId="49" xfId="0" applyAlignment="1" applyFont="1" applyNumberFormat="1">
      <alignment horizontal="center" vertical="center"/>
    </xf>
    <xf borderId="0" fillId="14" fontId="33" numFmtId="166" xfId="0" applyAlignment="1" applyFont="1" applyNumberFormat="1">
      <alignment horizontal="center" vertical="center"/>
    </xf>
    <xf borderId="7" fillId="0" fontId="31" numFmtId="167" xfId="0" applyAlignment="1" applyBorder="1" applyFont="1" applyNumberFormat="1">
      <alignment horizontal="center" vertical="center"/>
    </xf>
    <xf borderId="0" fillId="14" fontId="31" numFmtId="0" xfId="0" applyAlignment="1" applyFont="1">
      <alignment horizontal="center" vertical="center"/>
    </xf>
    <xf borderId="0" fillId="14" fontId="31" numFmtId="164" xfId="0" applyAlignment="1" applyFont="1" applyNumberFormat="1">
      <alignment horizontal="center" vertical="center"/>
    </xf>
    <xf borderId="0" fillId="14" fontId="31" numFmtId="0" xfId="0" applyAlignment="1" applyFont="1">
      <alignment horizontal="center" vertical="center"/>
    </xf>
    <xf borderId="0" fillId="14" fontId="31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readingOrder="0" vertical="center"/>
    </xf>
    <xf borderId="0" fillId="14" fontId="31" numFmtId="49" xfId="0" applyAlignment="1" applyFont="1" applyNumberFormat="1">
      <alignment horizontal="center" vertical="center"/>
    </xf>
    <xf borderId="0" fillId="14" fontId="31" numFmtId="166" xfId="0" applyAlignment="1" applyFont="1" applyNumberFormat="1">
      <alignment horizontal="center" vertical="center"/>
    </xf>
    <xf borderId="0" fillId="14" fontId="31" numFmtId="0" xfId="0" applyAlignment="1" applyFont="1">
      <alignment horizontal="center" readingOrder="0" vertical="center"/>
    </xf>
    <xf borderId="0" fillId="5" fontId="33" numFmtId="0" xfId="0" applyAlignment="1" applyFont="1">
      <alignment horizontal="center" vertical="center"/>
    </xf>
    <xf borderId="0" fillId="5" fontId="33" numFmtId="164" xfId="0" applyAlignment="1" applyFont="1" applyNumberFormat="1">
      <alignment horizontal="center" vertical="center"/>
    </xf>
    <xf borderId="0" fillId="5" fontId="33" numFmtId="0" xfId="0" applyAlignment="1" applyFont="1">
      <alignment horizontal="center" readingOrder="0" vertical="center"/>
    </xf>
    <xf borderId="0" fillId="5" fontId="33" numFmtId="0" xfId="0" applyAlignment="1" applyFont="1">
      <alignment horizontal="center" readingOrder="0" vertical="center"/>
    </xf>
    <xf borderId="0" fillId="5" fontId="34" numFmtId="0" xfId="0" applyAlignment="1" applyFont="1">
      <alignment horizontal="center" readingOrder="0" vertical="center"/>
    </xf>
    <xf borderId="0" fillId="5" fontId="33" numFmtId="0" xfId="0" applyAlignment="1" applyFont="1">
      <alignment horizontal="center" vertical="center"/>
    </xf>
    <xf borderId="0" fillId="5" fontId="33" numFmtId="49" xfId="0" applyAlignment="1" applyFont="1" applyNumberFormat="1">
      <alignment horizontal="center" vertical="center"/>
    </xf>
    <xf borderId="0" fillId="5" fontId="33" numFmtId="166" xfId="0" applyAlignment="1" applyFont="1" applyNumberFormat="1">
      <alignment horizontal="center" vertical="center"/>
    </xf>
    <xf borderId="0" fillId="5" fontId="34" numFmtId="0" xfId="0" applyAlignment="1" applyFont="1">
      <alignment horizontal="center" vertical="center"/>
    </xf>
    <xf borderId="0" fillId="5" fontId="31" numFmtId="0" xfId="0" applyAlignment="1" applyFont="1">
      <alignment horizontal="center" vertical="center"/>
    </xf>
    <xf borderId="0" fillId="5" fontId="31" numFmtId="164" xfId="0" applyAlignment="1" applyFont="1" applyNumberFormat="1">
      <alignment horizontal="center" vertical="center"/>
    </xf>
    <xf borderId="0" fillId="5" fontId="31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49" xfId="0" applyAlignment="1" applyFont="1" applyNumberFormat="1">
      <alignment horizontal="center" vertical="center"/>
    </xf>
    <xf borderId="0" fillId="5" fontId="31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3" numFmtId="49" xfId="0" applyAlignment="1" applyFont="1" applyNumberForma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14" fontId="33" numFmtId="166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4" fontId="34" numFmtId="164" xfId="0" applyAlignment="1" applyFont="1" applyNumberFormat="1">
      <alignment horizontal="center" readingOrder="0" shrinkToFit="0" vertical="center" wrapText="0"/>
    </xf>
    <xf borderId="0" fillId="14" fontId="33" numFmtId="0" xfId="0" applyAlignment="1" applyFont="1">
      <alignment horizontal="center" readingOrder="0" shrinkToFit="0" vertical="center" wrapText="0"/>
    </xf>
    <xf borderId="0" fillId="14" fontId="34" numFmtId="0" xfId="0" applyAlignment="1" applyFont="1">
      <alignment horizontal="center" readingOrder="0" shrinkToFit="0" vertical="center" wrapText="0"/>
    </xf>
    <xf borderId="0" fillId="14" fontId="34" numFmtId="49" xfId="0" applyAlignment="1" applyFont="1" applyNumberFormat="1">
      <alignment horizontal="center" readingOrder="0" shrinkToFit="0" vertical="center" wrapText="0"/>
    </xf>
    <xf borderId="0" fillId="14" fontId="34" numFmtId="0" xfId="0" applyAlignment="1" applyFont="1">
      <alignment horizontal="center" vertical="center"/>
    </xf>
    <xf borderId="45" fillId="0" fontId="35" numFmtId="0" xfId="0" applyAlignment="1" applyBorder="1" applyFont="1">
      <alignment horizontal="center" readingOrder="0" vertical="center"/>
    </xf>
    <xf borderId="0" fillId="0" fontId="35" numFmtId="164" xfId="0" applyAlignment="1" applyFont="1" applyNumberFormat="1">
      <alignment horizontal="center" readingOrder="0" vertical="center"/>
    </xf>
    <xf borderId="0" fillId="14" fontId="4" numFmtId="164" xfId="0" applyAlignment="1" applyFont="1" applyNumberFormat="1">
      <alignment horizontal="center" readingOrder="0" shrinkToFit="0" vertical="center" wrapText="0"/>
    </xf>
    <xf borderId="0" fillId="14" fontId="31" numFmtId="0" xfId="0" applyAlignment="1" applyFont="1">
      <alignment horizontal="center" readingOrder="0" shrinkToFit="0" vertical="center" wrapText="0"/>
    </xf>
    <xf borderId="0" fillId="14" fontId="4" numFmtId="0" xfId="0" applyAlignment="1" applyFont="1">
      <alignment horizontal="center" readingOrder="0" shrinkToFit="0" vertical="center" wrapText="0"/>
    </xf>
    <xf borderId="0" fillId="14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0" fillId="14" fontId="31" numFmtId="0" xfId="0" applyAlignment="1" applyFont="1">
      <alignment horizontal="center" readingOrder="0" shrinkToFit="0" vertical="center" wrapText="0"/>
    </xf>
    <xf borderId="23" fillId="14" fontId="33" numFmtId="0" xfId="0" applyAlignment="1" applyBorder="1" applyFont="1">
      <alignment horizontal="center" vertical="center"/>
    </xf>
    <xf borderId="23" fillId="14" fontId="33" numFmtId="164" xfId="0" applyAlignment="1" applyBorder="1" applyFont="1" applyNumberFormat="1">
      <alignment horizontal="center" vertical="center"/>
    </xf>
    <xf borderId="23" fillId="14" fontId="33" numFmtId="0" xfId="0" applyAlignment="1" applyBorder="1" applyFont="1">
      <alignment horizontal="center" readingOrder="0" vertical="center"/>
    </xf>
    <xf borderId="23" fillId="14" fontId="33" numFmtId="0" xfId="0" applyAlignment="1" applyBorder="1" applyFont="1">
      <alignment horizontal="center" readingOrder="0" vertical="center"/>
    </xf>
    <xf borderId="23" fillId="14" fontId="33" numFmtId="0" xfId="0" applyAlignment="1" applyBorder="1" applyFont="1">
      <alignment horizontal="center" vertical="center"/>
    </xf>
    <xf borderId="23" fillId="14" fontId="33" numFmtId="49" xfId="0" applyAlignment="1" applyBorder="1" applyFont="1" applyNumberFormat="1">
      <alignment horizontal="center" vertical="center"/>
    </xf>
    <xf borderId="23" fillId="14" fontId="33" numFmtId="166" xfId="0" applyAlignment="1" applyBorder="1" applyFont="1" applyNumberFormat="1">
      <alignment horizontal="center" vertical="center"/>
    </xf>
    <xf borderId="23" fillId="14" fontId="34" numFmtId="0" xfId="0" applyAlignment="1" applyBorder="1" applyFont="1">
      <alignment horizontal="center" vertical="center"/>
    </xf>
    <xf borderId="24" fillId="0" fontId="35" numFmtId="0" xfId="0" applyAlignment="1" applyBorder="1" applyFont="1">
      <alignment horizontal="center" readingOrder="0" vertical="center"/>
    </xf>
    <xf borderId="23" fillId="0" fontId="35" numFmtId="164" xfId="0" applyAlignment="1" applyBorder="1" applyFont="1" applyNumberFormat="1">
      <alignment horizontal="center" readingOrder="0" vertical="center"/>
    </xf>
    <xf borderId="32" fillId="14" fontId="33" numFmtId="0" xfId="0" applyAlignment="1" applyBorder="1" applyFont="1">
      <alignment horizontal="center" readingOrder="0" vertical="center"/>
    </xf>
    <xf borderId="32" fillId="14" fontId="33" numFmtId="164" xfId="0" applyAlignment="1" applyBorder="1" applyFont="1" applyNumberFormat="1">
      <alignment horizontal="center" readingOrder="0" vertical="center"/>
    </xf>
    <xf borderId="32" fillId="14" fontId="33" numFmtId="0" xfId="0" applyAlignment="1" applyBorder="1" applyFont="1">
      <alignment horizontal="center" readingOrder="0" vertical="center"/>
    </xf>
    <xf borderId="32" fillId="14" fontId="33" numFmtId="49" xfId="0" applyAlignment="1" applyBorder="1" applyFont="1" applyNumberFormat="1">
      <alignment horizontal="center" readingOrder="0" vertical="center"/>
    </xf>
    <xf borderId="32" fillId="14" fontId="33" numFmtId="166" xfId="0" applyAlignment="1" applyBorder="1" applyFont="1" applyNumberFormat="1">
      <alignment horizontal="center" readingOrder="0" vertical="center"/>
    </xf>
    <xf borderId="32" fillId="14" fontId="34" numFmtId="0" xfId="0" applyAlignment="1" applyBorder="1" applyFont="1">
      <alignment horizontal="center" vertical="center"/>
    </xf>
    <xf borderId="15" fillId="0" fontId="34" numFmtId="164" xfId="0" applyAlignment="1" applyBorder="1" applyFont="1" applyNumberFormat="1">
      <alignment horizontal="center" readingOrder="0" vertical="center"/>
    </xf>
    <xf borderId="0" fillId="14" fontId="33" numFmtId="164" xfId="0" applyAlignment="1" applyFont="1" applyNumberFormat="1">
      <alignment horizontal="center" readingOrder="0" vertical="center"/>
    </xf>
    <xf borderId="0" fillId="14" fontId="33" numFmtId="49" xfId="0" applyAlignment="1" applyFont="1" applyNumberFormat="1">
      <alignment horizontal="center" readingOrder="0" vertical="center"/>
    </xf>
    <xf borderId="0" fillId="14" fontId="31" numFmtId="164" xfId="0" applyAlignment="1" applyFont="1" applyNumberFormat="1">
      <alignment horizontal="center" readingOrder="0" vertical="center"/>
    </xf>
    <xf borderId="0" fillId="14" fontId="31" numFmtId="49" xfId="0" applyAlignment="1" applyFont="1" applyNumberFormat="1">
      <alignment horizontal="center" readingOrder="0" vertical="center"/>
    </xf>
    <xf borderId="0" fillId="0" fontId="33" numFmtId="10" xfId="0" applyAlignment="1" applyFont="1" applyNumberFormat="1">
      <alignment horizontal="center" readingOrder="0" vertical="center"/>
    </xf>
    <xf borderId="0" fillId="14" fontId="4" numFmtId="166" xfId="0" applyAlignment="1" applyFont="1" applyNumberFormat="1">
      <alignment horizontal="center" readingOrder="0" vertical="center"/>
    </xf>
    <xf borderId="0" fillId="14" fontId="34" numFmtId="166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readingOrder="0" vertical="center"/>
    </xf>
    <xf borderId="0" fillId="6" fontId="4" numFmtId="164" xfId="0" applyAlignment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31" numFmtId="0" xfId="0" applyAlignment="1" applyFont="1">
      <alignment horizontal="center" readingOrder="0" shrinkToFit="0" vertical="center" wrapText="0"/>
    </xf>
    <xf borderId="0" fillId="6" fontId="4" numFmtId="49" xfId="0" applyAlignment="1" applyFont="1" applyNumberFormat="1">
      <alignment horizontal="center" readingOrder="0" shrinkToFit="0" vertical="center" wrapText="0"/>
    </xf>
    <xf borderId="0" fillId="6" fontId="4" numFmtId="166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6" fontId="31" numFmtId="166" xfId="0" applyAlignment="1" applyFont="1" applyNumberFormat="1">
      <alignment horizontal="center" vertical="center"/>
    </xf>
    <xf borderId="29" fillId="0" fontId="34" numFmtId="165" xfId="0" applyAlignment="1" applyBorder="1" applyFont="1" applyNumberFormat="1">
      <alignment horizontal="center" readingOrder="0" vertical="center"/>
    </xf>
    <xf borderId="0" fillId="6" fontId="33" numFmtId="0" xfId="0" applyAlignment="1" applyFont="1">
      <alignment horizontal="center" readingOrder="0" vertical="center"/>
    </xf>
    <xf borderId="0" fillId="6" fontId="34" numFmtId="164" xfId="0" applyAlignment="1" applyFont="1" applyNumberFormat="1">
      <alignment horizontal="center" readingOrder="0" shrinkToFit="0" vertical="center" wrapText="0"/>
    </xf>
    <xf borderId="0" fillId="6" fontId="34" numFmtId="0" xfId="0" applyAlignment="1" applyFont="1">
      <alignment horizontal="center" readingOrder="0" vertical="center"/>
    </xf>
    <xf borderId="0" fillId="6" fontId="33" numFmtId="0" xfId="0" applyAlignment="1" applyFont="1">
      <alignment horizontal="center" readingOrder="0" shrinkToFit="0" vertical="center" wrapText="0"/>
    </xf>
    <xf borderId="0" fillId="6" fontId="34" numFmtId="0" xfId="0" applyAlignment="1" applyFont="1">
      <alignment horizontal="center" readingOrder="0" shrinkToFit="0" vertical="center" wrapText="0"/>
    </xf>
    <xf borderId="0" fillId="6" fontId="34" numFmtId="49" xfId="0" applyAlignment="1" applyFont="1" applyNumberFormat="1">
      <alignment horizontal="center" readingOrder="0" shrinkToFit="0" vertical="center" wrapText="0"/>
    </xf>
    <xf borderId="0" fillId="6" fontId="34" numFmtId="166" xfId="0" applyAlignment="1" applyFont="1" applyNumberFormat="1">
      <alignment horizontal="center" readingOrder="0" vertical="center"/>
    </xf>
    <xf borderId="0" fillId="6" fontId="34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45" fillId="0" fontId="32" numFmtId="167" xfId="0" applyAlignment="1" applyBorder="1" applyFont="1" applyNumberFormat="1">
      <alignment horizontal="center" vertical="center"/>
    </xf>
    <xf borderId="0" fillId="6" fontId="34" numFmtId="166" xfId="0" applyAlignment="1" applyFont="1" applyNumberFormat="1">
      <alignment horizontal="center" readingOrder="0" shrinkToFit="0" vertical="center" wrapText="0"/>
    </xf>
    <xf borderId="45" fillId="0" fontId="36" numFmtId="167" xfId="0" applyAlignment="1" applyBorder="1" applyFont="1" applyNumberFormat="1">
      <alignment horizontal="center" vertical="center"/>
    </xf>
    <xf borderId="0" fillId="6" fontId="33" numFmtId="164" xfId="0" applyAlignment="1" applyFont="1" applyNumberFormat="1">
      <alignment horizontal="center" readingOrder="0" vertical="center"/>
    </xf>
    <xf borderId="0" fillId="6" fontId="33" numFmtId="0" xfId="0" applyAlignment="1" applyFont="1">
      <alignment horizontal="center" readingOrder="0" vertical="center"/>
    </xf>
    <xf borderId="0" fillId="6" fontId="33" numFmtId="49" xfId="0" applyAlignment="1" applyFont="1" applyNumberFormat="1">
      <alignment horizontal="center" readingOrder="0" vertical="center"/>
    </xf>
    <xf borderId="0" fillId="6" fontId="33" numFmtId="166" xfId="0" applyAlignment="1" applyFont="1" applyNumberFormat="1">
      <alignment horizontal="center" readingOrder="0" vertical="center"/>
    </xf>
    <xf borderId="0" fillId="6" fontId="31" numFmtId="164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readingOrder="0" vertical="center"/>
    </xf>
    <xf borderId="0" fillId="6" fontId="31" numFmtId="49" xfId="0" applyAlignment="1" applyFont="1" applyNumberFormat="1">
      <alignment horizontal="center" readingOrder="0" vertical="center"/>
    </xf>
    <xf borderId="0" fillId="6" fontId="31" numFmtId="166" xfId="0" applyAlignment="1" applyFont="1" applyNumberFormat="1">
      <alignment horizontal="center" readingOrder="0" vertical="center"/>
    </xf>
    <xf borderId="0" fillId="20" fontId="33" numFmtId="0" xfId="0" applyAlignment="1" applyFill="1" applyFont="1">
      <alignment horizontal="center" readingOrder="0" vertical="center"/>
    </xf>
    <xf borderId="0" fillId="20" fontId="33" numFmtId="164" xfId="0" applyAlignment="1" applyFont="1" applyNumberFormat="1">
      <alignment horizontal="center" readingOrder="0" vertical="center"/>
    </xf>
    <xf borderId="0" fillId="20" fontId="33" numFmtId="0" xfId="0" applyAlignment="1" applyFont="1">
      <alignment horizontal="center" readingOrder="0" vertical="center"/>
    </xf>
    <xf borderId="0" fillId="20" fontId="34" numFmtId="0" xfId="0" applyAlignment="1" applyFont="1">
      <alignment horizontal="center" readingOrder="0" shrinkToFit="0" vertical="center" wrapText="0"/>
    </xf>
    <xf borderId="0" fillId="20" fontId="33" numFmtId="49" xfId="0" applyAlignment="1" applyFont="1" applyNumberFormat="1">
      <alignment horizontal="center" readingOrder="0" vertical="center"/>
    </xf>
    <xf borderId="0" fillId="20" fontId="33" numFmtId="166" xfId="0" applyAlignment="1" applyFont="1" applyNumberFormat="1">
      <alignment horizontal="center" readingOrder="0" vertical="center"/>
    </xf>
    <xf borderId="0" fillId="20" fontId="34" numFmtId="0" xfId="0" applyAlignment="1" applyFont="1">
      <alignment horizontal="center" vertical="center"/>
    </xf>
    <xf borderId="0" fillId="20" fontId="31" numFmtId="0" xfId="0" applyAlignment="1" applyFont="1">
      <alignment horizontal="center" readingOrder="0" vertical="center"/>
    </xf>
    <xf borderId="0" fillId="20" fontId="31" numFmtId="164" xfId="0" applyAlignment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0" fillId="20" fontId="4" numFmtId="0" xfId="0" applyAlignment="1" applyFont="1">
      <alignment horizontal="center" readingOrder="0" shrinkToFit="0" vertical="center" wrapText="0"/>
    </xf>
    <xf borderId="0" fillId="20" fontId="31" numFmtId="49" xfId="0" applyAlignment="1" applyFont="1" applyNumberFormat="1">
      <alignment horizontal="center" readingOrder="0" vertical="center"/>
    </xf>
    <xf borderId="0" fillId="20" fontId="31" numFmtId="166" xfId="0" applyAlignment="1" applyFont="1" applyNumberFormat="1">
      <alignment horizontal="center" readingOrder="0" vertical="center"/>
    </xf>
    <xf borderId="0" fillId="20" fontId="4" numFmtId="0" xfId="0" applyAlignment="1" applyFon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0" fillId="20" fontId="31" numFmtId="49" xfId="0" applyAlignment="1" applyFont="1" applyNumberFormat="1">
      <alignment horizontal="center" readingOrder="0" shrinkToFit="0" vertical="center" wrapText="1"/>
    </xf>
    <xf borderId="0" fillId="20" fontId="4" numFmtId="0" xfId="0" applyAlignment="1" applyFont="1">
      <alignment horizontal="center" vertical="center"/>
    </xf>
    <xf borderId="0" fillId="20" fontId="33" numFmtId="49" xfId="0" applyAlignment="1" applyFont="1" applyNumberFormat="1">
      <alignment horizontal="center" readingOrder="0" shrinkToFit="0" vertical="center" wrapText="1"/>
    </xf>
    <xf borderId="0" fillId="20" fontId="34" numFmtId="0" xfId="0" applyAlignment="1" applyFont="1">
      <alignment horizontal="center" readingOrder="0" vertical="center"/>
    </xf>
    <xf borderId="0" fillId="7" fontId="33" numFmtId="0" xfId="0" applyAlignment="1" applyFont="1">
      <alignment horizontal="center" readingOrder="0" vertical="center"/>
    </xf>
    <xf borderId="0" fillId="7" fontId="33" numFmtId="164" xfId="0" applyAlignment="1" applyFont="1" applyNumberFormat="1">
      <alignment horizontal="center" readingOrder="0" vertical="center"/>
    </xf>
    <xf borderId="0" fillId="7" fontId="33" numFmtId="0" xfId="0" applyAlignment="1" applyFont="1">
      <alignment horizontal="center" readingOrder="0" vertical="center"/>
    </xf>
    <xf borderId="0" fillId="7" fontId="33" numFmtId="49" xfId="0" applyAlignment="1" applyFont="1" applyNumberFormat="1">
      <alignment horizontal="center" readingOrder="0" vertical="center"/>
    </xf>
    <xf borderId="0" fillId="7" fontId="33" numFmtId="166" xfId="0" applyAlignment="1" applyFont="1" applyNumberFormat="1">
      <alignment horizontal="center" vertical="center"/>
    </xf>
    <xf borderId="0" fillId="7" fontId="34" numFmtId="0" xfId="0" applyAlignment="1" applyFont="1">
      <alignment horizontal="center" vertical="center"/>
    </xf>
    <xf borderId="0" fillId="20" fontId="33" numFmtId="165" xfId="0" applyAlignment="1" applyFont="1" applyNumberFormat="1">
      <alignment horizontal="center" readingOrder="0" vertical="center"/>
    </xf>
    <xf borderId="0" fillId="7" fontId="33" numFmtId="166" xfId="0" applyAlignment="1" applyFont="1" applyNumberFormat="1">
      <alignment horizontal="center" readingOrder="0" vertical="center"/>
    </xf>
    <xf borderId="53" fillId="20" fontId="33" numFmtId="0" xfId="0" applyAlignment="1" applyBorder="1" applyFont="1">
      <alignment horizontal="center" readingOrder="0" vertical="center"/>
    </xf>
    <xf borderId="53" fillId="20" fontId="33" numFmtId="164" xfId="0" applyAlignment="1" applyBorder="1" applyFont="1" applyNumberFormat="1">
      <alignment horizontal="center" readingOrder="0" vertical="center"/>
    </xf>
    <xf borderId="53" fillId="20" fontId="33" numFmtId="0" xfId="0" applyAlignment="1" applyBorder="1" applyFont="1">
      <alignment horizontal="center" readingOrder="0" vertical="center"/>
    </xf>
    <xf borderId="53" fillId="20" fontId="33" numFmtId="49" xfId="0" applyAlignment="1" applyBorder="1" applyFont="1" applyNumberFormat="1">
      <alignment horizontal="center" readingOrder="0" vertical="center"/>
    </xf>
    <xf borderId="53" fillId="20" fontId="33" numFmtId="166" xfId="0" applyAlignment="1" applyBorder="1" applyFont="1" applyNumberFormat="1">
      <alignment horizontal="center" readingOrder="0" vertical="center"/>
    </xf>
    <xf borderId="53" fillId="20" fontId="34" numFmtId="0" xfId="0" applyAlignment="1" applyBorder="1" applyFont="1">
      <alignment horizontal="center" vertical="center"/>
    </xf>
    <xf borderId="54" fillId="0" fontId="34" numFmtId="164" xfId="0" applyAlignment="1" applyBorder="1" applyFont="1" applyNumberFormat="1">
      <alignment horizontal="center" readingOrder="0" vertical="center"/>
    </xf>
    <xf borderId="55" fillId="0" fontId="35" numFmtId="167" xfId="0" applyAlignment="1" applyBorder="1" applyFont="1" applyNumberFormat="1">
      <alignment horizontal="center" readingOrder="0" vertical="center"/>
    </xf>
    <xf borderId="53" fillId="0" fontId="35" numFmtId="167" xfId="0" applyAlignment="1" applyBorder="1" applyFont="1" applyNumberFormat="1">
      <alignment horizontal="center" readingOrder="0" vertical="center"/>
    </xf>
    <xf borderId="55" fillId="0" fontId="36" numFmtId="167" xfId="0" applyAlignment="1" applyBorder="1" applyFont="1" applyNumberFormat="1">
      <alignment horizontal="center" vertical="center"/>
    </xf>
    <xf borderId="53" fillId="0" fontId="36" numFmtId="167" xfId="0" applyAlignment="1" applyBorder="1" applyFont="1" applyNumberFormat="1">
      <alignment horizontal="center" readingOrder="0" vertical="center"/>
    </xf>
    <xf borderId="55" fillId="0" fontId="33" numFmtId="165" xfId="0" applyAlignment="1" applyBorder="1" applyFont="1" applyNumberFormat="1">
      <alignment horizontal="center" readingOrder="0" vertical="center"/>
    </xf>
    <xf borderId="53" fillId="0" fontId="33" numFmtId="1" xfId="0" applyAlignment="1" applyBorder="1" applyFont="1" applyNumberFormat="1">
      <alignment horizontal="center" readingOrder="0" vertical="center"/>
    </xf>
    <xf borderId="53" fillId="0" fontId="33" numFmtId="167" xfId="0" applyAlignment="1" applyBorder="1" applyFont="1" applyNumberFormat="1">
      <alignment horizontal="center" readingOrder="0" vertical="center"/>
    </xf>
    <xf borderId="55" fillId="0" fontId="33" numFmtId="0" xfId="0" applyAlignment="1" applyBorder="1" applyFont="1">
      <alignment horizontal="center" readingOrder="0" vertical="center"/>
    </xf>
    <xf borderId="0" fillId="20" fontId="33" numFmtId="0" xfId="0" applyAlignment="1" applyFont="1">
      <alignment horizontal="center" readingOrder="0"/>
    </xf>
    <xf borderId="0" fillId="20" fontId="33" numFmtId="166" xfId="0" applyAlignment="1" applyFont="1" applyNumberFormat="1">
      <alignment horizontal="center" vertical="center"/>
    </xf>
    <xf borderId="0" fillId="21" fontId="33" numFmtId="0" xfId="0" applyAlignment="1" applyFill="1" applyFont="1">
      <alignment horizontal="center" readingOrder="0" vertical="center"/>
    </xf>
    <xf borderId="0" fillId="21" fontId="33" numFmtId="164" xfId="0" applyAlignment="1" applyFont="1" applyNumberFormat="1">
      <alignment horizontal="center" readingOrder="0" vertical="center"/>
    </xf>
    <xf borderId="0" fillId="21" fontId="33" numFmtId="0" xfId="0" applyAlignment="1" applyFont="1">
      <alignment horizontal="center" readingOrder="0" vertical="center"/>
    </xf>
    <xf borderId="0" fillId="21" fontId="33" numFmtId="49" xfId="0" applyAlignment="1" applyFont="1" applyNumberFormat="1">
      <alignment horizontal="center" readingOrder="0" vertical="center"/>
    </xf>
    <xf borderId="0" fillId="21" fontId="33" numFmtId="166" xfId="0" applyAlignment="1" applyFont="1" applyNumberFormat="1">
      <alignment horizontal="center" readingOrder="0" vertical="center"/>
    </xf>
    <xf borderId="0" fillId="21" fontId="34" numFmtId="0" xfId="0" applyAlignment="1" applyFont="1">
      <alignment horizontal="center" readingOrder="0" vertical="center"/>
    </xf>
    <xf borderId="0" fillId="21" fontId="34" numFmtId="0" xfId="0" applyAlignment="1" applyFont="1">
      <alignment horizontal="center" vertical="center"/>
    </xf>
    <xf borderId="0" fillId="9" fontId="33" numFmtId="0" xfId="0" applyAlignment="1" applyFont="1">
      <alignment horizontal="center" readingOrder="0" vertical="center"/>
    </xf>
    <xf borderId="0" fillId="9" fontId="33" numFmtId="164" xfId="0" applyAlignment="1" applyFont="1" applyNumberFormat="1">
      <alignment horizontal="center" readingOrder="0" vertical="center"/>
    </xf>
    <xf borderId="0" fillId="9" fontId="33" numFmtId="0" xfId="0" applyAlignment="1" applyFont="1">
      <alignment horizontal="center" readingOrder="0" vertical="center"/>
    </xf>
    <xf borderId="0" fillId="9" fontId="33" numFmtId="49" xfId="0" applyAlignment="1" applyFont="1" applyNumberFormat="1">
      <alignment horizontal="center" readingOrder="0" vertical="center"/>
    </xf>
    <xf borderId="0" fillId="9" fontId="33" numFmtId="166" xfId="0" applyAlignment="1" applyFont="1" applyNumberFormat="1">
      <alignment horizontal="center" readingOrder="0" vertical="center"/>
    </xf>
    <xf borderId="0" fillId="9" fontId="34" numFmtId="0" xfId="0" applyAlignment="1" applyFont="1">
      <alignment horizontal="center" vertical="center"/>
    </xf>
    <xf borderId="0" fillId="9" fontId="31" numFmtId="0" xfId="0" applyAlignment="1" applyFont="1">
      <alignment horizontal="center" readingOrder="0" vertical="center"/>
    </xf>
    <xf borderId="0" fillId="9" fontId="31" numFmtId="164" xfId="0" applyAlignment="1" applyFont="1" applyNumberFormat="1">
      <alignment horizontal="center" readingOrder="0" vertical="center"/>
    </xf>
    <xf borderId="0" fillId="9" fontId="31" numFmtId="0" xfId="0" applyAlignment="1" applyFont="1">
      <alignment horizontal="center" readingOrder="0" vertical="center"/>
    </xf>
    <xf borderId="0" fillId="9" fontId="4" numFmtId="0" xfId="0" applyAlignment="1" applyFont="1">
      <alignment horizontal="center" readingOrder="0"/>
    </xf>
    <xf borderId="0" fillId="9" fontId="31" numFmtId="166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vertical="center"/>
    </xf>
    <xf borderId="0" fillId="21" fontId="33" numFmtId="165" xfId="0" applyAlignment="1" applyFont="1" applyNumberFormat="1">
      <alignment horizontal="center" readingOrder="0" vertical="center"/>
    </xf>
    <xf borderId="0" fillId="6" fontId="33" numFmtId="0" xfId="0" applyAlignment="1" applyFont="1">
      <alignment horizontal="center"/>
    </xf>
    <xf borderId="0" fillId="6" fontId="33" numFmtId="164" xfId="0" applyAlignment="1" applyFont="1" applyNumberFormat="1">
      <alignment horizontal="center"/>
    </xf>
    <xf borderId="0" fillId="6" fontId="33" numFmtId="0" xfId="0" applyAlignment="1" applyFont="1">
      <alignment horizontal="center"/>
    </xf>
    <xf borderId="0" fillId="6" fontId="33" numFmtId="49" xfId="0" applyAlignment="1" applyFont="1" applyNumberFormat="1">
      <alignment horizontal="center"/>
    </xf>
    <xf borderId="0" fillId="6" fontId="33" numFmtId="166" xfId="0" applyAlignment="1" applyFont="1" applyNumberFormat="1">
      <alignment horizontal="center"/>
    </xf>
    <xf borderId="0" fillId="6" fontId="34" numFmtId="0" xfId="0" applyFont="1"/>
    <xf borderId="29" fillId="0" fontId="34" numFmtId="164" xfId="0" applyAlignment="1" applyBorder="1" applyFont="1" applyNumberFormat="1">
      <alignment horizontal="center" readingOrder="0"/>
    </xf>
    <xf borderId="0" fillId="9" fontId="31" numFmtId="0" xfId="0" applyAlignment="1" applyFont="1">
      <alignment horizontal="center" readingOrder="0" vertical="center"/>
    </xf>
    <xf borderId="0" fillId="9" fontId="31" numFmtId="49" xfId="0" applyAlignment="1" applyFont="1" applyNumberFormat="1">
      <alignment horizontal="center" readingOrder="0" vertical="center"/>
    </xf>
    <xf borderId="45" fillId="0" fontId="33" numFmtId="164" xfId="0" applyAlignment="1" applyBorder="1" applyFont="1" applyNumberFormat="1">
      <alignment horizontal="center" readingOrder="0" vertical="center"/>
    </xf>
    <xf borderId="0" fillId="22" fontId="33" numFmtId="0" xfId="0" applyAlignment="1" applyFill="1" applyFont="1">
      <alignment horizontal="center" readingOrder="0" vertical="center"/>
    </xf>
    <xf borderId="0" fillId="22" fontId="33" numFmtId="164" xfId="0" applyAlignment="1" applyFont="1" applyNumberFormat="1">
      <alignment horizontal="center" readingOrder="0" vertical="center"/>
    </xf>
    <xf borderId="0" fillId="22" fontId="33" numFmtId="0" xfId="0" applyAlignment="1" applyFont="1">
      <alignment horizontal="center" readingOrder="0" vertical="center"/>
    </xf>
    <xf borderId="0" fillId="22" fontId="33" numFmtId="49" xfId="0" applyAlignment="1" applyFont="1" applyNumberFormat="1">
      <alignment horizontal="center" readingOrder="0" vertical="center"/>
    </xf>
    <xf borderId="0" fillId="22" fontId="33" numFmtId="166" xfId="0" applyAlignment="1" applyFont="1" applyNumberFormat="1">
      <alignment horizontal="center" readingOrder="0" vertical="center"/>
    </xf>
    <xf borderId="0" fillId="22" fontId="34" numFmtId="0" xfId="0" applyAlignment="1" applyFont="1">
      <alignment horizontal="center" readingOrder="0" vertical="center"/>
    </xf>
    <xf borderId="0" fillId="6" fontId="33" numFmtId="0" xfId="0" applyAlignment="1" applyFont="1">
      <alignment horizontal="center" vertical="bottom"/>
    </xf>
    <xf borderId="0" fillId="6" fontId="33" numFmtId="164" xfId="0" applyAlignment="1" applyFont="1" applyNumberFormat="1">
      <alignment horizontal="center" vertical="bottom"/>
    </xf>
    <xf borderId="0" fillId="6" fontId="33" numFmtId="0" xfId="0" applyAlignment="1" applyFont="1">
      <alignment horizontal="center" vertical="bottom"/>
    </xf>
    <xf borderId="0" fillId="6" fontId="33" numFmtId="0" xfId="0" applyAlignment="1" applyFont="1">
      <alignment horizontal="center" readingOrder="0" vertical="bottom"/>
    </xf>
    <xf borderId="0" fillId="6" fontId="33" numFmtId="49" xfId="0" applyAlignment="1" applyFont="1" applyNumberFormat="1">
      <alignment horizontal="center" vertical="bottom"/>
    </xf>
    <xf borderId="0" fillId="6" fontId="33" numFmtId="166" xfId="0" applyAlignment="1" applyFont="1" applyNumberFormat="1">
      <alignment horizontal="center" vertical="bottom"/>
    </xf>
    <xf borderId="0" fillId="6" fontId="34" numFmtId="0" xfId="0" applyAlignment="1" applyFont="1">
      <alignment horizontal="center" readingOrder="0" vertical="bottom"/>
    </xf>
    <xf borderId="45" fillId="0" fontId="35" numFmtId="167" xfId="0" applyAlignment="1" applyBorder="1" applyFont="1" applyNumberFormat="1">
      <alignment horizontal="center"/>
    </xf>
    <xf borderId="29" fillId="0" fontId="34" numFmtId="0" xfId="0" applyAlignment="1" applyBorder="1" applyFont="1">
      <alignment horizontal="center" readingOrder="0" vertical="bottom"/>
    </xf>
    <xf borderId="45" fillId="0" fontId="36" numFmtId="167" xfId="0" applyAlignment="1" applyBorder="1" applyFont="1" applyNumberFormat="1">
      <alignment horizontal="center"/>
    </xf>
    <xf borderId="0" fillId="6" fontId="33" numFmtId="0" xfId="0" applyAlignment="1" applyFont="1">
      <alignment horizontal="center" readingOrder="0"/>
    </xf>
    <xf borderId="0" fillId="6" fontId="34" numFmtId="0" xfId="0" applyAlignment="1" applyFont="1">
      <alignment vertical="bottom"/>
    </xf>
    <xf borderId="29" fillId="0" fontId="34" numFmtId="164" xfId="0" applyAlignment="1" applyBorder="1" applyFont="1" applyNumberFormat="1">
      <alignment horizontal="center" readingOrder="0" vertical="bottom"/>
    </xf>
    <xf borderId="0" fillId="9" fontId="34" numFmtId="0" xfId="0" applyAlignment="1" applyFont="1">
      <alignment horizontal="center" readingOrder="0" vertical="center"/>
    </xf>
    <xf borderId="0" fillId="9" fontId="4" numFmtId="0" xfId="0" applyAlignment="1" applyFont="1">
      <alignment horizontal="center" readingOrder="0" vertical="center"/>
    </xf>
    <xf borderId="45" fillId="0" fontId="6" numFmtId="167" xfId="0" applyAlignment="1" applyBorder="1" applyFont="1" applyNumberFormat="1">
      <alignment horizontal="center"/>
    </xf>
    <xf borderId="45" fillId="0" fontId="32" numFmtId="167" xfId="0" applyAlignment="1" applyBorder="1" applyFont="1" applyNumberFormat="1">
      <alignment horizontal="center"/>
    </xf>
    <xf borderId="0" fillId="21" fontId="31" numFmtId="0" xfId="0" applyAlignment="1" applyFont="1">
      <alignment horizontal="center" readingOrder="0" vertical="center"/>
    </xf>
    <xf borderId="0" fillId="21" fontId="31" numFmtId="164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21" fontId="31" numFmtId="49" xfId="0" applyAlignment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readingOrder="0" vertical="center"/>
    </xf>
    <xf borderId="0" fillId="21" fontId="4" numFmtId="0" xfId="0" applyAlignment="1" applyFont="1">
      <alignment horizontal="center" vertical="center"/>
    </xf>
    <xf borderId="0" fillId="21" fontId="31" numFmtId="0" xfId="0" applyAlignment="1" applyFont="1">
      <alignment horizontal="center" readingOrder="0" vertical="center"/>
    </xf>
    <xf borderId="53" fillId="21" fontId="33" numFmtId="0" xfId="0" applyAlignment="1" applyBorder="1" applyFont="1">
      <alignment horizontal="center" readingOrder="0" vertical="center"/>
    </xf>
    <xf borderId="53" fillId="21" fontId="33" numFmtId="164" xfId="0" applyAlignment="1" applyBorder="1" applyFont="1" applyNumberFormat="1">
      <alignment horizontal="center" readingOrder="0" vertical="center"/>
    </xf>
    <xf borderId="53" fillId="21" fontId="33" numFmtId="0" xfId="0" applyAlignment="1" applyBorder="1" applyFont="1">
      <alignment horizontal="center" readingOrder="0" vertical="center"/>
    </xf>
    <xf borderId="53" fillId="21" fontId="33" numFmtId="49" xfId="0" applyAlignment="1" applyBorder="1" applyFont="1" applyNumberFormat="1">
      <alignment horizontal="center" readingOrder="0" vertical="center"/>
    </xf>
    <xf borderId="53" fillId="21" fontId="33" numFmtId="166" xfId="0" applyAlignment="1" applyBorder="1" applyFont="1" applyNumberFormat="1">
      <alignment horizontal="center" readingOrder="0" vertical="center"/>
    </xf>
    <xf borderId="53" fillId="21" fontId="34" numFmtId="0" xfId="0" applyAlignment="1" applyBorder="1" applyFont="1">
      <alignment horizontal="center" vertical="center"/>
    </xf>
    <xf borderId="54" fillId="0" fontId="34" numFmtId="165" xfId="0" applyAlignment="1" applyBorder="1" applyFont="1" applyNumberFormat="1">
      <alignment horizontal="center" readingOrder="0" vertical="center"/>
    </xf>
    <xf borderId="55" fillId="0" fontId="35" numFmtId="167" xfId="0" applyAlignment="1" applyBorder="1" applyFont="1" applyNumberFormat="1">
      <alignment horizontal="center"/>
    </xf>
    <xf borderId="55" fillId="0" fontId="36" numFmtId="167" xfId="0" applyAlignment="1" applyBorder="1" applyFont="1" applyNumberFormat="1">
      <alignment horizontal="center"/>
    </xf>
    <xf borderId="45" fillId="0" fontId="34" numFmtId="165" xfId="0" applyAlignment="1" applyBorder="1" applyFont="1" applyNumberFormat="1">
      <alignment horizontal="center" readingOrder="0" vertical="center"/>
    </xf>
    <xf borderId="0" fillId="23" fontId="33" numFmtId="0" xfId="0" applyAlignment="1" applyFill="1" applyFont="1">
      <alignment horizontal="center" readingOrder="0" vertical="center"/>
    </xf>
    <xf borderId="0" fillId="23" fontId="33" numFmtId="164" xfId="0" applyAlignment="1" applyFont="1" applyNumberFormat="1">
      <alignment horizontal="center" readingOrder="0" vertical="center"/>
    </xf>
    <xf borderId="0" fillId="23" fontId="33" numFmtId="0" xfId="0" applyAlignment="1" applyFont="1">
      <alignment horizontal="center" readingOrder="0" vertical="center"/>
    </xf>
    <xf borderId="0" fillId="23" fontId="33" numFmtId="49" xfId="0" applyAlignment="1" applyFont="1" applyNumberFormat="1">
      <alignment horizontal="center" readingOrder="0" vertical="center"/>
    </xf>
    <xf borderId="0" fillId="23" fontId="33" numFmtId="166" xfId="0" applyAlignment="1" applyFont="1" applyNumberFormat="1">
      <alignment horizontal="center" readingOrder="0" vertical="center"/>
    </xf>
    <xf borderId="0" fillId="23" fontId="34" numFmtId="0" xfId="0" applyAlignment="1" applyFont="1">
      <alignment horizontal="center" readingOrder="0" vertical="center"/>
    </xf>
    <xf borderId="0" fillId="17" fontId="33" numFmtId="0" xfId="0" applyAlignment="1" applyFont="1">
      <alignment horizontal="center" readingOrder="0" vertical="center"/>
    </xf>
    <xf borderId="0" fillId="17" fontId="33" numFmtId="164" xfId="0" applyAlignment="1" applyFont="1" applyNumberFormat="1">
      <alignment horizontal="center" readingOrder="0" vertical="center"/>
    </xf>
    <xf borderId="0" fillId="17" fontId="33" numFmtId="0" xfId="0" applyAlignment="1" applyFont="1">
      <alignment horizontal="center" readingOrder="0" vertical="center"/>
    </xf>
    <xf borderId="0" fillId="17" fontId="33" numFmtId="49" xfId="0" applyAlignment="1" applyFont="1" applyNumberFormat="1">
      <alignment horizontal="center" readingOrder="0" vertical="center"/>
    </xf>
    <xf borderId="0" fillId="17" fontId="33" numFmtId="166" xfId="0" applyAlignment="1" applyFont="1" applyNumberFormat="1">
      <alignment horizontal="center" readingOrder="0" vertical="center"/>
    </xf>
    <xf borderId="0" fillId="17" fontId="34" numFmtId="0" xfId="0" applyAlignment="1" applyFont="1">
      <alignment horizontal="center" readingOrder="0" vertical="center"/>
    </xf>
    <xf borderId="0" fillId="21" fontId="4" numFmtId="0" xfId="0" applyAlignment="1" applyFont="1">
      <alignment horizontal="center" readingOrder="0" vertical="center"/>
    </xf>
    <xf borderId="45" fillId="0" fontId="4" numFmtId="165" xfId="0" applyAlignment="1" applyBorder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vertical="center"/>
    </xf>
    <xf borderId="0" fillId="14" fontId="34" numFmtId="0" xfId="0" applyAlignment="1" applyFont="1">
      <alignment horizontal="center" readingOrder="0"/>
    </xf>
    <xf borderId="0" fillId="14" fontId="34" numFmtId="165" xfId="0" applyAlignment="1" applyFont="1" applyNumberFormat="1">
      <alignment horizontal="center" readingOrder="0"/>
    </xf>
    <xf borderId="0" fillId="14" fontId="34" numFmtId="166" xfId="0" applyAlignment="1" applyFont="1" applyNumberFormat="1">
      <alignment horizontal="center" readingOrder="0"/>
    </xf>
    <xf borderId="0" fillId="21" fontId="34" numFmtId="0" xfId="0" applyAlignment="1" applyFont="1">
      <alignment horizontal="center" readingOrder="0"/>
    </xf>
    <xf borderId="0" fillId="21" fontId="34" numFmtId="165" xfId="0" applyAlignment="1" applyFont="1" applyNumberFormat="1">
      <alignment horizontal="center" readingOrder="0"/>
    </xf>
    <xf borderId="0" fillId="21" fontId="34" numFmtId="166" xfId="0" applyAlignment="1" applyFont="1" applyNumberFormat="1">
      <alignment horizontal="center" readingOrder="0"/>
    </xf>
    <xf borderId="0" fillId="21" fontId="4" numFmtId="0" xfId="0" applyAlignment="1" applyFont="1">
      <alignment horizontal="center" readingOrder="0"/>
    </xf>
    <xf borderId="0" fillId="21" fontId="4" numFmtId="165" xfId="0" applyAlignment="1" applyFont="1" applyNumberFormat="1">
      <alignment horizontal="center" readingOrder="0"/>
    </xf>
    <xf borderId="0" fillId="21" fontId="4" numFmtId="166" xfId="0" applyAlignment="1" applyFont="1" applyNumberFormat="1">
      <alignment horizontal="center" readingOrder="0"/>
    </xf>
    <xf borderId="6" fillId="12" fontId="31" numFmtId="164" xfId="0" applyAlignment="1" applyBorder="1" applyFont="1" applyNumberFormat="1">
      <alignment horizontal="center" vertical="center"/>
    </xf>
    <xf borderId="0" fillId="12" fontId="31" numFmtId="0" xfId="0" applyAlignment="1" applyFont="1">
      <alignment horizontal="center" vertical="center"/>
    </xf>
    <xf borderId="7" fillId="12" fontId="31" numFmtId="167" xfId="0" applyAlignment="1" applyBorder="1" applyFont="1" applyNumberFormat="1">
      <alignment horizontal="center" vertical="center"/>
    </xf>
    <xf borderId="0" fillId="23" fontId="34" numFmtId="0" xfId="0" applyAlignment="1" applyFont="1">
      <alignment horizontal="center" readingOrder="0"/>
    </xf>
    <xf borderId="0" fillId="23" fontId="34" numFmtId="165" xfId="0" applyAlignment="1" applyFont="1" applyNumberFormat="1">
      <alignment horizontal="center" readingOrder="0"/>
    </xf>
    <xf borderId="0" fillId="23" fontId="34" numFmtId="166" xfId="0" applyAlignment="1" applyFont="1" applyNumberFormat="1">
      <alignment horizontal="center" readingOrder="0"/>
    </xf>
    <xf borderId="0" fillId="24" fontId="34" numFmtId="0" xfId="0" applyAlignment="1" applyFill="1" applyFont="1">
      <alignment horizontal="center" readingOrder="0"/>
    </xf>
    <xf borderId="0" fillId="24" fontId="34" numFmtId="165" xfId="0" applyAlignment="1" applyFont="1" applyNumberFormat="1">
      <alignment horizontal="center" readingOrder="0"/>
    </xf>
    <xf borderId="0" fillId="24" fontId="34" numFmtId="166" xfId="0" applyAlignment="1" applyFont="1" applyNumberFormat="1">
      <alignment horizontal="center" readingOrder="0"/>
    </xf>
    <xf borderId="34" fillId="0" fontId="36" numFmtId="167" xfId="0" applyAlignment="1" applyBorder="1" applyFont="1" applyNumberFormat="1">
      <alignment horizontal="center" readingOrder="0" vertical="center"/>
    </xf>
    <xf borderId="53" fillId="23" fontId="34" numFmtId="0" xfId="0" applyAlignment="1" applyBorder="1" applyFont="1">
      <alignment horizontal="center" readingOrder="0"/>
    </xf>
    <xf borderId="53" fillId="23" fontId="34" numFmtId="165" xfId="0" applyAlignment="1" applyBorder="1" applyFont="1" applyNumberFormat="1">
      <alignment horizontal="center" readingOrder="0"/>
    </xf>
    <xf borderId="53" fillId="23" fontId="34" numFmtId="166" xfId="0" applyAlignment="1" applyBorder="1" applyFont="1" applyNumberFormat="1">
      <alignment horizontal="center" readingOrder="0"/>
    </xf>
    <xf borderId="55" fillId="0" fontId="34" numFmtId="165" xfId="0" applyAlignment="1" applyBorder="1" applyFont="1" applyNumberFormat="1">
      <alignment horizontal="center" readingOrder="0" vertical="center"/>
    </xf>
    <xf borderId="56" fillId="0" fontId="36" numFmtId="167" xfId="0" applyAlignment="1" applyBorder="1" applyFont="1" applyNumberFormat="1">
      <alignment horizontal="center" readingOrder="0" vertical="center"/>
    </xf>
    <xf borderId="0" fillId="4" fontId="34" numFmtId="0" xfId="0" applyAlignment="1" applyFont="1">
      <alignment horizontal="center" readingOrder="0"/>
    </xf>
    <xf borderId="0" fillId="25" fontId="34" numFmtId="0" xfId="0" applyAlignment="1" applyFill="1" applyFont="1">
      <alignment horizontal="center" readingOrder="0"/>
    </xf>
    <xf borderId="0" fillId="25" fontId="34" numFmtId="165" xfId="0" applyAlignment="1" applyFont="1" applyNumberFormat="1">
      <alignment horizontal="center" readingOrder="0"/>
    </xf>
    <xf borderId="0" fillId="25" fontId="34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4" fillId="0" fontId="32" numFmtId="167" xfId="0" applyAlignment="1" applyBorder="1" applyFont="1" applyNumberFormat="1">
      <alignment horizontal="center" readingOrder="0" vertical="center"/>
    </xf>
    <xf borderId="0" fillId="4" fontId="34" numFmtId="165" xfId="0" applyAlignment="1" applyFont="1" applyNumberFormat="1">
      <alignment horizontal="center" readingOrder="0"/>
    </xf>
    <xf borderId="0" fillId="4" fontId="34" numFmtId="166" xfId="0" applyAlignment="1" applyFont="1" applyNumberFormat="1">
      <alignment horizontal="center" readingOrder="0"/>
    </xf>
    <xf borderId="0" fillId="4" fontId="34" numFmtId="0" xfId="0" applyFont="1"/>
    <xf borderId="0" fillId="22" fontId="34" numFmtId="0" xfId="0" applyAlignment="1" applyFont="1">
      <alignment horizontal="center" readingOrder="0"/>
    </xf>
    <xf borderId="0" fillId="22" fontId="34" numFmtId="165" xfId="0" applyAlignment="1" applyFont="1" applyNumberFormat="1">
      <alignment horizontal="center" readingOrder="0"/>
    </xf>
    <xf borderId="0" fillId="22" fontId="33" numFmtId="166" xfId="0" applyAlignment="1" applyFont="1" applyNumberFormat="1">
      <alignment horizontal="center" readingOrder="0" shrinkToFit="0" vertical="bottom" wrapText="0"/>
    </xf>
    <xf borderId="0" fillId="25" fontId="33" numFmtId="166" xfId="0" applyAlignment="1" applyFont="1" applyNumberFormat="1">
      <alignment horizontal="center" readingOrder="0" shrinkToFit="0" vertical="bottom" wrapText="0"/>
    </xf>
    <xf borderId="0" fillId="4" fontId="33" numFmtId="166" xfId="0" applyAlignment="1" applyFont="1" applyNumberFormat="1">
      <alignment horizontal="center" readingOrder="0" shrinkToFit="0" vertical="bottom" wrapText="0"/>
    </xf>
    <xf borderId="0" fillId="4" fontId="31" numFmtId="166" xfId="0" applyAlignment="1" applyFont="1" applyNumberFormat="1">
      <alignment horizontal="center" readingOrder="0" shrinkToFit="0" vertical="bottom" wrapText="0"/>
    </xf>
    <xf borderId="34" fillId="0" fontId="33" numFmtId="167" xfId="0" applyAlignment="1" applyBorder="1" applyFont="1" applyNumberFormat="1">
      <alignment horizontal="center" readingOrder="0" vertical="center"/>
    </xf>
    <xf borderId="0" fillId="24" fontId="33" numFmtId="166" xfId="0" applyAlignment="1" applyFont="1" applyNumberFormat="1">
      <alignment horizontal="center" readingOrder="0" shrinkToFit="0" vertical="bottom" wrapText="0"/>
    </xf>
    <xf borderId="0" fillId="25" fontId="4" numFmtId="0" xfId="0" applyAlignment="1" applyFont="1">
      <alignment horizontal="center" readingOrder="0"/>
    </xf>
    <xf borderId="0" fillId="25" fontId="4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shrinkToFit="0" vertical="bottom" wrapText="0"/>
    </xf>
    <xf borderId="34" fillId="0" fontId="31" numFmtId="167" xfId="0" applyAlignment="1" applyBorder="1" applyFont="1" applyNumberFormat="1">
      <alignment horizontal="center" readingOrder="0" vertical="center"/>
    </xf>
    <xf borderId="0" fillId="24" fontId="31" numFmtId="0" xfId="0" applyAlignment="1" applyFont="1">
      <alignment horizontal="center" readingOrder="0"/>
    </xf>
    <xf borderId="0" fillId="24" fontId="31" numFmtId="165" xfId="0" applyAlignment="1" applyFont="1" applyNumberFormat="1">
      <alignment horizontal="center" readingOrder="0"/>
    </xf>
    <xf borderId="0" fillId="24" fontId="31" numFmtId="166" xfId="0" applyAlignment="1" applyFont="1" applyNumberFormat="1">
      <alignment horizontal="center" readingOrder="0" shrinkToFit="0" vertical="bottom" wrapText="0"/>
    </xf>
    <xf borderId="0" fillId="24" fontId="4" numFmtId="0" xfId="0" applyAlignment="1" applyFont="1">
      <alignment horizontal="center" readingOrder="0"/>
    </xf>
    <xf borderId="0" fillId="4" fontId="31" numFmtId="0" xfId="0" applyAlignment="1" applyFont="1">
      <alignment horizontal="center" readingOrder="0"/>
    </xf>
    <xf borderId="0" fillId="4" fontId="31" numFmtId="165" xfId="0" applyAlignment="1" applyFont="1" applyNumberFormat="1">
      <alignment horizontal="center" readingOrder="0"/>
    </xf>
    <xf borderId="0" fillId="4" fontId="33" numFmtId="0" xfId="0" applyAlignment="1" applyFont="1">
      <alignment horizontal="center" readingOrder="0"/>
    </xf>
    <xf borderId="0" fillId="4" fontId="33" numFmtId="165" xfId="0" applyAlignment="1" applyFont="1" applyNumberFormat="1">
      <alignment horizontal="center" readingOrder="0"/>
    </xf>
    <xf borderId="0" fillId="23" fontId="33" numFmtId="0" xfId="0" applyAlignment="1" applyFont="1">
      <alignment horizontal="center" readingOrder="0"/>
    </xf>
    <xf borderId="0" fillId="23" fontId="33" numFmtId="165" xfId="0" applyAlignment="1" applyFont="1" applyNumberFormat="1">
      <alignment horizontal="center" readingOrder="0"/>
    </xf>
    <xf borderId="0" fillId="23" fontId="33" numFmtId="166" xfId="0" applyAlignment="1" applyFont="1" applyNumberFormat="1">
      <alignment horizontal="center" readingOrder="0" shrinkToFit="0" vertical="bottom" wrapText="0"/>
    </xf>
    <xf borderId="0" fillId="0" fontId="33" numFmtId="165" xfId="0" applyAlignment="1" applyFont="1" applyNumberFormat="1">
      <alignment horizontal="center" readingOrder="0" vertical="center"/>
    </xf>
    <xf borderId="0" fillId="0" fontId="31" numFmtId="165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 shrinkToFit="0" vertical="bottom" wrapText="0"/>
    </xf>
    <xf borderId="0" fillId="0" fontId="33" numFmtId="165" xfId="0" applyAlignment="1" applyFont="1" applyNumberFormat="1">
      <alignment horizontal="center" readingOrder="0"/>
    </xf>
    <xf borderId="0" fillId="0" fontId="33" numFmtId="166" xfId="0" applyAlignment="1" applyFont="1" applyNumberFormat="1">
      <alignment horizontal="center" readingOrder="0" shrinkToFit="0" vertical="bottom" wrapText="0"/>
    </xf>
    <xf borderId="0" fillId="23" fontId="31" numFmtId="0" xfId="0" applyAlignment="1" applyFont="1">
      <alignment horizontal="center" readingOrder="0"/>
    </xf>
    <xf borderId="0" fillId="23" fontId="31" numFmtId="165" xfId="0" applyAlignment="1" applyFont="1" applyNumberFormat="1">
      <alignment horizontal="center" readingOrder="0"/>
    </xf>
    <xf borderId="0" fillId="23" fontId="31" numFmtId="166" xfId="0" applyAlignment="1" applyFont="1" applyNumberFormat="1">
      <alignment horizontal="center" readingOrder="0" shrinkToFit="0" vertical="bottom" wrapText="0"/>
    </xf>
    <xf borderId="34" fillId="23" fontId="33" numFmtId="0" xfId="0" applyAlignment="1" applyBorder="1" applyFont="1">
      <alignment horizontal="center" readingOrder="0"/>
    </xf>
    <xf borderId="34" fillId="4" fontId="33" numFmtId="0" xfId="0" applyAlignment="1" applyBorder="1" applyFont="1">
      <alignment horizontal="center" readingOrder="0"/>
    </xf>
    <xf borderId="0" fillId="4" fontId="33" numFmtId="166" xfId="0" applyAlignment="1" applyFont="1" applyNumberFormat="1">
      <alignment horizontal="center" readingOrder="0" vertical="center"/>
    </xf>
    <xf borderId="0" fillId="25" fontId="33" numFmtId="0" xfId="0" applyAlignment="1" applyFont="1">
      <alignment horizontal="center" readingOrder="0"/>
    </xf>
    <xf borderId="0" fillId="25" fontId="33" numFmtId="165" xfId="0" applyAlignment="1" applyFont="1" applyNumberFormat="1">
      <alignment horizontal="center" readingOrder="0"/>
    </xf>
    <xf borderId="0" fillId="25" fontId="33" numFmtId="166" xfId="0" applyAlignment="1" applyFont="1" applyNumberFormat="1">
      <alignment horizontal="center" readingOrder="0" vertical="center"/>
    </xf>
    <xf borderId="45" fillId="0" fontId="35" numFmtId="167" xfId="0" applyAlignment="1" applyBorder="1" applyFont="1" applyNumberFormat="1">
      <alignment horizontal="center" vertical="bottom"/>
    </xf>
    <xf borderId="0" fillId="0" fontId="35" numFmtId="167" xfId="0" applyAlignment="1" applyFont="1" applyNumberFormat="1">
      <alignment horizontal="center"/>
    </xf>
    <xf borderId="0" fillId="25" fontId="31" numFmtId="0" xfId="0" applyAlignment="1" applyFont="1">
      <alignment horizontal="center" readingOrder="0"/>
    </xf>
    <xf borderId="0" fillId="25" fontId="31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vertical="bottom"/>
    </xf>
    <xf borderId="0" fillId="0" fontId="6" numFmtId="167" xfId="0" applyAlignment="1" applyFont="1" applyNumberFormat="1">
      <alignment horizontal="center"/>
    </xf>
    <xf borderId="29" fillId="0" fontId="4" numFmtId="164" xfId="0" applyAlignment="1" applyBorder="1" applyFont="1" applyNumberFormat="1">
      <alignment horizontal="center" vertical="center"/>
    </xf>
    <xf borderId="0" fillId="25" fontId="4" numFmtId="166" xfId="0" applyAlignment="1" applyFont="1" applyNumberFormat="1">
      <alignment horizontal="center" readingOrder="0"/>
    </xf>
    <xf borderId="53" fillId="4" fontId="33" numFmtId="0" xfId="0" applyAlignment="1" applyBorder="1" applyFont="1">
      <alignment horizontal="center" readingOrder="0"/>
    </xf>
    <xf borderId="53" fillId="4" fontId="33" numFmtId="165" xfId="0" applyAlignment="1" applyBorder="1" applyFont="1" applyNumberFormat="1">
      <alignment horizontal="center" readingOrder="0"/>
    </xf>
    <xf borderId="53" fillId="4" fontId="34" numFmtId="0" xfId="0" applyAlignment="1" applyBorder="1" applyFont="1">
      <alignment horizontal="center" readingOrder="0"/>
    </xf>
    <xf borderId="53" fillId="4" fontId="34" numFmtId="166" xfId="0" applyAlignment="1" applyBorder="1" applyFont="1" applyNumberFormat="1">
      <alignment horizontal="center" readingOrder="0"/>
    </xf>
    <xf borderId="55" fillId="0" fontId="35" numFmtId="167" xfId="0" applyAlignment="1" applyBorder="1" applyFont="1" applyNumberFormat="1">
      <alignment horizontal="center" vertical="bottom"/>
    </xf>
    <xf borderId="53" fillId="0" fontId="35" numFmtId="167" xfId="0" applyAlignment="1" applyBorder="1" applyFont="1" applyNumberFormat="1">
      <alignment horizontal="center"/>
    </xf>
    <xf borderId="53" fillId="0" fontId="33" numFmtId="0" xfId="0" applyAlignment="1" applyBorder="1" applyFont="1">
      <alignment horizontal="center" readingOrder="0" vertical="center"/>
    </xf>
    <xf borderId="56" fillId="0" fontId="33" numFmtId="167" xfId="0" applyAlignment="1" applyBorder="1" applyFont="1" applyNumberFormat="1">
      <alignment horizontal="center" readingOrder="0" vertical="center"/>
    </xf>
    <xf borderId="0" fillId="5" fontId="33" numFmtId="0" xfId="0" applyAlignment="1" applyFont="1">
      <alignment horizontal="center" readingOrder="0"/>
    </xf>
    <xf borderId="0" fillId="5" fontId="33" numFmtId="165" xfId="0" applyAlignment="1" applyFont="1" applyNumberFormat="1">
      <alignment horizontal="center" readingOrder="0"/>
    </xf>
    <xf borderId="0" fillId="5" fontId="34" numFmtId="0" xfId="0" applyAlignment="1" applyFont="1">
      <alignment horizontal="center" readingOrder="0"/>
    </xf>
    <xf borderId="0" fillId="5" fontId="34" numFmtId="166" xfId="0" applyAlignment="1" applyFont="1" applyNumberFormat="1">
      <alignment horizontal="center" readingOrder="0"/>
    </xf>
    <xf borderId="29" fillId="0" fontId="33" numFmtId="165" xfId="0" applyAlignment="1" applyBorder="1" applyFont="1" applyNumberFormat="1">
      <alignment horizontal="center" readingOrder="0" vertical="center"/>
    </xf>
    <xf borderId="0" fillId="23" fontId="4" numFmtId="0" xfId="0" applyAlignment="1" applyFont="1">
      <alignment horizontal="center" readingOrder="0"/>
    </xf>
    <xf borderId="0" fillId="23" fontId="4" numFmtId="166" xfId="0" applyAlignment="1" applyFont="1" applyNumberFormat="1">
      <alignment horizontal="center" readingOrder="0"/>
    </xf>
    <xf borderId="29" fillId="0" fontId="31" numFmtId="165" xfId="0" applyAlignment="1" applyBorder="1" applyFont="1" applyNumberFormat="1">
      <alignment horizontal="center" readingOrder="0" vertical="center"/>
    </xf>
    <xf borderId="0" fillId="0" fontId="35" numFmtId="167" xfId="0" applyAlignment="1" applyFont="1" applyNumberFormat="1">
      <alignment horizontal="center" vertical="bottom"/>
    </xf>
    <xf borderId="0" fillId="0" fontId="34" numFmtId="0" xfId="0" applyAlignment="1" applyFont="1">
      <alignment horizontal="center" readingOrder="0"/>
    </xf>
    <xf borderId="0" fillId="0" fontId="33" numFmtId="168" xfId="0" applyAlignment="1" applyFont="1" applyNumberFormat="1">
      <alignment horizontal="center" readingOrder="0"/>
    </xf>
    <xf borderId="0" fillId="0" fontId="34" numFmtId="166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18" fontId="34" numFmtId="0" xfId="0" applyAlignment="1" applyFont="1">
      <alignment horizontal="center" readingOrder="0"/>
    </xf>
    <xf borderId="0" fillId="18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31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32" numFmtId="167" xfId="0" applyAlignment="1" applyFont="1" applyNumberFormat="1">
      <alignment horizontal="center"/>
    </xf>
    <xf borderId="57" fillId="18" fontId="31" numFmtId="164" xfId="0" applyAlignment="1" applyBorder="1" applyFont="1" applyNumberFormat="1">
      <alignment horizontal="center" vertical="center"/>
    </xf>
    <xf borderId="53" fillId="18" fontId="31" numFmtId="0" xfId="0" applyAlignment="1" applyBorder="1" applyFont="1">
      <alignment horizontal="center" vertical="center"/>
    </xf>
    <xf borderId="58" fillId="18" fontId="31" numFmtId="167" xfId="0" applyAlignment="1" applyBorder="1" applyFont="1" applyNumberFormat="1">
      <alignment horizontal="center" vertical="center"/>
    </xf>
    <xf borderId="23" fillId="0" fontId="29" numFmtId="0" xfId="0" applyAlignment="1" applyBorder="1" applyFont="1">
      <alignment horizontal="center" readingOrder="0" vertical="bottom"/>
    </xf>
    <xf borderId="23" fillId="0" fontId="29" numFmtId="164" xfId="0" applyAlignment="1" applyBorder="1" applyFont="1" applyNumberFormat="1">
      <alignment horizontal="center" vertical="bottom"/>
    </xf>
    <xf borderId="23" fillId="0" fontId="5" numFmtId="0" xfId="0" applyAlignment="1" applyBorder="1" applyFont="1">
      <alignment horizontal="center" readingOrder="0" vertical="bottom"/>
    </xf>
    <xf borderId="23" fillId="0" fontId="29" numFmtId="49" xfId="0" applyAlignment="1" applyBorder="1" applyFont="1" applyNumberFormat="1">
      <alignment horizontal="center" readingOrder="0" vertical="bottom"/>
    </xf>
    <xf borderId="23" fillId="0" fontId="29" numFmtId="166" xfId="0" applyAlignment="1" applyBorder="1" applyFont="1" applyNumberFormat="1">
      <alignment horizontal="center" vertical="bottom"/>
    </xf>
    <xf borderId="28" fillId="0" fontId="1" numFmtId="0" xfId="0" applyAlignment="1" applyBorder="1" applyFont="1">
      <alignment horizontal="center" readingOrder="0" shrinkToFit="0" vertical="bottom" wrapText="1"/>
    </xf>
    <xf borderId="24" fillId="0" fontId="1" numFmtId="169" xfId="0" applyAlignment="1" applyBorder="1" applyFont="1" applyNumberFormat="1">
      <alignment horizontal="center" readingOrder="0" shrinkToFit="0" vertical="bottom" wrapText="1"/>
    </xf>
    <xf borderId="23" fillId="0" fontId="1" numFmtId="169" xfId="0" applyAlignment="1" applyBorder="1" applyFont="1" applyNumberFormat="1">
      <alignment horizontal="center" readingOrder="0" shrinkToFit="0" vertical="bottom" wrapText="1"/>
    </xf>
    <xf borderId="28" fillId="0" fontId="30" numFmtId="167" xfId="0" applyAlignment="1" applyBorder="1" applyFont="1" applyNumberFormat="1">
      <alignment horizontal="center" readingOrder="0" shrinkToFit="0" vertical="bottom" wrapText="1"/>
    </xf>
    <xf borderId="24" fillId="19" fontId="1" numFmtId="0" xfId="0" applyAlignment="1" applyBorder="1" applyFont="1">
      <alignment horizontal="center" readingOrder="0" vertical="bottom"/>
    </xf>
    <xf borderId="23" fillId="0" fontId="3" numFmtId="0" xfId="0" applyBorder="1" applyFont="1"/>
    <xf borderId="23" fillId="19" fontId="4" numFmtId="0" xfId="0" applyAlignment="1" applyBorder="1" applyFont="1">
      <alignment horizontal="center" vertical="bottom"/>
    </xf>
    <xf borderId="0" fillId="19" fontId="31" numFmtId="0" xfId="0" applyAlignment="1" applyFont="1">
      <alignment horizontal="center" vertical="bottom"/>
    </xf>
    <xf borderId="0" fillId="19" fontId="31" numFmtId="164" xfId="0" applyAlignment="1" applyFont="1" applyNumberForma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19" fontId="31" numFmtId="49" xfId="0" applyAlignment="1" applyFont="1" applyNumberFormat="1">
      <alignment horizontal="center" readingOrder="0" vertical="bottom"/>
    </xf>
    <xf borderId="0" fillId="19" fontId="31" numFmtId="166" xfId="0" applyAlignment="1" applyFont="1" applyNumberFormat="1">
      <alignment horizontal="center" vertical="bottom"/>
    </xf>
    <xf borderId="34" fillId="10" fontId="4" numFmtId="0" xfId="0" applyAlignment="1" applyBorder="1" applyFont="1">
      <alignment horizontal="center" vertical="bottom"/>
    </xf>
    <xf borderId="45" fillId="10" fontId="4" numFmtId="164" xfId="0" applyAlignment="1" applyBorder="1" applyFont="1" applyNumberFormat="1">
      <alignment horizontal="center" readingOrder="0" vertical="bottom"/>
    </xf>
    <xf borderId="0" fillId="10" fontId="6" numFmtId="167" xfId="0" applyAlignment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readingOrder="0" vertical="bottom"/>
    </xf>
    <xf borderId="0" fillId="10" fontId="32" numFmtId="167" xfId="0" applyAlignment="1" applyFont="1" applyNumberFormat="1">
      <alignment horizontal="center" readingOrder="0" vertical="bottom"/>
    </xf>
    <xf borderId="0" fillId="10" fontId="4" numFmtId="165" xfId="0" applyAlignment="1" applyFont="1" applyNumberFormat="1">
      <alignment horizontal="center" readingOrder="0" vertical="bottom"/>
    </xf>
    <xf borderId="45" fillId="19" fontId="31" numFmtId="0" xfId="0" applyAlignment="1" applyBorder="1" applyFont="1">
      <alignment horizontal="center" vertical="bottom"/>
    </xf>
    <xf borderId="0" fillId="19" fontId="4" numFmtId="0" xfId="0" applyAlignment="1" applyFont="1">
      <alignment horizontal="center" vertical="bottom"/>
    </xf>
    <xf borderId="0" fillId="19" fontId="31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19" fontId="4" numFmtId="0" xfId="0" applyAlignment="1" applyFont="1">
      <alignment horizontal="center" readingOrder="0" vertical="bottom"/>
    </xf>
    <xf borderId="0" fillId="19" fontId="33" numFmtId="0" xfId="0" applyAlignment="1" applyFont="1">
      <alignment horizontal="center" vertical="bottom"/>
    </xf>
    <xf borderId="0" fillId="19" fontId="33" numFmtId="164" xfId="0" applyAlignment="1" applyFont="1" applyNumberFormat="1">
      <alignment horizontal="center" vertical="bottom"/>
    </xf>
    <xf borderId="0" fillId="19" fontId="33" numFmtId="0" xfId="0" applyAlignment="1" applyFont="1">
      <alignment horizontal="center" vertical="bottom"/>
    </xf>
    <xf borderId="0" fillId="19" fontId="37" numFmtId="0" xfId="0" applyAlignment="1" applyFont="1">
      <alignment horizontal="center" readingOrder="0" vertical="bottom"/>
    </xf>
    <xf borderId="0" fillId="19" fontId="33" numFmtId="0" xfId="0" applyAlignment="1" applyFont="1">
      <alignment horizontal="center" readingOrder="0" vertical="bottom"/>
    </xf>
    <xf borderId="0" fillId="19" fontId="33" numFmtId="49" xfId="0" applyAlignment="1" applyFont="1" applyNumberFormat="1">
      <alignment horizontal="center" readingOrder="0" vertical="bottom"/>
    </xf>
    <xf borderId="0" fillId="19" fontId="33" numFmtId="166" xfId="0" applyAlignment="1" applyFont="1" applyNumberFormat="1">
      <alignment horizontal="center" vertical="bottom"/>
    </xf>
    <xf borderId="34" fillId="10" fontId="34" numFmtId="0" xfId="0" applyAlignment="1" applyBorder="1" applyFont="1">
      <alignment horizontal="center" vertical="bottom"/>
    </xf>
    <xf borderId="45" fillId="10" fontId="34" numFmtId="164" xfId="0" applyAlignment="1" applyBorder="1" applyFont="1" applyNumberFormat="1">
      <alignment horizontal="center" readingOrder="0" vertical="bottom"/>
    </xf>
    <xf borderId="0" fillId="10" fontId="35" numFmtId="167" xfId="0" applyAlignment="1" applyFont="1" applyNumberFormat="1">
      <alignment horizontal="center" readingOrder="0" vertical="bottom"/>
    </xf>
    <xf borderId="0" fillId="10" fontId="34" numFmtId="164" xfId="0" applyAlignment="1" applyFont="1" applyNumberFormat="1">
      <alignment horizontal="center" readingOrder="0" vertical="bottom"/>
    </xf>
    <xf borderId="0" fillId="10" fontId="36" numFmtId="167" xfId="0" applyAlignment="1" applyFont="1" applyNumberFormat="1">
      <alignment horizontal="center" readingOrder="0" vertical="bottom"/>
    </xf>
    <xf borderId="0" fillId="10" fontId="34" numFmtId="165" xfId="0" applyAlignment="1" applyFont="1" applyNumberFormat="1">
      <alignment horizontal="center" readingOrder="0" vertical="bottom"/>
    </xf>
    <xf borderId="45" fillId="19" fontId="33" numFmtId="0" xfId="0" applyAlignment="1" applyBorder="1" applyFont="1">
      <alignment horizontal="center" vertical="bottom"/>
    </xf>
    <xf borderId="0" fillId="19" fontId="34" numFmtId="0" xfId="0" applyAlignment="1" applyFon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31" numFmtId="166" xfId="0" applyAlignment="1" applyFont="1" applyNumberFormat="1">
      <alignment horizontal="center" readingOrder="0" vertical="bottom"/>
    </xf>
    <xf borderId="0" fillId="19" fontId="31" numFmtId="164" xfId="0" applyAlignment="1" applyFont="1" applyNumberFormat="1">
      <alignment horizontal="center" readingOrder="0" vertical="bottom"/>
    </xf>
    <xf borderId="0" fillId="19" fontId="4" numFmtId="168" xfId="0" applyAlignment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readingOrder="0" vertical="bottom"/>
    </xf>
    <xf borderId="0" fillId="19" fontId="4" numFmtId="3" xfId="0" applyAlignment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readingOrder="0" vertical="bottom"/>
    </xf>
    <xf borderId="53" fillId="19" fontId="31" numFmtId="164" xfId="0" applyAlignment="1" applyBorder="1" applyFont="1" applyNumberFormat="1">
      <alignment horizontal="center" readingOrder="0" vertical="bottom"/>
    </xf>
    <xf borderId="53" fillId="19" fontId="4" numFmtId="0" xfId="0" applyAlignment="1" applyBorder="1" applyFont="1">
      <alignment horizontal="center" readingOrder="0" vertical="bottom"/>
    </xf>
    <xf borderId="53" fillId="19" fontId="5" numFmtId="0" xfId="0" applyAlignment="1" applyBorder="1" applyFont="1">
      <alignment horizontal="center" readingOrder="0" vertical="bottom"/>
    </xf>
    <xf borderId="53" fillId="19" fontId="4" numFmtId="3" xfId="0" applyAlignment="1" applyBorder="1" applyFont="1" applyNumberFormat="1">
      <alignment horizontal="center" readingOrder="0" vertical="bottom"/>
    </xf>
    <xf borderId="53" fillId="19" fontId="4" numFmtId="166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vertical="bottom"/>
    </xf>
    <xf borderId="55" fillId="10" fontId="4" numFmtId="164" xfId="0" applyAlignment="1" applyBorder="1" applyFont="1" applyNumberFormat="1">
      <alignment horizontal="center" readingOrder="0" vertical="bottom"/>
    </xf>
    <xf borderId="53" fillId="10" fontId="6" numFmtId="167" xfId="0" applyAlignment="1" applyBorder="1" applyFont="1" applyNumberFormat="1">
      <alignment horizontal="center" readingOrder="0" vertical="bottom"/>
    </xf>
    <xf borderId="53" fillId="10" fontId="4" numFmtId="164" xfId="0" applyAlignment="1" applyBorder="1" applyFont="1" applyNumberFormat="1">
      <alignment horizontal="center" readingOrder="0" vertical="bottom"/>
    </xf>
    <xf borderId="53" fillId="10" fontId="32" numFmtId="167" xfId="0" applyAlignment="1" applyBorder="1" applyFont="1" applyNumberFormat="1">
      <alignment horizontal="center" readingOrder="0" vertical="bottom"/>
    </xf>
    <xf borderId="53" fillId="10" fontId="4" numFmtId="0" xfId="0" applyAlignment="1" applyBorder="1" applyFont="1">
      <alignment horizontal="center" vertical="bottom"/>
    </xf>
    <xf borderId="55" fillId="19" fontId="31" numFmtId="0" xfId="0" applyAlignment="1" applyBorder="1" applyFont="1">
      <alignment horizontal="center" vertical="bottom"/>
    </xf>
    <xf borderId="53" fillId="19" fontId="4" numFmtId="0" xfId="0" applyAlignment="1" applyBorder="1" applyFont="1">
      <alignment horizontal="center" vertical="bottom"/>
    </xf>
    <xf borderId="0" fillId="19" fontId="4" numFmtId="164" xfId="0" applyAlignment="1" applyFont="1" applyNumberFormat="1">
      <alignment horizontal="center" readingOrder="0" vertical="bottom"/>
    </xf>
    <xf borderId="41" fillId="19" fontId="4" numFmtId="0" xfId="0" applyAlignment="1" applyBorder="1" applyFont="1">
      <alignment horizontal="center" readingOrder="0" vertical="bottom"/>
    </xf>
    <xf borderId="41" fillId="19" fontId="4" numFmtId="164" xfId="0" applyAlignment="1" applyBorder="1" applyFont="1" applyNumberFormat="1">
      <alignment horizontal="center" readingOrder="0" vertical="bottom"/>
    </xf>
    <xf borderId="41" fillId="19" fontId="5" numFmtId="0" xfId="0" applyAlignment="1" applyBorder="1" applyFont="1">
      <alignment horizontal="center" readingOrder="0" vertical="bottom"/>
    </xf>
    <xf borderId="41" fillId="19" fontId="31" numFmtId="0" xfId="0" applyAlignment="1" applyBorder="1" applyFont="1">
      <alignment horizontal="center" readingOrder="0" vertical="bottom"/>
    </xf>
    <xf borderId="41" fillId="19" fontId="4" numFmtId="166" xfId="0" applyAlignment="1" applyBorder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vertical="bottom"/>
    </xf>
    <xf borderId="59" fillId="10" fontId="4" numFmtId="164" xfId="0" applyAlignment="1" applyBorder="1" applyFont="1" applyNumberFormat="1">
      <alignment horizontal="center" readingOrder="0" vertical="bottom"/>
    </xf>
    <xf borderId="41" fillId="10" fontId="4" numFmtId="164" xfId="0" applyAlignment="1" applyBorder="1" applyFont="1" applyNumberFormat="1">
      <alignment horizontal="center" readingOrder="0" vertical="bottom"/>
    </xf>
    <xf borderId="0" fillId="19" fontId="6" numFmtId="166" xfId="0" applyAlignment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readingOrder="0" vertical="bottom"/>
    </xf>
    <xf borderId="0" fillId="10" fontId="4" numFmtId="0" xfId="0" applyAlignment="1" applyFont="1">
      <alignment horizontal="center" readingOrder="0" vertical="bottom"/>
    </xf>
    <xf borderId="34" fillId="10" fontId="4" numFmtId="0" xfId="0" applyAlignment="1" applyBorder="1" applyFont="1">
      <alignment horizontal="center" readingOrder="0" vertical="bottom"/>
    </xf>
    <xf borderId="0" fillId="19" fontId="4" numFmtId="165" xfId="0" applyAlignment="1" applyFont="1" applyNumberFormat="1">
      <alignment horizontal="center" readingOrder="0" vertical="bottom"/>
    </xf>
    <xf borderId="53" fillId="19" fontId="4" numFmtId="164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readingOrder="0" vertical="bottom"/>
    </xf>
    <xf borderId="53" fillId="10" fontId="4" numFmtId="0" xfId="0" applyAlignment="1" applyBorder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6" fontId="4" numFmtId="164" xfId="0" applyAlignment="1" applyFont="1" applyNumberFormat="1">
      <alignment horizontal="center" readingOrder="0" vertical="bottom"/>
    </xf>
    <xf borderId="0" fillId="26" fontId="5" numFmtId="0" xfId="0" applyAlignment="1" applyFont="1">
      <alignment horizontal="center" readingOrder="0" vertical="bottom"/>
    </xf>
    <xf borderId="0" fillId="26" fontId="4" numFmtId="166" xfId="0" applyAlignment="1" applyFont="1" applyNumberFormat="1">
      <alignment horizontal="center" readingOrder="0" vertical="bottom"/>
    </xf>
    <xf borderId="34" fillId="26" fontId="4" numFmtId="166" xfId="0" applyAlignment="1" applyBorder="1" applyFont="1" applyNumberFormat="1">
      <alignment horizontal="center" readingOrder="0" vertical="bottom"/>
    </xf>
    <xf borderId="35" fillId="26" fontId="4" numFmtId="0" xfId="0" applyAlignment="1" applyBorder="1" applyFont="1">
      <alignment horizontal="center" readingOrder="0" vertical="bottom"/>
    </xf>
    <xf borderId="35" fillId="26" fontId="4" numFmtId="164" xfId="0" applyAlignment="1" applyBorder="1" applyFont="1" applyNumberFormat="1">
      <alignment horizontal="center" readingOrder="0" vertical="bottom"/>
    </xf>
    <xf borderId="35" fillId="26" fontId="5" numFmtId="0" xfId="0" applyAlignment="1" applyBorder="1" applyFont="1">
      <alignment horizontal="center" readingOrder="0" vertical="bottom"/>
    </xf>
    <xf borderId="35" fillId="26" fontId="4" numFmtId="166" xfId="0" applyAlignment="1" applyBorder="1" applyFont="1" applyNumberFormat="1">
      <alignment horizontal="center" readingOrder="0" vertical="bottom"/>
    </xf>
    <xf borderId="38" fillId="26" fontId="4" numFmtId="166" xfId="0" applyAlignment="1" applyBorder="1" applyFont="1" applyNumberFormat="1">
      <alignment horizontal="center" readingOrder="0" vertical="bottom"/>
    </xf>
    <xf borderId="38" fillId="10" fontId="4" numFmtId="0" xfId="0" applyAlignment="1" applyBorder="1" applyFont="1">
      <alignment horizontal="center" readingOrder="0" vertical="bottom"/>
    </xf>
    <xf borderId="35" fillId="10" fontId="4" numFmtId="164" xfId="0" applyAlignment="1" applyBorder="1" applyFont="1" applyNumberFormat="1">
      <alignment horizontal="center" readingOrder="0" vertical="bottom"/>
    </xf>
    <xf borderId="60" fillId="19" fontId="31" numFmtId="0" xfId="0" applyAlignment="1" applyBorder="1" applyFont="1">
      <alignment horizontal="center" vertical="bottom"/>
    </xf>
    <xf borderId="35" fillId="19" fontId="4" numFmtId="0" xfId="0" applyAlignment="1" applyBorder="1" applyFont="1">
      <alignment horizontal="center" vertical="bottom"/>
    </xf>
    <xf borderId="0" fillId="19" fontId="4" numFmtId="166" xfId="0" applyAlignment="1" applyFont="1" applyNumberFormat="1">
      <alignment horizontal="center" vertical="bottom"/>
    </xf>
    <xf borderId="45" fillId="10" fontId="4" numFmtId="170" xfId="0" applyAlignment="1" applyBorder="1" applyFont="1" applyNumberFormat="1">
      <alignment horizontal="center" readingOrder="0" vertical="bottom"/>
    </xf>
    <xf borderId="45" fillId="10" fontId="4" numFmtId="165" xfId="0" applyAlignment="1" applyBorder="1" applyFont="1" applyNumberFormat="1">
      <alignment horizontal="center" readingOrder="0" vertical="bottom"/>
    </xf>
    <xf borderId="59" fillId="10" fontId="4" numFmtId="165" xfId="0" applyAlignment="1" applyBorder="1" applyFont="1" applyNumberFormat="1">
      <alignment horizontal="center" readingOrder="0" vertical="bottom"/>
    </xf>
    <xf borderId="59" fillId="19" fontId="31" numFmtId="0" xfId="0" applyAlignment="1" applyBorder="1" applyFont="1">
      <alignment horizontal="center" vertical="bottom"/>
    </xf>
    <xf borderId="41" fillId="19" fontId="4" numFmtId="0" xfId="0" applyAlignment="1" applyBorder="1" applyFont="1">
      <alignment horizontal="center" vertical="bottom"/>
    </xf>
    <xf borderId="53" fillId="26" fontId="4" numFmtId="0" xfId="0" applyAlignment="1" applyBorder="1" applyFont="1">
      <alignment horizontal="center" readingOrder="0" vertical="bottom"/>
    </xf>
    <xf borderId="53" fillId="26" fontId="4" numFmtId="164" xfId="0" applyAlignment="1" applyBorder="1" applyFont="1" applyNumberFormat="1">
      <alignment horizontal="center" readingOrder="0" vertical="bottom"/>
    </xf>
    <xf borderId="53" fillId="26" fontId="5" numFmtId="0" xfId="0" applyAlignment="1" applyBorder="1" applyFont="1">
      <alignment horizontal="center" readingOrder="0" vertical="bottom"/>
    </xf>
    <xf borderId="53" fillId="26" fontId="4" numFmtId="166" xfId="0" applyAlignment="1" applyBorder="1" applyFont="1" applyNumberFormat="1">
      <alignment horizontal="center" readingOrder="0" vertical="bottom"/>
    </xf>
    <xf borderId="55" fillId="10" fontId="4" numFmtId="165" xfId="0" applyAlignment="1" applyBorder="1" applyFont="1" applyNumberForma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vertical="bottom"/>
    </xf>
    <xf borderId="0" fillId="26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45" fillId="10" fontId="4" numFmtId="169" xfId="0" applyAlignment="1" applyBorder="1" applyFont="1" applyNumberFormat="1">
      <alignment horizontal="center" readingOrder="0" vertical="bottom"/>
    </xf>
    <xf borderId="0" fillId="10" fontId="4" numFmtId="169" xfId="0" applyAlignment="1" applyFont="1" applyNumberForma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31" numFmtId="0" xfId="0" applyAlignment="1" applyFont="1">
      <alignment horizontal="center" readingOrder="0" vertical="bottom"/>
    </xf>
    <xf borderId="0" fillId="26" fontId="4" numFmtId="165" xfId="0" applyAlignment="1" applyFont="1" applyNumberFormat="1">
      <alignment horizontal="center" readingOrder="0" vertical="bottom"/>
    </xf>
    <xf borderId="0" fillId="7" fontId="31" numFmtId="166" xfId="0" applyAlignment="1" applyFont="1" applyNumberFormat="1">
      <alignment horizontal="center" readingOrder="0" vertical="bottom"/>
    </xf>
    <xf borderId="0" fillId="26" fontId="31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31" numFmtId="166" xfId="0" applyAlignment="1" applyFont="1" applyNumberForma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26" fontId="4" numFmtId="0" xfId="0" applyAlignment="1" applyFont="1">
      <alignment horizontal="center" readingOrder="0" vertical="bottom"/>
    </xf>
    <xf borderId="53" fillId="26" fontId="4" numFmtId="165" xfId="0" applyAlignment="1" applyBorder="1" applyFont="1" applyNumberFormat="1">
      <alignment horizontal="center" readingOrder="0" vertical="bottom"/>
    </xf>
    <xf borderId="53" fillId="10" fontId="4" numFmtId="165" xfId="0" applyAlignment="1" applyBorder="1" applyFont="1" applyNumberFormat="1">
      <alignment horizontal="center" readingOrder="0" vertical="bottom"/>
    </xf>
    <xf borderId="3" fillId="19" fontId="31" numFmtId="0" xfId="0" applyAlignment="1" applyBorder="1" applyFont="1">
      <alignment horizontal="center" vertical="bottom"/>
    </xf>
    <xf borderId="0" fillId="10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3" fillId="19" fontId="4" numFmtId="165" xfId="0" applyAlignment="1" applyBorder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vertical="bottom"/>
    </xf>
    <xf borderId="0" fillId="10" fontId="4" numFmtId="166" xfId="0" applyAlignment="1" applyFont="1" applyNumberFormat="1">
      <alignment horizontal="center" readingOrder="0" vertical="bottom"/>
    </xf>
    <xf borderId="0" fillId="10" fontId="4" numFmtId="169" xfId="0" applyAlignment="1" applyFont="1" applyNumberFormat="1">
      <alignment horizontal="center" vertical="bottom"/>
    </xf>
    <xf borderId="0" fillId="6" fontId="4" numFmtId="0" xfId="0" applyAlignment="1" applyFont="1">
      <alignment horizontal="center" readingOrder="0" vertical="bottom"/>
    </xf>
    <xf borderId="0" fillId="6" fontId="4" numFmtId="165" xfId="0" applyAlignment="1" applyFont="1" applyNumberFormat="1">
      <alignment horizontal="center" readingOrder="0" vertical="bottom"/>
    </xf>
    <xf borderId="0" fillId="6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0" fontId="29" numFmtId="0" xfId="0" applyAlignment="1" applyBorder="1" applyFont="1">
      <alignment horizontal="center" vertical="bottom"/>
    </xf>
    <xf borderId="23" fillId="0" fontId="29" numFmtId="0" xfId="0" applyAlignment="1" applyBorder="1" applyFont="1">
      <alignment horizontal="center" readingOrder="0" vertical="bottom"/>
    </xf>
    <xf borderId="24" fillId="3" fontId="38" numFmtId="49" xfId="0" applyAlignment="1" applyBorder="1" applyFont="1" applyNumberFormat="1">
      <alignment horizontal="center" readingOrder="0" textRotation="90" vertical="center"/>
    </xf>
    <xf borderId="23" fillId="3" fontId="38" numFmtId="49" xfId="0" applyAlignment="1" applyBorder="1" applyFont="1" applyNumberFormat="1">
      <alignment horizontal="center" readingOrder="0" textRotation="90" vertical="center"/>
    </xf>
    <xf borderId="28" fillId="3" fontId="38" numFmtId="49" xfId="0" applyAlignment="1" applyBorder="1" applyFont="1" applyNumberFormat="1">
      <alignment horizontal="center" readingOrder="0" textRotation="90" vertical="center"/>
    </xf>
    <xf borderId="23" fillId="0" fontId="29" numFmtId="166" xfId="0" applyAlignment="1" applyBorder="1" applyFont="1" applyNumberFormat="1">
      <alignment horizontal="center" vertical="bottom"/>
    </xf>
    <xf borderId="61" fillId="0" fontId="29" numFmtId="166" xfId="0" applyAlignment="1" applyBorder="1" applyFont="1" applyNumberFormat="1">
      <alignment horizontal="center" readingOrder="0" vertical="bottom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5" numFmtId="167" xfId="0" applyAlignment="1" applyBorder="1" applyFont="1" applyNumberFormat="1">
      <alignment horizontal="center" readingOrder="0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24" fillId="0" fontId="30" numFmtId="0" xfId="0" applyAlignment="1" applyBorder="1" applyFont="1">
      <alignment horizontal="center" readingOrder="0" shrinkToFit="0" vertical="bottom" wrapText="1"/>
    </xf>
    <xf borderId="23" fillId="0" fontId="30" numFmtId="167" xfId="0" applyAlignment="1" applyBorder="1" applyFont="1" applyNumberFormat="1">
      <alignment horizontal="center" readingOrder="0" shrinkToFit="0" vertical="bottom" wrapText="1"/>
    </xf>
    <xf borderId="45" fillId="19" fontId="4" numFmtId="0" xfId="0" applyAlignment="1" applyBorder="1" applyFont="1">
      <alignment horizontal="center" readingOrder="0" vertical="bottom"/>
    </xf>
    <xf borderId="0" fillId="2" fontId="4" numFmtId="49" xfId="0" applyAlignment="1" applyFont="1" applyNumberFormat="1">
      <alignment horizontal="center" readingOrder="0" vertical="center"/>
    </xf>
    <xf borderId="0" fillId="2" fontId="31" numFmtId="0" xfId="0" applyAlignment="1" applyFont="1">
      <alignment horizontal="center" readingOrder="0"/>
    </xf>
    <xf borderId="0" fillId="2" fontId="31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45" fillId="2" fontId="39" numFmtId="0" xfId="0" applyAlignment="1" applyBorder="1" applyFont="1">
      <alignment horizontal="center" readingOrder="0"/>
    </xf>
    <xf borderId="0" fillId="2" fontId="39" numFmtId="0" xfId="0" applyAlignment="1" applyFont="1">
      <alignment horizontal="center" readingOrder="0"/>
    </xf>
    <xf borderId="34" fillId="2" fontId="39" numFmtId="0" xfId="0" applyAlignment="1" applyBorder="1" applyFont="1">
      <alignment horizontal="center" readingOrder="0"/>
    </xf>
    <xf borderId="45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4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45" fillId="2" fontId="4" numFmtId="167" xfId="0" applyAlignment="1" applyBorder="1" applyFont="1" applyNumberFormat="1">
      <alignment horizontal="center" readingOrder="0"/>
    </xf>
    <xf borderId="45" fillId="2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/>
    </xf>
    <xf borderId="0" fillId="19" fontId="4" numFmtId="0" xfId="0" applyAlignment="1" applyFont="1">
      <alignment horizontal="center"/>
    </xf>
    <xf borderId="0" fillId="19" fontId="4" numFmtId="0" xfId="0" applyAlignment="1" applyFont="1">
      <alignment horizontal="center" readingOrder="0"/>
    </xf>
    <xf borderId="23" fillId="2" fontId="4" numFmtId="49" xfId="0" applyAlignment="1" applyBorder="1" applyFont="1" applyNumberFormat="1">
      <alignment horizontal="center" readingOrder="0" vertical="center"/>
    </xf>
    <xf borderId="23" fillId="2" fontId="4" numFmtId="0" xfId="0" applyAlignment="1" applyBorder="1" applyFont="1">
      <alignment horizontal="center" readingOrder="0" vertical="bottom"/>
    </xf>
    <xf borderId="23" fillId="2" fontId="31" numFmtId="0" xfId="0" applyAlignment="1" applyBorder="1" applyFont="1">
      <alignment horizontal="center" readingOrder="0"/>
    </xf>
    <xf borderId="23" fillId="2" fontId="31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24" fillId="2" fontId="39" numFmtId="0" xfId="0" applyAlignment="1" applyBorder="1" applyFont="1">
      <alignment horizontal="center" readingOrder="0"/>
    </xf>
    <xf borderId="23" fillId="2" fontId="39" numFmtId="0" xfId="0" applyAlignment="1" applyBorder="1" applyFont="1">
      <alignment horizontal="center" readingOrder="0"/>
    </xf>
    <xf borderId="28" fillId="2" fontId="39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3" fillId="2" fontId="4" numFmtId="166" xfId="0" applyAlignment="1" applyBorder="1" applyFont="1" applyNumberForma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28" fillId="2" fontId="4" numFmtId="167" xfId="0" applyAlignment="1" applyBorder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46" fillId="0" fontId="4" numFmtId="0" xfId="0" applyAlignment="1" applyBorder="1" applyFont="1">
      <alignment horizontal="center"/>
    </xf>
    <xf borderId="23" fillId="19" fontId="4" numFmtId="0" xfId="0" applyAlignment="1" applyBorder="1" applyFont="1">
      <alignment horizontal="center"/>
    </xf>
    <xf borderId="23" fillId="19" fontId="31" numFmtId="0" xfId="0" applyAlignment="1" applyBorder="1" applyFont="1">
      <alignment horizontal="center" readingOrder="0" shrinkToFit="0" vertical="bottom" wrapText="0"/>
    </xf>
    <xf borderId="2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 vertical="center"/>
    </xf>
    <xf borderId="45" fillId="2" fontId="39" numFmtId="0" xfId="0" applyAlignment="1" applyBorder="1" applyFont="1">
      <alignment horizontal="center" readingOrder="0" vertical="center"/>
    </xf>
    <xf borderId="0" fillId="2" fontId="39" numFmtId="0" xfId="0" applyAlignment="1" applyFont="1">
      <alignment horizontal="center" readingOrder="0" vertical="center"/>
    </xf>
    <xf borderId="0" fillId="19" fontId="31" numFmtId="0" xfId="0" applyAlignment="1" applyFont="1">
      <alignment horizontal="center" readingOrder="0" shrinkToFit="0" vertical="bottom" wrapText="0"/>
    </xf>
    <xf borderId="0" fillId="19" fontId="31" numFmtId="166" xfId="0" applyAlignment="1" applyFont="1" applyNumberFormat="1">
      <alignment horizontal="center" readingOrder="0" shrinkToFit="0" vertical="bottom" wrapText="0"/>
    </xf>
    <xf borderId="45" fillId="0" fontId="3" numFmtId="0" xfId="0" applyBorder="1" applyFont="1"/>
    <xf borderId="53" fillId="2" fontId="4" numFmtId="49" xfId="0" applyAlignment="1" applyBorder="1" applyFont="1" applyNumberFormat="1">
      <alignment horizontal="center" readingOrder="0" vertical="center"/>
    </xf>
    <xf borderId="53" fillId="2" fontId="4" numFmtId="0" xfId="0" applyAlignment="1" applyBorder="1" applyFont="1">
      <alignment horizontal="center" readingOrder="0" vertical="bottom"/>
    </xf>
    <xf borderId="53" fillId="2" fontId="31" numFmtId="0" xfId="0" applyAlignment="1" applyBorder="1" applyFont="1">
      <alignment horizontal="center" readingOrder="0"/>
    </xf>
    <xf borderId="53" fillId="2" fontId="31" numFmtId="0" xfId="0" applyAlignment="1" applyBorder="1" applyFont="1">
      <alignment horizontal="center" readingOrder="0"/>
    </xf>
    <xf borderId="53" fillId="2" fontId="4" numFmtId="0" xfId="0" applyAlignment="1" applyBorder="1" applyFont="1">
      <alignment horizontal="center" readingOrder="0"/>
    </xf>
    <xf borderId="55" fillId="2" fontId="39" numFmtId="0" xfId="0" applyAlignment="1" applyBorder="1" applyFont="1">
      <alignment horizontal="center" readingOrder="0"/>
    </xf>
    <xf borderId="53" fillId="2" fontId="39" numFmtId="0" xfId="0" applyAlignment="1" applyBorder="1" applyFont="1">
      <alignment horizontal="center" readingOrder="0"/>
    </xf>
    <xf borderId="56" fillId="2" fontId="39" numFmtId="0" xfId="0" applyAlignment="1" applyBorder="1" applyFont="1">
      <alignment horizontal="center" readingOrder="0"/>
    </xf>
    <xf borderId="55" fillId="2" fontId="4" numFmtId="0" xfId="0" applyAlignment="1" applyBorder="1" applyFont="1">
      <alignment horizontal="center" readingOrder="0"/>
    </xf>
    <xf borderId="53" fillId="2" fontId="4" numFmtId="166" xfId="0" applyAlignment="1" applyBorder="1" applyFont="1" applyNumberFormat="1">
      <alignment horizontal="center" readingOrder="0"/>
    </xf>
    <xf borderId="62" fillId="2" fontId="4" numFmtId="166" xfId="0" applyAlignment="1" applyBorder="1" applyFont="1" applyNumberFormat="1">
      <alignment horizontal="center" readingOrder="0"/>
    </xf>
    <xf borderId="53" fillId="2" fontId="4" numFmtId="164" xfId="0" applyAlignment="1" applyBorder="1" applyFont="1" applyNumberFormat="1">
      <alignment horizontal="center" readingOrder="0"/>
    </xf>
    <xf borderId="56" fillId="2" fontId="4" numFmtId="167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/>
    </xf>
    <xf borderId="55" fillId="2" fontId="4" numFmtId="167" xfId="0" applyAlignment="1" applyBorder="1" applyFont="1" applyNumberFormat="1">
      <alignment horizontal="center" readingOrder="0"/>
    </xf>
    <xf borderId="55" fillId="2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53" fillId="19" fontId="4" numFmtId="0" xfId="0" applyAlignment="1" applyBorder="1" applyFont="1">
      <alignment horizontal="center"/>
    </xf>
    <xf borderId="53" fillId="19" fontId="31" numFmtId="0" xfId="0" applyAlignment="1" applyBorder="1" applyFont="1">
      <alignment horizontal="center" readingOrder="0" shrinkToFit="0" vertical="bottom" wrapText="0"/>
    </xf>
    <xf borderId="5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3" fillId="2" fontId="4" numFmtId="49" xfId="0" applyAlignment="1" applyBorder="1" applyFont="1" applyNumberFormat="1">
      <alignment horizontal="center" readingOrder="0"/>
    </xf>
    <xf borderId="63" fillId="2" fontId="4" numFmtId="0" xfId="0" applyAlignment="1" applyBorder="1" applyFont="1">
      <alignment horizontal="center" readingOrder="0" vertical="bottom"/>
    </xf>
    <xf borderId="63" fillId="2" fontId="31" numFmtId="0" xfId="0" applyAlignment="1" applyBorder="1" applyFont="1">
      <alignment horizontal="center" readingOrder="0"/>
    </xf>
    <xf borderId="63" fillId="2" fontId="31" numFmtId="0" xfId="0" applyAlignment="1" applyBorder="1" applyFont="1">
      <alignment horizontal="center" readingOrder="0"/>
    </xf>
    <xf borderId="63" fillId="2" fontId="4" numFmtId="0" xfId="0" applyAlignment="1" applyBorder="1" applyFont="1">
      <alignment horizontal="center" readingOrder="0"/>
    </xf>
    <xf borderId="21" fillId="2" fontId="39" numFmtId="0" xfId="0" applyAlignment="1" applyBorder="1" applyFont="1">
      <alignment horizontal="center" readingOrder="0"/>
    </xf>
    <xf borderId="63" fillId="2" fontId="39" numFmtId="0" xfId="0" applyAlignment="1" applyBorder="1" applyFont="1">
      <alignment horizontal="center" readingOrder="0"/>
    </xf>
    <xf borderId="64" fillId="2" fontId="39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5" fillId="2" fontId="4" numFmtId="166" xfId="0" applyAlignment="1" applyBorder="1" applyFont="1" applyNumberFormat="1">
      <alignment horizontal="center" readingOrder="0"/>
    </xf>
    <xf borderId="63" fillId="2" fontId="4" numFmtId="164" xfId="0" applyAlignment="1" applyBorder="1" applyFont="1" applyNumberFormat="1">
      <alignment horizontal="center" readingOrder="0"/>
    </xf>
    <xf borderId="64" fillId="2" fontId="4" numFmtId="167" xfId="0" applyAlignment="1" applyBorder="1" applyFont="1" applyNumberFormat="1">
      <alignment horizontal="center" readingOrder="0"/>
    </xf>
    <xf borderId="63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3" fillId="19" fontId="4" numFmtId="0" xfId="0" applyAlignment="1" applyBorder="1" applyFont="1">
      <alignment horizontal="center"/>
    </xf>
    <xf borderId="53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/>
    </xf>
    <xf borderId="45" fillId="0" fontId="31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31" fillId="0" fontId="4" numFmtId="166" xfId="0" applyAlignment="1" applyBorder="1" applyFont="1" applyNumberFormat="1">
      <alignment horizontal="center" readingOrder="0"/>
    </xf>
    <xf borderId="34" fillId="0" fontId="4" numFmtId="167" xfId="0" applyAlignment="1" applyBorder="1" applyFont="1" applyNumberFormat="1">
      <alignment horizontal="center" readingOrder="0"/>
    </xf>
    <xf borderId="66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45" fillId="0" fontId="4" numFmtId="167" xfId="0" applyAlignment="1" applyBorder="1" applyFont="1" applyNumberFormat="1">
      <alignment horizontal="center" readingOrder="0"/>
    </xf>
    <xf borderId="30" fillId="0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 readingOrder="0"/>
    </xf>
    <xf borderId="0" fillId="19" fontId="31" numFmtId="0" xfId="0" applyAlignment="1" applyFon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 vertical="bottom"/>
    </xf>
    <xf borderId="0" fillId="0" fontId="31" numFmtId="49" xfId="0" applyAlignment="1" applyFont="1" applyNumberFormat="1">
      <alignment horizontal="center" readingOrder="0"/>
    </xf>
    <xf borderId="45" fillId="0" fontId="31" numFmtId="49" xfId="0" applyAlignment="1" applyBorder="1" applyFont="1" applyNumberFormat="1">
      <alignment horizontal="center" readingOrder="0"/>
    </xf>
    <xf borderId="0" fillId="0" fontId="31" numFmtId="166" xfId="0" applyAlignment="1" applyFont="1" applyNumberFormat="1">
      <alignment horizontal="center"/>
    </xf>
    <xf borderId="31" fillId="0" fontId="31" numFmtId="166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/>
    </xf>
    <xf borderId="34" fillId="0" fontId="31" numFmtId="167" xfId="0" applyAlignment="1" applyBorder="1" applyFont="1" applyNumberFormat="1">
      <alignment horizontal="center"/>
    </xf>
    <xf borderId="34" fillId="0" fontId="31" numFmtId="167" xfId="0" applyAlignment="1" applyBorder="1" applyFont="1" applyNumberFormat="1">
      <alignment horizontal="center" vertical="bottom"/>
    </xf>
    <xf borderId="0" fillId="0" fontId="31" numFmtId="167" xfId="0" applyAlignment="1" applyFont="1" applyNumberFormat="1">
      <alignment horizontal="center"/>
    </xf>
    <xf borderId="45" fillId="0" fontId="31" numFmtId="167" xfId="0" applyAlignment="1" applyBorder="1" applyFont="1" applyNumberFormat="1">
      <alignment horizontal="center"/>
    </xf>
    <xf borderId="30" fillId="0" fontId="31" numFmtId="164" xfId="0" applyAlignment="1" applyBorder="1" applyFont="1" applyNumberFormat="1">
      <alignment horizontal="center"/>
    </xf>
    <xf borderId="0" fillId="14" fontId="31" numFmtId="0" xfId="0" applyAlignment="1" applyFont="1">
      <alignment horizontal="center" readingOrder="0"/>
    </xf>
    <xf borderId="0" fillId="14" fontId="31" numFmtId="164" xfId="0" applyAlignment="1" applyFont="1" applyNumberFormat="1">
      <alignment horizontal="center" readingOrder="0"/>
    </xf>
    <xf borderId="0" fillId="14" fontId="31" numFmtId="0" xfId="0" applyAlignment="1" applyFont="1">
      <alignment horizontal="center" readingOrder="0" vertical="bottom"/>
    </xf>
    <xf borderId="0" fillId="14" fontId="31" numFmtId="0" xfId="0" applyAlignment="1" applyFont="1">
      <alignment horizontal="center" readingOrder="0"/>
    </xf>
    <xf borderId="45" fillId="14" fontId="31" numFmtId="0" xfId="0" applyAlignment="1" applyBorder="1" applyFont="1">
      <alignment horizontal="center" readingOrder="0"/>
    </xf>
    <xf borderId="0" fillId="14" fontId="31" numFmtId="49" xfId="0" applyAlignment="1" applyFont="1" applyNumberFormat="1">
      <alignment horizontal="center" readingOrder="0"/>
    </xf>
    <xf borderId="45" fillId="14" fontId="31" numFmtId="49" xfId="0" applyAlignment="1" applyBorder="1" applyFont="1" applyNumberFormat="1">
      <alignment horizontal="center" readingOrder="0"/>
    </xf>
    <xf borderId="0" fillId="14" fontId="31" numFmtId="166" xfId="0" applyAlignment="1" applyFont="1" applyNumberFormat="1">
      <alignment horizontal="center"/>
    </xf>
    <xf borderId="31" fillId="14" fontId="31" numFmtId="166" xfId="0" applyAlignment="1" applyBorder="1" applyFont="1" applyNumberFormat="1">
      <alignment horizontal="center"/>
    </xf>
    <xf borderId="0" fillId="14" fontId="31" numFmtId="164" xfId="0" applyAlignment="1" applyFont="1" applyNumberFormat="1">
      <alignment horizontal="center"/>
    </xf>
    <xf borderId="34" fillId="14" fontId="31" numFmtId="167" xfId="0" applyAlignment="1" applyBorder="1" applyFont="1" applyNumberFormat="1">
      <alignment horizontal="center"/>
    </xf>
    <xf borderId="34" fillId="14" fontId="31" numFmtId="167" xfId="0" applyAlignment="1" applyBorder="1" applyFont="1" applyNumberFormat="1">
      <alignment horizontal="center" vertical="bottom"/>
    </xf>
    <xf borderId="0" fillId="14" fontId="31" numFmtId="167" xfId="0" applyAlignment="1" applyFont="1" applyNumberFormat="1">
      <alignment horizontal="center"/>
    </xf>
    <xf borderId="45" fillId="14" fontId="31" numFmtId="167" xfId="0" applyAlignment="1" applyBorder="1" applyFont="1" applyNumberFormat="1">
      <alignment horizontal="center"/>
    </xf>
    <xf borderId="0" fillId="14" fontId="4" numFmtId="167" xfId="0" applyAlignment="1" applyFont="1" applyNumberFormat="1">
      <alignment horizontal="center" readingOrder="0"/>
    </xf>
    <xf borderId="30" fillId="14" fontId="31" numFmtId="164" xfId="0" applyAlignment="1" applyBorder="1" applyFont="1" applyNumberFormat="1">
      <alignment horizontal="center"/>
    </xf>
    <xf borderId="0" fillId="14" fontId="4" numFmtId="0" xfId="0" applyAlignment="1" applyFont="1">
      <alignment horizontal="center" readingOrder="0"/>
    </xf>
    <xf borderId="0" fillId="14" fontId="4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 vertical="bottom"/>
    </xf>
    <xf borderId="45" fillId="14" fontId="4" numFmtId="0" xfId="0" applyAlignment="1" applyBorder="1" applyFont="1">
      <alignment horizontal="center" readingOrder="0"/>
    </xf>
    <xf borderId="0" fillId="14" fontId="4" numFmtId="166" xfId="0" applyAlignment="1" applyFont="1" applyNumberFormat="1">
      <alignment horizontal="center" readingOrder="0"/>
    </xf>
    <xf borderId="31" fillId="14" fontId="4" numFmtId="166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vertical="bottom"/>
    </xf>
    <xf borderId="45" fillId="14" fontId="4" numFmtId="167" xfId="0" applyAlignment="1" applyBorder="1" applyFont="1" applyNumberFormat="1">
      <alignment horizontal="center" readingOrder="0"/>
    </xf>
    <xf borderId="30" fillId="14" fontId="4" numFmtId="164" xfId="0" applyAlignment="1" applyBorder="1" applyFont="1" applyNumberFormat="1">
      <alignment horizontal="center" readingOrder="0"/>
    </xf>
    <xf borderId="53" fillId="14" fontId="31" numFmtId="0" xfId="0" applyAlignment="1" applyBorder="1" applyFont="1">
      <alignment horizontal="center" readingOrder="0"/>
    </xf>
    <xf borderId="53" fillId="14" fontId="31" numFmtId="164" xfId="0" applyAlignment="1" applyBorder="1" applyFont="1" applyNumberFormat="1">
      <alignment horizontal="center" readingOrder="0"/>
    </xf>
    <xf borderId="53" fillId="14" fontId="31" numFmtId="0" xfId="0" applyAlignment="1" applyBorder="1" applyFont="1">
      <alignment horizontal="center" readingOrder="0" vertical="bottom"/>
    </xf>
    <xf borderId="53" fillId="14" fontId="31" numFmtId="0" xfId="0" applyAlignment="1" applyBorder="1" applyFont="1">
      <alignment horizontal="center" readingOrder="0"/>
    </xf>
    <xf borderId="55" fillId="14" fontId="31" numFmtId="0" xfId="0" applyAlignment="1" applyBorder="1" applyFont="1">
      <alignment horizontal="center" readingOrder="0"/>
    </xf>
    <xf borderId="53" fillId="14" fontId="31" numFmtId="49" xfId="0" applyAlignment="1" applyBorder="1" applyFont="1" applyNumberFormat="1">
      <alignment horizontal="center" readingOrder="0"/>
    </xf>
    <xf borderId="55" fillId="14" fontId="31" numFmtId="49" xfId="0" applyAlignment="1" applyBorder="1" applyFont="1" applyNumberFormat="1">
      <alignment horizontal="center" readingOrder="0"/>
    </xf>
    <xf borderId="53" fillId="14" fontId="31" numFmtId="166" xfId="0" applyAlignment="1" applyBorder="1" applyFont="1" applyNumberFormat="1">
      <alignment horizontal="center"/>
    </xf>
    <xf borderId="62" fillId="14" fontId="31" numFmtId="166" xfId="0" applyAlignment="1" applyBorder="1" applyFont="1" applyNumberFormat="1">
      <alignment horizontal="center"/>
    </xf>
    <xf borderId="53" fillId="14" fontId="31" numFmtId="164" xfId="0" applyAlignment="1" applyBorder="1" applyFont="1" applyNumberFormat="1">
      <alignment horizontal="center"/>
    </xf>
    <xf borderId="56" fillId="14" fontId="31" numFmtId="167" xfId="0" applyAlignment="1" applyBorder="1" applyFont="1" applyNumberFormat="1">
      <alignment horizontal="center"/>
    </xf>
    <xf borderId="56" fillId="14" fontId="31" numFmtId="167" xfId="0" applyAlignment="1" applyBorder="1" applyFont="1" applyNumberFormat="1">
      <alignment horizontal="center" vertical="bottom"/>
    </xf>
    <xf borderId="53" fillId="14" fontId="31" numFmtId="167" xfId="0" applyAlignment="1" applyBorder="1" applyFont="1" applyNumberFormat="1">
      <alignment horizontal="center"/>
    </xf>
    <xf borderId="55" fillId="14" fontId="31" numFmtId="167" xfId="0" applyAlignment="1" applyBorder="1" applyFont="1" applyNumberFormat="1">
      <alignment horizontal="center"/>
    </xf>
    <xf borderId="53" fillId="14" fontId="4" numFmtId="167" xfId="0" applyAlignment="1" applyBorder="1" applyFont="1" applyNumberFormat="1">
      <alignment horizontal="center" readingOrder="0"/>
    </xf>
    <xf borderId="67" fillId="14" fontId="31" numFmtId="164" xfId="0" applyAlignment="1" applyBorder="1" applyFont="1" applyNumberFormat="1">
      <alignment horizontal="center"/>
    </xf>
    <xf borderId="53" fillId="19" fontId="31" numFmtId="0" xfId="0" applyAlignment="1" applyBorder="1" applyFont="1">
      <alignment horizontal="center"/>
    </xf>
    <xf borderId="0" fillId="14" fontId="31" numFmtId="0" xfId="0" applyAlignment="1" applyFont="1">
      <alignment horizontal="center"/>
    </xf>
    <xf borderId="0" fillId="19" fontId="31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6" fontId="31" numFmtId="0" xfId="0" applyAlignment="1" applyFont="1">
      <alignment horizontal="center"/>
    </xf>
    <xf borderId="45" fillId="6" fontId="31" numFmtId="0" xfId="0" applyAlignment="1" applyBorder="1" applyFont="1">
      <alignment horizontal="center" readingOrder="0"/>
    </xf>
    <xf borderId="0" fillId="6" fontId="31" numFmtId="0" xfId="0" applyAlignment="1" applyFont="1">
      <alignment horizontal="center" readingOrder="0"/>
    </xf>
    <xf borderId="45" fillId="6" fontId="4" numFmtId="0" xfId="0" applyAlignment="1" applyBorder="1" applyFont="1">
      <alignment horizontal="center" readingOrder="0"/>
    </xf>
    <xf borderId="0" fillId="6" fontId="4" numFmtId="166" xfId="0" applyAlignment="1" applyFont="1" applyNumberFormat="1">
      <alignment horizontal="center" readingOrder="0"/>
    </xf>
    <xf borderId="31" fillId="6" fontId="4" numFmtId="166" xfId="0" applyAlignment="1" applyBorder="1" applyFont="1" applyNumberForma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vertical="bottom"/>
    </xf>
    <xf borderId="0" fillId="6" fontId="4" numFmtId="167" xfId="0" applyAlignment="1" applyFont="1" applyNumberFormat="1">
      <alignment horizontal="center" readingOrder="0"/>
    </xf>
    <xf borderId="45" fillId="6" fontId="4" numFmtId="167" xfId="0" applyAlignment="1" applyBorder="1" applyFont="1" applyNumberFormat="1">
      <alignment horizontal="center" readingOrder="0"/>
    </xf>
    <xf borderId="30" fillId="6" fontId="4" numFmtId="164" xfId="0" applyAlignment="1" applyBorder="1" applyFont="1" applyNumberFormat="1">
      <alignment horizontal="center" readingOrder="0"/>
    </xf>
    <xf borderId="0" fillId="20" fontId="4" numFmtId="0" xfId="0" applyAlignment="1" applyFont="1">
      <alignment horizontal="center" readingOrder="0"/>
    </xf>
    <xf borderId="0" fillId="20" fontId="4" numFmtId="164" xfId="0" applyAlignment="1" applyFont="1" applyNumberFormat="1">
      <alignment horizontal="center" readingOrder="0"/>
    </xf>
    <xf borderId="0" fillId="20" fontId="4" numFmtId="0" xfId="0" applyAlignment="1" applyFont="1">
      <alignment horizontal="center" readingOrder="0" vertical="bottom"/>
    </xf>
    <xf borderId="0" fillId="20" fontId="31" numFmtId="0" xfId="0" applyAlignment="1" applyFont="1">
      <alignment horizontal="center"/>
    </xf>
    <xf borderId="45" fillId="20" fontId="31" numFmtId="0" xfId="0" applyAlignment="1" applyBorder="1" applyFont="1">
      <alignment horizontal="center" readingOrder="0"/>
    </xf>
    <xf borderId="0" fillId="20" fontId="31" numFmtId="0" xfId="0" applyAlignment="1" applyFont="1">
      <alignment horizontal="center" readingOrder="0"/>
    </xf>
    <xf borderId="45" fillId="20" fontId="4" numFmtId="0" xfId="0" applyAlignment="1" applyBorder="1" applyFont="1">
      <alignment horizontal="center" readingOrder="0"/>
    </xf>
    <xf borderId="0" fillId="20" fontId="4" numFmtId="166" xfId="0" applyAlignment="1" applyFont="1" applyNumberFormat="1">
      <alignment horizontal="center" readingOrder="0"/>
    </xf>
    <xf borderId="31" fillId="20" fontId="4" numFmtId="166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vertical="bottom"/>
    </xf>
    <xf borderId="0" fillId="20" fontId="4" numFmtId="167" xfId="0" applyAlignment="1" applyFont="1" applyNumberFormat="1">
      <alignment horizontal="center" readingOrder="0"/>
    </xf>
    <xf borderId="45" fillId="20" fontId="4" numFmtId="167" xfId="0" applyAlignment="1" applyBorder="1" applyFont="1" applyNumberFormat="1">
      <alignment horizontal="center" readingOrder="0"/>
    </xf>
    <xf borderId="30" fillId="20" fontId="4" numFmtId="164" xfId="0" applyAlignment="1" applyBorder="1" applyFont="1" applyNumberFormat="1">
      <alignment horizontal="center" readingOrder="0"/>
    </xf>
    <xf borderId="0" fillId="20" fontId="31" numFmtId="0" xfId="0" applyAlignment="1" applyFont="1">
      <alignment horizontal="center" readingOrder="0"/>
    </xf>
    <xf borderId="0" fillId="20" fontId="4" numFmtId="168" xfId="0" applyAlignment="1" applyFont="1" applyNumberFormat="1">
      <alignment horizontal="center" readingOrder="0"/>
    </xf>
    <xf borderId="45" fillId="20" fontId="4" numFmtId="168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/>
    </xf>
    <xf borderId="53" fillId="20" fontId="4" numFmtId="164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 vertical="bottom"/>
    </xf>
    <xf borderId="53" fillId="20" fontId="31" numFmtId="0" xfId="0" applyAlignment="1" applyBorder="1" applyFont="1">
      <alignment horizontal="center" readingOrder="0"/>
    </xf>
    <xf borderId="55" fillId="20" fontId="31" numFmtId="0" xfId="0" applyAlignment="1" applyBorder="1" applyFont="1">
      <alignment horizontal="center" readingOrder="0"/>
    </xf>
    <xf borderId="53" fillId="20" fontId="31" numFmtId="0" xfId="0" applyAlignment="1" applyBorder="1" applyFont="1">
      <alignment horizontal="center" readingOrder="0"/>
    </xf>
    <xf borderId="53" fillId="20" fontId="4" numFmtId="168" xfId="0" applyAlignment="1" applyBorder="1" applyFont="1" applyNumberFormat="1">
      <alignment horizontal="center" readingOrder="0"/>
    </xf>
    <xf borderId="55" fillId="20" fontId="4" numFmtId="168" xfId="0" applyAlignment="1" applyBorder="1" applyFont="1" applyNumberFormat="1">
      <alignment horizontal="center" readingOrder="0"/>
    </xf>
    <xf borderId="53" fillId="20" fontId="4" numFmtId="166" xfId="0" applyAlignment="1" applyBorder="1" applyFont="1" applyNumberFormat="1">
      <alignment horizontal="center"/>
    </xf>
    <xf borderId="62" fillId="20" fontId="4" numFmtId="166" xfId="0" applyAlignment="1" applyBorder="1" applyFont="1" applyNumberFormat="1">
      <alignment horizontal="center"/>
    </xf>
    <xf borderId="53" fillId="20" fontId="4" numFmtId="164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 vertical="bottom"/>
    </xf>
    <xf borderId="53" fillId="20" fontId="4" numFmtId="167" xfId="0" applyAlignment="1" applyBorder="1" applyFont="1" applyNumberFormat="1">
      <alignment horizontal="center"/>
    </xf>
    <xf borderId="55" fillId="20" fontId="4" numFmtId="167" xfId="0" applyAlignment="1" applyBorder="1" applyFont="1" applyNumberFormat="1">
      <alignment horizontal="center"/>
    </xf>
    <xf borderId="53" fillId="20" fontId="4" numFmtId="167" xfId="0" applyAlignment="1" applyBorder="1" applyFont="1" applyNumberFormat="1">
      <alignment horizontal="center" readingOrder="0"/>
    </xf>
    <xf borderId="67" fillId="20" fontId="4" numFmtId="164" xfId="0" applyAlignment="1" applyBorder="1" applyFont="1" applyNumberFormat="1">
      <alignment horizontal="center"/>
    </xf>
    <xf borderId="54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31" numFmtId="0" xfId="0" applyAlignment="1" applyFont="1">
      <alignment horizontal="center" readingOrder="0"/>
    </xf>
    <xf borderId="45" fillId="5" fontId="31" numFmtId="0" xfId="0" applyAlignment="1" applyBorder="1" applyFont="1">
      <alignment horizontal="center" readingOrder="0"/>
    </xf>
    <xf borderId="45" fillId="5" fontId="4" numFmtId="0" xfId="0" applyAlignment="1" applyBorder="1" applyFont="1">
      <alignment horizontal="center" readingOrder="0"/>
    </xf>
    <xf borderId="31" fillId="5" fontId="4" numFmtId="166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45" fillId="5" fontId="4" numFmtId="167" xfId="0" applyAlignment="1" applyBorder="1" applyFont="1" applyNumberFormat="1">
      <alignment horizontal="center" readingOrder="0"/>
    </xf>
    <xf borderId="30" fillId="5" fontId="4" numFmtId="164" xfId="0" applyAlignment="1" applyBorder="1" applyFont="1" applyNumberFormat="1">
      <alignment horizontal="center" readingOrder="0"/>
    </xf>
    <xf borderId="0" fillId="5" fontId="4" numFmtId="171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1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45" fillId="5" fontId="4" numFmtId="167" xfId="0" applyAlignment="1" applyBorder="1" applyFont="1" applyNumberFormat="1">
      <alignment horizontal="center" vertical="bottom"/>
    </xf>
    <xf borderId="30" fillId="5" fontId="4" numFmtId="164" xfId="0" applyAlignment="1" applyBorder="1" applyFont="1" applyNumberFormat="1">
      <alignment horizontal="center" vertical="bottom"/>
    </xf>
    <xf borderId="0" fillId="20" fontId="4" numFmtId="165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31" numFmtId="0" xfId="0" applyAlignment="1" applyFont="1">
      <alignment horizontal="center" readingOrder="0"/>
    </xf>
    <xf borderId="45" fillId="26" fontId="31" numFmtId="0" xfId="0" applyAlignment="1" applyBorder="1" applyFont="1">
      <alignment horizontal="center" readingOrder="0"/>
    </xf>
    <xf borderId="0" fillId="26" fontId="31" numFmtId="0" xfId="0" applyAlignment="1" applyFont="1">
      <alignment horizontal="center" readingOrder="0"/>
    </xf>
    <xf borderId="45" fillId="26" fontId="4" numFmtId="0" xfId="0" applyAlignment="1" applyBorder="1" applyFont="1">
      <alignment horizontal="center" readingOrder="0"/>
    </xf>
    <xf borderId="0" fillId="26" fontId="4" numFmtId="166" xfId="0" applyAlignment="1" applyFont="1" applyNumberFormat="1">
      <alignment horizontal="center" readingOrder="0"/>
    </xf>
    <xf borderId="31" fillId="26" fontId="4" numFmtId="166" xfId="0" applyAlignment="1" applyBorder="1" applyFont="1" applyNumberFormat="1">
      <alignment horizontal="center" readingOrder="0"/>
    </xf>
    <xf borderId="0" fillId="26" fontId="4" numFmtId="164" xfId="0" applyAlignment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vertical="bottom"/>
    </xf>
    <xf borderId="0" fillId="26" fontId="4" numFmtId="167" xfId="0" applyAlignment="1" applyFont="1" applyNumberFormat="1">
      <alignment horizontal="center" readingOrder="0"/>
    </xf>
    <xf borderId="45" fillId="26" fontId="4" numFmtId="167" xfId="0" applyAlignment="1" applyBorder="1" applyFont="1" applyNumberFormat="1">
      <alignment horizontal="center" readingOrder="0"/>
    </xf>
    <xf borderId="30" fillId="26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31" numFmtId="0" xfId="0" applyAlignment="1" applyFont="1">
      <alignment horizontal="center" readingOrder="0"/>
    </xf>
    <xf borderId="0" fillId="26" fontId="4" numFmtId="170" xfId="0" applyAlignment="1" applyFont="1" applyNumberFormat="1">
      <alignment horizontal="center" readingOrder="0"/>
    </xf>
    <xf borderId="45" fillId="19" fontId="31" numFmtId="0" xfId="0" applyAlignment="1" applyBorder="1" applyFont="1">
      <alignment horizontal="center"/>
    </xf>
    <xf borderId="0" fillId="26" fontId="31" numFmtId="166" xfId="0" applyAlignment="1" applyFont="1" applyNumberFormat="1">
      <alignment horizontal="center" readingOrder="0" shrinkToFit="0" vertical="bottom" wrapText="0"/>
    </xf>
    <xf borderId="31" fillId="26" fontId="31" numFmtId="166" xfId="0" applyAlignment="1" applyBorder="1" applyFont="1" applyNumberFormat="1">
      <alignment horizontal="center" readingOrder="0" shrinkToFit="0" vertical="bottom" wrapText="0"/>
    </xf>
    <xf borderId="45" fillId="0" fontId="4" numFmtId="0" xfId="0" applyAlignment="1" applyBorder="1" applyFont="1">
      <alignment horizontal="center"/>
    </xf>
    <xf borderId="53" fillId="26" fontId="4" numFmtId="0" xfId="0" applyAlignment="1" applyBorder="1" applyFont="1">
      <alignment horizontal="center" readingOrder="0"/>
    </xf>
    <xf borderId="53" fillId="26" fontId="4" numFmtId="170" xfId="0" applyAlignment="1" applyBorder="1" applyFont="1" applyNumberFormat="1">
      <alignment horizontal="center" readingOrder="0"/>
    </xf>
    <xf borderId="53" fillId="26" fontId="31" numFmtId="0" xfId="0" applyAlignment="1" applyBorder="1" applyFont="1">
      <alignment horizontal="center" readingOrder="0"/>
    </xf>
    <xf borderId="55" fillId="26" fontId="31" numFmtId="0" xfId="0" applyAlignment="1" applyBorder="1" applyFont="1">
      <alignment horizontal="center" readingOrder="0"/>
    </xf>
    <xf borderId="53" fillId="26" fontId="31" numFmtId="0" xfId="0" applyAlignment="1" applyBorder="1" applyFont="1">
      <alignment horizontal="center" readingOrder="0"/>
    </xf>
    <xf borderId="55" fillId="26" fontId="4" numFmtId="0" xfId="0" applyAlignment="1" applyBorder="1" applyFont="1">
      <alignment horizontal="center" readingOrder="0"/>
    </xf>
    <xf borderId="53" fillId="26" fontId="31" numFmtId="166" xfId="0" applyAlignment="1" applyBorder="1" applyFont="1" applyNumberFormat="1">
      <alignment horizontal="center" readingOrder="0" shrinkToFit="0" vertical="bottom" wrapText="0"/>
    </xf>
    <xf borderId="62" fillId="26" fontId="31" numFmtId="166" xfId="0" applyAlignment="1" applyBorder="1" applyFont="1" applyNumberFormat="1">
      <alignment horizontal="center" readingOrder="0" shrinkToFit="0" vertical="bottom" wrapText="0"/>
    </xf>
    <xf borderId="53" fillId="26" fontId="4" numFmtId="164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vertical="bottom"/>
    </xf>
    <xf borderId="53" fillId="26" fontId="4" numFmtId="167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readingOrder="0"/>
    </xf>
    <xf borderId="67" fillId="26" fontId="4" numFmtId="164" xfId="0" applyAlignment="1" applyBorder="1" applyFont="1" applyNumberFormat="1">
      <alignment horizontal="center" readingOrder="0"/>
    </xf>
    <xf borderId="55" fillId="0" fontId="4" numFmtId="0" xfId="0" applyAlignment="1" applyBorder="1" applyFont="1">
      <alignment horizontal="center"/>
    </xf>
    <xf borderId="55" fillId="19" fontId="31" numFmtId="0" xfId="0" applyAlignment="1" applyBorder="1" applyFont="1">
      <alignment horizontal="center"/>
    </xf>
    <xf borderId="0" fillId="14" fontId="4" numFmtId="170" xfId="0" applyAlignment="1" applyFont="1" applyNumberFormat="1">
      <alignment horizontal="center" readingOrder="0"/>
    </xf>
    <xf borderId="0" fillId="14" fontId="31" numFmtId="166" xfId="0" applyAlignment="1" applyFont="1" applyNumberFormat="1">
      <alignment horizontal="center" readingOrder="0" shrinkToFit="0" vertical="bottom" wrapText="0"/>
    </xf>
    <xf borderId="0" fillId="14" fontId="4" numFmtId="167" xfId="0" applyAlignment="1" applyFont="1" applyNumberFormat="1">
      <alignment horizontal="center" vertical="bottom"/>
    </xf>
    <xf borderId="0" fillId="26" fontId="4" numFmtId="167" xfId="0" applyAlignment="1" applyFont="1" applyNumberFormat="1">
      <alignment horizontal="center" vertical="bottom"/>
    </xf>
    <xf borderId="30" fillId="26" fontId="4" numFmtId="165" xfId="0" applyAlignment="1" applyBorder="1" applyFont="1" applyNumberFormat="1">
      <alignment horizontal="center" readingOrder="0"/>
    </xf>
    <xf borderId="0" fillId="5" fontId="4" numFmtId="170" xfId="0" applyAlignment="1" applyFont="1" applyNumberFormat="1">
      <alignment horizontal="center" readingOrder="0"/>
    </xf>
    <xf borderId="0" fillId="5" fontId="31" numFmtId="166" xfId="0" applyAlignment="1" applyFont="1" applyNumberFormat="1">
      <alignment horizontal="center" readingOrder="0" shrinkToFit="0" vertical="bottom" wrapText="0"/>
    </xf>
    <xf borderId="31" fillId="5" fontId="31" numFmtId="166" xfId="0" applyAlignment="1" applyBorder="1" applyFont="1" applyNumberFormat="1">
      <alignment horizontal="center" readingOrder="0" shrinkToFit="0" vertical="bottom" wrapText="0"/>
    </xf>
    <xf borderId="0" fillId="5" fontId="31" numFmtId="166" xfId="0" applyAlignment="1" applyFont="1" applyNumberFormat="1">
      <alignment horizontal="center" shrinkToFit="0" vertical="bottom" wrapText="0"/>
    </xf>
    <xf borderId="31" fillId="5" fontId="31" numFmtId="166" xfId="0" applyAlignment="1" applyBorder="1" applyFont="1" applyNumberFormat="1">
      <alignment horizontal="center" shrinkToFit="0" vertical="bottom" wrapText="0"/>
    </xf>
    <xf borderId="30" fillId="5" fontId="4" numFmtId="165" xfId="0" applyAlignment="1" applyBorder="1" applyFont="1" applyNumberFormat="1">
      <alignment horizontal="center" readingOrder="0"/>
    </xf>
    <xf borderId="31" fillId="26" fontId="31" numFmtId="166" xfId="0" applyAlignment="1" applyBorder="1" applyFont="1" applyNumberFormat="1">
      <alignment horizontal="center" readingOrder="0"/>
    </xf>
    <xf borderId="30" fillId="26" fontId="4" numFmtId="0" xfId="0" applyAlignment="1" applyBorder="1" applyFont="1">
      <alignment horizontal="center" readingOrder="0"/>
    </xf>
    <xf borderId="0" fillId="2" fontId="4" numFmtId="170" xfId="0" applyAlignment="1" applyFont="1" applyNumberFormat="1">
      <alignment horizontal="center" readingOrder="0"/>
    </xf>
    <xf borderId="45" fillId="2" fontId="31" numFmtId="0" xfId="0" applyAlignment="1" applyBorder="1" applyFont="1">
      <alignment horizontal="center" readingOrder="0"/>
    </xf>
    <xf borderId="0" fillId="2" fontId="4" numFmtId="168" xfId="0" applyAlignment="1" applyFont="1" applyNumberFormat="1">
      <alignment horizontal="center" readingOrder="0"/>
    </xf>
    <xf borderId="45" fillId="2" fontId="4" numFmtId="168" xfId="0" applyAlignment="1" applyBorder="1" applyFont="1" applyNumberFormat="1">
      <alignment horizontal="center" readingOrder="0"/>
    </xf>
    <xf borderId="0" fillId="2" fontId="31" numFmtId="166" xfId="0" applyAlignment="1" applyFont="1" applyNumberFormat="1">
      <alignment horizontal="center" readingOrder="0" shrinkToFit="0" vertical="bottom" wrapText="0"/>
    </xf>
    <xf borderId="31" fillId="2" fontId="31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0" fillId="12" fontId="4" numFmtId="0" xfId="0" applyAlignment="1" applyBorder="1" applyFon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/>
    </xf>
    <xf borderId="53" fillId="5" fontId="4" numFmtId="170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 vertical="bottom"/>
    </xf>
    <xf borderId="53" fillId="5" fontId="31" numFmtId="0" xfId="0" applyAlignment="1" applyBorder="1" applyFont="1">
      <alignment horizontal="center" readingOrder="0"/>
    </xf>
    <xf borderId="55" fillId="5" fontId="31" numFmtId="0" xfId="0" applyAlignment="1" applyBorder="1" applyFont="1">
      <alignment horizontal="center" readingOrder="0"/>
    </xf>
    <xf borderId="53" fillId="5" fontId="31" numFmtId="0" xfId="0" applyAlignment="1" applyBorder="1" applyFont="1">
      <alignment horizontal="center" readingOrder="0"/>
    </xf>
    <xf borderId="55" fillId="5" fontId="4" numFmtId="0" xfId="0" applyAlignment="1" applyBorder="1" applyFont="1">
      <alignment horizontal="center" readingOrder="0"/>
    </xf>
    <xf borderId="53" fillId="5" fontId="31" numFmtId="166" xfId="0" applyAlignment="1" applyBorder="1" applyFont="1" applyNumberFormat="1">
      <alignment horizontal="center" readingOrder="0" shrinkToFit="0" vertical="bottom" wrapText="0"/>
    </xf>
    <xf borderId="62" fillId="5" fontId="31" numFmtId="166" xfId="0" applyAlignment="1" applyBorder="1" applyFont="1" applyNumberFormat="1">
      <alignment horizontal="center" readingOrder="0" shrinkToFit="0" vertical="bottom" wrapText="0"/>
    </xf>
    <xf borderId="53" fillId="5" fontId="4" numFmtId="164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vertical="bottom"/>
    </xf>
    <xf borderId="55" fillId="5" fontId="4" numFmtId="167" xfId="0" applyAlignment="1" applyBorder="1" applyFont="1" applyNumberFormat="1">
      <alignment horizontal="center" readingOrder="0"/>
    </xf>
    <xf borderId="67" fillId="5" fontId="4" numFmtId="164" xfId="0" applyAlignment="1" applyBorder="1" applyFont="1" applyNumberFormat="1">
      <alignment horizontal="center" readingOrder="0"/>
    </xf>
    <xf borderId="34" fillId="2" fontId="4" numFmtId="0" xfId="0" applyAlignment="1" applyBorder="1" applyFont="1">
      <alignment horizontal="center" readingOrder="0"/>
    </xf>
    <xf borderId="34" fillId="2" fontId="4" numFmtId="167" xfId="0" applyAlignment="1" applyBorder="1" applyFont="1" applyNumberFormat="1">
      <alignment horizontal="center" vertical="bottom"/>
    </xf>
    <xf borderId="34" fillId="5" fontId="31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4" fillId="2" fontId="31" numFmtId="0" xfId="0" applyAlignment="1" applyBorder="1" applyFont="1">
      <alignment horizontal="center" readingOrder="0"/>
    </xf>
    <xf borderId="30" fillId="2" fontId="4" numFmtId="164" xfId="0" applyAlignment="1" applyBorder="1" applyFont="1" applyNumberFormat="1">
      <alignment horizontal="center" readingOrder="0"/>
    </xf>
    <xf borderId="53" fillId="2" fontId="4" numFmtId="170" xfId="0" applyAlignment="1" applyBorder="1" applyFont="1" applyNumberFormat="1">
      <alignment horizontal="center" readingOrder="0"/>
    </xf>
    <xf borderId="56" fillId="2" fontId="4" numFmtId="0" xfId="0" applyAlignment="1" applyBorder="1" applyFont="1">
      <alignment horizontal="center" readingOrder="0"/>
    </xf>
    <xf borderId="55" fillId="2" fontId="31" numFmtId="0" xfId="0" applyAlignment="1" applyBorder="1" applyFont="1">
      <alignment horizontal="center" readingOrder="0"/>
    </xf>
    <xf borderId="56" fillId="2" fontId="31" numFmtId="0" xfId="0" applyAlignment="1" applyBorder="1" applyFont="1">
      <alignment horizontal="center" readingOrder="0"/>
    </xf>
    <xf borderId="53" fillId="2" fontId="31" numFmtId="166" xfId="0" applyAlignment="1" applyBorder="1" applyFont="1" applyNumberFormat="1">
      <alignment horizontal="center" readingOrder="0" shrinkToFit="0" vertical="bottom" wrapText="0"/>
    </xf>
    <xf borderId="62" fillId="2" fontId="31" numFmtId="166" xfId="0" applyAlignment="1" applyBorder="1" applyFont="1" applyNumberFormat="1">
      <alignment horizontal="center" readingOrder="0" shrinkToFit="0" vertical="bottom" wrapText="0"/>
    </xf>
    <xf borderId="56" fillId="2" fontId="4" numFmtId="167" xfId="0" applyAlignment="1" applyBorder="1" applyFont="1" applyNumberFormat="1">
      <alignment horizontal="center" vertical="bottom"/>
    </xf>
    <xf borderId="67" fillId="2" fontId="4" numFmtId="49" xfId="0" applyAlignment="1" applyBorder="1" applyFont="1" applyNumberFormat="1">
      <alignment horizontal="center" readingOrder="0"/>
    </xf>
    <xf borderId="53" fillId="0" fontId="4" numFmtId="0" xfId="0" applyAlignment="1" applyBorder="1" applyFont="1">
      <alignment horizontal="center"/>
    </xf>
    <xf borderId="34" fillId="26" fontId="31" numFmtId="0" xfId="0" applyAlignment="1" applyBorder="1" applyFont="1">
      <alignment horizontal="center" readingOrder="0"/>
    </xf>
    <xf borderId="30" fillId="26" fontId="4" numFmtId="49" xfId="0" applyAlignment="1" applyBorder="1" applyFont="1" applyNumberFormat="1">
      <alignment horizontal="center" readingOrder="0"/>
    </xf>
    <xf borderId="0" fillId="0" fontId="4" numFmtId="170" xfId="0" applyAlignment="1" applyFont="1" applyNumberFormat="1">
      <alignment horizontal="center" readingOrder="0"/>
    </xf>
    <xf borderId="34" fillId="0" fontId="31" numFmtId="0" xfId="0" applyAlignment="1" applyBorder="1" applyFon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164" xfId="0" applyAlignment="1" applyBorder="1" applyFont="1" applyNumberFormat="1">
      <alignment horizontal="center" shrinkToFit="0" vertical="center" wrapText="1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0" xfId="0" applyAlignment="1" applyBorder="1" applyFont="1">
      <alignment horizontal="center" shrinkToFit="0" vertical="center" wrapText="1"/>
    </xf>
    <xf borderId="23" fillId="0" fontId="29" numFmtId="49" xfId="0" applyAlignment="1" applyBorder="1" applyFont="1" applyNumberFormat="1">
      <alignment horizontal="center" shrinkToFit="0" vertical="center" wrapText="1"/>
    </xf>
    <xf borderId="23" fillId="0" fontId="29" numFmtId="166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28" fillId="0" fontId="30" numFmtId="167" xfId="0" applyAlignment="1" applyBorder="1" applyFont="1" applyNumberFormat="1">
      <alignment horizontal="center" readingOrder="0" shrinkToFit="0" vertical="center" wrapText="1"/>
    </xf>
    <xf borderId="28" fillId="0" fontId="29" numFmtId="172" xfId="0" applyAlignment="1" applyBorder="1" applyFont="1" applyNumberFormat="1">
      <alignment horizontal="center" readingOrder="0" shrinkToFit="0" vertical="bottom" wrapText="1"/>
    </xf>
    <xf borderId="24" fillId="19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31" numFmtId="0" xfId="0" applyAlignment="1" applyFont="1">
      <alignment horizontal="center" readingOrder="0"/>
    </xf>
    <xf borderId="45" fillId="15" fontId="4" numFmtId="165" xfId="0" applyAlignment="1" applyBorder="1" applyFont="1" applyNumberFormat="1">
      <alignment horizontal="center" readingOrder="0"/>
    </xf>
    <xf borderId="0" fillId="15" fontId="6" numFmtId="167" xfId="0" applyAlignment="1" applyFont="1" applyNumberFormat="1">
      <alignment horizontal="center" readingOrder="0" vertical="center"/>
    </xf>
    <xf borderId="0" fillId="15" fontId="4" numFmtId="167" xfId="0" applyAlignment="1" applyFont="1" applyNumberFormat="1">
      <alignment horizontal="center" readingOrder="0"/>
    </xf>
    <xf borderId="0" fillId="15" fontId="31" numFmtId="167" xfId="0" applyAlignment="1" applyFont="1" applyNumberFormat="1">
      <alignment horizontal="center" readingOrder="0" vertical="center"/>
    </xf>
    <xf borderId="34" fillId="15" fontId="4" numFmtId="172" xfId="0" applyAlignment="1" applyBorder="1" applyFont="1" applyNumberFormat="1">
      <alignment horizontal="center" readingOrder="0"/>
    </xf>
    <xf borderId="0" fillId="15" fontId="31" numFmtId="166" xfId="0" applyAlignment="1" applyFont="1" applyNumberFormat="1">
      <alignment horizontal="center" readingOrder="0" vertical="center"/>
    </xf>
    <xf borderId="45" fillId="15" fontId="4" numFmtId="0" xfId="0" applyAlignment="1" applyBorder="1" applyFont="1">
      <alignment horizontal="center" readingOrder="0"/>
    </xf>
    <xf borderId="0" fillId="15" fontId="34" numFmtId="0" xfId="0" applyAlignment="1" applyFont="1">
      <alignment horizontal="center" readingOrder="0"/>
    </xf>
    <xf borderId="0" fillId="15" fontId="34" numFmtId="164" xfId="0" applyAlignment="1" applyFont="1" applyNumberFormat="1">
      <alignment horizontal="center" readingOrder="0"/>
    </xf>
    <xf borderId="0" fillId="15" fontId="33" numFmtId="0" xfId="0" applyAlignment="1" applyFont="1">
      <alignment horizontal="center" readingOrder="0"/>
    </xf>
    <xf borderId="45" fillId="15" fontId="34" numFmtId="165" xfId="0" applyAlignment="1" applyBorder="1" applyFont="1" applyNumberFormat="1">
      <alignment horizontal="center" readingOrder="0"/>
    </xf>
    <xf borderId="0" fillId="15" fontId="35" numFmtId="167" xfId="0" applyAlignment="1" applyFont="1" applyNumberFormat="1">
      <alignment horizontal="center" readingOrder="0" vertical="center"/>
    </xf>
    <xf borderId="0" fillId="15" fontId="34" numFmtId="167" xfId="0" applyAlignment="1" applyFont="1" applyNumberFormat="1">
      <alignment horizontal="center" readingOrder="0"/>
    </xf>
    <xf borderId="0" fillId="15" fontId="33" numFmtId="167" xfId="0" applyAlignment="1" applyFont="1" applyNumberFormat="1">
      <alignment horizontal="center" readingOrder="0" vertical="center"/>
    </xf>
    <xf borderId="34" fillId="15" fontId="34" numFmtId="172" xfId="0" applyAlignment="1" applyBorder="1" applyFont="1" applyNumberFormat="1">
      <alignment horizontal="center" readingOrder="0"/>
    </xf>
    <xf borderId="0" fillId="19" fontId="34" numFmtId="0" xfId="0" applyAlignment="1" applyFont="1">
      <alignment horizontal="center"/>
    </xf>
    <xf borderId="53" fillId="15" fontId="34" numFmtId="0" xfId="0" applyAlignment="1" applyBorder="1" applyFont="1">
      <alignment horizontal="center" readingOrder="0"/>
    </xf>
    <xf borderId="53" fillId="15" fontId="34" numFmtId="164" xfId="0" applyAlignment="1" applyBorder="1" applyFont="1" applyNumberFormat="1">
      <alignment horizontal="center" readingOrder="0"/>
    </xf>
    <xf borderId="53" fillId="15" fontId="33" numFmtId="0" xfId="0" applyAlignment="1" applyBorder="1" applyFont="1">
      <alignment horizontal="center" readingOrder="0"/>
    </xf>
    <xf borderId="55" fillId="15" fontId="34" numFmtId="165" xfId="0" applyAlignment="1" applyBorder="1" applyFont="1" applyNumberFormat="1">
      <alignment horizontal="center" readingOrder="0"/>
    </xf>
    <xf borderId="53" fillId="15" fontId="35" numFmtId="167" xfId="0" applyAlignment="1" applyBorder="1" applyFont="1" applyNumberFormat="1">
      <alignment horizontal="center" readingOrder="0" vertical="center"/>
    </xf>
    <xf borderId="53" fillId="15" fontId="34" numFmtId="167" xfId="0" applyAlignment="1" applyBorder="1" applyFont="1" applyNumberFormat="1">
      <alignment horizontal="center" readingOrder="0"/>
    </xf>
    <xf borderId="53" fillId="15" fontId="33" numFmtId="167" xfId="0" applyAlignment="1" applyBorder="1" applyFont="1" applyNumberFormat="1">
      <alignment horizontal="center" readingOrder="0" vertical="center"/>
    </xf>
    <xf borderId="56" fillId="15" fontId="34" numFmtId="172" xfId="0" applyAlignment="1" applyBorder="1" applyFont="1" applyNumberFormat="1">
      <alignment horizontal="center" readingOrder="0"/>
    </xf>
    <xf borderId="53" fillId="19" fontId="34" numFmtId="0" xfId="0" applyAlignment="1" applyBorder="1" applyFont="1">
      <alignment horizontal="center" readingOrder="0"/>
    </xf>
    <xf borderId="0" fillId="15" fontId="31" numFmtId="0" xfId="0" applyAlignment="1" applyFont="1">
      <alignment horizontal="center" vertical="bottom"/>
    </xf>
    <xf borderId="0" fillId="15" fontId="31" numFmtId="167" xfId="0" applyAlignment="1" applyFont="1" applyNumberFormat="1">
      <alignment horizontal="center"/>
    </xf>
    <xf borderId="45" fillId="15" fontId="4" numFmtId="0" xfId="0" applyAlignment="1" applyBorder="1" applyFont="1">
      <alignment horizontal="center"/>
    </xf>
    <xf borderId="34" fillId="15" fontId="4" numFmtId="172" xfId="0" applyAlignment="1" applyBorder="1" applyFont="1" applyNumberFormat="1">
      <alignment horizontal="center"/>
    </xf>
    <xf borderId="0" fillId="15" fontId="4" numFmtId="0" xfId="0" applyAlignment="1" applyFont="1">
      <alignment horizontal="center" readingOrder="0"/>
    </xf>
    <xf borderId="0" fillId="15" fontId="4" numFmtId="165" xfId="0" applyAlignment="1" applyFont="1" applyNumberFormat="1">
      <alignment horizontal="center" readingOrder="0"/>
    </xf>
    <xf borderId="0" fillId="15" fontId="34" numFmtId="0" xfId="0" applyAlignment="1" applyFont="1">
      <alignment horizontal="center" readingOrder="0"/>
    </xf>
    <xf borderId="0" fillId="15" fontId="33" numFmtId="167" xfId="0" applyAlignment="1" applyFont="1" applyNumberFormat="1">
      <alignment horizontal="center"/>
    </xf>
    <xf borderId="0" fillId="19" fontId="34" numFmtId="0" xfId="0" applyAlignment="1" applyFont="1">
      <alignment horizontal="center" readingOrder="0"/>
    </xf>
    <xf borderId="53" fillId="15" fontId="4" numFmtId="0" xfId="0" applyAlignment="1" applyBorder="1" applyFont="1">
      <alignment horizontal="center" readingOrder="0"/>
    </xf>
    <xf borderId="53" fillId="15" fontId="4" numFmtId="164" xfId="0" applyAlignment="1" applyBorder="1" applyFont="1" applyNumberFormat="1">
      <alignment horizontal="center" readingOrder="0"/>
    </xf>
    <xf borderId="53" fillId="15" fontId="4" numFmtId="0" xfId="0" applyAlignment="1" applyBorder="1" applyFont="1">
      <alignment horizontal="center" readingOrder="0"/>
    </xf>
    <xf borderId="55" fillId="15" fontId="4" numFmtId="165" xfId="0" applyAlignment="1" applyBorder="1" applyFont="1" applyNumberFormat="1">
      <alignment horizontal="center" readingOrder="0"/>
    </xf>
    <xf borderId="53" fillId="15" fontId="6" numFmtId="167" xfId="0" applyAlignment="1" applyBorder="1" applyFont="1" applyNumberFormat="1">
      <alignment horizontal="center" readingOrder="0" vertical="center"/>
    </xf>
    <xf borderId="53" fillId="15" fontId="4" numFmtId="167" xfId="0" applyAlignment="1" applyBorder="1" applyFont="1" applyNumberFormat="1">
      <alignment horizontal="center" readingOrder="0"/>
    </xf>
    <xf borderId="53" fillId="15" fontId="31" numFmtId="167" xfId="0" applyAlignment="1" applyBorder="1" applyFont="1" applyNumberFormat="1">
      <alignment horizontal="center"/>
    </xf>
    <xf borderId="53" fillId="15" fontId="31" numFmtId="167" xfId="0" applyAlignment="1" applyBorder="1" applyFont="1" applyNumberFormat="1">
      <alignment horizontal="center" readingOrder="0" vertical="center"/>
    </xf>
    <xf borderId="55" fillId="15" fontId="4" numFmtId="0" xfId="0" applyAlignment="1" applyBorder="1" applyFont="1">
      <alignment horizontal="center" readingOrder="0"/>
    </xf>
    <xf borderId="56" fillId="15" fontId="4" numFmtId="172" xfId="0" applyAlignment="1" applyBorder="1" applyFont="1" applyNumberFormat="1">
      <alignment horizontal="center" readingOrder="0"/>
    </xf>
    <xf borderId="53" fillId="19" fontId="4" numFmtId="0" xfId="0" applyAlignment="1" applyBorder="1" applyFont="1">
      <alignment horizontal="center" readingOrder="0"/>
    </xf>
    <xf borderId="0" fillId="15" fontId="31" numFmtId="166" xfId="0" applyAlignment="1" applyFont="1" applyNumberFormat="1">
      <alignment horizontal="center" readingOrder="0" shrinkToFit="0" vertical="bottom" wrapText="0"/>
    </xf>
    <xf borderId="0" fillId="25" fontId="4" numFmtId="164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45" fillId="25" fontId="4" numFmtId="165" xfId="0" applyAlignment="1" applyBorder="1" applyFont="1" applyNumberFormat="1">
      <alignment horizontal="center" readingOrder="0"/>
    </xf>
    <xf borderId="0" fillId="25" fontId="6" numFmtId="167" xfId="0" applyAlignment="1" applyFont="1" applyNumberFormat="1">
      <alignment horizontal="center" readingOrder="0" vertical="center"/>
    </xf>
    <xf borderId="0" fillId="25" fontId="4" numFmtId="167" xfId="0" applyAlignment="1" applyFont="1" applyNumberFormat="1">
      <alignment horizontal="center" readingOrder="0"/>
    </xf>
    <xf borderId="0" fillId="25" fontId="31" numFmtId="167" xfId="0" applyAlignment="1" applyFont="1" applyNumberFormat="1">
      <alignment horizontal="center"/>
    </xf>
    <xf borderId="0" fillId="25" fontId="31" numFmtId="167" xfId="0" applyAlignment="1" applyFont="1" applyNumberFormat="1">
      <alignment horizontal="center" readingOrder="0" vertical="center"/>
    </xf>
    <xf borderId="0" fillId="16" fontId="4" numFmtId="0" xfId="0" applyAlignment="1" applyFont="1">
      <alignment horizontal="center" readingOrder="0"/>
    </xf>
    <xf borderId="0" fillId="16" fontId="4" numFmtId="165" xfId="0" applyAlignment="1" applyFont="1" applyNumberFormat="1">
      <alignment horizontal="center" readingOrder="0"/>
    </xf>
    <xf borderId="0" fillId="16" fontId="4" numFmtId="168" xfId="0" applyAlignment="1" applyFont="1" applyNumberFormat="1">
      <alignment horizontal="center" readingOrder="0"/>
    </xf>
    <xf borderId="0" fillId="16" fontId="31" numFmtId="166" xfId="0" applyAlignment="1" applyFont="1" applyNumberFormat="1">
      <alignment horizontal="center" readingOrder="0" shrinkToFit="0" vertical="bottom" wrapText="0"/>
    </xf>
    <xf borderId="45" fillId="16" fontId="4" numFmtId="165" xfId="0" applyAlignment="1" applyBorder="1" applyFont="1" applyNumberFormat="1">
      <alignment horizontal="center" readingOrder="0"/>
    </xf>
    <xf borderId="0" fillId="16" fontId="6" numFmtId="167" xfId="0" applyAlignment="1" applyFont="1" applyNumberFormat="1">
      <alignment horizontal="center" readingOrder="0" vertical="center"/>
    </xf>
    <xf borderId="0" fillId="16" fontId="4" numFmtId="167" xfId="0" applyAlignment="1" applyFont="1" applyNumberFormat="1">
      <alignment horizontal="center" readingOrder="0"/>
    </xf>
    <xf borderId="45" fillId="16" fontId="4" numFmtId="0" xfId="0" applyAlignment="1" applyBorder="1" applyFont="1">
      <alignment horizontal="center"/>
    </xf>
    <xf borderId="0" fillId="16" fontId="31" numFmtId="167" xfId="0" applyAlignment="1" applyFont="1" applyNumberFormat="1">
      <alignment horizontal="center"/>
    </xf>
    <xf borderId="0" fillId="16" fontId="31" numFmtId="167" xfId="0" applyAlignment="1" applyFont="1" applyNumberFormat="1">
      <alignment horizontal="center" readingOrder="0" vertical="center"/>
    </xf>
    <xf borderId="45" fillId="16" fontId="4" numFmtId="0" xfId="0" applyAlignment="1" applyBorder="1" applyFont="1">
      <alignment horizontal="center" readingOrder="0"/>
    </xf>
    <xf borderId="34" fillId="16" fontId="4" numFmtId="172" xfId="0" applyAlignment="1" applyBorder="1" applyFont="1" applyNumberFormat="1">
      <alignment horizontal="center" readingOrder="0"/>
    </xf>
    <xf borderId="0" fillId="16" fontId="4" numFmtId="164" xfId="0" applyAlignment="1" applyFont="1" applyNumberFormat="1">
      <alignment horizontal="center" readingOrder="0"/>
    </xf>
    <xf borderId="0" fillId="16" fontId="4" numFmtId="0" xfId="0" applyAlignment="1" applyFont="1">
      <alignment horizontal="center" readingOrder="0"/>
    </xf>
    <xf borderId="0" fillId="16" fontId="4" numFmtId="172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8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31" numFmtId="167" xfId="0" applyAlignment="1" applyFont="1" applyNumberFormat="1">
      <alignment horizontal="center"/>
    </xf>
    <xf borderId="0" fillId="0" fontId="4" numFmtId="172" xfId="0" applyAlignment="1" applyFont="1" applyNumberFormat="1">
      <alignment horizontal="center" readingOrder="0"/>
    </xf>
    <xf borderId="24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3" fontId="29" numFmtId="49" xfId="0" applyAlignment="1" applyBorder="1" applyFont="1" applyNumberFormat="1">
      <alignment horizontal="center" readingOrder="0" shrinkToFit="0" textRotation="90" vertical="bottom" wrapText="1"/>
    </xf>
    <xf borderId="28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0" fontId="5" numFmtId="167" xfId="0" applyAlignment="1" applyBorder="1" applyFont="1" applyNumberFormat="1">
      <alignment horizontal="center" shrinkToFit="0" vertical="bottom" wrapText="1"/>
    </xf>
    <xf borderId="24" fillId="19" fontId="1" numFmtId="0" xfId="0" applyAlignment="1" applyBorder="1" applyFont="1">
      <alignment horizontal="center" readingOrder="0" shrinkToFit="0" vertical="bottom" wrapText="1"/>
    </xf>
    <xf borderId="53" fillId="0" fontId="4" numFmtId="0" xfId="0" applyAlignment="1" applyBorder="1" applyFont="1">
      <alignment horizontal="center" readingOrder="0"/>
    </xf>
    <xf borderId="53" fillId="0" fontId="4" numFmtId="164" xfId="0" applyAlignment="1" applyBorder="1" applyFont="1" applyNumberFormat="1">
      <alignment horizontal="center" readingOrder="0"/>
    </xf>
    <xf borderId="53" fillId="0" fontId="31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 readingOrder="0"/>
    </xf>
    <xf borderId="55" fillId="3" fontId="4" numFmtId="0" xfId="0" applyAlignment="1" applyBorder="1" applyFont="1">
      <alignment horizontal="center" readingOrder="0"/>
    </xf>
    <xf borderId="53" fillId="3" fontId="4" numFmtId="0" xfId="0" applyAlignment="1" applyBorder="1" applyFont="1">
      <alignment horizontal="center" readingOrder="0"/>
    </xf>
    <xf borderId="56" fillId="3" fontId="4" numFmtId="0" xfId="0" applyAlignment="1" applyBorder="1" applyFont="1">
      <alignment horizontal="center" readingOrder="0"/>
    </xf>
    <xf borderId="53" fillId="0" fontId="4" numFmtId="166" xfId="0" applyAlignment="1" applyBorder="1" applyFont="1" applyNumberFormat="1">
      <alignment horizontal="center" readingOrder="0"/>
    </xf>
    <xf borderId="55" fillId="0" fontId="4" numFmtId="165" xfId="0" applyAlignment="1" applyBorder="1" applyFont="1" applyNumberFormat="1">
      <alignment horizontal="center" readingOrder="0"/>
    </xf>
    <xf borderId="53" fillId="11" fontId="6" numFmtId="167" xfId="0" applyAlignment="1" applyBorder="1" applyFont="1" applyNumberFormat="1">
      <alignment horizontal="center" readingOrder="0" vertical="center"/>
    </xf>
    <xf borderId="53" fillId="0" fontId="32" numFmtId="167" xfId="0" applyAlignment="1" applyBorder="1" applyFont="1" applyNumberFormat="1">
      <alignment horizontal="center" readingOrder="0" vertical="center"/>
    </xf>
    <xf borderId="53" fillId="0" fontId="32" numFmtId="167" xfId="0" applyAlignment="1" applyBorder="1" applyFont="1" applyNumberFormat="1">
      <alignment horizontal="center"/>
    </xf>
    <xf borderId="55" fillId="19" fontId="31" numFmtId="0" xfId="0" applyAlignment="1" applyBorder="1" applyFont="1">
      <alignment horizontal="center"/>
    </xf>
    <xf borderId="0" fillId="24" fontId="4" numFmtId="164" xfId="0" applyAlignment="1" applyFont="1" applyNumberFormat="1">
      <alignment horizontal="center" readingOrder="0"/>
    </xf>
    <xf borderId="0" fillId="24" fontId="31" numFmtId="0" xfId="0" applyAlignment="1" applyFont="1">
      <alignment horizontal="center" readingOrder="0"/>
    </xf>
    <xf borderId="45" fillId="24" fontId="4" numFmtId="0" xfId="0" applyAlignment="1" applyBorder="1" applyFont="1">
      <alignment horizontal="center" readingOrder="0"/>
    </xf>
    <xf borderId="34" fillId="24" fontId="4" numFmtId="0" xfId="0" applyAlignment="1" applyBorder="1" applyFont="1">
      <alignment horizontal="center" readingOrder="0"/>
    </xf>
    <xf borderId="0" fillId="24" fontId="4" numFmtId="166" xfId="0" applyAlignment="1" applyFont="1" applyNumberFormat="1">
      <alignment horizontal="center" readingOrder="0"/>
    </xf>
    <xf borderId="0" fillId="24" fontId="4" numFmtId="0" xfId="0" applyAlignment="1" applyFont="1">
      <alignment horizontal="center" readingOrder="0"/>
    </xf>
    <xf borderId="45" fillId="0" fontId="4" numFmtId="165" xfId="0" applyAlignment="1" applyBorder="1" applyFont="1" applyNumberForma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5" fontId="4" numFmtId="0" xfId="0" applyAlignment="1" applyFont="1">
      <alignment horizontal="center" vertical="bottom"/>
    </xf>
    <xf borderId="0" fillId="25" fontId="4" numFmtId="164" xfId="0" applyAlignment="1" applyFont="1" applyNumberFormat="1">
      <alignment horizontal="center" vertical="bottom"/>
    </xf>
    <xf borderId="0" fillId="25" fontId="4" numFmtId="0" xfId="0" applyAlignment="1" applyFont="1">
      <alignment horizontal="center" readingOrder="0" vertical="bottom"/>
    </xf>
    <xf borderId="0" fillId="25" fontId="4" numFmtId="168" xfId="0" applyAlignment="1" applyFont="1" applyNumberFormat="1">
      <alignment horizontal="center" readingOrder="0"/>
    </xf>
    <xf borderId="45" fillId="25" fontId="4" numFmtId="0" xfId="0" applyAlignment="1" applyBorder="1" applyFont="1">
      <alignment horizontal="center" readingOrder="0"/>
    </xf>
    <xf borderId="34" fillId="25" fontId="4" numFmtId="0" xfId="0" applyAlignment="1" applyBorder="1" applyFont="1">
      <alignment horizontal="center" readingOrder="0"/>
    </xf>
    <xf borderId="0" fillId="25" fontId="4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23" fillId="0" fontId="29" numFmtId="0" xfId="0" applyAlignment="1" applyBorder="1" applyFont="1">
      <alignment horizontal="center" readingOrder="0" shrinkToFit="0" wrapText="1"/>
    </xf>
    <xf borderId="23" fillId="0" fontId="29" numFmtId="164" xfId="0" applyAlignment="1" applyBorder="1" applyFont="1" applyNumberFormat="1">
      <alignment horizontal="center" shrinkToFit="0" wrapText="1"/>
    </xf>
    <xf borderId="23" fillId="0" fontId="29" numFmtId="0" xfId="0" applyAlignment="1" applyBorder="1" applyFont="1">
      <alignment horizontal="center" shrinkToFit="0" wrapText="1"/>
    </xf>
    <xf borderId="23" fillId="0" fontId="29" numFmtId="49" xfId="0" applyAlignment="1" applyBorder="1" applyFont="1" applyNumberFormat="1">
      <alignment horizontal="center" shrinkToFit="0" wrapText="1"/>
    </xf>
    <xf borderId="23" fillId="0" fontId="29" numFmtId="166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53" fillId="0" fontId="31" numFmtId="0" xfId="0" applyAlignment="1" applyBorder="1" applyFont="1">
      <alignment horizontal="center" readingOrder="0"/>
    </xf>
    <xf borderId="53" fillId="0" fontId="31" numFmtId="164" xfId="0" applyAlignment="1" applyBorder="1" applyFont="1" applyNumberFormat="1">
      <alignment horizontal="center" readingOrder="0"/>
    </xf>
    <xf borderId="53" fillId="0" fontId="31" numFmtId="49" xfId="0" applyAlignment="1" applyBorder="1" applyFont="1" applyNumberFormat="1">
      <alignment horizontal="center" readingOrder="0"/>
    </xf>
    <xf borderId="53" fillId="0" fontId="4" numFmtId="166" xfId="0" applyAlignment="1" applyBorder="1" applyFont="1" applyNumberFormat="1">
      <alignment horizontal="center" readingOrder="0" shrinkToFit="0" vertical="bottom" wrapText="0"/>
    </xf>
    <xf borderId="53" fillId="0" fontId="4" numFmtId="167" xfId="0" applyAlignment="1" applyBorder="1" applyFont="1" applyNumberFormat="1">
      <alignment horizontal="center"/>
    </xf>
    <xf borderId="53" fillId="0" fontId="4" numFmtId="167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shrinkToFit="0" vertical="bottom" wrapText="0"/>
    </xf>
    <xf borderId="23" fillId="0" fontId="39" numFmtId="0" xfId="0" applyAlignment="1" applyBorder="1" applyFont="1">
      <alignment horizontal="center" readingOrder="0" shrinkToFit="0" textRotation="90" vertical="center" wrapText="1"/>
    </xf>
    <xf borderId="23" fillId="0" fontId="39" numFmtId="0" xfId="0" applyAlignment="1" applyBorder="1" applyFont="1">
      <alignment horizontal="center" readingOrder="0" shrinkToFit="0" textRotation="90" vertical="center" wrapText="0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4" fillId="0" fontId="29" numFmtId="0" xfId="0" applyAlignment="1" applyBorder="1" applyFont="1">
      <alignment horizontal="center" shrinkToFit="0" vertical="bottom" wrapText="1"/>
    </xf>
    <xf borderId="28" fillId="0" fontId="29" numFmtId="0" xfId="0" applyAlignment="1" applyBorder="1" applyFont="1">
      <alignment horizontal="center" shrinkToFit="0" vertical="bottom" wrapText="1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4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34" fillId="0" fontId="4" numFmtId="0" xfId="0" applyAlignment="1" applyBorder="1" applyFont="1">
      <alignment horizontal="center" vertical="bottom"/>
    </xf>
    <xf borderId="45" fillId="0" fontId="4" numFmtId="165" xfId="0" applyAlignment="1" applyBorder="1" applyFont="1" applyNumberFormat="1">
      <alignment horizontal="center" readingOrder="0" vertical="bottom"/>
    </xf>
    <xf borderId="0" fillId="18" fontId="40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0" fillId="0" fontId="17" numFmtId="164" xfId="0" applyAlignment="1" applyFont="1" applyNumberFormat="1">
      <alignment horizontal="center"/>
    </xf>
    <xf borderId="0" fillId="0" fontId="41" numFmtId="0" xfId="0" applyAlignment="1" applyFont="1">
      <alignment horizontal="center"/>
    </xf>
    <xf borderId="0" fillId="0" fontId="17" numFmtId="49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16" fillId="0" fontId="28" numFmtId="0" xfId="0" applyAlignment="1" applyBorder="1" applyFont="1">
      <alignment horizontal="center" readingOrder="0"/>
    </xf>
    <xf borderId="32" fillId="0" fontId="28" numFmtId="0" xfId="0" applyAlignment="1" applyBorder="1" applyFont="1">
      <alignment horizontal="center" readingOrder="0"/>
    </xf>
    <xf borderId="33" fillId="0" fontId="28" numFmtId="0" xfId="0" applyAlignment="1" applyBorder="1" applyFont="1">
      <alignment horizontal="center" readingOrder="0"/>
    </xf>
    <xf borderId="0" fillId="27" fontId="17" numFmtId="164" xfId="0" applyAlignment="1" applyFill="1" applyFont="1" applyNumberFormat="1">
      <alignment horizontal="center"/>
    </xf>
    <xf borderId="0" fillId="0" fontId="17" numFmtId="14" xfId="0" applyAlignment="1" applyFont="1" applyNumberFormat="1">
      <alignment horizontal="center"/>
    </xf>
    <xf borderId="45" fillId="0" fontId="28" numFmtId="0" xfId="0" applyAlignment="1" applyBorder="1" applyFont="1">
      <alignment horizontal="center" readingOrder="0"/>
    </xf>
    <xf borderId="0" fillId="0" fontId="28" numFmtId="0" xfId="0" applyAlignment="1" applyFont="1">
      <alignment horizontal="center"/>
    </xf>
    <xf borderId="34" fillId="0" fontId="28" numFmtId="164" xfId="0" applyAlignment="1" applyBorder="1" applyFont="1" applyNumberFormat="1">
      <alignment horizontal="center"/>
    </xf>
    <xf borderId="0" fillId="18" fontId="41" numFmtId="164" xfId="0" applyAlignment="1" applyFont="1" applyNumberFormat="1">
      <alignment horizontal="center"/>
    </xf>
    <xf borderId="0" fillId="27" fontId="17" numFmtId="0" xfId="0" applyAlignment="1" applyFont="1">
      <alignment horizontal="center"/>
    </xf>
    <xf borderId="45" fillId="0" fontId="17" numFmtId="164" xfId="0" applyAlignment="1" applyBorder="1" applyFont="1" applyNumberFormat="1">
      <alignment horizontal="center"/>
    </xf>
    <xf borderId="34" fillId="0" fontId="17" numFmtId="164" xfId="0" applyAlignment="1" applyBorder="1" applyFont="1" applyNumberFormat="1">
      <alignment horizontal="center"/>
    </xf>
    <xf borderId="24" fillId="0" fontId="17" numFmtId="164" xfId="0" applyAlignment="1" applyBorder="1" applyFont="1" applyNumberFormat="1">
      <alignment horizontal="center"/>
    </xf>
    <xf borderId="23" fillId="18" fontId="41" numFmtId="0" xfId="0" applyAlignment="1" applyBorder="1" applyFont="1">
      <alignment horizontal="center"/>
    </xf>
    <xf borderId="28" fillId="0" fontId="17" numFmtId="164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 readingOrder="0"/>
    </xf>
    <xf borderId="32" fillId="0" fontId="17" numFmtId="0" xfId="0" applyAlignment="1" applyBorder="1" applyFont="1">
      <alignment horizontal="center" readingOrder="0"/>
    </xf>
    <xf borderId="33" fillId="0" fontId="17" numFmtId="164" xfId="0" applyAlignment="1" applyBorder="1" applyFont="1" applyNumberFormat="1">
      <alignment horizontal="center"/>
    </xf>
    <xf borderId="45" fillId="0" fontId="17" numFmtId="0" xfId="0" applyAlignment="1" applyBorder="1" applyFont="1">
      <alignment horizontal="center"/>
    </xf>
    <xf borderId="45" fillId="18" fontId="41" numFmtId="0" xfId="0" applyAlignment="1" applyBorder="1" applyFont="1">
      <alignment horizontal="center"/>
    </xf>
    <xf borderId="24" fillId="0" fontId="17" numFmtId="0" xfId="0" applyAlignment="1" applyBorder="1" applyFont="1">
      <alignment horizontal="center"/>
    </xf>
    <xf borderId="23" fillId="0" fontId="17" numFmtId="0" xfId="0" applyAlignment="1" applyBorder="1" applyFont="1">
      <alignment horizontal="center" readingOrder="0"/>
    </xf>
    <xf borderId="45" fillId="0" fontId="17" numFmtId="0" xfId="0" applyAlignment="1" applyBorder="1" applyFont="1">
      <alignment horizontal="center" readingOrder="0"/>
    </xf>
    <xf borderId="0" fillId="0" fontId="17" numFmtId="165" xfId="0" applyAlignment="1" applyFont="1" applyNumberFormat="1">
      <alignment horizontal="center"/>
    </xf>
    <xf borderId="24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/>
    </xf>
    <xf borderId="0" fillId="0" fontId="17" numFmtId="168" xfId="0" applyAlignment="1" applyFont="1" applyNumberFormat="1">
      <alignment horizontal="center"/>
    </xf>
  </cellXfs>
  <cellStyles count="1">
    <cellStyle xfId="0" name="Normal" builtinId="0"/>
  </cellStyles>
  <dxfs count="10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8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>
        <f>SUMIF('in-situ Acer outplants'!A:A,A17,'in-situ Acer outplants'!H:H)+'Restoration deliverables summar'!D24</f>
        <v>26084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>
        <f t="shared" si="1"/>
        <v>45862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19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27" t="s">
        <v>10</v>
      </c>
      <c r="B19" s="28">
        <f t="shared" ref="B19:K19" si="3">SUM(B3:B18)</f>
        <v>127887</v>
      </c>
      <c r="C19" s="29">
        <f t="shared" si="3"/>
        <v>47132</v>
      </c>
      <c r="D19" s="29">
        <f t="shared" si="3"/>
        <v>32846</v>
      </c>
      <c r="E19" s="29">
        <f t="shared" si="3"/>
        <v>5082</v>
      </c>
      <c r="F19" s="29">
        <f t="shared" si="3"/>
        <v>61</v>
      </c>
      <c r="G19" s="29">
        <f t="shared" si="3"/>
        <v>2729</v>
      </c>
      <c r="H19" s="30">
        <f t="shared" si="3"/>
        <v>215737</v>
      </c>
      <c r="I19" s="28">
        <f t="shared" si="3"/>
        <v>4246</v>
      </c>
      <c r="J19" s="29">
        <f t="shared" si="3"/>
        <v>1240</v>
      </c>
      <c r="K19" s="29">
        <f t="shared" si="3"/>
        <v>0</v>
      </c>
      <c r="L19" s="31">
        <f t="shared" si="2"/>
        <v>5486</v>
      </c>
    </row>
    <row r="20" ht="18.0" customHeight="1">
      <c r="A20" s="32"/>
      <c r="B20" s="33">
        <f>B19-3955</f>
        <v>123932</v>
      </c>
      <c r="C20" s="34" t="s">
        <v>11</v>
      </c>
      <c r="D20" s="35"/>
      <c r="E20" s="35"/>
      <c r="F20" s="35"/>
      <c r="G20" s="35"/>
      <c r="H20" s="36" t="s">
        <v>12</v>
      </c>
      <c r="I20" s="36"/>
      <c r="J20" s="36"/>
      <c r="K20" s="36"/>
      <c r="L20" s="36"/>
    </row>
    <row r="21" ht="18.0" customHeight="1">
      <c r="A21" s="32"/>
      <c r="B21" s="36"/>
      <c r="C21" s="36"/>
      <c r="D21" s="36"/>
      <c r="E21" s="36"/>
      <c r="F21" s="36"/>
      <c r="G21" s="36"/>
      <c r="H21" s="36" t="s">
        <v>13</v>
      </c>
      <c r="I21" s="36"/>
      <c r="J21" s="36"/>
      <c r="K21" s="36"/>
      <c r="L21" s="36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37" t="s">
        <v>14</v>
      </c>
      <c r="B1" s="38" t="s">
        <v>15</v>
      </c>
      <c r="C1" s="39" t="s">
        <v>16</v>
      </c>
      <c r="D1" s="40" t="s">
        <v>17</v>
      </c>
      <c r="E1" s="41" t="s">
        <v>6</v>
      </c>
      <c r="F1" s="42" t="s">
        <v>18</v>
      </c>
      <c r="G1" s="43" t="s">
        <v>19</v>
      </c>
      <c r="H1" s="40" t="s">
        <v>20</v>
      </c>
      <c r="I1" s="40" t="s">
        <v>21</v>
      </c>
      <c r="J1" s="43" t="s">
        <v>22</v>
      </c>
      <c r="K1" s="44" t="s">
        <v>8</v>
      </c>
      <c r="L1" s="45" t="s">
        <v>5</v>
      </c>
      <c r="M1" s="40" t="s">
        <v>23</v>
      </c>
      <c r="N1" s="43" t="s">
        <v>24</v>
      </c>
      <c r="O1" s="46" t="s">
        <v>7</v>
      </c>
      <c r="P1" s="47" t="s">
        <v>25</v>
      </c>
      <c r="Q1" s="48" t="s">
        <v>26</v>
      </c>
      <c r="R1" s="49" t="s">
        <v>27</v>
      </c>
      <c r="S1" s="50"/>
      <c r="T1" s="50"/>
      <c r="U1" s="50"/>
      <c r="V1" s="50"/>
    </row>
    <row r="2">
      <c r="A2" s="51">
        <v>39177.0</v>
      </c>
      <c r="B2" s="51">
        <v>39813.0</v>
      </c>
      <c r="C2" s="52" t="s">
        <v>28</v>
      </c>
      <c r="D2" s="53">
        <f>SUMIFS('in-situ Acer outplants'!$H:$H,'in-situ Acer outplants'!$G:$G, $C2)</f>
        <v>112</v>
      </c>
      <c r="E2" s="54">
        <f>SUMIFS('ex-situ Acer outplants'!$H:$H,'ex-situ Acer outplants'!$G:$G, $C2)</f>
        <v>0</v>
      </c>
      <c r="F2" s="53">
        <f>SUMIFS('Upper Keys Outplants'!$I:$I, 'Upper Keys Outplants'!$G:$G,$C2)</f>
        <v>0</v>
      </c>
      <c r="G2" s="55" t="s">
        <v>29</v>
      </c>
      <c r="H2" s="53">
        <f>SUMIFS('ex-situ Apal outplants'!$H:$H,'ex-situ Apal outplants'!$G:$G, $C2)</f>
        <v>0</v>
      </c>
      <c r="I2" s="53">
        <f>SUMIFS('Upper Keys Outplants'!$J:$J, 'Upper Keys Outplants'!$G:$G,$C2)</f>
        <v>0</v>
      </c>
      <c r="J2" s="55" t="s">
        <v>29</v>
      </c>
      <c r="K2" s="56">
        <f>SUMIFS('in-situ Massive outplants'!$H:$H,'in-situ Massive outplants'!$G:$G, $C2)</f>
        <v>0</v>
      </c>
      <c r="L2" s="53">
        <f>SUMIFS('ex-situ Massive outplants'!$H:$H,'ex-situ Massive outplants'!$G:$G, $C2)</f>
        <v>0</v>
      </c>
      <c r="M2" s="53">
        <f t="array" ref="M2">IFNA(SUM(INDEX('Upper Keys Outplants'!$K:$O, MATCH($C2,'Upper Keys Outplants'!$G:$G,0))),0)</f>
        <v>0</v>
      </c>
      <c r="N2" s="55" t="s">
        <v>29</v>
      </c>
      <c r="O2" s="53">
        <f>SUMIFS('in-situ Apal outplants'!$H:$H,'in-situ Apal outplants'!$G:$G, $C2)</f>
        <v>0</v>
      </c>
      <c r="P2" s="57">
        <f t="shared" ref="P2:P15" si="1">SUM(D2:O2)</f>
        <v>112</v>
      </c>
      <c r="Q2" s="58">
        <v>112.0</v>
      </c>
      <c r="R2" s="59"/>
      <c r="S2" s="50"/>
      <c r="T2" s="50"/>
      <c r="U2" s="50"/>
      <c r="V2" s="50"/>
    </row>
    <row r="3">
      <c r="A3" s="51">
        <v>40058.0</v>
      </c>
      <c r="B3" s="51">
        <v>41274.0</v>
      </c>
      <c r="C3" s="52" t="s">
        <v>30</v>
      </c>
      <c r="D3" s="53">
        <f>SUMIFS('in-situ Acer outplants'!$H:$H,'in-situ Acer outplants'!$G:$G, $C3)</f>
        <v>600</v>
      </c>
      <c r="E3" s="54">
        <f>SUMIFS('ex-situ Acer outplants'!$H:$H,'ex-situ Acer outplants'!$G:$G, $C3)</f>
        <v>0</v>
      </c>
      <c r="F3" s="53">
        <f>SUMIFS('Upper Keys Outplants'!$I:$I, 'Upper Keys Outplants'!$G:$G,$C3)</f>
        <v>0</v>
      </c>
      <c r="G3" s="55" t="s">
        <v>29</v>
      </c>
      <c r="H3" s="53">
        <f>SUMIFS('ex-situ Apal outplants'!$H:$H,'ex-situ Apal outplants'!$G:$G, $C3)</f>
        <v>0</v>
      </c>
      <c r="I3" s="53">
        <f>SUMIFS('Upper Keys Outplants'!$J:$J, 'Upper Keys Outplants'!$G:$G,$C3)</f>
        <v>0</v>
      </c>
      <c r="J3" s="55" t="s">
        <v>29</v>
      </c>
      <c r="K3" s="56">
        <f>SUMIFS('in-situ Massive outplants'!$H:$H,'in-situ Massive outplants'!$G:$G, $C3)</f>
        <v>0</v>
      </c>
      <c r="L3" s="53">
        <f>SUMIFS('ex-situ Massive outplants'!$H:$H,'ex-situ Massive outplants'!$G:$G, $C3)</f>
        <v>0</v>
      </c>
      <c r="M3" s="53">
        <f t="array" ref="M3">IFNA(SUM(INDEX('Upper Keys Outplants'!$K:$O, MATCH($C3,'Upper Keys Outplants'!$G:$G,0))),0)</f>
        <v>0</v>
      </c>
      <c r="N3" s="55" t="s">
        <v>29</v>
      </c>
      <c r="O3" s="53">
        <f>SUMIFS('in-situ Apal outplants'!$H:$H,'in-situ Apal outplants'!$G:$G, $C3)</f>
        <v>0</v>
      </c>
      <c r="P3" s="60">
        <f t="shared" si="1"/>
        <v>600</v>
      </c>
      <c r="Q3" s="61">
        <v>600.0</v>
      </c>
      <c r="R3" s="59"/>
      <c r="S3" s="50"/>
      <c r="T3" s="50"/>
      <c r="U3" s="50"/>
      <c r="V3" s="50"/>
    </row>
    <row r="4">
      <c r="A4" s="51">
        <v>41425.0</v>
      </c>
      <c r="B4" s="51">
        <v>42185.0</v>
      </c>
      <c r="C4" s="52" t="s">
        <v>31</v>
      </c>
      <c r="D4" s="53">
        <f>SUMIFS('in-situ Acer outplants'!$H:$H,'in-situ Acer outplants'!$G:$G, $C4)</f>
        <v>2067</v>
      </c>
      <c r="E4" s="54">
        <f>SUMIFS('ex-situ Acer outplants'!$H:$H,'ex-situ Acer outplants'!$G:$G, $C4)</f>
        <v>0</v>
      </c>
      <c r="F4" s="53">
        <f>SUMIFS('Upper Keys Outplants'!$I:$I, 'Upper Keys Outplants'!$G:$G,$C4)</f>
        <v>0</v>
      </c>
      <c r="G4" s="55" t="s">
        <v>29</v>
      </c>
      <c r="H4" s="53">
        <f>SUMIFS('ex-situ Apal outplants'!$H:$H,'ex-situ Apal outplants'!$G:$G, $C4)</f>
        <v>0</v>
      </c>
      <c r="I4" s="53">
        <f>SUMIFS('Upper Keys Outplants'!$J:$J, 'Upper Keys Outplants'!$G:$G,$C4)</f>
        <v>0</v>
      </c>
      <c r="J4" s="55" t="s">
        <v>29</v>
      </c>
      <c r="K4" s="56">
        <f>SUMIFS('in-situ Massive outplants'!$H:$H,'in-situ Massive outplants'!$G:$G, $C4)</f>
        <v>0</v>
      </c>
      <c r="L4" s="53">
        <f>SUMIFS('ex-situ Massive outplants'!$H:$H,'ex-situ Massive outplants'!$G:$G, $C4)</f>
        <v>0</v>
      </c>
      <c r="M4" s="53">
        <f t="array" ref="M4">IFNA(SUM(INDEX('Upper Keys Outplants'!$K:$O, MATCH($C4,'Upper Keys Outplants'!$G:$G,0))),0)</f>
        <v>0</v>
      </c>
      <c r="N4" s="55" t="s">
        <v>29</v>
      </c>
      <c r="O4" s="53">
        <f>SUMIFS('in-situ Apal outplants'!$H:$H,'in-situ Apal outplants'!$G:$G, $C4)</f>
        <v>0</v>
      </c>
      <c r="P4" s="60">
        <f t="shared" si="1"/>
        <v>2067</v>
      </c>
      <c r="Q4" s="61">
        <v>1450.0</v>
      </c>
      <c r="R4" s="59"/>
      <c r="S4" s="50"/>
      <c r="T4" s="50"/>
      <c r="U4" s="50"/>
      <c r="V4" s="50"/>
    </row>
    <row r="5">
      <c r="A5" s="51" t="s">
        <v>32</v>
      </c>
      <c r="B5" s="51" t="s">
        <v>32</v>
      </c>
      <c r="C5" s="52" t="s">
        <v>33</v>
      </c>
      <c r="D5" s="53">
        <f>SUMIFS('in-situ Acer outplants'!$H:$H,'in-situ Acer outplants'!$G:$G, $C5)</f>
        <v>1080</v>
      </c>
      <c r="E5" s="54">
        <f>SUMIFS('ex-situ Acer outplants'!$H:$H,'ex-situ Acer outplants'!$G:$G, $C5)</f>
        <v>0</v>
      </c>
      <c r="F5" s="53">
        <f>SUMIFS('Upper Keys Outplants'!$I:$I, 'Upper Keys Outplants'!$G:$G,$C5)</f>
        <v>0</v>
      </c>
      <c r="G5" s="55" t="s">
        <v>29</v>
      </c>
      <c r="H5" s="53">
        <f>SUMIFS('ex-situ Apal outplants'!$H:$H,'ex-situ Apal outplants'!$G:$G, $C5)</f>
        <v>334</v>
      </c>
      <c r="I5" s="53">
        <f>SUMIFS('Upper Keys Outplants'!$J:$J, 'Upper Keys Outplants'!$G:$G,$C5)</f>
        <v>0</v>
      </c>
      <c r="J5" s="55" t="s">
        <v>29</v>
      </c>
      <c r="K5" s="56">
        <f>SUMIFS('in-situ Massive outplants'!$H:$H,'in-situ Massive outplants'!$G:$G, $C5)</f>
        <v>0</v>
      </c>
      <c r="L5" s="53">
        <f>SUMIFS('ex-situ Massive outplants'!$H:$H,'ex-situ Massive outplants'!$G:$G, $C5)</f>
        <v>17369</v>
      </c>
      <c r="M5" s="53">
        <f t="array" ref="M5">IFNA(SUM(INDEX('Upper Keys Outplants'!$K:$O, MATCH($C5,'Upper Keys Outplants'!$G:$G,0))),0)</f>
        <v>0</v>
      </c>
      <c r="N5" s="55" t="s">
        <v>29</v>
      </c>
      <c r="O5" s="53">
        <f>SUMIFS('in-situ Apal outplants'!$H:$H,'in-situ Apal outplants'!$G:$G, $C5)</f>
        <v>61</v>
      </c>
      <c r="P5" s="60">
        <f t="shared" si="1"/>
        <v>18844</v>
      </c>
      <c r="Q5" s="61">
        <f>P5</f>
        <v>18844</v>
      </c>
      <c r="R5" s="59"/>
      <c r="S5" s="50"/>
      <c r="T5" s="50"/>
      <c r="U5" s="50"/>
      <c r="V5" s="50"/>
    </row>
    <row r="6">
      <c r="A6" s="51">
        <v>41927.0</v>
      </c>
      <c r="B6" s="51">
        <v>42277.0</v>
      </c>
      <c r="C6" s="52" t="s">
        <v>34</v>
      </c>
      <c r="D6" s="53">
        <f>SUMIFS('in-situ Acer outplants'!$H:$H,'in-situ Acer outplants'!$G:$G, $C6)</f>
        <v>6000</v>
      </c>
      <c r="E6" s="54">
        <f>SUMIFS('ex-situ Acer outplants'!$H:$H,'ex-situ Acer outplants'!$G:$G, $C6)</f>
        <v>0</v>
      </c>
      <c r="F6" s="53">
        <f>SUMIFS('Upper Keys Outplants'!$I:$I, 'Upper Keys Outplants'!$G:$G,$C6)</f>
        <v>0</v>
      </c>
      <c r="G6" s="55" t="s">
        <v>29</v>
      </c>
      <c r="H6" s="53">
        <f>SUMIFS('ex-situ Apal outplants'!$H:$H,'ex-situ Apal outplants'!$G:$G, $C6)</f>
        <v>0</v>
      </c>
      <c r="I6" s="53">
        <f>SUMIFS('Upper Keys Outplants'!$J:$J, 'Upper Keys Outplants'!$G:$G,$C6)</f>
        <v>0</v>
      </c>
      <c r="J6" s="55" t="s">
        <v>29</v>
      </c>
      <c r="K6" s="56">
        <f>SUMIFS('in-situ Massive outplants'!$H:$H,'in-situ Massive outplants'!$G:$G, $C6)</f>
        <v>0</v>
      </c>
      <c r="L6" s="53">
        <f>SUMIFS('ex-situ Massive outplants'!$H:$H,'ex-situ Massive outplants'!$G:$G, $C6)</f>
        <v>0</v>
      </c>
      <c r="M6" s="53">
        <f t="array" ref="M6">IFNA(SUM(INDEX('Upper Keys Outplants'!$K:$O, MATCH($C6,'Upper Keys Outplants'!$G:$G,0))),0)</f>
        <v>0</v>
      </c>
      <c r="N6" s="55" t="s">
        <v>29</v>
      </c>
      <c r="O6" s="53">
        <f>SUMIFS('in-situ Apal outplants'!$H:$H,'in-situ Apal outplants'!$G:$G, $C6)</f>
        <v>0</v>
      </c>
      <c r="P6" s="60">
        <f t="shared" si="1"/>
        <v>6000</v>
      </c>
      <c r="Q6" s="61">
        <v>6000.0</v>
      </c>
      <c r="R6" s="59"/>
      <c r="S6" s="50"/>
      <c r="T6" s="50"/>
      <c r="U6" s="50"/>
      <c r="V6" s="50"/>
    </row>
    <row r="7">
      <c r="A7" s="51">
        <v>42353.0</v>
      </c>
      <c r="B7" s="51">
        <v>43799.0</v>
      </c>
      <c r="C7" s="52" t="s">
        <v>35</v>
      </c>
      <c r="D7" s="53">
        <f>SUMIFS('in-situ Acer outplants'!$H:$H,'in-situ Acer outplants'!$G:$G, $C7)</f>
        <v>60</v>
      </c>
      <c r="E7" s="54">
        <f>SUMIFS('ex-situ Acer outplants'!$H:$H,'ex-situ Acer outplants'!$G:$G, $C7)</f>
        <v>0</v>
      </c>
      <c r="F7" s="53">
        <f>SUMIFS('Upper Keys Outplants'!$I:$I, 'Upper Keys Outplants'!$G:$G,$C7)</f>
        <v>0</v>
      </c>
      <c r="G7" s="55" t="s">
        <v>29</v>
      </c>
      <c r="H7" s="53">
        <f>SUMIFS('ex-situ Apal outplants'!$H:$H,'ex-situ Apal outplants'!$G:$G, $C7)</f>
        <v>0</v>
      </c>
      <c r="I7" s="53">
        <f>SUMIFS('Upper Keys Outplants'!$J:$J, 'Upper Keys Outplants'!$G:$G,$C7)</f>
        <v>0</v>
      </c>
      <c r="J7" s="55" t="s">
        <v>29</v>
      </c>
      <c r="K7" s="56">
        <f>SUMIFS('in-situ Massive outplants'!$H:$H,'in-situ Massive outplants'!$G:$G, $C7)</f>
        <v>180</v>
      </c>
      <c r="L7" s="53">
        <f>SUMIFS('ex-situ Massive outplants'!$H:$H,'ex-situ Massive outplants'!$G:$G, $C7)</f>
        <v>0</v>
      </c>
      <c r="M7" s="53">
        <f t="array" ref="M7">IFNA(SUM(INDEX('Upper Keys Outplants'!$K:$O, MATCH($C7,'Upper Keys Outplants'!$G:$G,0))),0)</f>
        <v>0</v>
      </c>
      <c r="N7" s="55" t="s">
        <v>29</v>
      </c>
      <c r="O7" s="53">
        <f>SUMIFS('in-situ Apal outplants'!$H:$H,'in-situ Apal outplants'!$G:$G, $C7)</f>
        <v>0</v>
      </c>
      <c r="P7" s="60">
        <f t="shared" si="1"/>
        <v>240</v>
      </c>
      <c r="Q7" s="61">
        <v>240.0</v>
      </c>
      <c r="R7" s="62" t="s">
        <v>36</v>
      </c>
      <c r="S7" s="50"/>
      <c r="T7" s="50"/>
      <c r="U7" s="50"/>
      <c r="V7" s="50"/>
    </row>
    <row r="8">
      <c r="A8" s="51">
        <v>42298.0</v>
      </c>
      <c r="B8" s="51">
        <v>42643.0</v>
      </c>
      <c r="C8" s="52" t="s">
        <v>37</v>
      </c>
      <c r="D8" s="53">
        <f>SUMIFS('in-situ Acer outplants'!$H:$H,'in-situ Acer outplants'!$G:$G, $C8)</f>
        <v>6000</v>
      </c>
      <c r="E8" s="54">
        <f>SUMIFS('ex-situ Acer outplants'!$H:$H,'ex-situ Acer outplants'!$G:$G, $C8)</f>
        <v>0</v>
      </c>
      <c r="F8" s="53">
        <f>SUMIFS('Upper Keys Outplants'!$I:$I, 'Upper Keys Outplants'!$G:$G,$C8)</f>
        <v>0</v>
      </c>
      <c r="G8" s="55" t="s">
        <v>29</v>
      </c>
      <c r="H8" s="53">
        <f>SUMIFS('ex-situ Apal outplants'!$H:$H,'ex-situ Apal outplants'!$G:$G, $C8)</f>
        <v>0</v>
      </c>
      <c r="I8" s="53">
        <f>SUMIFS('Upper Keys Outplants'!$J:$J, 'Upper Keys Outplants'!$G:$G,$C8)</f>
        <v>0</v>
      </c>
      <c r="J8" s="55" t="s">
        <v>29</v>
      </c>
      <c r="K8" s="56">
        <f>SUMIFS('in-situ Massive outplants'!$H:$H,'in-situ Massive outplants'!$G:$G, $C8)</f>
        <v>0</v>
      </c>
      <c r="L8" s="53">
        <f>SUMIFS('ex-situ Massive outplants'!$H:$H,'ex-situ Massive outplants'!$G:$G, $C8)</f>
        <v>0</v>
      </c>
      <c r="M8" s="53">
        <f t="array" ref="M8">IFNA(SUM(INDEX('Upper Keys Outplants'!$K:$O, MATCH($C8,'Upper Keys Outplants'!$G:$G,0))),0)</f>
        <v>0</v>
      </c>
      <c r="N8" s="55" t="s">
        <v>29</v>
      </c>
      <c r="O8" s="53">
        <f>SUMIFS('in-situ Apal outplants'!$H:$H,'in-situ Apal outplants'!$G:$G, $C8)</f>
        <v>0</v>
      </c>
      <c r="P8" s="60">
        <f t="shared" si="1"/>
        <v>6000</v>
      </c>
      <c r="Q8" s="61">
        <v>6000.0</v>
      </c>
      <c r="R8" s="59"/>
      <c r="S8" s="50"/>
      <c r="T8" s="50"/>
      <c r="U8" s="50"/>
      <c r="V8" s="50"/>
    </row>
    <row r="9">
      <c r="A9" s="51">
        <v>42662.0</v>
      </c>
      <c r="B9" s="51">
        <v>43008.0</v>
      </c>
      <c r="C9" s="52" t="s">
        <v>38</v>
      </c>
      <c r="D9" s="53">
        <f>SUMIFS('in-situ Acer outplants'!$H:$H,'in-situ Acer outplants'!$G:$G, $C9)</f>
        <v>4500</v>
      </c>
      <c r="E9" s="54">
        <f>SUMIFS('ex-situ Acer outplants'!$H:$H,'ex-situ Acer outplants'!$G:$G, $C9)</f>
        <v>0</v>
      </c>
      <c r="F9" s="53">
        <f>SUMIFS('Upper Keys Outplants'!$I:$I, 'Upper Keys Outplants'!$G:$G,$C9)</f>
        <v>0</v>
      </c>
      <c r="G9" s="55" t="s">
        <v>29</v>
      </c>
      <c r="H9" s="53">
        <f>SUMIFS('ex-situ Apal outplants'!$H:$H,'ex-situ Apal outplants'!$G:$G, $C9)</f>
        <v>0</v>
      </c>
      <c r="I9" s="53">
        <f>SUMIFS('Upper Keys Outplants'!$J:$J, 'Upper Keys Outplants'!$G:$G,$C9)</f>
        <v>0</v>
      </c>
      <c r="J9" s="55" t="s">
        <v>29</v>
      </c>
      <c r="K9" s="56">
        <f>SUMIFS('in-situ Massive outplants'!$H:$H,'in-situ Massive outplants'!$G:$G, $C9)</f>
        <v>0</v>
      </c>
      <c r="L9" s="53">
        <f>SUMIFS('ex-situ Massive outplants'!$H:$H,'ex-situ Massive outplants'!$G:$G, $C9)</f>
        <v>0</v>
      </c>
      <c r="M9" s="53">
        <f t="array" ref="M9">IFNA(SUM(INDEX('Upper Keys Outplants'!$K:$O, MATCH($C9,'Upper Keys Outplants'!$G:$G,0))),0)</f>
        <v>0</v>
      </c>
      <c r="N9" s="55" t="s">
        <v>29</v>
      </c>
      <c r="O9" s="53">
        <f>SUMIFS('in-situ Apal outplants'!$H:$H,'in-situ Apal outplants'!$G:$G, $C9)</f>
        <v>0</v>
      </c>
      <c r="P9" s="60">
        <f t="shared" si="1"/>
        <v>4500</v>
      </c>
      <c r="Q9" s="61">
        <v>4500.0</v>
      </c>
      <c r="R9" s="59"/>
      <c r="S9" s="50"/>
      <c r="T9" s="50"/>
      <c r="U9" s="50"/>
      <c r="V9" s="50"/>
    </row>
    <row r="10">
      <c r="A10" s="63" t="s">
        <v>32</v>
      </c>
      <c r="B10" s="63" t="s">
        <v>32</v>
      </c>
      <c r="C10" s="52" t="s">
        <v>39</v>
      </c>
      <c r="D10" s="53">
        <f>SUMIFS('in-situ Acer outplants'!$H:$H,'in-situ Acer outplants'!$G:$G, $C10)</f>
        <v>850</v>
      </c>
      <c r="E10" s="54">
        <f>SUMIFS('ex-situ Acer outplants'!$H:$H,'ex-situ Acer outplants'!$G:$G, $C10)</f>
        <v>0</v>
      </c>
      <c r="F10" s="53">
        <f>SUMIFS('Upper Keys Outplants'!$I:$I, 'Upper Keys Outplants'!$G:$G,$C10)</f>
        <v>0</v>
      </c>
      <c r="G10" s="55" t="s">
        <v>29</v>
      </c>
      <c r="H10" s="53">
        <f>SUMIFS('ex-situ Apal outplants'!$H:$H,'ex-situ Apal outplants'!$G:$G, $C10)</f>
        <v>0</v>
      </c>
      <c r="I10" s="53">
        <f>SUMIFS('Upper Keys Outplants'!$J:$J, 'Upper Keys Outplants'!$G:$G,$C10)</f>
        <v>0</v>
      </c>
      <c r="J10" s="55" t="s">
        <v>29</v>
      </c>
      <c r="K10" s="56">
        <f>SUMIFS('in-situ Massive outplants'!$H:$H,'in-situ Massive outplants'!$G:$G, $C10)</f>
        <v>0</v>
      </c>
      <c r="L10" s="53">
        <f>SUMIFS('ex-situ Massive outplants'!$H:$H,'ex-situ Massive outplants'!$G:$G, $C10)</f>
        <v>0</v>
      </c>
      <c r="M10" s="53">
        <f t="array" ref="M10">IFNA(SUM(INDEX('Upper Keys Outplants'!$K:$O, MATCH($C10,'Upper Keys Outplants'!$G:$G,0))),0)</f>
        <v>0</v>
      </c>
      <c r="N10" s="55" t="s">
        <v>29</v>
      </c>
      <c r="O10" s="53">
        <f>SUMIFS('in-situ Apal outplants'!$H:$H,'in-situ Apal outplants'!$G:$G, $C10)</f>
        <v>0</v>
      </c>
      <c r="P10" s="60">
        <f t="shared" si="1"/>
        <v>850</v>
      </c>
      <c r="Q10" s="61">
        <f>P10</f>
        <v>850</v>
      </c>
      <c r="R10" s="62" t="s">
        <v>40</v>
      </c>
      <c r="S10" s="50"/>
      <c r="T10" s="50"/>
      <c r="U10" s="50"/>
      <c r="V10" s="50"/>
    </row>
    <row r="11">
      <c r="A11" s="51">
        <v>43130.0</v>
      </c>
      <c r="B11" s="51">
        <v>43646.0</v>
      </c>
      <c r="C11" s="52" t="s">
        <v>41</v>
      </c>
      <c r="D11" s="53">
        <f>SUMIFS('in-situ Acer outplants'!$H:$H,'in-situ Acer outplants'!$G:$G, $C11)</f>
        <v>12595</v>
      </c>
      <c r="E11" s="54">
        <f>SUMIFS('ex-situ Acer outplants'!$H:$H,'ex-situ Acer outplants'!$G:$G, $C11)</f>
        <v>0</v>
      </c>
      <c r="F11" s="53">
        <f>SUMIFS('Upper Keys Outplants'!$I:$I, 'Upper Keys Outplants'!$G:$G,$C11)</f>
        <v>0</v>
      </c>
      <c r="G11" s="55" t="s">
        <v>29</v>
      </c>
      <c r="H11" s="53">
        <f>SUMIFS('ex-situ Apal outplants'!$H:$H,'ex-situ Apal outplants'!$G:$G, $C11)</f>
        <v>2135</v>
      </c>
      <c r="I11" s="53">
        <f>SUMIFS('Upper Keys Outplants'!$J:$J, 'Upper Keys Outplants'!$G:$G,$C11)</f>
        <v>0</v>
      </c>
      <c r="J11" s="55" t="s">
        <v>29</v>
      </c>
      <c r="K11" s="56">
        <f>SUMIFS('in-situ Massive outplants'!$H:$H,'in-situ Massive outplants'!$G:$G, $C11)</f>
        <v>0</v>
      </c>
      <c r="L11" s="53">
        <f>SUMIFS('ex-situ Massive outplants'!$H:$H,'ex-situ Massive outplants'!$G:$G, $C11)</f>
        <v>2285</v>
      </c>
      <c r="M11" s="53">
        <f t="array" ref="M11">IFNA(SUM(INDEX('Upper Keys Outplants'!$K:$O, MATCH($C11,'Upper Keys Outplants'!$G:$G,0))),0)</f>
        <v>0</v>
      </c>
      <c r="N11" s="55" t="s">
        <v>29</v>
      </c>
      <c r="O11" s="53">
        <f>SUMIFS('in-situ Apal outplants'!$H:$H,'in-situ Apal outplants'!$G:$G, $C11)</f>
        <v>0</v>
      </c>
      <c r="P11" s="60">
        <f t="shared" si="1"/>
        <v>17015</v>
      </c>
      <c r="Q11" s="61">
        <v>17000.0</v>
      </c>
      <c r="R11" s="62" t="s">
        <v>42</v>
      </c>
      <c r="S11" s="50"/>
      <c r="T11" s="50"/>
      <c r="U11" s="50"/>
      <c r="V11" s="50"/>
    </row>
    <row r="12">
      <c r="A12" s="51">
        <v>43081.0</v>
      </c>
      <c r="B12" s="51">
        <v>43373.0</v>
      </c>
      <c r="C12" s="52" t="s">
        <v>43</v>
      </c>
      <c r="D12" s="53">
        <f>SUMIFS('in-situ Acer outplants'!$H:$H,'in-situ Acer outplants'!$G:$G, $C12)</f>
        <v>1800</v>
      </c>
      <c r="E12" s="54">
        <f>SUMIFS('ex-situ Acer outplants'!$H:$H,'ex-situ Acer outplants'!$G:$G, $C12)</f>
        <v>0</v>
      </c>
      <c r="F12" s="53">
        <f>SUMIFS('Upper Keys Outplants'!$I:$I, 'Upper Keys Outplants'!$G:$G,$C12)</f>
        <v>0</v>
      </c>
      <c r="G12" s="55" t="s">
        <v>29</v>
      </c>
      <c r="H12" s="53">
        <f>SUMIFS('ex-situ Apal outplants'!$H:$H,'ex-situ Apal outplants'!$G:$G, $C12)</f>
        <v>0</v>
      </c>
      <c r="I12" s="53">
        <f>SUMIFS('Upper Keys Outplants'!$J:$J, 'Upper Keys Outplants'!$G:$G,$C12)</f>
        <v>0</v>
      </c>
      <c r="J12" s="55" t="s">
        <v>29</v>
      </c>
      <c r="K12" s="56">
        <f>SUMIFS('in-situ Massive outplants'!$H:$H,'in-situ Massive outplants'!$G:$G, $C12)</f>
        <v>0</v>
      </c>
      <c r="L12" s="53">
        <f>SUMIFS('ex-situ Massive outplants'!$H:$H,'ex-situ Massive outplants'!$G:$G, $C12)</f>
        <v>1100</v>
      </c>
      <c r="M12" s="53">
        <f t="array" ref="M12">IFNA(SUM(INDEX('Upper Keys Outplants'!$K:$O, MATCH($C12,'Upper Keys Outplants'!$G:$G,0))),0)</f>
        <v>0</v>
      </c>
      <c r="N12" s="55" t="s">
        <v>29</v>
      </c>
      <c r="O12" s="53">
        <f>SUMIFS('in-situ Apal outplants'!$H:$H,'in-situ Apal outplants'!$G:$G, $C12)</f>
        <v>0</v>
      </c>
      <c r="P12" s="60">
        <f t="shared" si="1"/>
        <v>2900</v>
      </c>
      <c r="Q12" s="61">
        <v>3200.0</v>
      </c>
      <c r="R12" s="62" t="s">
        <v>44</v>
      </c>
      <c r="S12" s="50"/>
      <c r="T12" s="50"/>
      <c r="U12" s="50"/>
      <c r="V12" s="50"/>
    </row>
    <row r="13">
      <c r="A13" s="51">
        <v>43082.0</v>
      </c>
      <c r="B13" s="51">
        <v>43373.0</v>
      </c>
      <c r="C13" s="52" t="s">
        <v>45</v>
      </c>
      <c r="D13" s="53">
        <f>SUMIFS('in-situ Acer outplants'!$H:$H,'in-situ Acer outplants'!$G:$G, $C13)</f>
        <v>2250</v>
      </c>
      <c r="E13" s="54">
        <f>SUMIFS('ex-situ Acer outplants'!$H:$H,'ex-situ Acer outplants'!$G:$G, $C13)</f>
        <v>0</v>
      </c>
      <c r="F13" s="53">
        <f>SUMIFS('Upper Keys Outplants'!$I:$I, 'Upper Keys Outplants'!$G:$G,$C13)</f>
        <v>0</v>
      </c>
      <c r="G13" s="55" t="s">
        <v>29</v>
      </c>
      <c r="H13" s="53">
        <f>SUMIFS('ex-situ Apal outplants'!$H:$H,'ex-situ Apal outplants'!$G:$G, $C13)</f>
        <v>0</v>
      </c>
      <c r="I13" s="53">
        <f>SUMIFS('Upper Keys Outplants'!$J:$J, 'Upper Keys Outplants'!$G:$G,$C13)</f>
        <v>0</v>
      </c>
      <c r="J13" s="55" t="s">
        <v>29</v>
      </c>
      <c r="K13" s="56">
        <f>SUMIFS('in-situ Massive outplants'!$H:$H,'in-situ Massive outplants'!$G:$G, $C13)</f>
        <v>0</v>
      </c>
      <c r="L13" s="53">
        <f>SUMIFS('ex-situ Massive outplants'!$H:$H,'ex-situ Massive outplants'!$G:$G, $C13)</f>
        <v>1475</v>
      </c>
      <c r="M13" s="53">
        <f t="array" ref="M13">IFNA(SUM(INDEX('Upper Keys Outplants'!$K:$O, MATCH($C13,'Upper Keys Outplants'!$G:$G,0))),0)</f>
        <v>0</v>
      </c>
      <c r="N13" s="55" t="s">
        <v>29</v>
      </c>
      <c r="O13" s="53">
        <f>SUMIFS('in-situ Apal outplants'!$H:$H,'in-situ Apal outplants'!$G:$G, $C13)</f>
        <v>0</v>
      </c>
      <c r="P13" s="60">
        <f t="shared" si="1"/>
        <v>3725</v>
      </c>
      <c r="Q13" s="61">
        <v>3930.0</v>
      </c>
      <c r="R13" s="62" t="s">
        <v>46</v>
      </c>
      <c r="S13" s="50"/>
      <c r="T13" s="50"/>
      <c r="U13" s="50"/>
      <c r="V13" s="50"/>
    </row>
    <row r="14">
      <c r="A14" s="51">
        <v>43570.0</v>
      </c>
      <c r="B14" s="51">
        <v>44135.0</v>
      </c>
      <c r="C14" s="52" t="s">
        <v>47</v>
      </c>
      <c r="D14" s="53">
        <f>SUMIFS('in-situ Acer outplants'!$H:$H,'in-situ Acer outplants'!$G:$G, $C14)</f>
        <v>14719</v>
      </c>
      <c r="E14" s="54">
        <f>SUMIFS('ex-situ Acer outplants'!$H:$H,'ex-situ Acer outplants'!$G:$G, $C14)</f>
        <v>0</v>
      </c>
      <c r="F14" s="53">
        <f>SUMIFS('Upper Keys Outplants'!$I:$I, 'Upper Keys Outplants'!$G:$G,$C14)</f>
        <v>0</v>
      </c>
      <c r="G14" s="55" t="s">
        <v>29</v>
      </c>
      <c r="H14" s="53">
        <f>SUMIFS('ex-situ Apal outplants'!$H:$H,'ex-situ Apal outplants'!$G:$G, $C14)</f>
        <v>2320</v>
      </c>
      <c r="I14" s="53">
        <f>SUMIFS('Upper Keys Outplants'!$J:$J, 'Upper Keys Outplants'!$G:$G,$C14)</f>
        <v>0</v>
      </c>
      <c r="J14" s="55" t="s">
        <v>29</v>
      </c>
      <c r="K14" s="56">
        <f>SUMIFS('in-situ Massive outplants'!$H:$H,'in-situ Massive outplants'!$G:$G, $C14)</f>
        <v>0</v>
      </c>
      <c r="L14" s="53">
        <f>SUMIFS('ex-situ Massive outplants'!$H:$H,'ex-situ Massive outplants'!$G:$G, $C14)</f>
        <v>967</v>
      </c>
      <c r="M14" s="53">
        <f t="array" ref="M14">IFNA(SUM(INDEX('Upper Keys Outplants'!$K:$O, MATCH($C14,'Upper Keys Outplants'!$G:$G,0))),0)</f>
        <v>0</v>
      </c>
      <c r="N14" s="55" t="s">
        <v>29</v>
      </c>
      <c r="O14" s="53">
        <f>SUMIFS('in-situ Apal outplants'!$H:$H,'in-situ Apal outplants'!$G:$G, $C14)</f>
        <v>0</v>
      </c>
      <c r="P14" s="60">
        <f t="shared" si="1"/>
        <v>18006</v>
      </c>
      <c r="Q14" s="61">
        <v>18000.0</v>
      </c>
      <c r="R14" s="62" t="s">
        <v>48</v>
      </c>
      <c r="S14" s="50"/>
      <c r="T14" s="50"/>
      <c r="U14" s="50"/>
      <c r="V14" s="50"/>
    </row>
    <row r="15">
      <c r="A15" s="51">
        <v>43712.0</v>
      </c>
      <c r="B15" s="51">
        <v>44012.0</v>
      </c>
      <c r="C15" s="52" t="s">
        <v>49</v>
      </c>
      <c r="D15" s="53">
        <f>SUMIFS('in-situ Acer outplants'!$H:$H,'in-situ Acer outplants'!$G:$G, $C15)</f>
        <v>6000</v>
      </c>
      <c r="E15" s="54">
        <f>SUMIFS('ex-situ Acer outplants'!$H:$H,'ex-situ Acer outplants'!$G:$G, $C15)</f>
        <v>0</v>
      </c>
      <c r="F15" s="53">
        <f>SUMIFS('Upper Keys Outplants'!$I:$I, 'Upper Keys Outplants'!$G:$G,$C15)</f>
        <v>0</v>
      </c>
      <c r="G15" s="55" t="s">
        <v>29</v>
      </c>
      <c r="H15" s="53">
        <f>SUMIFS('ex-situ Apal outplants'!$H:$H,'ex-situ Apal outplants'!$G:$G, $C15)</f>
        <v>1220</v>
      </c>
      <c r="I15" s="53">
        <f>SUMIFS('Upper Keys Outplants'!$J:$J, 'Upper Keys Outplants'!$G:$G,$C15)</f>
        <v>0</v>
      </c>
      <c r="J15" s="55" t="s">
        <v>29</v>
      </c>
      <c r="K15" s="56">
        <f>SUMIFS('in-situ Massive outplants'!$H:$H,'in-situ Massive outplants'!$G:$G, $C15)</f>
        <v>0</v>
      </c>
      <c r="L15" s="53">
        <f>SUMIFS('ex-situ Massive outplants'!$H:$H,'ex-situ Massive outplants'!$G:$G, $C15)</f>
        <v>780</v>
      </c>
      <c r="M15" s="53">
        <f t="array" ref="M15">IFNA(SUM(INDEX('Upper Keys Outplants'!$K:$O, MATCH($C15,'Upper Keys Outplants'!$G:$G,0))),0)</f>
        <v>0</v>
      </c>
      <c r="N15" s="55" t="s">
        <v>29</v>
      </c>
      <c r="O15" s="53">
        <f>SUMIFS('in-situ Apal outplants'!$H:$H,'in-situ Apal outplants'!$G:$G, $C15)</f>
        <v>0</v>
      </c>
      <c r="P15" s="60">
        <f t="shared" si="1"/>
        <v>8000</v>
      </c>
      <c r="Q15" s="61">
        <v>8000.0</v>
      </c>
      <c r="R15" s="64" t="s">
        <v>50</v>
      </c>
      <c r="S15" s="50"/>
      <c r="T15" s="50"/>
      <c r="U15" s="50"/>
      <c r="V15" s="50"/>
    </row>
    <row r="16">
      <c r="A16" s="51">
        <v>43831.0</v>
      </c>
      <c r="B16" s="51">
        <v>44196.0</v>
      </c>
      <c r="C16" s="65" t="s">
        <v>51</v>
      </c>
      <c r="D16" s="53">
        <f>SUMIFS('in-situ Acer outplants'!$H:$H,'in-situ Acer outplants'!$G:$G, $C16)</f>
        <v>6025</v>
      </c>
      <c r="E16" s="54">
        <f>SUMIFS('ex-situ Acer outplants'!$H:$H,'ex-situ Acer outplants'!$G:$G, $C16)</f>
        <v>0</v>
      </c>
      <c r="F16" s="53">
        <f>SUMIFS('Upper Keys Outplants'!$I:$I, 'Upper Keys Outplants'!$G:$G,$C16)</f>
        <v>0</v>
      </c>
      <c r="G16" s="55">
        <f>6000-D16</f>
        <v>-25</v>
      </c>
      <c r="H16" s="53">
        <f>SUMIFS('ex-situ Apal outplants'!$H:$H,'ex-situ Apal outplants'!$G:$G, $C16)</f>
        <v>2830</v>
      </c>
      <c r="I16" s="53">
        <f>SUMIFS('Upper Keys Outplants'!$J:$J, 'Upper Keys Outplants'!$G:$G,$C16)</f>
        <v>0</v>
      </c>
      <c r="J16" s="55">
        <f t="shared" ref="J16:J17" si="2">2800-H16</f>
        <v>-30</v>
      </c>
      <c r="K16" s="56">
        <f>SUMIFS('in-situ Massive outplants'!$H:$H,'in-situ Massive outplants'!$G:$G, $C16)</f>
        <v>0</v>
      </c>
      <c r="L16" s="53">
        <f>SUMIFS('ex-situ Massive outplants'!$H:$H,'ex-situ Massive outplants'!$G:$G, $C16)</f>
        <v>1360</v>
      </c>
      <c r="M16" s="53">
        <f t="array" ref="M16">IFNA(SUM(INDEX('Upper Keys Outplants'!$K:$O, MATCH($C16,'Upper Keys Outplants'!$G:$G,0))),0)</f>
        <v>0</v>
      </c>
      <c r="N16" s="55">
        <f t="shared" ref="N16:N17" si="3">1200-L16</f>
        <v>-160</v>
      </c>
      <c r="O16" s="53">
        <f>SUMIFS('in-situ Apal outplants'!$H:$H,'in-situ Apal outplants'!$G:$G, $C16)</f>
        <v>0</v>
      </c>
      <c r="P16" s="60">
        <f t="shared" ref="P16:P17" si="4">D16+H16+L16+E16+O16+K16</f>
        <v>10215</v>
      </c>
      <c r="Q16" s="63">
        <v>10000.0</v>
      </c>
      <c r="R16" s="64" t="s">
        <v>52</v>
      </c>
      <c r="S16" s="66"/>
      <c r="T16" s="66"/>
    </row>
    <row r="17">
      <c r="A17" s="51">
        <v>44197.0</v>
      </c>
      <c r="B17" s="51">
        <v>44561.0</v>
      </c>
      <c r="C17" s="65" t="s">
        <v>53</v>
      </c>
      <c r="D17" s="53">
        <f>SUMIFS('in-situ Acer outplants'!$H:$H,'in-situ Acer outplants'!$G:$G, $C17)</f>
        <v>6100</v>
      </c>
      <c r="E17" s="54">
        <f>SUMIFS('ex-situ Acer outplants'!$H:$H,'ex-situ Acer outplants'!$G:$G, $C17)</f>
        <v>0</v>
      </c>
      <c r="F17" s="53">
        <f>SUMIFS('Upper Keys Outplants'!$I:$I, 'Upper Keys Outplants'!$G:$G,$C17)</f>
        <v>0</v>
      </c>
      <c r="G17" s="67">
        <f>6000-D17-E17</f>
        <v>-100</v>
      </c>
      <c r="H17" s="53">
        <f>SUMIFS('ex-situ Apal outplants'!$H:$H,'ex-situ Apal outplants'!$G:$G, $C17)</f>
        <v>2977</v>
      </c>
      <c r="I17" s="53">
        <f>SUMIFS('Upper Keys Outplants'!$J:$J, 'Upper Keys Outplants'!$G:$G,$C17)</f>
        <v>0</v>
      </c>
      <c r="J17" s="67">
        <f t="shared" si="2"/>
        <v>-177</v>
      </c>
      <c r="K17" s="56">
        <f>SUMIFS('in-situ Massive outplants'!$H:$H,'in-situ Massive outplants'!$G:$G, $C17)</f>
        <v>0</v>
      </c>
      <c r="L17" s="53">
        <f t="array" ref="L17">SUMIFS('ex-situ Massive outplants'!$H:$H,'ex-situ Massive outplants'!$G:$G, $C17) + IFNA(SUM(INDEX('Upper Keys Outplants'!$K:$O, MATCH($C17,'Upper Keys Outplants'!$G:$G,0))),0)</f>
        <v>1249</v>
      </c>
      <c r="M17" s="53">
        <f t="array" ref="M17">IFNA(SUM(INDEX('Upper Keys Outplants'!$K:$O, MATCH($C17,'Upper Keys Outplants'!$G:$G,0))),0)</f>
        <v>0</v>
      </c>
      <c r="N17" s="67">
        <f t="shared" si="3"/>
        <v>-49</v>
      </c>
      <c r="O17" s="53">
        <f>SUMIFS('in-situ Apal outplants'!$H:$H,'in-situ Apal outplants'!$G:$G, $C17)</f>
        <v>0</v>
      </c>
      <c r="P17" s="50">
        <f t="shared" si="4"/>
        <v>10326</v>
      </c>
      <c r="Q17" s="68">
        <v>10000.0</v>
      </c>
      <c r="R17" s="62" t="s">
        <v>52</v>
      </c>
      <c r="S17" s="66"/>
      <c r="T17" s="66"/>
      <c r="U17" s="66"/>
      <c r="V17" s="66"/>
    </row>
    <row r="18">
      <c r="A18" s="69">
        <v>44197.0</v>
      </c>
      <c r="B18" s="69">
        <v>44926.0</v>
      </c>
      <c r="C18" s="70" t="s">
        <v>54</v>
      </c>
      <c r="D18" s="53">
        <f>SUMIFS('in-situ Acer outplants'!$H:$H,'in-situ Acer outplants'!$G:$G, $C18)</f>
        <v>249</v>
      </c>
      <c r="E18" s="71">
        <f>SUMIFS('ex-situ Acer outplants'!$H:$H,'ex-situ Acer outplants'!$G:$G, $C18)</f>
        <v>3728</v>
      </c>
      <c r="F18" s="53">
        <f>SUMIFS('Upper Keys Outplants'!$I:$I, 'Upper Keys Outplants'!$G:$G,$C18)</f>
        <v>0</v>
      </c>
      <c r="G18" s="72">
        <f>4000-E18-D18-D19</f>
        <v>23</v>
      </c>
      <c r="H18" s="53">
        <f>SUMIFS('ex-situ Apal outplants'!$H:$H,'ex-situ Apal outplants'!$G:$G, $C18)</f>
        <v>146</v>
      </c>
      <c r="I18" s="53">
        <f>SUMIFS('Upper Keys Outplants'!$J:$J, 'Upper Keys Outplants'!$G:$G,$C18)</f>
        <v>0</v>
      </c>
      <c r="J18" s="73">
        <f>1015-H18-H19</f>
        <v>869</v>
      </c>
      <c r="K18" s="74">
        <f>SUMIFS('in-situ Massive outplants'!$H:$H,'in-situ Massive outplants'!$G:$G, $C18)</f>
        <v>0</v>
      </c>
      <c r="L18" s="75">
        <f t="array" ref="L18">SUMIFS('ex-situ Massive outplants'!$H:$H,'ex-situ Massive outplants'!$G:$G, $C18) + IFNA(SUM(INDEX('Upper Keys Outplants'!$K:$O, MATCH($C18,'Upper Keys Outplants'!$G:$G,0))),0)</f>
        <v>0</v>
      </c>
      <c r="M18" s="53">
        <f t="array" ref="M18">IFNA(SUM(INDEX('Upper Keys Outplants'!$K:$O, MATCH($C18,'Upper Keys Outplants'!$G:$G,0))),0)</f>
        <v>0</v>
      </c>
      <c r="N18" s="76">
        <f>0-L18</f>
        <v>0</v>
      </c>
      <c r="O18" s="71">
        <f>SUMIFS('in-situ Apal outplants'!$H:$H,'in-situ Apal outplants'!$G:$G, $C18)</f>
        <v>0</v>
      </c>
      <c r="P18" s="77">
        <f>D18+H18+L18+E18+O18+K18+D19+H19</f>
        <v>4123</v>
      </c>
      <c r="Q18" s="78">
        <v>5015.0</v>
      </c>
      <c r="R18" s="79" t="s">
        <v>55</v>
      </c>
      <c r="S18" s="80" t="s">
        <v>56</v>
      </c>
      <c r="T18" s="81"/>
      <c r="U18" s="81"/>
      <c r="V18" s="82"/>
    </row>
    <row r="19">
      <c r="A19" s="83"/>
      <c r="B19" s="83"/>
      <c r="C19" s="84" t="s">
        <v>57</v>
      </c>
      <c r="D19" s="53">
        <f>SUMIFS('in-situ Acer outplants'!$H:$H,'in-situ Acer outplants'!$G:$G, $C19)</f>
        <v>0</v>
      </c>
      <c r="E19" s="85"/>
      <c r="F19" s="53">
        <f>SUMIFS('Upper Keys Outplants'!$I:$I, 'Upper Keys Outplants'!$G:$G,$C19)</f>
        <v>0</v>
      </c>
      <c r="G19" s="86"/>
      <c r="H19" s="53">
        <f>SUMIFS('ex-situ Apal outplants'!$H:$H,'ex-situ Apal outplants'!$G:$G, $C19)</f>
        <v>0</v>
      </c>
      <c r="I19" s="53">
        <f>SUMIFS('Upper Keys Outplants'!$J:$J, 'Upper Keys Outplants'!$G:$G,$C19)</f>
        <v>0</v>
      </c>
      <c r="J19" s="86"/>
      <c r="K19" s="87"/>
      <c r="L19" s="85"/>
      <c r="M19" s="53">
        <f t="array" ref="M19">IFNA(SUM(INDEX('Upper Keys Outplants'!$K:$O, MATCH($C19,'Upper Keys Outplants'!$G:$G,0))),0)</f>
        <v>0</v>
      </c>
      <c r="N19" s="88"/>
      <c r="O19" s="85"/>
      <c r="P19" s="83"/>
      <c r="Q19" s="89"/>
      <c r="R19" s="83"/>
      <c r="T19" s="90"/>
      <c r="U19" s="80"/>
      <c r="V19" s="91"/>
    </row>
    <row r="20">
      <c r="A20" s="92">
        <v>44228.0</v>
      </c>
      <c r="B20" s="92">
        <v>44377.0</v>
      </c>
      <c r="C20" s="93" t="s">
        <v>58</v>
      </c>
      <c r="D20" s="53">
        <f>SUMIFS('in-situ Acer outplants'!$H:$H,'in-situ Acer outplants'!$G:$G, $C20)</f>
        <v>7000</v>
      </c>
      <c r="E20" s="54">
        <f>SUMIFS('ex-situ Acer outplants'!$H:$H,'ex-situ Acer outplants'!$G:$G, $C20)</f>
        <v>0</v>
      </c>
      <c r="F20" s="53">
        <f>SUMIFS('Upper Keys Outplants'!$I:$I, 'Upper Keys Outplants'!$G:$G,$C20)</f>
        <v>0</v>
      </c>
      <c r="G20" s="55">
        <v>0.0</v>
      </c>
      <c r="H20" s="53">
        <f>SUMIFS('ex-situ Apal outplants'!$H:$H,'ex-situ Apal outplants'!$G:$G, $C20)</f>
        <v>1500</v>
      </c>
      <c r="I20" s="53">
        <f>SUMIFS('Upper Keys Outplants'!$J:$J, 'Upper Keys Outplants'!$G:$G,$C20)</f>
        <v>0</v>
      </c>
      <c r="J20" s="55">
        <v>0.0</v>
      </c>
      <c r="K20" s="56">
        <f>SUMIFS('in-situ Massive outplants'!$H:$H,'in-situ Massive outplants'!$G:$G, $C20)</f>
        <v>0</v>
      </c>
      <c r="L20" s="53">
        <f t="array" ref="L20">SUMIFS('ex-situ Massive outplants'!$H:$H,'ex-situ Massive outplants'!$G:$G, $C20) + IFNA(SUM(INDEX('Upper Keys Outplants'!$K:$O, MATCH($C20,'Upper Keys Outplants'!$G:$G,0))),0)</f>
        <v>1500</v>
      </c>
      <c r="M20" s="53">
        <f t="array" ref="M20">IFNA(SUM(INDEX('Upper Keys Outplants'!$K:$O, MATCH($C20,'Upper Keys Outplants'!$G:$G,0))),0)</f>
        <v>0</v>
      </c>
      <c r="N20" s="55">
        <v>0.0</v>
      </c>
      <c r="O20" s="53">
        <f>SUMIFS('in-situ Apal outplants'!$H:$H,'in-situ Apal outplants'!$G:$G, $C20)</f>
        <v>0</v>
      </c>
      <c r="P20" s="50">
        <f t="shared" ref="P20:P39" si="5">D20+H20+L20+E20+O20+K20</f>
        <v>10000</v>
      </c>
      <c r="Q20" s="94">
        <v>10000.0</v>
      </c>
      <c r="R20" s="62" t="s">
        <v>59</v>
      </c>
      <c r="S20" s="50"/>
      <c r="T20" s="50"/>
      <c r="V20" s="95"/>
    </row>
    <row r="21">
      <c r="A21" s="92">
        <v>44256.0</v>
      </c>
      <c r="B21" s="92">
        <v>44620.0</v>
      </c>
      <c r="C21" s="65" t="s">
        <v>60</v>
      </c>
      <c r="D21" s="53">
        <f>SUMIFS('in-situ Acer outplants'!$H:$H,'in-situ Acer outplants'!$G:$G, $C21)</f>
        <v>3300</v>
      </c>
      <c r="E21" s="54">
        <f>SUMIFS('ex-situ Acer outplants'!$H:$H,'ex-situ Acer outplants'!$G:$G, $C21)</f>
        <v>0</v>
      </c>
      <c r="F21" s="53">
        <f>SUMIFS('Upper Keys Outplants'!$I:$I, 'Upper Keys Outplants'!$G:$G,$C21)</f>
        <v>0</v>
      </c>
      <c r="G21" s="67">
        <f>3285-D21</f>
        <v>-15</v>
      </c>
      <c r="H21" s="53">
        <f>SUMIFS('ex-situ Apal outplants'!$H:$H,'ex-situ Apal outplants'!$G:$G, $C21)</f>
        <v>5004</v>
      </c>
      <c r="I21" s="53">
        <f>SUMIFS('Upper Keys Outplants'!$J:$J, 'Upper Keys Outplants'!$G:$G,$C21)</f>
        <v>0</v>
      </c>
      <c r="J21" s="67">
        <f>5000-H21</f>
        <v>-4</v>
      </c>
      <c r="K21" s="56">
        <f>SUMIFS('in-situ Massive outplants'!$H:$H,'in-situ Massive outplants'!$G:$G, $C21)</f>
        <v>0</v>
      </c>
      <c r="L21" s="53">
        <f t="array" ref="L21">SUMIFS('ex-situ Massive outplants'!$H:$H,'ex-situ Massive outplants'!$G:$G, $C21) + IFNA(SUM(INDEX('Upper Keys Outplants'!$K:$O, MATCH($C21,'Upper Keys Outplants'!$G:$G,0))),0)</f>
        <v>0</v>
      </c>
      <c r="M21" s="53">
        <f t="array" ref="M21">IFNA(SUM(INDEX('Upper Keys Outplants'!$K:$O, MATCH($C21,'Upper Keys Outplants'!$G:$G,0))),0)</f>
        <v>0</v>
      </c>
      <c r="N21" s="55" t="s">
        <v>29</v>
      </c>
      <c r="O21" s="53">
        <f>SUMIFS('in-situ Apal outplants'!$H:$H,'in-situ Apal outplants'!$G:$G, $C21)</f>
        <v>0</v>
      </c>
      <c r="P21" s="50">
        <f t="shared" si="5"/>
        <v>8304</v>
      </c>
      <c r="Q21" s="94">
        <v>8285.0</v>
      </c>
      <c r="R21" s="96" t="s">
        <v>61</v>
      </c>
      <c r="T21" s="95"/>
    </row>
    <row r="22">
      <c r="A22" s="92">
        <v>44548.0</v>
      </c>
      <c r="B22" s="63" t="s">
        <v>62</v>
      </c>
      <c r="C22" s="65" t="s">
        <v>63</v>
      </c>
      <c r="D22" s="53">
        <f>SUMIFS('in-situ Acer outplants'!$H:$H,'in-situ Acer outplants'!$G:$G, $C22)</f>
        <v>7000</v>
      </c>
      <c r="E22" s="54">
        <f>SUMIFS('ex-situ Acer outplants'!$H:$H,'ex-situ Acer outplants'!$G:$G, $C22)</f>
        <v>0</v>
      </c>
      <c r="F22" s="53">
        <f>SUMIFS('Upper Keys Outplants'!$I:$I, 'Upper Keys Outplants'!$G:$G,$C22)</f>
        <v>0</v>
      </c>
      <c r="G22" s="55">
        <f>7000-D22</f>
        <v>0</v>
      </c>
      <c r="H22" s="53">
        <f>SUMIFS('ex-situ Apal outplants'!$H:$H,'ex-situ Apal outplants'!$G:$G, $C22)</f>
        <v>3094</v>
      </c>
      <c r="I22" s="53">
        <f>SUMIFS('Upper Keys Outplants'!$J:$J, 'Upper Keys Outplants'!$G:$G,$C22)</f>
        <v>0</v>
      </c>
      <c r="J22" s="55">
        <f>3000-H22</f>
        <v>-94</v>
      </c>
      <c r="K22" s="56">
        <f>SUMIFS('in-situ Massive outplants'!$H:$H,'in-situ Massive outplants'!$G:$G, $C22)</f>
        <v>0</v>
      </c>
      <c r="L22" s="53">
        <f t="array" ref="L22">SUMIFS('ex-situ Massive outplants'!$H:$H,'ex-situ Massive outplants'!$G:$G, $C22) + IFNA(SUM(INDEX('Upper Keys Outplants'!$K:$O, MATCH($C22,'Upper Keys Outplants'!$G:$G,0))),0)</f>
        <v>0</v>
      </c>
      <c r="M22" s="53">
        <f t="array" ref="M22">IFNA(SUM(INDEX('Upper Keys Outplants'!$K:$O, MATCH($C22,'Upper Keys Outplants'!$G:$G,0))),0)</f>
        <v>0</v>
      </c>
      <c r="N22" s="55" t="s">
        <v>29</v>
      </c>
      <c r="O22" s="53">
        <f>SUMIFS('in-situ Apal outplants'!$H:$H,'in-situ Apal outplants'!$G:$G, $C22)</f>
        <v>0</v>
      </c>
      <c r="P22" s="50">
        <f t="shared" si="5"/>
        <v>10094</v>
      </c>
      <c r="Q22" s="94">
        <v>10000.0</v>
      </c>
      <c r="R22" s="62" t="s">
        <v>64</v>
      </c>
      <c r="S22" s="50"/>
      <c r="T22" s="50"/>
      <c r="U22" s="97"/>
      <c r="V22" s="95"/>
    </row>
    <row r="23">
      <c r="A23" s="51">
        <v>43843.0</v>
      </c>
      <c r="B23" s="51">
        <v>44778.0</v>
      </c>
      <c r="C23" s="52" t="s">
        <v>65</v>
      </c>
      <c r="D23" s="53">
        <f>SUMIFS('in-situ Acer outplants'!$H:$H,'in-situ Acer outplants'!$G:$G, $C23)</f>
        <v>13000</v>
      </c>
      <c r="E23" s="54">
        <f>SUMIFS('ex-situ Acer outplants'!$H:$H,'ex-situ Acer outplants'!$G:$G, $C23)</f>
        <v>0</v>
      </c>
      <c r="F23" s="53">
        <f>SUMIFS('Upper Keys Outplants'!$I:$I, 'Upper Keys Outplants'!$G:$G,$C23)</f>
        <v>0</v>
      </c>
      <c r="G23" s="98">
        <f>13000-D23</f>
        <v>0</v>
      </c>
      <c r="H23" s="53">
        <f>SUMIFS('ex-situ Apal outplants'!$H:$H,'ex-situ Apal outplants'!$G:$G, $C23)</f>
        <v>0</v>
      </c>
      <c r="I23" s="53">
        <f>SUMIFS('Upper Keys Outplants'!$J:$J, 'Upper Keys Outplants'!$G:$G,$C23)</f>
        <v>0</v>
      </c>
      <c r="J23" s="99" t="s">
        <v>29</v>
      </c>
      <c r="K23" s="100">
        <f>SUMIFS('in-situ Massive outplants'!$H:$H,'in-situ Massive outplants'!$G:$G, $C23)</f>
        <v>1500</v>
      </c>
      <c r="L23" s="101">
        <f t="array" ref="L23">SUMIFS('ex-situ Massive outplants'!$H:$H,'ex-situ Massive outplants'!$G:$G, $C23) + IFNA(SUM(INDEX('Upper Keys Outplants'!$K:$O, MATCH($C23,'Upper Keys Outplants'!$G:$G,0))),0)</f>
        <v>3361</v>
      </c>
      <c r="M23" s="53">
        <f t="array" ref="M23">IFNA(SUM(INDEX('Upper Keys Outplants'!$K:$O, MATCH($C23,'Upper Keys Outplants'!$G:$G,0))),0)</f>
        <v>0</v>
      </c>
      <c r="N23" s="102">
        <f>4850-L23-K23</f>
        <v>-11</v>
      </c>
      <c r="O23" s="53">
        <f>SUMIFS('in-situ Apal outplants'!$H:$H,'in-situ Apal outplants'!$G:$G, $C23)</f>
        <v>0</v>
      </c>
      <c r="P23" s="50">
        <f t="shared" si="5"/>
        <v>17861</v>
      </c>
      <c r="Q23" s="68">
        <v>17850.0</v>
      </c>
      <c r="R23" s="62" t="s">
        <v>66</v>
      </c>
      <c r="S23" s="95"/>
    </row>
    <row r="24">
      <c r="A24" s="92">
        <v>44487.0</v>
      </c>
      <c r="B24" s="92">
        <v>44834.0</v>
      </c>
      <c r="C24" s="65" t="s">
        <v>67</v>
      </c>
      <c r="D24" s="53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'""&amp;TEXT(""09/30/2022"",""yyyy-mm-dd"")&amp;""'"",1))"),3955.0)</f>
        <v>3955</v>
      </c>
      <c r="E24" s="54">
        <f>SUMIFS('ex-situ Acer outplants'!$H:$H,'ex-situ Acer outplants'!$G:$G, $C24)</f>
        <v>0</v>
      </c>
      <c r="F24" s="53">
        <f>SUMIFS('Upper Keys Outplants'!$I:$I, 'Upper Keys Outplants'!$G:$G,$C24)</f>
        <v>0</v>
      </c>
      <c r="G24" s="103">
        <f>3700-D24</f>
        <v>-255</v>
      </c>
      <c r="H24" s="53"/>
      <c r="I24" s="53">
        <f>SUMIFS('Upper Keys Outplants'!$J:$J, 'Upper Keys Outplants'!$G:$G,$C24)</f>
        <v>0</v>
      </c>
      <c r="J24" s="99" t="s">
        <v>29</v>
      </c>
      <c r="K24" s="56">
        <f>SUMIFS('in-situ Massive outplants'!$H:$H,'in-situ Massive outplants'!$G:$G, $C24)</f>
        <v>0</v>
      </c>
      <c r="L24" s="53">
        <f t="array" ref="L24">SUMIFS('ex-situ Massive outplants'!$H:$H,'ex-situ Massive outplants'!$G:$G, $C24) + IFNA(SUM(INDEX('Upper Keys Outplants'!$K:$O, MATCH($C24,'Upper Keys Outplants'!$G:$G,0))),0)</f>
        <v>0</v>
      </c>
      <c r="M24" s="53">
        <f t="array" ref="M24">IFNA(SUM(INDEX('Upper Keys Outplants'!$K:$O, MATCH($C24,'Upper Keys Outplants'!$G:$G,0))),0)</f>
        <v>0</v>
      </c>
      <c r="N24" s="99" t="s">
        <v>29</v>
      </c>
      <c r="O24" s="53">
        <f>SUMIFS('in-situ Apal outplants'!$H:$H,'in-situ Apal outplants'!$G:$G, $C24)</f>
        <v>0</v>
      </c>
      <c r="P24" s="50">
        <f t="shared" si="5"/>
        <v>3955</v>
      </c>
      <c r="Q24" s="94">
        <v>3700.0</v>
      </c>
      <c r="R24" s="62" t="s">
        <v>68</v>
      </c>
      <c r="S24" s="50"/>
      <c r="T24" s="50"/>
      <c r="U24" s="50"/>
      <c r="V24" s="50"/>
    </row>
    <row r="25">
      <c r="A25" s="92">
        <v>44562.0</v>
      </c>
      <c r="B25" s="92">
        <v>44926.0</v>
      </c>
      <c r="C25" s="65" t="s">
        <v>69</v>
      </c>
      <c r="D25" s="53">
        <f>SUMIFS('in-situ Acer outplants'!$H:$H,'in-situ Acer outplants'!$G:$G, $C25)</f>
        <v>2675</v>
      </c>
      <c r="E25" s="104">
        <f>SUMIFS('ex-situ Acer outplants'!$H:$H,'ex-situ Acer outplants'!$G:$G, $C25)</f>
        <v>929</v>
      </c>
      <c r="F25" s="53">
        <f>SUMIFS('Upper Keys Outplants'!$I:$I, 'Upper Keys Outplants'!$G:$G,$C25)</f>
        <v>0</v>
      </c>
      <c r="G25" s="55">
        <f>3000-D25-E25</f>
        <v>-604</v>
      </c>
      <c r="H25" s="53">
        <f>SUMIFS('ex-situ Apal outplants'!$H:$H,'ex-situ Apal outplants'!$G:$G, $C25)</f>
        <v>1290</v>
      </c>
      <c r="I25" s="53">
        <f>SUMIFS('Upper Keys Outplants'!$J:$J, 'Upper Keys Outplants'!$G:$G,$C25)</f>
        <v>130</v>
      </c>
      <c r="J25" s="67">
        <f>1400-H25</f>
        <v>110</v>
      </c>
      <c r="K25" s="100">
        <f>SUMIFS('in-situ Massive outplants'!$H:$H,'in-situ Massive outplants'!$G:$G, $C25)</f>
        <v>599</v>
      </c>
      <c r="L25" s="53">
        <f t="array" ref="L25">SUMIFS('ex-situ Massive outplants'!$H:$H,'ex-situ Massive outplants'!$G:$G, $C25) + IFNA(SUM(INDEX('Upper Keys Outplants'!$K:$O, MATCH($C25,'Upper Keys Outplants'!$G:$G,0))),0)</f>
        <v>0</v>
      </c>
      <c r="M25" s="53">
        <f t="array" ref="M25">IFNA(SUM(INDEX('Upper Keys Outplants'!$K:$O, MATCH($C25,'Upper Keys Outplants'!$G:$G,0))),0)</f>
        <v>0</v>
      </c>
      <c r="N25" s="98">
        <f>600-L25-K25</f>
        <v>1</v>
      </c>
      <c r="O25" s="53">
        <f>SUMIFS('in-situ Apal outplants'!$H:$H,'in-situ Apal outplants'!$G:$G, $C25)</f>
        <v>0</v>
      </c>
      <c r="P25" s="50">
        <f t="shared" si="5"/>
        <v>5493</v>
      </c>
      <c r="Q25" s="94">
        <v>5000.0</v>
      </c>
      <c r="R25" s="62" t="s">
        <v>70</v>
      </c>
      <c r="S25" s="50"/>
      <c r="T25" s="50"/>
      <c r="U25" s="97"/>
      <c r="V25" s="95"/>
    </row>
    <row r="26">
      <c r="A26" s="92">
        <v>44621.0</v>
      </c>
      <c r="B26" s="92">
        <v>44985.0</v>
      </c>
      <c r="C26" s="65" t="s">
        <v>71</v>
      </c>
      <c r="D26" s="53">
        <f>SUMIFS('in-situ Acer outplants'!$H:$H,'in-situ Acer outplants'!$G:$G, $C26)</f>
        <v>3300</v>
      </c>
      <c r="E26" s="104">
        <f>SUMIFS('ex-situ Acer outplants'!$H:$H,'ex-situ Acer outplants'!$G:$G, $C26)</f>
        <v>0</v>
      </c>
      <c r="F26" s="53">
        <f>SUMIFS('Upper Keys Outplants'!$I:$I, 'Upper Keys Outplants'!$G:$G,$C26)</f>
        <v>0</v>
      </c>
      <c r="G26" s="102">
        <f>3285-D26</f>
        <v>-15</v>
      </c>
      <c r="H26" s="53">
        <f>SUMIFS('ex-situ Apal outplants'!$H:$H,'ex-situ Apal outplants'!$G:$G, $C26)</f>
        <v>8012</v>
      </c>
      <c r="I26" s="53">
        <f>SUMIFS('Upper Keys Outplants'!$J:$J, 'Upper Keys Outplants'!$G:$G,$C26)</f>
        <v>0</v>
      </c>
      <c r="J26" s="102">
        <f>8000-H26</f>
        <v>-12</v>
      </c>
      <c r="K26" s="100">
        <f>SUMIFS('in-situ Massive outplants'!$H:$H,'in-situ Massive outplants'!$G:$G, $C26)</f>
        <v>0</v>
      </c>
      <c r="L26" s="53">
        <f t="array" ref="L26">SUMIFS('ex-situ Massive outplants'!$H:$H,'ex-situ Massive outplants'!$G:$G, $C26) + IFNA(SUM(INDEX('Upper Keys Outplants'!$K:$O, MATCH($C26,'Upper Keys Outplants'!$G:$G,0))),0)</f>
        <v>0</v>
      </c>
      <c r="M26" s="53">
        <f t="array" ref="M26">IFNA(SUM(INDEX('Upper Keys Outplants'!$K:$O, MATCH($C26,'Upper Keys Outplants'!$G:$G,0))),0)</f>
        <v>0</v>
      </c>
      <c r="N26" s="99" t="s">
        <v>29</v>
      </c>
      <c r="O26" s="53">
        <f>SUMIFS('in-situ Apal outplants'!$H:$H,'in-situ Apal outplants'!$G:$G, $C26)</f>
        <v>0</v>
      </c>
      <c r="P26" s="105">
        <f t="shared" si="5"/>
        <v>11312</v>
      </c>
      <c r="Q26" s="106">
        <v>11285.0</v>
      </c>
      <c r="R26" s="96" t="s">
        <v>72</v>
      </c>
      <c r="S26" s="50"/>
      <c r="T26" s="50"/>
      <c r="U26" s="50"/>
      <c r="V26" s="50"/>
    </row>
    <row r="27">
      <c r="A27" s="107">
        <v>44743.0</v>
      </c>
      <c r="B27" s="107">
        <v>45107.0</v>
      </c>
      <c r="C27" s="108" t="s">
        <v>73</v>
      </c>
      <c r="D27" s="53">
        <f>SUMIFS('in-situ Acer outplants'!$H:$H,'in-situ Acer outplants'!$G:$G, $C27)</f>
        <v>7700</v>
      </c>
      <c r="E27" s="109">
        <f>SUMIFS('ex-situ Acer outplants'!$H:$H,'ex-situ Acer outplants'!$G:$G, $C27)</f>
        <v>0</v>
      </c>
      <c r="F27" s="53">
        <f>SUMIFS('Upper Keys Outplants'!$I:$I, 'Upper Keys Outplants'!$G:$G,$C27)</f>
        <v>50</v>
      </c>
      <c r="G27" s="110">
        <f>7000-D27-E27-F27</f>
        <v>-750</v>
      </c>
      <c r="H27" s="53">
        <f>SUMIFS('ex-situ Apal outplants'!$H:$H,'ex-situ Apal outplants'!$G:$G, $C27)</f>
        <v>3020</v>
      </c>
      <c r="I27" s="53">
        <f>SUMIFS('Upper Keys Outplants'!$J:$J, 'Upper Keys Outplants'!$G:$G,$C27)</f>
        <v>50</v>
      </c>
      <c r="J27" s="98">
        <f>3000-H27-I27</f>
        <v>-70</v>
      </c>
      <c r="K27" s="111">
        <f>SUMIFS('in-situ Massive outplants'!$H:$H,'in-situ Massive outplants'!$G:$G, $C27)</f>
        <v>0</v>
      </c>
      <c r="L27" s="112">
        <f t="array" ref="L27">SUMIFS('ex-situ Massive outplants'!$H:$H,'ex-situ Massive outplants'!$G:$G, $C27) + IFNA(SUM(INDEX('Upper Keys Outplants'!$K:$O, MATCH($C27,'Upper Keys Outplants'!$G:$G,0))),0)</f>
        <v>0</v>
      </c>
      <c r="M27" s="53">
        <f t="array" ref="M27">IFNA(SUM(INDEX('Upper Keys Outplants'!$K:$O, MATCH($C27,'Upper Keys Outplants'!$G:$G,0))),0)</f>
        <v>0</v>
      </c>
      <c r="N27" s="99" t="s">
        <v>29</v>
      </c>
      <c r="O27" s="112">
        <f>SUMIFS('in-situ Apal outplants'!$H:$H,'in-situ Apal outplants'!$G:$G, $C27)</f>
        <v>0</v>
      </c>
      <c r="P27" s="50">
        <f t="shared" si="5"/>
        <v>10720</v>
      </c>
      <c r="Q27" s="113">
        <v>10000.0</v>
      </c>
      <c r="R27" s="114" t="s">
        <v>64</v>
      </c>
      <c r="S27" s="50"/>
      <c r="T27" s="50"/>
      <c r="U27" s="50"/>
      <c r="V27" s="50"/>
    </row>
    <row r="28">
      <c r="A28" s="92">
        <v>45213.0</v>
      </c>
      <c r="B28" s="92">
        <v>45213.0</v>
      </c>
      <c r="C28" s="65" t="s">
        <v>74</v>
      </c>
      <c r="D28" s="53">
        <f>SUMIFS('in-situ Acer outplants'!$H:$H,'in-situ Acer outplants'!$G:$G, $C28)</f>
        <v>200</v>
      </c>
      <c r="E28" s="104">
        <f>SUMIFS('ex-situ Acer outplants'!$H:$H,'ex-situ Acer outplants'!$G:$G, $C28)</f>
        <v>0</v>
      </c>
      <c r="F28" s="53">
        <f>SUMIFS('Upper Keys Outplants'!$I:$I, 'Upper Keys Outplants'!$G:$G,$C28)</f>
        <v>0</v>
      </c>
      <c r="G28" s="98">
        <f>200-D28</f>
        <v>0</v>
      </c>
      <c r="H28" s="53">
        <f>SUMIFS('ex-situ Apal outplants'!$H:$H,'ex-situ Apal outplants'!$G:$G, $C28)</f>
        <v>0</v>
      </c>
      <c r="I28" s="53">
        <f>SUMIFS('Upper Keys Outplants'!$J:$J, 'Upper Keys Outplants'!$G:$G,$C28)</f>
        <v>0</v>
      </c>
      <c r="J28" s="115" t="s">
        <v>29</v>
      </c>
      <c r="K28" s="100">
        <f>SUMIFS('in-situ Massive outplants'!$H:$H,'in-situ Massive outplants'!$G:$G, $C28)</f>
        <v>0</v>
      </c>
      <c r="L28" s="53">
        <f t="array" ref="L28">SUMIFS('ex-situ Massive outplants'!$H:$H,'ex-situ Massive outplants'!$G:$G, $C28) + IFNA(SUM(INDEX('Upper Keys Outplants'!$K:$O, MATCH($C28,'Upper Keys Outplants'!$G:$G,0))),0)</f>
        <v>0</v>
      </c>
      <c r="M28" s="53">
        <f t="array" ref="M28">IFNA(SUM(INDEX('Upper Keys Outplants'!$K:$O, MATCH($C28,'Upper Keys Outplants'!$G:$G,0))),0)</f>
        <v>0</v>
      </c>
      <c r="N28" s="99" t="s">
        <v>29</v>
      </c>
      <c r="O28" s="53">
        <f>SUMIFS('in-situ Apal outplants'!$H:$H,'in-situ Apal outplants'!$G:$G, $C28)</f>
        <v>0</v>
      </c>
      <c r="P28" s="50">
        <f t="shared" si="5"/>
        <v>200</v>
      </c>
      <c r="Q28" s="94">
        <v>200.0</v>
      </c>
      <c r="R28" s="116" t="s">
        <v>75</v>
      </c>
      <c r="S28" s="50"/>
      <c r="T28" s="50"/>
      <c r="U28" s="50"/>
      <c r="V28" s="50"/>
    </row>
    <row r="29">
      <c r="A29" s="107">
        <v>44853.0</v>
      </c>
      <c r="B29" s="107">
        <v>45199.0</v>
      </c>
      <c r="C29" s="108" t="s">
        <v>76</v>
      </c>
      <c r="D29" s="53">
        <f>SUMIFS('in-situ Acer outplants'!$H:$H,'in-situ Acer outplants'!$G:$G, $C29)</f>
        <v>1000</v>
      </c>
      <c r="E29" s="109">
        <f>SUMIFS('ex-situ Acer outplants'!$H:$H,'ex-situ Acer outplants'!$G:$G, $C29)</f>
        <v>0</v>
      </c>
      <c r="F29" s="53">
        <f>SUMIFS('Upper Keys Outplants'!$I:$I, 'Upper Keys Outplants'!$G:$G,$C29)</f>
        <v>0</v>
      </c>
      <c r="G29" s="98">
        <f t="shared" ref="G29:G32" si="6">1000-D29</f>
        <v>0</v>
      </c>
      <c r="H29" s="53">
        <f>SUMIFS('ex-situ Apal outplants'!$H:$H,'ex-situ Apal outplants'!$G:$G, $C29)</f>
        <v>1799</v>
      </c>
      <c r="I29" s="53">
        <f>SUMIFS('Upper Keys Outplants'!$J:$J, 'Upper Keys Outplants'!$G:$G,$C29)</f>
        <v>0</v>
      </c>
      <c r="J29" s="98">
        <f t="shared" ref="J29:J32" si="7">1750-H29</f>
        <v>-49</v>
      </c>
      <c r="K29" s="111">
        <f>SUMIFS('in-situ Massive outplants'!$H:$H,'in-situ Massive outplants'!$G:$G, $C29)</f>
        <v>0</v>
      </c>
      <c r="L29" s="112">
        <f t="array" ref="L29">SUMIFS('ex-situ Massive outplants'!$H:$H,'ex-situ Massive outplants'!$G:$G, $C29) + IFNA(SUM(INDEX('Upper Keys Outplants'!$K:$O, MATCH($C29,'Upper Keys Outplants'!$G:$G,0))),0)</f>
        <v>0</v>
      </c>
      <c r="M29" s="53">
        <f t="array" ref="M29">IFNA(SUM(INDEX('Upper Keys Outplants'!$K:$O, MATCH($C29,'Upper Keys Outplants'!$G:$G,0))),0)</f>
        <v>0</v>
      </c>
      <c r="N29" s="99" t="s">
        <v>29</v>
      </c>
      <c r="O29" s="112">
        <f>SUMIFS('in-situ Apal outplants'!$H:$H,'in-situ Apal outplants'!$G:$G, $C29)</f>
        <v>0</v>
      </c>
      <c r="P29" s="50">
        <f t="shared" si="5"/>
        <v>2799</v>
      </c>
      <c r="Q29" s="94">
        <v>2750.0</v>
      </c>
      <c r="R29" s="117" t="s">
        <v>77</v>
      </c>
      <c r="S29" s="118"/>
      <c r="T29" s="50"/>
      <c r="U29" s="50"/>
      <c r="V29" s="50"/>
    </row>
    <row r="30">
      <c r="A30" s="107">
        <v>44853.0</v>
      </c>
      <c r="B30" s="107">
        <v>45199.0</v>
      </c>
      <c r="C30" s="108" t="s">
        <v>78</v>
      </c>
      <c r="D30" s="53">
        <f>SUMIFS('in-situ Acer outplants'!$H:$H,'in-situ Acer outplants'!$G:$G, $C30)</f>
        <v>1000</v>
      </c>
      <c r="E30" s="109">
        <f>SUMIFS('ex-situ Acer outplants'!$H:$H,'ex-situ Acer outplants'!$G:$G, $C30)</f>
        <v>0</v>
      </c>
      <c r="F30" s="53">
        <f>SUMIFS('Upper Keys Outplants'!$I:$I, 'Upper Keys Outplants'!$G:$G,$C30)</f>
        <v>0</v>
      </c>
      <c r="G30" s="98">
        <f t="shared" si="6"/>
        <v>0</v>
      </c>
      <c r="H30" s="53">
        <f>SUMIFS('ex-situ Apal outplants'!$H:$H,'ex-situ Apal outplants'!$G:$G, $C30)</f>
        <v>1805</v>
      </c>
      <c r="I30" s="53">
        <f>SUMIFS('Upper Keys Outplants'!$J:$J, 'Upper Keys Outplants'!$G:$G,$C30)</f>
        <v>0</v>
      </c>
      <c r="J30" s="98">
        <f t="shared" si="7"/>
        <v>-55</v>
      </c>
      <c r="K30" s="111">
        <f>SUMIFS('in-situ Massive outplants'!$H:$H,'in-situ Massive outplants'!$G:$G, $C30)</f>
        <v>0</v>
      </c>
      <c r="L30" s="112">
        <f t="array" ref="L30">SUMIFS('ex-situ Massive outplants'!$H:$H,'ex-situ Massive outplants'!$G:$G, $C30) + IFNA(SUM(INDEX('Upper Keys Outplants'!$K:$O, MATCH($C30,'Upper Keys Outplants'!$G:$G,0))),0)</f>
        <v>0</v>
      </c>
      <c r="M30" s="53">
        <f t="array" ref="M30">IFNA(SUM(INDEX('Upper Keys Outplants'!$K:$O, MATCH($C30,'Upper Keys Outplants'!$G:$G,0))),0)</f>
        <v>0</v>
      </c>
      <c r="N30" s="99" t="s">
        <v>29</v>
      </c>
      <c r="O30" s="112">
        <f>SUMIFS('in-situ Apal outplants'!$H:$H,'in-situ Apal outplants'!$G:$G, $C30)</f>
        <v>0</v>
      </c>
      <c r="P30" s="50">
        <f t="shared" si="5"/>
        <v>2805</v>
      </c>
      <c r="Q30" s="94">
        <v>2750.0</v>
      </c>
      <c r="R30" s="117" t="s">
        <v>79</v>
      </c>
      <c r="S30" s="118"/>
      <c r="T30" s="50"/>
      <c r="U30" s="50"/>
      <c r="V30" s="50"/>
    </row>
    <row r="31">
      <c r="A31" s="107">
        <v>44853.0</v>
      </c>
      <c r="B31" s="107">
        <v>45199.0</v>
      </c>
      <c r="C31" s="108" t="s">
        <v>80</v>
      </c>
      <c r="D31" s="53">
        <f>SUMIFS('in-situ Acer outplants'!$H:$H,'in-situ Acer outplants'!$G:$G, $C31)</f>
        <v>1000</v>
      </c>
      <c r="E31" s="109">
        <f>SUMIFS('ex-situ Acer outplants'!$H:$H,'ex-situ Acer outplants'!$G:$G, $C31)</f>
        <v>0</v>
      </c>
      <c r="F31" s="53">
        <f>SUMIFS('Upper Keys Outplants'!$I:$I, 'Upper Keys Outplants'!$G:$G,$C31)</f>
        <v>0</v>
      </c>
      <c r="G31" s="98">
        <f t="shared" si="6"/>
        <v>0</v>
      </c>
      <c r="H31" s="53">
        <f>SUMIFS('ex-situ Apal outplants'!$H:$H,'ex-situ Apal outplants'!$G:$G, $C31)</f>
        <v>1799</v>
      </c>
      <c r="I31" s="53">
        <f>SUMIFS('Upper Keys Outplants'!$J:$J, 'Upper Keys Outplants'!$G:$G,$C31)</f>
        <v>0</v>
      </c>
      <c r="J31" s="98">
        <f t="shared" si="7"/>
        <v>-49</v>
      </c>
      <c r="K31" s="111">
        <f>SUMIFS('in-situ Massive outplants'!$H:$H,'in-situ Massive outplants'!$G:$G, $C31)</f>
        <v>0</v>
      </c>
      <c r="L31" s="112">
        <f t="array" ref="L31">SUMIFS('ex-situ Massive outplants'!$H:$H,'ex-situ Massive outplants'!$G:$G, $C31) + IFNA(SUM(INDEX('Upper Keys Outplants'!$K:$O, MATCH($C31,'Upper Keys Outplants'!$G:$G,0))),0)</f>
        <v>0</v>
      </c>
      <c r="M31" s="53">
        <f t="array" ref="M31">IFNA(SUM(INDEX('Upper Keys Outplants'!$K:$O, MATCH($C31,'Upper Keys Outplants'!$G:$G,0))),0)</f>
        <v>0</v>
      </c>
      <c r="N31" s="99" t="s">
        <v>29</v>
      </c>
      <c r="O31" s="112">
        <f>SUMIFS('in-situ Apal outplants'!$H:$H,'in-situ Apal outplants'!$G:$G, $C31)</f>
        <v>0</v>
      </c>
      <c r="P31" s="50">
        <f t="shared" si="5"/>
        <v>2799</v>
      </c>
      <c r="Q31" s="94">
        <v>2750.0</v>
      </c>
      <c r="R31" s="114" t="s">
        <v>81</v>
      </c>
      <c r="S31" s="118"/>
      <c r="T31" s="50"/>
      <c r="U31" s="50"/>
      <c r="V31" s="50"/>
    </row>
    <row r="32">
      <c r="A32" s="107">
        <v>44853.0</v>
      </c>
      <c r="B32" s="107">
        <v>45199.0</v>
      </c>
      <c r="C32" s="119" t="s">
        <v>82</v>
      </c>
      <c r="D32" s="53">
        <f>SUMIFS('in-situ Acer outplants'!$H:$H,'in-situ Acer outplants'!$G:$G, $C32)</f>
        <v>0</v>
      </c>
      <c r="E32" s="109">
        <f>SUMIFS('ex-situ Acer outplants'!$H:$H,'ex-situ Acer outplants'!$G:$G, $C32)</f>
        <v>0</v>
      </c>
      <c r="F32" s="53">
        <f>SUMIFS('Upper Keys Outplants'!$I:$I, 'Upper Keys Outplants'!$G:$G,$C32)</f>
        <v>431</v>
      </c>
      <c r="G32" s="120">
        <f t="shared" si="6"/>
        <v>1000</v>
      </c>
      <c r="H32" s="53">
        <f>SUMIFS('ex-situ Apal outplants'!$H:$H,'ex-situ Apal outplants'!$G:$G, $C32)</f>
        <v>0</v>
      </c>
      <c r="I32" s="53">
        <f>SUMIFS('Upper Keys Outplants'!$J:$J, 'Upper Keys Outplants'!$G:$G,$C32)</f>
        <v>0</v>
      </c>
      <c r="J32" s="121">
        <f t="shared" si="7"/>
        <v>1750</v>
      </c>
      <c r="K32" s="122">
        <f>SUMIFS('in-situ Massive outplants'!$H:$H,'in-situ Massive outplants'!$G:$G, $C32)</f>
        <v>0</v>
      </c>
      <c r="L32" s="112">
        <f t="array" ref="L32">SUMIFS('ex-situ Massive outplants'!$H:$H,'ex-situ Massive outplants'!$G:$G, $C32) + IFNA(SUM(INDEX('Upper Keys Outplants'!$K:$O, MATCH($C32,'Upper Keys Outplants'!$G:$G,0))),0)</f>
        <v>0</v>
      </c>
      <c r="M32" s="53">
        <f t="array" ref="M32">IFNA(SUM(INDEX('Upper Keys Outplants'!$K:$O, MATCH($C32,'Upper Keys Outplants'!$G:$G,0))),0)</f>
        <v>0</v>
      </c>
      <c r="N32" s="99" t="s">
        <v>29</v>
      </c>
      <c r="O32" s="112">
        <f>SUMIFS('in-situ Apal outplants'!$H:$H,'in-situ Apal outplants'!$G:$G, $C32)</f>
        <v>0</v>
      </c>
      <c r="P32" s="123">
        <f t="shared" si="5"/>
        <v>0</v>
      </c>
      <c r="Q32" s="124">
        <v>2750.0</v>
      </c>
      <c r="R32" s="125" t="s">
        <v>83</v>
      </c>
      <c r="S32" s="118"/>
      <c r="T32" s="50"/>
      <c r="U32" s="50"/>
      <c r="V32" s="50"/>
    </row>
    <row r="33">
      <c r="A33" s="107">
        <v>44853.0</v>
      </c>
      <c r="B33" s="107">
        <v>45199.0</v>
      </c>
      <c r="C33" s="126" t="s">
        <v>84</v>
      </c>
      <c r="D33" s="127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'""&amp;TEXT(""09/30/2023"",""yyyy-mm-dd"")&amp;""'"",1))"),1010.0)</f>
        <v>1010</v>
      </c>
      <c r="E33" s="109">
        <f>SUMIFS('ex-situ Acer outplants'!$H:$H,'ex-situ Acer outplants'!$G:$G, $C33)</f>
        <v>0</v>
      </c>
      <c r="F33" s="53">
        <f>SUMIFS('Upper Keys Outplants'!$I:$I, 'Upper Keys Outplants'!$G:$G,$C33)</f>
        <v>3230</v>
      </c>
      <c r="G33" s="128">
        <f>3000-D33</f>
        <v>1990</v>
      </c>
      <c r="H33" s="53"/>
      <c r="I33" s="53">
        <f>SUMIFS('Upper Keys Outplants'!$J:$J, 'Upper Keys Outplants'!$G:$G,$C33)</f>
        <v>1060</v>
      </c>
      <c r="J33" s="129">
        <f>700-H33</f>
        <v>700</v>
      </c>
      <c r="K33" s="122">
        <f>SUMIFS('in-situ Massive outplants'!$H:$H,'in-situ Massive outplants'!$G:$G, $C33)</f>
        <v>0</v>
      </c>
      <c r="L33" s="112">
        <f t="array" ref="L33">SUMIFS('ex-situ Massive outplants'!$H:$H,'ex-situ Massive outplants'!$G:$G, $C33) + IFNA(SUM(INDEX('Upper Keys Outplants'!$K:$O, MATCH($C33,'Upper Keys Outplants'!$G:$G,0))),0)</f>
        <v>0</v>
      </c>
      <c r="M33" s="53">
        <f t="array" ref="M33">IFNA(SUM(INDEX('Upper Keys Outplants'!$K:$O, MATCH($C33,'Upper Keys Outplants'!$G:$G,0))),0)</f>
        <v>0</v>
      </c>
      <c r="N33" s="99" t="s">
        <v>29</v>
      </c>
      <c r="O33" s="112">
        <f>SUMIFS('in-situ Apal outplants'!$H:$H,'in-situ Apal outplants'!$G:$G, $C33)</f>
        <v>0</v>
      </c>
      <c r="P33" s="130">
        <f t="shared" si="5"/>
        <v>1010</v>
      </c>
      <c r="Q33" s="131">
        <v>3700.0</v>
      </c>
      <c r="R33" s="132" t="s">
        <v>85</v>
      </c>
      <c r="S33" s="118"/>
      <c r="T33" s="50"/>
      <c r="U33" s="50"/>
      <c r="V33" s="50"/>
    </row>
    <row r="34">
      <c r="A34" s="107">
        <v>44853.0</v>
      </c>
      <c r="B34" s="107">
        <v>45199.0</v>
      </c>
      <c r="C34" s="108" t="s">
        <v>86</v>
      </c>
      <c r="D34" s="112">
        <f>SUMIFS('in-situ Acer outplants'!$H:$H,'in-situ Acer outplants'!$G:$G, $C34)</f>
        <v>0</v>
      </c>
      <c r="E34" s="109">
        <f>SUMIFS('ex-situ Acer outplants'!$H:$H,'ex-situ Acer outplants'!$G:$G, $C34)</f>
        <v>0</v>
      </c>
      <c r="F34" s="53">
        <f>SUMIFS('Upper Keys Outplants'!$I:$I, 'Upper Keys Outplants'!$G:$G,$C34)</f>
        <v>535</v>
      </c>
      <c r="G34" s="98">
        <f>1000-D34</f>
        <v>1000</v>
      </c>
      <c r="H34" s="53">
        <f>SUMIFS('ex-situ Apal outplants'!$H:$H,'ex-situ Apal outplants'!$G:$G, $C34)</f>
        <v>0</v>
      </c>
      <c r="I34" s="53">
        <f>SUMIFS('Upper Keys Outplants'!$J:$J, 'Upper Keys Outplants'!$G:$G,$C34)</f>
        <v>0</v>
      </c>
      <c r="J34" s="98">
        <f>1750-H34</f>
        <v>1750</v>
      </c>
      <c r="K34" s="111">
        <f>SUMIFS('in-situ Massive outplants'!$H:$H,'in-situ Massive outplants'!$G:$G, $C34)</f>
        <v>0</v>
      </c>
      <c r="L34" s="112">
        <f t="array" ref="L34">SUMIFS('ex-situ Massive outplants'!$H:$H,'ex-situ Massive outplants'!$G:$G, $C34) + IFNA(SUM(INDEX('Upper Keys Outplants'!$K:$O, MATCH($C34,'Upper Keys Outplants'!$G:$G,0))),0)</f>
        <v>0</v>
      </c>
      <c r="M34" s="53">
        <f t="array" ref="M34">IFNA(SUM(INDEX('Upper Keys Outplants'!$K:$O, MATCH($C34,'Upper Keys Outplants'!$G:$G,0))),0)</f>
        <v>0</v>
      </c>
      <c r="N34" s="99" t="s">
        <v>29</v>
      </c>
      <c r="O34" s="112">
        <f>SUMIFS('in-situ Apal outplants'!$H:$H,'in-situ Apal outplants'!$G:$G, $C34)</f>
        <v>0</v>
      </c>
      <c r="P34" s="50">
        <f t="shared" si="5"/>
        <v>0</v>
      </c>
      <c r="Q34" s="94">
        <v>2750.0</v>
      </c>
      <c r="R34" s="133" t="s">
        <v>83</v>
      </c>
      <c r="S34" s="118"/>
      <c r="T34" s="50"/>
      <c r="U34" s="50"/>
      <c r="V34" s="50"/>
    </row>
    <row r="35">
      <c r="A35" s="107">
        <v>44866.0</v>
      </c>
      <c r="B35" s="107">
        <v>45107.0</v>
      </c>
      <c r="C35" s="108" t="s">
        <v>87</v>
      </c>
      <c r="D35" s="112">
        <f>SUMIFS('in-situ Acer outplants'!$H:$H,'in-situ Acer outplants'!$G:$G, $C35)</f>
        <v>0</v>
      </c>
      <c r="E35" s="134">
        <v>0.0</v>
      </c>
      <c r="F35" s="53">
        <f>SUMIFS('Upper Keys Outplants'!$I:$I, 'Upper Keys Outplants'!$G:$G,$C35)</f>
        <v>0</v>
      </c>
      <c r="G35" s="115" t="s">
        <v>29</v>
      </c>
      <c r="H35" s="53">
        <f>SUMIFS('ex-situ Apal outplants'!$H:$H,'ex-situ Apal outplants'!$G:$G, $C35)</f>
        <v>828</v>
      </c>
      <c r="I35" s="53">
        <f>SUMIFS('Upper Keys Outplants'!$J:$J, 'Upper Keys Outplants'!$G:$G,$C35)</f>
        <v>0</v>
      </c>
      <c r="J35" s="98">
        <f>828-H35</f>
        <v>0</v>
      </c>
      <c r="K35" s="135">
        <v>0.0</v>
      </c>
      <c r="L35" s="136">
        <v>0.0</v>
      </c>
      <c r="M35" s="53">
        <f t="array" ref="M35">IFNA(SUM(INDEX('Upper Keys Outplants'!$K:$O, MATCH($C35,'Upper Keys Outplants'!$G:$G,0))),0)</f>
        <v>0</v>
      </c>
      <c r="N35" s="115" t="s">
        <v>29</v>
      </c>
      <c r="O35" s="136">
        <v>0.0</v>
      </c>
      <c r="P35" s="50">
        <f t="shared" si="5"/>
        <v>828</v>
      </c>
      <c r="Q35" s="94">
        <v>4140.0</v>
      </c>
      <c r="R35" s="137" t="s">
        <v>88</v>
      </c>
      <c r="S35" s="118"/>
      <c r="T35" s="50"/>
      <c r="U35" s="50"/>
      <c r="V35" s="50"/>
    </row>
    <row r="36">
      <c r="A36" s="138">
        <v>44927.0</v>
      </c>
      <c r="B36" s="107">
        <v>45291.0</v>
      </c>
      <c r="C36" s="108" t="s">
        <v>89</v>
      </c>
      <c r="D36" s="112">
        <f>SUMIFS('in-situ Acer outplants'!$H:$H,'in-situ Acer outplants'!$G:$G, $C36)</f>
        <v>3500</v>
      </c>
      <c r="E36" s="109">
        <f>SUMIFS('ex-situ Acer outplants'!$H:$H,'ex-situ Acer outplants'!$G:$G, $C36)</f>
        <v>425</v>
      </c>
      <c r="F36" s="53">
        <f>SUMIFS('Upper Keys Outplants'!$I:$I, 'Upper Keys Outplants'!$G:$G,$C36)</f>
        <v>0</v>
      </c>
      <c r="G36" s="98">
        <f>3000-D36-E36</f>
        <v>-925</v>
      </c>
      <c r="H36" s="53">
        <f>SUMIFS('ex-situ Apal outplants'!$H:$H,'ex-situ Apal outplants'!$G:$G, $C36)</f>
        <v>672</v>
      </c>
      <c r="I36" s="53">
        <f>SUMIFS('Upper Keys Outplants'!$J:$J, 'Upper Keys Outplants'!$G:$G,$C36)</f>
        <v>0</v>
      </c>
      <c r="J36" s="98">
        <f>1400-H36</f>
        <v>728</v>
      </c>
      <c r="K36" s="111">
        <f>SUMIFS('in-situ Massive outplants'!$H:$H,'in-situ Massive outplants'!$G:$G, $C36)</f>
        <v>450</v>
      </c>
      <c r="L36" s="112">
        <f t="array" ref="L36">SUMIFS('ex-situ Massive outplants'!$H:$H,'ex-situ Massive outplants'!$G:$G, $C36) + IFNA(SUM(INDEX('Upper Keys Outplants'!$K:$O, MATCH($C36,'Upper Keys Outplants'!$G:$G,0))),0)</f>
        <v>360</v>
      </c>
      <c r="M36" s="53">
        <f t="array" ref="M36">IFNA(SUM(INDEX('Upper Keys Outplants'!$K:$O, MATCH($C36,'Upper Keys Outplants'!$G:$G,0))),0)</f>
        <v>0</v>
      </c>
      <c r="N36" s="98">
        <f>600-L36-K36</f>
        <v>-210</v>
      </c>
      <c r="O36" s="112">
        <f>SUMIFS('in-situ Apal outplants'!$H:$H,'in-situ Apal outplants'!$G:$G, $C36)</f>
        <v>0</v>
      </c>
      <c r="P36" s="50">
        <f t="shared" si="5"/>
        <v>5407</v>
      </c>
      <c r="Q36" s="94">
        <v>5000.0</v>
      </c>
      <c r="R36" s="114" t="s">
        <v>70</v>
      </c>
      <c r="S36" s="118"/>
      <c r="T36" s="50"/>
      <c r="U36" s="50"/>
      <c r="V36" s="50"/>
    </row>
    <row r="37">
      <c r="A37" s="92">
        <v>44978.0</v>
      </c>
      <c r="B37" s="92">
        <v>44978.0</v>
      </c>
      <c r="C37" s="139" t="s">
        <v>90</v>
      </c>
      <c r="D37" s="112">
        <f>SUMIFS('in-situ Acer outplants'!$H:$H,'in-situ Acer outplants'!$G:$G, $C37)</f>
        <v>750</v>
      </c>
      <c r="E37" s="104">
        <f>SUMIFS('ex-situ Acer outplants'!$H:$H,'ex-situ Acer outplants'!$G:$G, $C37)</f>
        <v>0</v>
      </c>
      <c r="F37" s="53">
        <f>SUMIFS('Upper Keys Outplants'!$I:$I, 'Upper Keys Outplants'!$G:$G,$C37)</f>
        <v>0</v>
      </c>
      <c r="G37" s="98">
        <f>450-D37</f>
        <v>-300</v>
      </c>
      <c r="H37" s="53">
        <f>SUMIFS('ex-situ Apal outplants'!$H:$H,'ex-situ Apal outplants'!$G:$G, $C37)</f>
        <v>0</v>
      </c>
      <c r="I37" s="53">
        <f>SUMIFS('Upper Keys Outplants'!$J:$J, 'Upper Keys Outplants'!$G:$G,$C37)</f>
        <v>0</v>
      </c>
      <c r="J37" s="99" t="s">
        <v>29</v>
      </c>
      <c r="K37" s="100">
        <f>SUMIFS('in-situ Massive outplants'!$H:$H,'in-situ Massive outplants'!$G:$G, $C37)</f>
        <v>0</v>
      </c>
      <c r="L37" s="53">
        <f t="array" ref="L37">SUMIFS('ex-situ Massive outplants'!$H:$H,'ex-situ Massive outplants'!$G:$G, $C37) + IFNA(SUM(INDEX('Upper Keys Outplants'!$K:$O, MATCH($C37,'Upper Keys Outplants'!$G:$G,0))),0)</f>
        <v>0</v>
      </c>
      <c r="M37" s="53">
        <f t="array" ref="M37">IFNA(SUM(INDEX('Upper Keys Outplants'!$K:$O, MATCH($C37,'Upper Keys Outplants'!$G:$G,0))),0)</f>
        <v>0</v>
      </c>
      <c r="N37" s="99" t="s">
        <v>29</v>
      </c>
      <c r="O37" s="53">
        <f>SUMIFS('in-situ Apal outplants'!$H:$H,'in-situ Apal outplants'!$G:$G, $C37)</f>
        <v>0</v>
      </c>
      <c r="P37" s="50">
        <f t="shared" si="5"/>
        <v>750</v>
      </c>
      <c r="Q37" s="140">
        <v>450.0</v>
      </c>
      <c r="R37" s="96" t="s">
        <v>91</v>
      </c>
      <c r="S37" s="118"/>
      <c r="T37" s="50"/>
      <c r="U37" s="50"/>
      <c r="V37" s="50"/>
    </row>
    <row r="38">
      <c r="A38" s="107">
        <v>44986.0</v>
      </c>
      <c r="B38" s="107">
        <v>45350.0</v>
      </c>
      <c r="C38" s="141" t="s">
        <v>92</v>
      </c>
      <c r="D38" s="112">
        <f>SUMIFS('in-situ Acer outplants'!$H:$H,'in-situ Acer outplants'!$G:$G, $C38)</f>
        <v>1500</v>
      </c>
      <c r="E38" s="109">
        <f>SUMIFS('ex-situ Acer outplants'!$H:$H,'ex-situ Acer outplants'!$G:$G, $C38)</f>
        <v>0</v>
      </c>
      <c r="F38" s="53">
        <f>SUMIFS('Upper Keys Outplants'!$I:$I, 'Upper Keys Outplants'!$G:$G,$C38)</f>
        <v>0</v>
      </c>
      <c r="G38" s="98">
        <f>3285-D38</f>
        <v>1785</v>
      </c>
      <c r="H38" s="53">
        <f>SUMIFS('ex-situ Apal outplants'!$H:$H,'ex-situ Apal outplants'!$G:$G, $C38)</f>
        <v>6347</v>
      </c>
      <c r="I38" s="53">
        <f>SUMIFS('Upper Keys Outplants'!$J:$J, 'Upper Keys Outplants'!$G:$G,$C38)</f>
        <v>0</v>
      </c>
      <c r="J38" s="98">
        <f>11000-H38</f>
        <v>4653</v>
      </c>
      <c r="K38" s="122">
        <f>SUMIFS('in-situ Massive outplants'!$H:$H,'in-situ Massive outplants'!$G:$G, $C38)</f>
        <v>0</v>
      </c>
      <c r="L38" s="112">
        <f t="array" ref="L38">SUMIFS('ex-situ Massive outplants'!$H:$H,'ex-situ Massive outplants'!$G:$G, $C38) + IFNA(SUM(INDEX('Upper Keys Outplants'!$K:$O, MATCH($C38,'Upper Keys Outplants'!$G:$G,0))),0)</f>
        <v>0</v>
      </c>
      <c r="M38" s="53">
        <f t="array" ref="M38">IFNA(SUM(INDEX('Upper Keys Outplants'!$K:$O, MATCH($C38,'Upper Keys Outplants'!$G:$G,0))),0)</f>
        <v>0</v>
      </c>
      <c r="N38" s="99" t="s">
        <v>29</v>
      </c>
      <c r="O38" s="112">
        <f>SUMIFS('in-situ Apal outplants'!$H:$H,'in-situ Apal outplants'!$G:$G, $C38)</f>
        <v>0</v>
      </c>
      <c r="P38" s="142">
        <f t="shared" si="5"/>
        <v>7847</v>
      </c>
      <c r="Q38" s="140">
        <v>14285.0</v>
      </c>
      <c r="R38" s="143" t="s">
        <v>93</v>
      </c>
      <c r="S38" s="118"/>
      <c r="T38" s="50"/>
      <c r="U38" s="50"/>
      <c r="V38" s="50"/>
    </row>
    <row r="39">
      <c r="A39" s="144"/>
      <c r="B39" s="144"/>
      <c r="C39" s="126" t="s">
        <v>94</v>
      </c>
      <c r="D39" s="112">
        <f>SUMIFS('in-situ Acer outplants'!$H:$H,'in-situ Acer outplants'!$G:$G, $C39)</f>
        <v>0</v>
      </c>
      <c r="E39" s="109">
        <f>SUMIFS('ex-situ Acer outplants'!$H:$H,'ex-situ Acer outplants'!$G:$G, $C39)</f>
        <v>0</v>
      </c>
      <c r="F39" s="53">
        <f>SUMIFS('Upper Keys Outplants'!$I:$I, 'Upper Keys Outplants'!$G:$G,$C39)</f>
        <v>0</v>
      </c>
      <c r="G39" s="145"/>
      <c r="H39" s="53">
        <f>SUMIFS('ex-situ Apal outplants'!$H:$H,'ex-situ Apal outplants'!$G:$G, $C39)</f>
        <v>0</v>
      </c>
      <c r="I39" s="53">
        <f>SUMIFS('Upper Keys Outplants'!$J:$J, 'Upper Keys Outplants'!$G:$G,$C39)</f>
        <v>0</v>
      </c>
      <c r="J39" s="145"/>
      <c r="K39" s="122">
        <f>SUMIFS('in-situ Massive outplants'!$H:$H,'in-situ Massive outplants'!$G:$G, $C39)</f>
        <v>0</v>
      </c>
      <c r="L39" s="112">
        <f t="array" ref="L39">SUMIFS('ex-situ Massive outplants'!$H:$H,'ex-situ Massive outplants'!$G:$G, $C39) + IFNA(SUM(INDEX('Upper Keys Outplants'!$K:$O, MATCH($C39,'Upper Keys Outplants'!$G:$G,0))),0)</f>
        <v>1040</v>
      </c>
      <c r="M39" s="53">
        <f t="array" ref="M39">IFNA(SUM(INDEX('Upper Keys Outplants'!$K:$O, MATCH($C39,'Upper Keys Outplants'!$G:$G,0))),0)</f>
        <v>0</v>
      </c>
      <c r="N39" s="145"/>
      <c r="O39" s="112">
        <f>SUMIFS('in-situ Apal outplants'!$H:$H,'in-situ Apal outplants'!$G:$G, $C39)</f>
        <v>0</v>
      </c>
      <c r="P39" s="142">
        <f t="shared" si="5"/>
        <v>1040</v>
      </c>
      <c r="Q39" s="140"/>
      <c r="R39" s="137"/>
      <c r="S39" s="118"/>
      <c r="T39" s="50"/>
      <c r="U39" s="50"/>
      <c r="V39" s="50"/>
    </row>
    <row r="40">
      <c r="A40" s="146"/>
      <c r="B40" s="147"/>
      <c r="C40" s="148" t="s">
        <v>95</v>
      </c>
      <c r="D40" s="146">
        <f>SUM(D2:D39)</f>
        <v>128897</v>
      </c>
      <c r="E40" s="149">
        <f>SUM(E2:E38)</f>
        <v>5082</v>
      </c>
      <c r="F40" s="53">
        <f>SUMIFS('Upper Keys Outplants'!$I:$I, 'Upper Keys Outplants'!$G:$G,$C40)</f>
        <v>0</v>
      </c>
      <c r="G40" s="150">
        <f>SUM(G26:G39)</f>
        <v>3785</v>
      </c>
      <c r="H40" s="147">
        <f>SUM(H2:H38)</f>
        <v>47132</v>
      </c>
      <c r="I40" s="147"/>
      <c r="J40" s="150">
        <f>SUM(J26:J39)</f>
        <v>9346</v>
      </c>
      <c r="K40" s="151">
        <f t="shared" ref="K40:L40" si="8">SUM(K2:K38)</f>
        <v>2729</v>
      </c>
      <c r="L40" s="147">
        <f t="shared" si="8"/>
        <v>31806</v>
      </c>
      <c r="M40" s="147"/>
      <c r="N40" s="150">
        <f>SUM(N26:N39)</f>
        <v>-210</v>
      </c>
      <c r="O40" s="152">
        <f>SUM(O2:O38)</f>
        <v>61</v>
      </c>
      <c r="P40" s="153">
        <f>SUM(P2:P39)</f>
        <v>216747</v>
      </c>
      <c r="Q40" s="154"/>
      <c r="R40" s="154"/>
      <c r="S40" s="154"/>
      <c r="T40" s="154"/>
      <c r="U40" s="154"/>
      <c r="V40" s="154"/>
    </row>
    <row r="41">
      <c r="A41" s="155"/>
      <c r="B41" s="156"/>
      <c r="C41" s="157" t="s">
        <v>96</v>
      </c>
      <c r="D41" s="158">
        <f t="shared" ref="D41:E41" si="9">D40-D19-D24-D33</f>
        <v>123932</v>
      </c>
      <c r="E41" s="158">
        <f t="shared" si="9"/>
        <v>5082</v>
      </c>
      <c r="F41" s="53">
        <f>SUMIFS('Upper Keys Outplants'!$I:$I, 'Upper Keys Outplants'!$G:$G,$C41)</f>
        <v>0</v>
      </c>
      <c r="G41" s="158"/>
      <c r="H41" s="158">
        <f>H40-H19-H24-H33</f>
        <v>47132</v>
      </c>
      <c r="I41" s="158"/>
      <c r="J41" s="158"/>
      <c r="K41" s="158">
        <f t="shared" ref="K41:L41" si="10">K40-K19-K24-K33</f>
        <v>2729</v>
      </c>
      <c r="L41" s="158">
        <f t="shared" si="10"/>
        <v>31806</v>
      </c>
      <c r="M41" s="158"/>
      <c r="N41" s="158"/>
      <c r="O41" s="158">
        <f>O40-O19-O24-O33</f>
        <v>61</v>
      </c>
      <c r="P41" s="159">
        <f>SUM(D41:O41)</f>
        <v>210742</v>
      </c>
      <c r="Q41" s="155"/>
      <c r="R41" s="155"/>
      <c r="S41" s="155"/>
      <c r="T41" s="155"/>
      <c r="U41" s="155"/>
      <c r="V41" s="155"/>
    </row>
    <row r="42">
      <c r="A42" s="50"/>
      <c r="B42" s="160"/>
      <c r="C42" s="161"/>
      <c r="D42" s="161"/>
      <c r="E42" s="50"/>
      <c r="F42" s="50"/>
      <c r="G42" s="50"/>
      <c r="J42" s="50"/>
      <c r="K42" s="50"/>
      <c r="L42" s="50"/>
      <c r="M42" s="50"/>
      <c r="N42" s="50"/>
      <c r="O42" s="50"/>
      <c r="P42" s="50"/>
      <c r="Q42" s="162"/>
      <c r="R42" s="50"/>
      <c r="S42" s="50"/>
      <c r="T42" s="50"/>
      <c r="U42" s="50"/>
      <c r="V42" s="50"/>
    </row>
    <row r="43">
      <c r="A43" s="105"/>
      <c r="B43" s="163"/>
      <c r="C43" s="164" t="s">
        <v>97</v>
      </c>
      <c r="D43" s="165">
        <v>123632.0</v>
      </c>
      <c r="E43" s="165">
        <v>5081.0</v>
      </c>
      <c r="F43" s="166"/>
      <c r="G43" s="167"/>
      <c r="H43" s="168"/>
      <c r="I43" s="168"/>
      <c r="J43" s="167"/>
      <c r="K43" s="165">
        <v>2640.0</v>
      </c>
      <c r="L43" s="166"/>
      <c r="M43" s="166"/>
      <c r="N43" s="169"/>
      <c r="O43" s="166">
        <v>61.0</v>
      </c>
      <c r="P43" s="170">
        <f>SUM(D43:O43)</f>
        <v>131414</v>
      </c>
      <c r="Q43" s="171"/>
      <c r="R43" s="50"/>
      <c r="S43" s="50"/>
      <c r="T43" s="50"/>
      <c r="U43" s="50"/>
      <c r="V43" s="50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0" priority="1" operator="containsText" text="N/A">
      <formula>NOT(ISERROR(SEARCH(("N/A"),(Q2))))</formula>
    </cfRule>
  </conditionalFormatting>
  <conditionalFormatting sqref="Q2:Q39">
    <cfRule type="expression" dxfId="1" priority="2">
      <formula>Q2&gt;P2</formula>
    </cfRule>
  </conditionalFormatting>
  <conditionalFormatting sqref="Q2:Q39">
    <cfRule type="expression" dxfId="2" priority="3">
      <formula>Q2&lt;=P2</formula>
    </cfRule>
  </conditionalFormatting>
  <conditionalFormatting sqref="P2:P39">
    <cfRule type="expression" dxfId="0" priority="4">
      <formula>Q2="N/A"</formula>
    </cfRule>
  </conditionalFormatting>
  <conditionalFormatting sqref="P2:P39">
    <cfRule type="expression" dxfId="2" priority="5">
      <formula>P2&gt;=Q2</formula>
    </cfRule>
  </conditionalFormatting>
  <conditionalFormatting sqref="P2:P39">
    <cfRule type="expression" dxfId="1" priority="6">
      <formula>P2&lt;Q2</formula>
    </cfRule>
  </conditionalFormatting>
  <conditionalFormatting sqref="D2:E39 F2:F41 G2:K39 L2:L17 M2:O39 L19:L39">
    <cfRule type="cellIs" dxfId="3" priority="7" operator="equal">
      <formula>0</formula>
    </cfRule>
  </conditionalFormatting>
  <conditionalFormatting sqref="P40">
    <cfRule type="expression" dxfId="4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172" t="s">
        <v>98</v>
      </c>
      <c r="D1" s="173" t="s">
        <v>99</v>
      </c>
      <c r="I1" s="174" t="s">
        <v>100</v>
      </c>
      <c r="N1" s="175" t="s">
        <v>101</v>
      </c>
      <c r="S1" s="118"/>
      <c r="T1" s="50"/>
      <c r="U1" s="50"/>
    </row>
    <row r="2">
      <c r="A2" s="37" t="s">
        <v>14</v>
      </c>
      <c r="B2" s="38" t="s">
        <v>15</v>
      </c>
      <c r="C2" s="39" t="s">
        <v>16</v>
      </c>
      <c r="D2" s="176" t="s">
        <v>102</v>
      </c>
      <c r="E2" s="177" t="s">
        <v>103</v>
      </c>
      <c r="F2" s="177" t="s">
        <v>104</v>
      </c>
      <c r="G2" s="177" t="s">
        <v>105</v>
      </c>
      <c r="H2" s="178" t="s">
        <v>106</v>
      </c>
      <c r="I2" s="179" t="s">
        <v>102</v>
      </c>
      <c r="J2" s="180" t="s">
        <v>103</v>
      </c>
      <c r="K2" s="180" t="s">
        <v>104</v>
      </c>
      <c r="L2" s="180" t="s">
        <v>105</v>
      </c>
      <c r="M2" s="181" t="s">
        <v>106</v>
      </c>
      <c r="N2" s="182" t="s">
        <v>102</v>
      </c>
      <c r="O2" s="183" t="s">
        <v>103</v>
      </c>
      <c r="P2" s="183" t="s">
        <v>104</v>
      </c>
      <c r="Q2" s="183" t="s">
        <v>105</v>
      </c>
      <c r="R2" s="183" t="s">
        <v>106</v>
      </c>
      <c r="S2" s="184" t="s">
        <v>26</v>
      </c>
      <c r="T2" s="185" t="s">
        <v>107</v>
      </c>
      <c r="U2" s="185" t="s">
        <v>108</v>
      </c>
    </row>
    <row r="3">
      <c r="A3" s="186">
        <v>39177.0</v>
      </c>
      <c r="B3" s="186">
        <v>39813.0</v>
      </c>
      <c r="C3" s="118" t="s">
        <v>28</v>
      </c>
      <c r="D3" s="187">
        <v>112.0</v>
      </c>
      <c r="E3" s="50">
        <f>SUMIFS('in-situ Acer outplants'!$H:$H,'in-situ Acer outplants'!$G:$G, $C3)</f>
        <v>112</v>
      </c>
      <c r="F3" s="50">
        <f>SUMIFS('ex-situ Acer outplants'!$H:$H,'ex-situ Acer outplants'!$G:$G, $C3)</f>
        <v>0</v>
      </c>
      <c r="G3" s="50">
        <f>SUMIFS('Upper Keys Outplants'!$I:$I, 'Upper Keys Outplants'!$G:$G,$C3)</f>
        <v>0</v>
      </c>
      <c r="H3" s="188">
        <f t="shared" ref="H3:H40" si="1">D3-E3-F3-G3</f>
        <v>0</v>
      </c>
      <c r="I3" s="187">
        <v>0.0</v>
      </c>
      <c r="J3" s="66">
        <f>SUMIFS('in-situ Apal outplants'!$H:$H,'in-situ Apal outplants'!$G:$G, $C3)</f>
        <v>0</v>
      </c>
      <c r="K3" s="50">
        <f>SUMIFS('ex-situ Apal outplants'!$H:$H,'ex-situ Apal outplants'!$G:$G, $C3)</f>
        <v>0</v>
      </c>
      <c r="L3" s="50">
        <f>SUMIFS('Upper Keys Outplants'!$J:$J, 'Upper Keys Outplants'!$G:$G,$C3)</f>
        <v>0</v>
      </c>
      <c r="M3" s="50">
        <f t="shared" ref="M3:M40" si="2">I3-J3-K3-L3</f>
        <v>0</v>
      </c>
      <c r="N3" s="187">
        <v>0.0</v>
      </c>
      <c r="O3" s="50">
        <f>SUMIFS('in-situ Massive outplants'!$H:$H,'in-situ Massive outplants'!$G:$G, $C3)</f>
        <v>0</v>
      </c>
      <c r="P3" s="50">
        <f>SUMIFS('ex-situ Massive outplants'!$H:$H,'ex-situ Massive outplants'!$G:$G, $C3)</f>
        <v>0</v>
      </c>
      <c r="Q3" s="66">
        <f t="array" ref="Q3">IFNA(SUM(INDEX('Upper Keys Outplants'!$K:$O, MATCH($C3,'Upper Keys Outplants'!$G:$G,0))),0)</f>
        <v>0</v>
      </c>
      <c r="R3" s="50">
        <f t="shared" ref="R3:R40" si="3">N3-O3-P3-Q3</f>
        <v>0</v>
      </c>
      <c r="S3" s="118">
        <f t="shared" ref="S3:S41" si="4">D3+I3+N3</f>
        <v>112</v>
      </c>
      <c r="T3" s="50">
        <f t="shared" ref="T3:T41" si="5">SUM(E3:G3,J3:L3,O3:Q3)</f>
        <v>112</v>
      </c>
      <c r="U3" s="50"/>
    </row>
    <row r="4">
      <c r="A4" s="186">
        <v>40058.0</v>
      </c>
      <c r="B4" s="186">
        <v>41274.0</v>
      </c>
      <c r="C4" s="118" t="s">
        <v>30</v>
      </c>
      <c r="D4" s="187">
        <v>600.0</v>
      </c>
      <c r="E4" s="50">
        <f>SUMIFS('in-situ Acer outplants'!$H:$H,'in-situ Acer outplants'!$G:$G, $C4)</f>
        <v>600</v>
      </c>
      <c r="F4" s="50">
        <f>SUMIFS('ex-situ Acer outplants'!$H:$H,'ex-situ Acer outplants'!$G:$G, $C4)</f>
        <v>0</v>
      </c>
      <c r="G4" s="50">
        <f>SUMIFS('Upper Keys Outplants'!$I:$I, 'Upper Keys Outplants'!$G:$G,$C4)</f>
        <v>0</v>
      </c>
      <c r="H4" s="188">
        <f t="shared" si="1"/>
        <v>0</v>
      </c>
      <c r="I4" s="187">
        <v>0.0</v>
      </c>
      <c r="J4" s="66">
        <f>SUMIFS('in-situ Apal outplants'!$H:$H,'in-situ Apal outplants'!$G:$G, $C4)</f>
        <v>0</v>
      </c>
      <c r="K4" s="50">
        <f>SUMIFS('ex-situ Apal outplants'!$H:$H,'ex-situ Apal outplants'!$G:$G, $C4)</f>
        <v>0</v>
      </c>
      <c r="L4" s="50">
        <f>SUMIFS('Upper Keys Outplants'!$J:$J, 'Upper Keys Outplants'!$G:$G,$C4)</f>
        <v>0</v>
      </c>
      <c r="M4" s="50">
        <f t="shared" si="2"/>
        <v>0</v>
      </c>
      <c r="N4" s="187">
        <v>0.0</v>
      </c>
      <c r="O4" s="50">
        <f>SUMIFS('in-situ Massive outplants'!$H:$H,'in-situ Massive outplants'!$G:$G, $C4)</f>
        <v>0</v>
      </c>
      <c r="P4" s="50">
        <f>SUMIFS('ex-situ Massive outplants'!$H:$H,'ex-situ Massive outplants'!$G:$G, $C4)</f>
        <v>0</v>
      </c>
      <c r="Q4" s="66">
        <f t="array" ref="Q4">IFNA(SUM(INDEX('Upper Keys Outplants'!$K:$O, MATCH($C4,'Upper Keys Outplants'!$G:$G,0))),0)</f>
        <v>0</v>
      </c>
      <c r="R4" s="50">
        <f t="shared" si="3"/>
        <v>0</v>
      </c>
      <c r="S4" s="118">
        <f t="shared" si="4"/>
        <v>600</v>
      </c>
      <c r="T4" s="50">
        <f t="shared" si="5"/>
        <v>600</v>
      </c>
      <c r="U4" s="50"/>
    </row>
    <row r="5">
      <c r="A5" s="186">
        <v>41425.0</v>
      </c>
      <c r="B5" s="186">
        <v>42185.0</v>
      </c>
      <c r="C5" s="118" t="s">
        <v>31</v>
      </c>
      <c r="D5" s="187">
        <v>1450.0</v>
      </c>
      <c r="E5" s="50">
        <f>SUMIFS('in-situ Acer outplants'!$H:$H,'in-situ Acer outplants'!$G:$G, $C5)</f>
        <v>2067</v>
      </c>
      <c r="F5" s="50">
        <f>SUMIFS('ex-situ Acer outplants'!$H:$H,'ex-situ Acer outplants'!$G:$G, $C5)</f>
        <v>0</v>
      </c>
      <c r="G5" s="50">
        <f>SUMIFS('Upper Keys Outplants'!$I:$I, 'Upper Keys Outplants'!$G:$G,$C5)</f>
        <v>0</v>
      </c>
      <c r="H5" s="188">
        <f t="shared" si="1"/>
        <v>-617</v>
      </c>
      <c r="I5" s="187">
        <v>0.0</v>
      </c>
      <c r="J5" s="66">
        <f>SUMIFS('in-situ Apal outplants'!$H:$H,'in-situ Apal outplants'!$G:$G, $C5)</f>
        <v>0</v>
      </c>
      <c r="K5" s="50">
        <f>SUMIFS('ex-situ Apal outplants'!$H:$H,'ex-situ Apal outplants'!$G:$G, $C5)</f>
        <v>0</v>
      </c>
      <c r="L5" s="50">
        <f>SUMIFS('Upper Keys Outplants'!$J:$J, 'Upper Keys Outplants'!$G:$G,$C5)</f>
        <v>0</v>
      </c>
      <c r="M5" s="50">
        <f t="shared" si="2"/>
        <v>0</v>
      </c>
      <c r="N5" s="187">
        <v>0.0</v>
      </c>
      <c r="O5" s="50">
        <f>SUMIFS('in-situ Massive outplants'!$H:$H,'in-situ Massive outplants'!$G:$G, $C5)</f>
        <v>0</v>
      </c>
      <c r="P5" s="50">
        <f>SUMIFS('ex-situ Massive outplants'!$H:$H,'ex-situ Massive outplants'!$G:$G, $C5)</f>
        <v>0</v>
      </c>
      <c r="Q5" s="66">
        <f t="array" ref="Q5">IFNA(SUM(INDEX('Upper Keys Outplants'!$K:$O, MATCH($C5,'Upper Keys Outplants'!$G:$G,0))),0)</f>
        <v>0</v>
      </c>
      <c r="R5" s="50">
        <f t="shared" si="3"/>
        <v>0</v>
      </c>
      <c r="S5" s="118">
        <f t="shared" si="4"/>
        <v>1450</v>
      </c>
      <c r="T5" s="50">
        <f t="shared" si="5"/>
        <v>2067</v>
      </c>
      <c r="U5" s="50"/>
    </row>
    <row r="6">
      <c r="A6" s="186" t="s">
        <v>32</v>
      </c>
      <c r="B6" s="186" t="s">
        <v>32</v>
      </c>
      <c r="C6" s="118" t="s">
        <v>33</v>
      </c>
      <c r="D6" s="187"/>
      <c r="E6" s="50">
        <f>SUMIFS('in-situ Acer outplants'!$H:$H,'in-situ Acer outplants'!$G:$G, $C6)</f>
        <v>1080</v>
      </c>
      <c r="F6" s="50">
        <f>SUMIFS('ex-situ Acer outplants'!$H:$H,'ex-situ Acer outplants'!$G:$G, $C6)</f>
        <v>0</v>
      </c>
      <c r="G6" s="50">
        <f>SUMIFS('Upper Keys Outplants'!$I:$I, 'Upper Keys Outplants'!$G:$G,$C6)</f>
        <v>0</v>
      </c>
      <c r="H6" s="188">
        <f t="shared" si="1"/>
        <v>-1080</v>
      </c>
      <c r="I6" s="187"/>
      <c r="J6" s="66">
        <f>SUMIFS('in-situ Apal outplants'!$H:$H,'in-situ Apal outplants'!$G:$G, $C6)</f>
        <v>61</v>
      </c>
      <c r="K6" s="50">
        <f>SUMIFS('ex-situ Apal outplants'!$H:$H,'ex-situ Apal outplants'!$G:$G, $C6)</f>
        <v>334</v>
      </c>
      <c r="L6" s="50">
        <f>SUMIFS('Upper Keys Outplants'!$J:$J, 'Upper Keys Outplants'!$G:$G,$C6)</f>
        <v>0</v>
      </c>
      <c r="M6" s="50">
        <f t="shared" si="2"/>
        <v>-395</v>
      </c>
      <c r="N6" s="187"/>
      <c r="O6" s="50">
        <f>SUMIFS('in-situ Massive outplants'!$H:$H,'in-situ Massive outplants'!$G:$G, $C6)</f>
        <v>0</v>
      </c>
      <c r="P6" s="50">
        <f>SUMIFS('ex-situ Massive outplants'!$H:$H,'ex-situ Massive outplants'!$G:$G, $C6)</f>
        <v>17369</v>
      </c>
      <c r="Q6" s="66">
        <f t="array" ref="Q6">IFNA(SUM(INDEX('Upper Keys Outplants'!$K:$O, MATCH($C6,'Upper Keys Outplants'!$G:$G,0))),0)</f>
        <v>0</v>
      </c>
      <c r="R6" s="50">
        <f t="shared" si="3"/>
        <v>-17369</v>
      </c>
      <c r="S6" s="118">
        <f t="shared" si="4"/>
        <v>0</v>
      </c>
      <c r="T6" s="50">
        <f t="shared" si="5"/>
        <v>18844</v>
      </c>
      <c r="U6" s="50"/>
    </row>
    <row r="7">
      <c r="A7" s="186">
        <v>41927.0</v>
      </c>
      <c r="B7" s="186">
        <v>42277.0</v>
      </c>
      <c r="C7" s="118" t="s">
        <v>34</v>
      </c>
      <c r="D7" s="187">
        <v>6000.0</v>
      </c>
      <c r="E7" s="50">
        <f>SUMIFS('in-situ Acer outplants'!$H:$H,'in-situ Acer outplants'!$G:$G, $C7)</f>
        <v>6000</v>
      </c>
      <c r="F7" s="50">
        <f>SUMIFS('ex-situ Acer outplants'!$H:$H,'ex-situ Acer outplants'!$G:$G, $C7)</f>
        <v>0</v>
      </c>
      <c r="G7" s="50">
        <f>SUMIFS('Upper Keys Outplants'!$I:$I, 'Upper Keys Outplants'!$G:$G,$C7)</f>
        <v>0</v>
      </c>
      <c r="H7" s="188">
        <f t="shared" si="1"/>
        <v>0</v>
      </c>
      <c r="I7" s="187">
        <v>0.0</v>
      </c>
      <c r="J7" s="66">
        <f>SUMIFS('in-situ Apal outplants'!$H:$H,'in-situ Apal outplants'!$G:$G, $C7)</f>
        <v>0</v>
      </c>
      <c r="K7" s="50">
        <f>SUMIFS('ex-situ Apal outplants'!$H:$H,'ex-situ Apal outplants'!$G:$G, $C7)</f>
        <v>0</v>
      </c>
      <c r="L7" s="50">
        <f>SUMIFS('Upper Keys Outplants'!$J:$J, 'Upper Keys Outplants'!$G:$G,$C7)</f>
        <v>0</v>
      </c>
      <c r="M7" s="50">
        <f t="shared" si="2"/>
        <v>0</v>
      </c>
      <c r="N7" s="187">
        <v>0.0</v>
      </c>
      <c r="O7" s="50">
        <f>SUMIFS('in-situ Massive outplants'!$H:$H,'in-situ Massive outplants'!$G:$G, $C7)</f>
        <v>0</v>
      </c>
      <c r="P7" s="50">
        <f>SUMIFS('ex-situ Massive outplants'!$H:$H,'ex-situ Massive outplants'!$G:$G, $C7)</f>
        <v>0</v>
      </c>
      <c r="Q7" s="66">
        <f t="array" ref="Q7">IFNA(SUM(INDEX('Upper Keys Outplants'!$K:$O, MATCH($C7,'Upper Keys Outplants'!$G:$G,0))),0)</f>
        <v>0</v>
      </c>
      <c r="R7" s="50">
        <f t="shared" si="3"/>
        <v>0</v>
      </c>
      <c r="S7" s="118">
        <f t="shared" si="4"/>
        <v>6000</v>
      </c>
      <c r="T7" s="50">
        <f t="shared" si="5"/>
        <v>6000</v>
      </c>
      <c r="U7" s="50"/>
    </row>
    <row r="8">
      <c r="A8" s="186">
        <v>42353.0</v>
      </c>
      <c r="B8" s="186">
        <v>43799.0</v>
      </c>
      <c r="C8" s="118" t="s">
        <v>35</v>
      </c>
      <c r="D8" s="187">
        <v>60.0</v>
      </c>
      <c r="E8" s="50">
        <f>SUMIFS('in-situ Acer outplants'!$H:$H,'in-situ Acer outplants'!$G:$G, $C8)</f>
        <v>60</v>
      </c>
      <c r="F8" s="50">
        <f>SUMIFS('ex-situ Acer outplants'!$H:$H,'ex-situ Acer outplants'!$G:$G, $C8)</f>
        <v>0</v>
      </c>
      <c r="G8" s="50">
        <f>SUMIFS('Upper Keys Outplants'!$I:$I, 'Upper Keys Outplants'!$G:$G,$C8)</f>
        <v>0</v>
      </c>
      <c r="H8" s="188">
        <f t="shared" si="1"/>
        <v>0</v>
      </c>
      <c r="I8" s="187">
        <v>0.0</v>
      </c>
      <c r="J8" s="66">
        <f>SUMIFS('in-situ Apal outplants'!$H:$H,'in-situ Apal outplants'!$G:$G, $C8)</f>
        <v>0</v>
      </c>
      <c r="K8" s="50">
        <f>SUMIFS('ex-situ Apal outplants'!$H:$H,'ex-situ Apal outplants'!$G:$G, $C8)</f>
        <v>0</v>
      </c>
      <c r="L8" s="50">
        <f>SUMIFS('Upper Keys Outplants'!$J:$J, 'Upper Keys Outplants'!$G:$G,$C8)</f>
        <v>0</v>
      </c>
      <c r="M8" s="50">
        <f t="shared" si="2"/>
        <v>0</v>
      </c>
      <c r="N8" s="187">
        <v>180.0</v>
      </c>
      <c r="O8" s="50">
        <f>SUMIFS('in-situ Massive outplants'!$H:$H,'in-situ Massive outplants'!$G:$G, $C8)</f>
        <v>180</v>
      </c>
      <c r="P8" s="50">
        <f>SUMIFS('ex-situ Massive outplants'!$H:$H,'ex-situ Massive outplants'!$G:$G, $C8)</f>
        <v>0</v>
      </c>
      <c r="Q8" s="66">
        <f t="array" ref="Q8">IFNA(SUM(INDEX('Upper Keys Outplants'!$K:$O, MATCH($C8,'Upper Keys Outplants'!$G:$G,0))),0)</f>
        <v>0</v>
      </c>
      <c r="R8" s="50">
        <f t="shared" si="3"/>
        <v>0</v>
      </c>
      <c r="S8" s="118">
        <f t="shared" si="4"/>
        <v>240</v>
      </c>
      <c r="T8" s="50">
        <f t="shared" si="5"/>
        <v>240</v>
      </c>
      <c r="U8" s="66" t="s">
        <v>36</v>
      </c>
    </row>
    <row r="9">
      <c r="A9" s="186">
        <v>42298.0</v>
      </c>
      <c r="B9" s="186">
        <v>42643.0</v>
      </c>
      <c r="C9" s="118" t="s">
        <v>37</v>
      </c>
      <c r="D9" s="187">
        <v>6000.0</v>
      </c>
      <c r="E9" s="50">
        <f>SUMIFS('in-situ Acer outplants'!$H:$H,'in-situ Acer outplants'!$G:$G, $C9)</f>
        <v>6000</v>
      </c>
      <c r="F9" s="50">
        <f>SUMIFS('ex-situ Acer outplants'!$H:$H,'ex-situ Acer outplants'!$G:$G, $C9)</f>
        <v>0</v>
      </c>
      <c r="G9" s="50">
        <f>SUMIFS('Upper Keys Outplants'!$I:$I, 'Upper Keys Outplants'!$G:$G,$C9)</f>
        <v>0</v>
      </c>
      <c r="H9" s="188">
        <f t="shared" si="1"/>
        <v>0</v>
      </c>
      <c r="I9" s="187">
        <v>0.0</v>
      </c>
      <c r="J9" s="66">
        <f>SUMIFS('in-situ Apal outplants'!$H:$H,'in-situ Apal outplants'!$G:$G, $C9)</f>
        <v>0</v>
      </c>
      <c r="K9" s="50">
        <f>SUMIFS('ex-situ Apal outplants'!$H:$H,'ex-situ Apal outplants'!$G:$G, $C9)</f>
        <v>0</v>
      </c>
      <c r="L9" s="50">
        <f>SUMIFS('Upper Keys Outplants'!$J:$J, 'Upper Keys Outplants'!$G:$G,$C9)</f>
        <v>0</v>
      </c>
      <c r="M9" s="50">
        <f t="shared" si="2"/>
        <v>0</v>
      </c>
      <c r="N9" s="187">
        <v>0.0</v>
      </c>
      <c r="O9" s="50">
        <f>SUMIFS('in-situ Massive outplants'!$H:$H,'in-situ Massive outplants'!$G:$G, $C9)</f>
        <v>0</v>
      </c>
      <c r="P9" s="50">
        <f>SUMIFS('ex-situ Massive outplants'!$H:$H,'ex-situ Massive outplants'!$G:$G, $C9)</f>
        <v>0</v>
      </c>
      <c r="Q9" s="66">
        <f t="array" ref="Q9">IFNA(SUM(INDEX('Upper Keys Outplants'!$K:$O, MATCH($C9,'Upper Keys Outplants'!$G:$G,0))),0)</f>
        <v>0</v>
      </c>
      <c r="R9" s="50">
        <f t="shared" si="3"/>
        <v>0</v>
      </c>
      <c r="S9" s="118">
        <f t="shared" si="4"/>
        <v>6000</v>
      </c>
      <c r="T9" s="50">
        <f t="shared" si="5"/>
        <v>6000</v>
      </c>
      <c r="U9" s="50"/>
    </row>
    <row r="10">
      <c r="A10" s="186">
        <v>42662.0</v>
      </c>
      <c r="B10" s="186">
        <v>43008.0</v>
      </c>
      <c r="C10" s="118" t="s">
        <v>38</v>
      </c>
      <c r="D10" s="187">
        <v>4500.0</v>
      </c>
      <c r="E10" s="50">
        <f>SUMIFS('in-situ Acer outplants'!$H:$H,'in-situ Acer outplants'!$G:$G, $C10)</f>
        <v>4500</v>
      </c>
      <c r="F10" s="50">
        <f>SUMIFS('ex-situ Acer outplants'!$H:$H,'ex-situ Acer outplants'!$G:$G, $C10)</f>
        <v>0</v>
      </c>
      <c r="G10" s="50">
        <f>SUMIFS('Upper Keys Outplants'!$I:$I, 'Upper Keys Outplants'!$G:$G,$C10)</f>
        <v>0</v>
      </c>
      <c r="H10" s="188">
        <f t="shared" si="1"/>
        <v>0</v>
      </c>
      <c r="I10" s="187">
        <v>0.0</v>
      </c>
      <c r="J10" s="66">
        <f>SUMIFS('in-situ Apal outplants'!$H:$H,'in-situ Apal outplants'!$G:$G, $C10)</f>
        <v>0</v>
      </c>
      <c r="K10" s="50">
        <f>SUMIFS('ex-situ Apal outplants'!$H:$H,'ex-situ Apal outplants'!$G:$G, $C10)</f>
        <v>0</v>
      </c>
      <c r="L10" s="50">
        <f>SUMIFS('Upper Keys Outplants'!$J:$J, 'Upper Keys Outplants'!$G:$G,$C10)</f>
        <v>0</v>
      </c>
      <c r="M10" s="50">
        <f t="shared" si="2"/>
        <v>0</v>
      </c>
      <c r="N10" s="187">
        <v>0.0</v>
      </c>
      <c r="O10" s="50">
        <f>SUMIFS('in-situ Massive outplants'!$H:$H,'in-situ Massive outplants'!$G:$G, $C10)</f>
        <v>0</v>
      </c>
      <c r="P10" s="50">
        <f>SUMIFS('ex-situ Massive outplants'!$H:$H,'ex-situ Massive outplants'!$G:$G, $C10)</f>
        <v>0</v>
      </c>
      <c r="Q10" s="66">
        <f t="array" ref="Q10">IFNA(SUM(INDEX('Upper Keys Outplants'!$K:$O, MATCH($C10,'Upper Keys Outplants'!$G:$G,0))),0)</f>
        <v>0</v>
      </c>
      <c r="R10" s="50">
        <f t="shared" si="3"/>
        <v>0</v>
      </c>
      <c r="S10" s="118">
        <f t="shared" si="4"/>
        <v>4500</v>
      </c>
      <c r="T10" s="50">
        <f t="shared" si="5"/>
        <v>4500</v>
      </c>
      <c r="U10" s="50"/>
    </row>
    <row r="11">
      <c r="A11" s="66" t="s">
        <v>32</v>
      </c>
      <c r="B11" s="66" t="s">
        <v>32</v>
      </c>
      <c r="C11" s="118" t="s">
        <v>39</v>
      </c>
      <c r="D11" s="187">
        <v>850.0</v>
      </c>
      <c r="E11" s="50">
        <f>SUMIFS('in-situ Acer outplants'!$H:$H,'in-situ Acer outplants'!$G:$G, $C11)</f>
        <v>850</v>
      </c>
      <c r="F11" s="50">
        <f>SUMIFS('ex-situ Acer outplants'!$H:$H,'ex-situ Acer outplants'!$G:$G, $C11)</f>
        <v>0</v>
      </c>
      <c r="G11" s="50">
        <f>SUMIFS('Upper Keys Outplants'!$I:$I, 'Upper Keys Outplants'!$G:$G,$C11)</f>
        <v>0</v>
      </c>
      <c r="H11" s="188">
        <f t="shared" si="1"/>
        <v>0</v>
      </c>
      <c r="I11" s="187">
        <v>0.0</v>
      </c>
      <c r="J11" s="66">
        <f>SUMIFS('in-situ Apal outplants'!$H:$H,'in-situ Apal outplants'!$G:$G, $C11)</f>
        <v>0</v>
      </c>
      <c r="K11" s="50">
        <f>SUMIFS('ex-situ Apal outplants'!$H:$H,'ex-situ Apal outplants'!$G:$G, $C11)</f>
        <v>0</v>
      </c>
      <c r="L11" s="50">
        <f>SUMIFS('Upper Keys Outplants'!$J:$J, 'Upper Keys Outplants'!$G:$G,$C11)</f>
        <v>0</v>
      </c>
      <c r="M11" s="50">
        <f t="shared" si="2"/>
        <v>0</v>
      </c>
      <c r="N11" s="187">
        <v>0.0</v>
      </c>
      <c r="O11" s="50">
        <f>SUMIFS('in-situ Massive outplants'!$H:$H,'in-situ Massive outplants'!$G:$G, $C11)</f>
        <v>0</v>
      </c>
      <c r="P11" s="50">
        <f>SUMIFS('ex-situ Massive outplants'!$H:$H,'ex-situ Massive outplants'!$G:$G, $C11)</f>
        <v>0</v>
      </c>
      <c r="Q11" s="66">
        <f t="array" ref="Q11">IFNA(SUM(INDEX('Upper Keys Outplants'!$K:$O, MATCH($C11,'Upper Keys Outplants'!$G:$G,0))),0)</f>
        <v>0</v>
      </c>
      <c r="R11" s="50">
        <f t="shared" si="3"/>
        <v>0</v>
      </c>
      <c r="S11" s="118">
        <f t="shared" si="4"/>
        <v>850</v>
      </c>
      <c r="T11" s="50">
        <f t="shared" si="5"/>
        <v>850</v>
      </c>
      <c r="U11" s="66" t="s">
        <v>40</v>
      </c>
    </row>
    <row r="12">
      <c r="A12" s="186">
        <v>43130.0</v>
      </c>
      <c r="B12" s="186">
        <v>43646.0</v>
      </c>
      <c r="C12" s="118" t="s">
        <v>41</v>
      </c>
      <c r="D12" s="187">
        <v>12595.0</v>
      </c>
      <c r="E12" s="50">
        <f>SUMIFS('in-situ Acer outplants'!$H:$H,'in-situ Acer outplants'!$G:$G, $C12)</f>
        <v>12595</v>
      </c>
      <c r="F12" s="50">
        <f>SUMIFS('ex-situ Acer outplants'!$H:$H,'ex-situ Acer outplants'!$G:$G, $C12)</f>
        <v>0</v>
      </c>
      <c r="G12" s="50">
        <f>SUMIFS('Upper Keys Outplants'!$I:$I, 'Upper Keys Outplants'!$G:$G,$C12)</f>
        <v>0</v>
      </c>
      <c r="H12" s="188">
        <f t="shared" si="1"/>
        <v>0</v>
      </c>
      <c r="I12" s="187">
        <v>2135.0</v>
      </c>
      <c r="J12" s="66">
        <f>SUMIFS('in-situ Apal outplants'!$H:$H,'in-situ Apal outplants'!$G:$G, $C12)</f>
        <v>0</v>
      </c>
      <c r="K12" s="50">
        <f>SUMIFS('ex-situ Apal outplants'!$H:$H,'ex-situ Apal outplants'!$G:$G, $C12)</f>
        <v>2135</v>
      </c>
      <c r="L12" s="50">
        <f>SUMIFS('Upper Keys Outplants'!$J:$J, 'Upper Keys Outplants'!$G:$G,$C12)</f>
        <v>0</v>
      </c>
      <c r="M12" s="50">
        <f t="shared" si="2"/>
        <v>0</v>
      </c>
      <c r="N12" s="187">
        <v>2285.0</v>
      </c>
      <c r="O12" s="50">
        <f>SUMIFS('in-situ Massive outplants'!$H:$H,'in-situ Massive outplants'!$G:$G, $C12)</f>
        <v>0</v>
      </c>
      <c r="P12" s="50">
        <f>SUMIFS('ex-situ Massive outplants'!$H:$H,'ex-situ Massive outplants'!$G:$G, $C12)</f>
        <v>2285</v>
      </c>
      <c r="Q12" s="66">
        <f t="array" ref="Q12">IFNA(SUM(INDEX('Upper Keys Outplants'!$K:$O, MATCH($C12,'Upper Keys Outplants'!$G:$G,0))),0)</f>
        <v>0</v>
      </c>
      <c r="R12" s="50">
        <f t="shared" si="3"/>
        <v>0</v>
      </c>
      <c r="S12" s="118">
        <f t="shared" si="4"/>
        <v>17015</v>
      </c>
      <c r="T12" s="50">
        <f t="shared" si="5"/>
        <v>17015</v>
      </c>
      <c r="U12" s="66" t="s">
        <v>42</v>
      </c>
    </row>
    <row r="13">
      <c r="A13" s="186">
        <v>43081.0</v>
      </c>
      <c r="B13" s="186">
        <v>43373.0</v>
      </c>
      <c r="C13" s="118" t="s">
        <v>43</v>
      </c>
      <c r="D13" s="187">
        <v>2100.0</v>
      </c>
      <c r="E13" s="50">
        <f>SUMIFS('in-situ Acer outplants'!$H:$H,'in-situ Acer outplants'!$G:$G, $C13)</f>
        <v>1800</v>
      </c>
      <c r="F13" s="50">
        <f>SUMIFS('ex-situ Acer outplants'!$H:$H,'ex-situ Acer outplants'!$G:$G, $C13)</f>
        <v>0</v>
      </c>
      <c r="G13" s="50">
        <f>SUMIFS('Upper Keys Outplants'!$I:$I, 'Upper Keys Outplants'!$G:$G,$C13)</f>
        <v>0</v>
      </c>
      <c r="H13" s="188">
        <f t="shared" si="1"/>
        <v>300</v>
      </c>
      <c r="I13" s="187">
        <v>0.0</v>
      </c>
      <c r="J13" s="66">
        <f>SUMIFS('in-situ Apal outplants'!$H:$H,'in-situ Apal outplants'!$G:$G, $C13)</f>
        <v>0</v>
      </c>
      <c r="K13" s="50">
        <f>SUMIFS('ex-situ Apal outplants'!$H:$H,'ex-situ Apal outplants'!$G:$G, $C13)</f>
        <v>0</v>
      </c>
      <c r="L13" s="50">
        <f>SUMIFS('Upper Keys Outplants'!$J:$J, 'Upper Keys Outplants'!$G:$G,$C13)</f>
        <v>0</v>
      </c>
      <c r="M13" s="50">
        <f t="shared" si="2"/>
        <v>0</v>
      </c>
      <c r="N13" s="187">
        <v>1100.0</v>
      </c>
      <c r="O13" s="50">
        <f>SUMIFS('in-situ Massive outplants'!$H:$H,'in-situ Massive outplants'!$G:$G, $C13)</f>
        <v>0</v>
      </c>
      <c r="P13" s="50">
        <f>SUMIFS('ex-situ Massive outplants'!$H:$H,'ex-situ Massive outplants'!$G:$G, $C13)</f>
        <v>1100</v>
      </c>
      <c r="Q13" s="66">
        <f t="array" ref="Q13">IFNA(SUM(INDEX('Upper Keys Outplants'!$K:$O, MATCH($C13,'Upper Keys Outplants'!$G:$G,0))),0)</f>
        <v>0</v>
      </c>
      <c r="R13" s="50">
        <f t="shared" si="3"/>
        <v>0</v>
      </c>
      <c r="S13" s="118">
        <f t="shared" si="4"/>
        <v>3200</v>
      </c>
      <c r="T13" s="50">
        <f t="shared" si="5"/>
        <v>2900</v>
      </c>
      <c r="U13" s="66" t="s">
        <v>44</v>
      </c>
    </row>
    <row r="14">
      <c r="A14" s="186">
        <v>43082.0</v>
      </c>
      <c r="B14" s="186">
        <v>43373.0</v>
      </c>
      <c r="C14" s="118" t="s">
        <v>45</v>
      </c>
      <c r="D14" s="187">
        <v>2250.0</v>
      </c>
      <c r="E14" s="50">
        <f>SUMIFS('in-situ Acer outplants'!$H:$H,'in-situ Acer outplants'!$G:$G, $C14)</f>
        <v>2250</v>
      </c>
      <c r="F14" s="50">
        <f>SUMIFS('ex-situ Acer outplants'!$H:$H,'ex-situ Acer outplants'!$G:$G, $C14)</f>
        <v>0</v>
      </c>
      <c r="G14" s="50">
        <f>SUMIFS('Upper Keys Outplants'!$I:$I, 'Upper Keys Outplants'!$G:$G,$C14)</f>
        <v>0</v>
      </c>
      <c r="H14" s="188">
        <f t="shared" si="1"/>
        <v>0</v>
      </c>
      <c r="I14" s="187">
        <v>0.0</v>
      </c>
      <c r="J14" s="66">
        <f>SUMIFS('in-situ Apal outplants'!$H:$H,'in-situ Apal outplants'!$G:$G, $C14)</f>
        <v>0</v>
      </c>
      <c r="K14" s="50">
        <f>SUMIFS('ex-situ Apal outplants'!$H:$H,'ex-situ Apal outplants'!$G:$G, $C14)</f>
        <v>0</v>
      </c>
      <c r="L14" s="50">
        <f>SUMIFS('Upper Keys Outplants'!$J:$J, 'Upper Keys Outplants'!$G:$G,$C14)</f>
        <v>0</v>
      </c>
      <c r="M14" s="50">
        <f t="shared" si="2"/>
        <v>0</v>
      </c>
      <c r="N14" s="187">
        <v>1680.0</v>
      </c>
      <c r="O14" s="50">
        <f>SUMIFS('in-situ Massive outplants'!$H:$H,'in-situ Massive outplants'!$G:$G, $C14)</f>
        <v>0</v>
      </c>
      <c r="P14" s="50">
        <f>SUMIFS('ex-situ Massive outplants'!$H:$H,'ex-situ Massive outplants'!$G:$G, $C14)</f>
        <v>1475</v>
      </c>
      <c r="Q14" s="66">
        <f t="array" ref="Q14">IFNA(SUM(INDEX('Upper Keys Outplants'!$K:$O, MATCH($C14,'Upper Keys Outplants'!$G:$G,0))),0)</f>
        <v>0</v>
      </c>
      <c r="R14" s="50">
        <f t="shared" si="3"/>
        <v>205</v>
      </c>
      <c r="S14" s="118">
        <f t="shared" si="4"/>
        <v>3930</v>
      </c>
      <c r="T14" s="50">
        <f t="shared" si="5"/>
        <v>3725</v>
      </c>
      <c r="U14" s="66" t="s">
        <v>46</v>
      </c>
    </row>
    <row r="15">
      <c r="A15" s="186">
        <v>43570.0</v>
      </c>
      <c r="B15" s="186">
        <v>44135.0</v>
      </c>
      <c r="C15" s="118" t="s">
        <v>47</v>
      </c>
      <c r="D15" s="187">
        <v>14719.0</v>
      </c>
      <c r="E15" s="50">
        <f>SUMIFS('in-situ Acer outplants'!$H:$H,'in-situ Acer outplants'!$G:$G, $C15)</f>
        <v>14719</v>
      </c>
      <c r="F15" s="50">
        <f>SUMIFS('ex-situ Acer outplants'!$H:$H,'ex-situ Acer outplants'!$G:$G, $C15)</f>
        <v>0</v>
      </c>
      <c r="G15" s="50">
        <f>SUMIFS('Upper Keys Outplants'!$I:$I, 'Upper Keys Outplants'!$G:$G,$C15)</f>
        <v>0</v>
      </c>
      <c r="H15" s="188">
        <f t="shared" si="1"/>
        <v>0</v>
      </c>
      <c r="I15" s="187">
        <v>2320.0</v>
      </c>
      <c r="J15" s="66">
        <f>SUMIFS('in-situ Apal outplants'!$H:$H,'in-situ Apal outplants'!$G:$G, $C15)</f>
        <v>0</v>
      </c>
      <c r="K15" s="50">
        <f>SUMIFS('ex-situ Apal outplants'!$H:$H,'ex-situ Apal outplants'!$G:$G, $C15)</f>
        <v>2320</v>
      </c>
      <c r="L15" s="50">
        <f>SUMIFS('Upper Keys Outplants'!$J:$J, 'Upper Keys Outplants'!$G:$G,$C15)</f>
        <v>0</v>
      </c>
      <c r="M15" s="50">
        <f t="shared" si="2"/>
        <v>0</v>
      </c>
      <c r="N15" s="187">
        <v>967.0</v>
      </c>
      <c r="O15" s="50">
        <f>SUMIFS('in-situ Massive outplants'!$H:$H,'in-situ Massive outplants'!$G:$G, $C15)</f>
        <v>0</v>
      </c>
      <c r="P15" s="50">
        <f>SUMIFS('ex-situ Massive outplants'!$H:$H,'ex-situ Massive outplants'!$G:$G, $C15)</f>
        <v>967</v>
      </c>
      <c r="Q15" s="66">
        <f t="array" ref="Q15">IFNA(SUM(INDEX('Upper Keys Outplants'!$K:$O, MATCH($C15,'Upper Keys Outplants'!$G:$G,0))),0)</f>
        <v>0</v>
      </c>
      <c r="R15" s="50">
        <f t="shared" si="3"/>
        <v>0</v>
      </c>
      <c r="S15" s="118">
        <f t="shared" si="4"/>
        <v>18006</v>
      </c>
      <c r="T15" s="50">
        <f t="shared" si="5"/>
        <v>18006</v>
      </c>
      <c r="U15" s="66" t="s">
        <v>48</v>
      </c>
    </row>
    <row r="16">
      <c r="A16" s="186">
        <v>43712.0</v>
      </c>
      <c r="B16" s="186">
        <v>44012.0</v>
      </c>
      <c r="C16" s="118" t="s">
        <v>49</v>
      </c>
      <c r="D16" s="187">
        <v>6000.0</v>
      </c>
      <c r="E16" s="50">
        <f>SUMIFS('in-situ Acer outplants'!$H:$H,'in-situ Acer outplants'!$G:$G, $C16)</f>
        <v>6000</v>
      </c>
      <c r="F16" s="50">
        <f>SUMIFS('ex-situ Acer outplants'!$H:$H,'ex-situ Acer outplants'!$G:$G, $C16)</f>
        <v>0</v>
      </c>
      <c r="G16" s="50">
        <f>SUMIFS('Upper Keys Outplants'!$I:$I, 'Upper Keys Outplants'!$G:$G,$C16)</f>
        <v>0</v>
      </c>
      <c r="H16" s="188">
        <f t="shared" si="1"/>
        <v>0</v>
      </c>
      <c r="I16" s="187">
        <v>1220.0</v>
      </c>
      <c r="J16" s="66">
        <f>SUMIFS('in-situ Apal outplants'!$H:$H,'in-situ Apal outplants'!$G:$G, $C16)</f>
        <v>0</v>
      </c>
      <c r="K16" s="50">
        <f>SUMIFS('ex-situ Apal outplants'!$H:$H,'ex-situ Apal outplants'!$G:$G, $C16)</f>
        <v>1220</v>
      </c>
      <c r="L16" s="50">
        <f>SUMIFS('Upper Keys Outplants'!$J:$J, 'Upper Keys Outplants'!$G:$G,$C16)</f>
        <v>0</v>
      </c>
      <c r="M16" s="50">
        <f t="shared" si="2"/>
        <v>0</v>
      </c>
      <c r="N16" s="187">
        <v>780.0</v>
      </c>
      <c r="O16" s="50">
        <f>SUMIFS('in-situ Massive outplants'!$H:$H,'in-situ Massive outplants'!$G:$G, $C16)</f>
        <v>0</v>
      </c>
      <c r="P16" s="50">
        <f>SUMIFS('ex-situ Massive outplants'!$H:$H,'ex-situ Massive outplants'!$G:$G, $C16)</f>
        <v>780</v>
      </c>
      <c r="Q16" s="66">
        <f t="array" ref="Q16">IFNA(SUM(INDEX('Upper Keys Outplants'!$K:$O, MATCH($C16,'Upper Keys Outplants'!$G:$G,0))),0)</f>
        <v>0</v>
      </c>
      <c r="R16" s="50">
        <f t="shared" si="3"/>
        <v>0</v>
      </c>
      <c r="S16" s="118">
        <f t="shared" si="4"/>
        <v>8000</v>
      </c>
      <c r="T16" s="50">
        <f t="shared" si="5"/>
        <v>8000</v>
      </c>
      <c r="U16" s="66" t="s">
        <v>50</v>
      </c>
    </row>
    <row r="17">
      <c r="A17" s="186">
        <v>43831.0</v>
      </c>
      <c r="B17" s="186">
        <v>44196.0</v>
      </c>
      <c r="C17" s="189" t="s">
        <v>51</v>
      </c>
      <c r="D17" s="187">
        <v>6000.0</v>
      </c>
      <c r="E17" s="50">
        <f>SUMIFS('in-situ Acer outplants'!$H:$H,'in-situ Acer outplants'!$G:$G, $C17)</f>
        <v>6025</v>
      </c>
      <c r="F17" s="50">
        <f>SUMIFS('ex-situ Acer outplants'!$H:$H,'ex-situ Acer outplants'!$G:$G, $C17)</f>
        <v>0</v>
      </c>
      <c r="G17" s="50">
        <f>SUMIFS('Upper Keys Outplants'!$I:$I, 'Upper Keys Outplants'!$G:$G,$C17)</f>
        <v>0</v>
      </c>
      <c r="H17" s="188">
        <f t="shared" si="1"/>
        <v>-25</v>
      </c>
      <c r="I17" s="187">
        <v>2800.0</v>
      </c>
      <c r="J17" s="66">
        <f>SUMIFS('in-situ Apal outplants'!$H:$H,'in-situ Apal outplants'!$G:$G, $C17)</f>
        <v>0</v>
      </c>
      <c r="K17" s="50">
        <f>SUMIFS('ex-situ Apal outplants'!$H:$H,'ex-situ Apal outplants'!$G:$G, $C17)</f>
        <v>2830</v>
      </c>
      <c r="L17" s="50">
        <f>SUMIFS('Upper Keys Outplants'!$J:$J, 'Upper Keys Outplants'!$G:$G,$C17)</f>
        <v>0</v>
      </c>
      <c r="M17" s="50">
        <f t="shared" si="2"/>
        <v>-30</v>
      </c>
      <c r="N17" s="187">
        <v>1200.0</v>
      </c>
      <c r="O17" s="50">
        <f>SUMIFS('in-situ Massive outplants'!$H:$H,'in-situ Massive outplants'!$G:$G, $C17)</f>
        <v>0</v>
      </c>
      <c r="P17" s="50">
        <f>SUMIFS('ex-situ Massive outplants'!$H:$H,'ex-situ Massive outplants'!$G:$G, $C17)</f>
        <v>1360</v>
      </c>
      <c r="Q17" s="66">
        <f t="array" ref="Q17">IFNA(SUM(INDEX('Upper Keys Outplants'!$K:$O, MATCH($C17,'Upper Keys Outplants'!$G:$G,0))),0)</f>
        <v>0</v>
      </c>
      <c r="R17" s="50">
        <f t="shared" si="3"/>
        <v>-160</v>
      </c>
      <c r="S17" s="118">
        <f t="shared" si="4"/>
        <v>10000</v>
      </c>
      <c r="T17" s="50">
        <f t="shared" si="5"/>
        <v>10215</v>
      </c>
      <c r="U17" s="66" t="s">
        <v>52</v>
      </c>
    </row>
    <row r="18">
      <c r="A18" s="186">
        <v>44197.0</v>
      </c>
      <c r="B18" s="186">
        <v>44561.0</v>
      </c>
      <c r="C18" s="189" t="s">
        <v>53</v>
      </c>
      <c r="D18" s="187">
        <v>6000.0</v>
      </c>
      <c r="E18" s="50">
        <f>SUMIFS('in-situ Acer outplants'!$H:$H,'in-situ Acer outplants'!$G:$G, $C18)</f>
        <v>6100</v>
      </c>
      <c r="F18" s="50">
        <f>SUMIFS('ex-situ Acer outplants'!$H:$H,'ex-situ Acer outplants'!$G:$G, $C18)</f>
        <v>0</v>
      </c>
      <c r="G18" s="50">
        <f>SUMIFS('Upper Keys Outplants'!$I:$I, 'Upper Keys Outplants'!$G:$G,$C18)</f>
        <v>0</v>
      </c>
      <c r="H18" s="188">
        <f t="shared" si="1"/>
        <v>-100</v>
      </c>
      <c r="I18" s="187">
        <v>2800.0</v>
      </c>
      <c r="J18" s="66">
        <f>SUMIFS('in-situ Apal outplants'!$H:$H,'in-situ Apal outplants'!$G:$G, $C18)</f>
        <v>0</v>
      </c>
      <c r="K18" s="50">
        <f>SUMIFS('ex-situ Apal outplants'!$H:$H,'ex-situ Apal outplants'!$G:$G, $C18)</f>
        <v>2977</v>
      </c>
      <c r="L18" s="50">
        <f>SUMIFS('Upper Keys Outplants'!$J:$J, 'Upper Keys Outplants'!$G:$G,$C18)</f>
        <v>0</v>
      </c>
      <c r="M18" s="50">
        <f t="shared" si="2"/>
        <v>-177</v>
      </c>
      <c r="N18" s="187">
        <v>1200.0</v>
      </c>
      <c r="O18" s="50">
        <f>SUMIFS('in-situ Massive outplants'!$H:$H,'in-situ Massive outplants'!$G:$G, $C18)</f>
        <v>0</v>
      </c>
      <c r="P18" s="50">
        <f>SUMIFS('ex-situ Massive outplants'!$H:$H,'ex-situ Massive outplants'!$G:$G, $C18)</f>
        <v>1249</v>
      </c>
      <c r="Q18" s="66">
        <f t="array" ref="Q18">IFNA(SUM(INDEX('Upper Keys Outplants'!$K:$O, MATCH($C18,'Upper Keys Outplants'!$G:$G,0))),0)</f>
        <v>0</v>
      </c>
      <c r="R18" s="50">
        <f t="shared" si="3"/>
        <v>-49</v>
      </c>
      <c r="S18" s="118">
        <f t="shared" si="4"/>
        <v>10000</v>
      </c>
      <c r="T18" s="50">
        <f t="shared" si="5"/>
        <v>10326</v>
      </c>
      <c r="U18" s="66" t="s">
        <v>52</v>
      </c>
    </row>
    <row r="19">
      <c r="A19" s="190">
        <v>44197.0</v>
      </c>
      <c r="B19" s="190">
        <v>44926.0</v>
      </c>
      <c r="C19" s="191" t="s">
        <v>54</v>
      </c>
      <c r="D19" s="192">
        <v>4000.0</v>
      </c>
      <c r="E19" s="50">
        <f>SUMIFS('in-situ Acer outplants'!$H:$H,'in-situ Acer outplants'!$G:$G, $C19)</f>
        <v>249</v>
      </c>
      <c r="F19" s="50">
        <f>SUMIFS('ex-situ Acer outplants'!$H:$H,'ex-situ Acer outplants'!$G:$G, $C19)</f>
        <v>3728</v>
      </c>
      <c r="G19" s="50">
        <f>SUMIFS('Upper Keys Outplants'!$I:$I, 'Upper Keys Outplants'!$G:$G,$C19)</f>
        <v>0</v>
      </c>
      <c r="H19" s="188">
        <f t="shared" si="1"/>
        <v>23</v>
      </c>
      <c r="I19" s="187">
        <v>1015.0</v>
      </c>
      <c r="J19" s="66">
        <f>SUMIFS('in-situ Apal outplants'!$H:$H,'in-situ Apal outplants'!$G:$G, $C19)</f>
        <v>0</v>
      </c>
      <c r="K19" s="50">
        <f>SUMIFS('ex-situ Apal outplants'!$H:$H,'ex-situ Apal outplants'!$G:$G, $C19)</f>
        <v>146</v>
      </c>
      <c r="L19" s="50">
        <f>SUMIFS('Upper Keys Outplants'!$J:$J, 'Upper Keys Outplants'!$G:$G,$C19)</f>
        <v>0</v>
      </c>
      <c r="M19" s="50">
        <f t="shared" si="2"/>
        <v>869</v>
      </c>
      <c r="N19" s="192">
        <v>0.0</v>
      </c>
      <c r="O19" s="50">
        <f>SUMIFS('in-situ Massive outplants'!$H:$H,'in-situ Massive outplants'!$G:$G, $C19)</f>
        <v>0</v>
      </c>
      <c r="P19" s="50">
        <f>SUMIFS('ex-situ Massive outplants'!$H:$H,'ex-situ Massive outplants'!$G:$G, $C19)</f>
        <v>0</v>
      </c>
      <c r="Q19" s="66">
        <f t="array" ref="Q19">IFNA(SUM(INDEX('Upper Keys Outplants'!$K:$O, MATCH($C19,'Upper Keys Outplants'!$G:$G,0))),0)</f>
        <v>0</v>
      </c>
      <c r="R19" s="50">
        <f t="shared" si="3"/>
        <v>0</v>
      </c>
      <c r="S19" s="118">
        <f t="shared" si="4"/>
        <v>5015</v>
      </c>
      <c r="T19" s="50">
        <f t="shared" si="5"/>
        <v>4123</v>
      </c>
      <c r="U19" s="193" t="s">
        <v>55</v>
      </c>
    </row>
    <row r="20">
      <c r="A20" s="190">
        <v>44197.0</v>
      </c>
      <c r="B20" s="190">
        <v>44926.0</v>
      </c>
      <c r="C20" s="191" t="s">
        <v>57</v>
      </c>
      <c r="D20" s="192"/>
      <c r="E20" s="50">
        <f>SUMIFS('in-situ Acer outplants'!$H:$H,'in-situ Acer outplants'!$G:$G, $C20)</f>
        <v>0</v>
      </c>
      <c r="F20" s="50">
        <f>SUMIFS('ex-situ Acer outplants'!$H:$H,'ex-situ Acer outplants'!$G:$G, $C20)</f>
        <v>0</v>
      </c>
      <c r="G20" s="50">
        <f>SUMIFS('Upper Keys Outplants'!$I:$I, 'Upper Keys Outplants'!$G:$G,$C20)</f>
        <v>0</v>
      </c>
      <c r="H20" s="188">
        <f t="shared" si="1"/>
        <v>0</v>
      </c>
      <c r="I20" s="194"/>
      <c r="J20" s="66">
        <f>SUMIFS('in-situ Apal outplants'!$H:$H,'in-situ Apal outplants'!$G:$G, $C20)</f>
        <v>0</v>
      </c>
      <c r="K20" s="50">
        <f>SUMIFS('ex-situ Apal outplants'!$H:$H,'ex-situ Apal outplants'!$G:$G, $C20)</f>
        <v>0</v>
      </c>
      <c r="L20" s="50">
        <f>SUMIFS('Upper Keys Outplants'!$J:$J, 'Upper Keys Outplants'!$G:$G,$C20)</f>
        <v>0</v>
      </c>
      <c r="M20" s="50">
        <f t="shared" si="2"/>
        <v>0</v>
      </c>
      <c r="N20" s="192"/>
      <c r="O20" s="50">
        <f>SUMIFS('in-situ Massive outplants'!$H:$H,'in-situ Massive outplants'!$G:$G, $C20)</f>
        <v>0</v>
      </c>
      <c r="P20" s="50">
        <f>SUMIFS('ex-situ Massive outplants'!$H:$H,'ex-situ Massive outplants'!$G:$G, $C20)</f>
        <v>0</v>
      </c>
      <c r="Q20" s="66">
        <f t="array" ref="Q20">IFNA(SUM(INDEX('Upper Keys Outplants'!$K:$O, MATCH($C20,'Upper Keys Outplants'!$G:$G,0))),0)</f>
        <v>0</v>
      </c>
      <c r="R20" s="50">
        <f t="shared" si="3"/>
        <v>0</v>
      </c>
      <c r="S20" s="118">
        <f t="shared" si="4"/>
        <v>0</v>
      </c>
      <c r="T20" s="50">
        <f t="shared" si="5"/>
        <v>0</v>
      </c>
      <c r="U20" s="193"/>
    </row>
    <row r="21">
      <c r="A21" s="195">
        <v>44228.0</v>
      </c>
      <c r="B21" s="195">
        <v>44377.0</v>
      </c>
      <c r="C21" s="196" t="s">
        <v>58</v>
      </c>
      <c r="D21" s="187">
        <v>7000.0</v>
      </c>
      <c r="E21" s="50">
        <f>SUMIFS('in-situ Acer outplants'!$H:$H,'in-situ Acer outplants'!$G:$G, $C21)</f>
        <v>7000</v>
      </c>
      <c r="F21" s="50">
        <f>SUMIFS('ex-situ Acer outplants'!$H:$H,'ex-situ Acer outplants'!$G:$G, $C21)</f>
        <v>0</v>
      </c>
      <c r="G21" s="50">
        <f>SUMIFS('Upper Keys Outplants'!$I:$I, 'Upper Keys Outplants'!$G:$G,$C21)</f>
        <v>0</v>
      </c>
      <c r="H21" s="188">
        <f t="shared" si="1"/>
        <v>0</v>
      </c>
      <c r="I21" s="187">
        <v>1500.0</v>
      </c>
      <c r="J21" s="66">
        <f>SUMIFS('in-situ Apal outplants'!$H:$H,'in-situ Apal outplants'!$G:$G, $C21)</f>
        <v>0</v>
      </c>
      <c r="K21" s="50">
        <f>SUMIFS('ex-situ Apal outplants'!$H:$H,'ex-situ Apal outplants'!$G:$G, $C21)</f>
        <v>1500</v>
      </c>
      <c r="L21" s="50">
        <f>SUMIFS('Upper Keys Outplants'!$J:$J, 'Upper Keys Outplants'!$G:$G,$C21)</f>
        <v>0</v>
      </c>
      <c r="M21" s="50">
        <f t="shared" si="2"/>
        <v>0</v>
      </c>
      <c r="N21" s="187">
        <v>1500.0</v>
      </c>
      <c r="O21" s="50">
        <f>SUMIFS('in-situ Massive outplants'!$H:$H,'in-situ Massive outplants'!$G:$G, $C21)</f>
        <v>0</v>
      </c>
      <c r="P21" s="50">
        <f>SUMIFS('ex-situ Massive outplants'!$H:$H,'ex-situ Massive outplants'!$G:$G, $C21)</f>
        <v>1500</v>
      </c>
      <c r="Q21" s="66">
        <f t="array" ref="Q21">IFNA(SUM(INDEX('Upper Keys Outplants'!$K:$O, MATCH($C21,'Upper Keys Outplants'!$G:$G,0))),0)</f>
        <v>0</v>
      </c>
      <c r="R21" s="50">
        <f t="shared" si="3"/>
        <v>0</v>
      </c>
      <c r="S21" s="118">
        <f t="shared" si="4"/>
        <v>10000</v>
      </c>
      <c r="T21" s="50">
        <f t="shared" si="5"/>
        <v>10000</v>
      </c>
      <c r="U21" s="66" t="s">
        <v>59</v>
      </c>
    </row>
    <row r="22">
      <c r="A22" s="195">
        <v>44256.0</v>
      </c>
      <c r="B22" s="195">
        <v>44620.0</v>
      </c>
      <c r="C22" s="189" t="s">
        <v>60</v>
      </c>
      <c r="D22" s="187">
        <v>3285.0</v>
      </c>
      <c r="E22" s="50">
        <f>SUMIFS('in-situ Acer outplants'!$H:$H,'in-situ Acer outplants'!$G:$G, $C22)</f>
        <v>3300</v>
      </c>
      <c r="F22" s="50">
        <f>SUMIFS('ex-situ Acer outplants'!$H:$H,'ex-situ Acer outplants'!$G:$G, $C22)</f>
        <v>0</v>
      </c>
      <c r="G22" s="50">
        <f>SUMIFS('Upper Keys Outplants'!$I:$I, 'Upper Keys Outplants'!$G:$G,$C22)</f>
        <v>0</v>
      </c>
      <c r="H22" s="188">
        <f t="shared" si="1"/>
        <v>-15</v>
      </c>
      <c r="I22" s="187">
        <v>5000.0</v>
      </c>
      <c r="J22" s="66">
        <f>SUMIFS('in-situ Apal outplants'!$H:$H,'in-situ Apal outplants'!$G:$G, $C22)</f>
        <v>0</v>
      </c>
      <c r="K22" s="50">
        <f>SUMIFS('ex-situ Apal outplants'!$H:$H,'ex-situ Apal outplants'!$G:$G, $C22)</f>
        <v>5004</v>
      </c>
      <c r="L22" s="50">
        <f>SUMIFS('Upper Keys Outplants'!$J:$J, 'Upper Keys Outplants'!$G:$G,$C22)</f>
        <v>0</v>
      </c>
      <c r="M22" s="50">
        <f t="shared" si="2"/>
        <v>-4</v>
      </c>
      <c r="N22" s="187">
        <v>0.0</v>
      </c>
      <c r="O22" s="50">
        <f>SUMIFS('in-situ Massive outplants'!$H:$H,'in-situ Massive outplants'!$G:$G, $C22)</f>
        <v>0</v>
      </c>
      <c r="P22" s="50">
        <f>SUMIFS('ex-situ Massive outplants'!$H:$H,'ex-situ Massive outplants'!$G:$G, $C22)</f>
        <v>0</v>
      </c>
      <c r="Q22" s="66">
        <f t="array" ref="Q22">IFNA(SUM(INDEX('Upper Keys Outplants'!$K:$O, MATCH($C22,'Upper Keys Outplants'!$G:$G,0))),0)</f>
        <v>0</v>
      </c>
      <c r="R22" s="50">
        <f t="shared" si="3"/>
        <v>0</v>
      </c>
      <c r="S22" s="118">
        <f t="shared" si="4"/>
        <v>8285</v>
      </c>
      <c r="T22" s="50">
        <f t="shared" si="5"/>
        <v>8304</v>
      </c>
      <c r="U22" s="197" t="s">
        <v>61</v>
      </c>
    </row>
    <row r="23">
      <c r="A23" s="195">
        <v>44548.0</v>
      </c>
      <c r="B23" s="66" t="s">
        <v>62</v>
      </c>
      <c r="C23" s="189" t="s">
        <v>63</v>
      </c>
      <c r="D23" s="187">
        <v>7000.0</v>
      </c>
      <c r="E23" s="50">
        <f>SUMIFS('in-situ Acer outplants'!$H:$H,'in-situ Acer outplants'!$G:$G, $C23)</f>
        <v>7000</v>
      </c>
      <c r="F23" s="50">
        <f>SUMIFS('ex-situ Acer outplants'!$H:$H,'ex-situ Acer outplants'!$G:$G, $C23)</f>
        <v>0</v>
      </c>
      <c r="G23" s="50">
        <f>SUMIFS('Upper Keys Outplants'!$I:$I, 'Upper Keys Outplants'!$G:$G,$C23)</f>
        <v>0</v>
      </c>
      <c r="H23" s="188">
        <f t="shared" si="1"/>
        <v>0</v>
      </c>
      <c r="I23" s="187">
        <v>3000.0</v>
      </c>
      <c r="J23" s="66">
        <f>SUMIFS('in-situ Apal outplants'!$H:$H,'in-situ Apal outplants'!$G:$G, $C23)</f>
        <v>0</v>
      </c>
      <c r="K23" s="50">
        <f>SUMIFS('ex-situ Apal outplants'!$H:$H,'ex-situ Apal outplants'!$G:$G, $C23)</f>
        <v>3094</v>
      </c>
      <c r="L23" s="50">
        <f>SUMIFS('Upper Keys Outplants'!$J:$J, 'Upper Keys Outplants'!$G:$G,$C23)</f>
        <v>0</v>
      </c>
      <c r="M23" s="50">
        <f t="shared" si="2"/>
        <v>-94</v>
      </c>
      <c r="N23" s="187">
        <v>0.0</v>
      </c>
      <c r="O23" s="50">
        <f>SUMIFS('in-situ Massive outplants'!$H:$H,'in-situ Massive outplants'!$G:$G, $C23)</f>
        <v>0</v>
      </c>
      <c r="P23" s="50">
        <f>SUMIFS('ex-situ Massive outplants'!$H:$H,'ex-situ Massive outplants'!$G:$G, $C23)</f>
        <v>0</v>
      </c>
      <c r="Q23" s="66">
        <f t="array" ref="Q23">IFNA(SUM(INDEX('Upper Keys Outplants'!$K:$O, MATCH($C23,'Upper Keys Outplants'!$G:$G,0))),0)</f>
        <v>0</v>
      </c>
      <c r="R23" s="50">
        <f t="shared" si="3"/>
        <v>0</v>
      </c>
      <c r="S23" s="118">
        <f t="shared" si="4"/>
        <v>10000</v>
      </c>
      <c r="T23" s="50">
        <f t="shared" si="5"/>
        <v>10094</v>
      </c>
      <c r="U23" s="66" t="s">
        <v>64</v>
      </c>
    </row>
    <row r="24">
      <c r="A24" s="186">
        <v>43843.0</v>
      </c>
      <c r="B24" s="186">
        <v>44778.0</v>
      </c>
      <c r="C24" s="118" t="s">
        <v>65</v>
      </c>
      <c r="D24" s="187">
        <v>13000.0</v>
      </c>
      <c r="E24" s="50">
        <f>SUMIFS('in-situ Acer outplants'!$H:$H,'in-situ Acer outplants'!$G:$G, $C24)</f>
        <v>13000</v>
      </c>
      <c r="F24" s="50">
        <f>SUMIFS('ex-situ Acer outplants'!$H:$H,'ex-situ Acer outplants'!$G:$G, $C24)</f>
        <v>0</v>
      </c>
      <c r="G24" s="50">
        <f>SUMIFS('Upper Keys Outplants'!$I:$I, 'Upper Keys Outplants'!$G:$G,$C24)</f>
        <v>0</v>
      </c>
      <c r="H24" s="188">
        <f t="shared" si="1"/>
        <v>0</v>
      </c>
      <c r="I24" s="187">
        <v>0.0</v>
      </c>
      <c r="J24" s="66">
        <f>SUMIFS('in-situ Apal outplants'!$H:$H,'in-situ Apal outplants'!$G:$G, $C24)</f>
        <v>0</v>
      </c>
      <c r="K24" s="50">
        <f>SUMIFS('ex-situ Apal outplants'!$H:$H,'ex-situ Apal outplants'!$G:$G, $C24)</f>
        <v>0</v>
      </c>
      <c r="L24" s="50">
        <f>SUMIFS('Upper Keys Outplants'!$J:$J, 'Upper Keys Outplants'!$G:$G,$C24)</f>
        <v>0</v>
      </c>
      <c r="M24" s="50">
        <f t="shared" si="2"/>
        <v>0</v>
      </c>
      <c r="N24" s="187">
        <v>4850.0</v>
      </c>
      <c r="O24" s="50">
        <f>SUMIFS('in-situ Massive outplants'!$H:$H,'in-situ Massive outplants'!$G:$G, $C24)</f>
        <v>1500</v>
      </c>
      <c r="P24" s="50">
        <f>SUMIFS('ex-situ Massive outplants'!$H:$H,'ex-situ Massive outplants'!$G:$G, $C24)</f>
        <v>3361</v>
      </c>
      <c r="Q24" s="66">
        <f t="array" ref="Q24">IFNA(SUM(INDEX('Upper Keys Outplants'!$K:$O, MATCH($C24,'Upper Keys Outplants'!$G:$G,0))),0)</f>
        <v>0</v>
      </c>
      <c r="R24" s="50">
        <f t="shared" si="3"/>
        <v>-11</v>
      </c>
      <c r="S24" s="118">
        <f t="shared" si="4"/>
        <v>17850</v>
      </c>
      <c r="T24" s="50">
        <f t="shared" si="5"/>
        <v>17861</v>
      </c>
      <c r="U24" s="95" t="s">
        <v>66</v>
      </c>
    </row>
    <row r="25">
      <c r="A25" s="195">
        <v>44487.0</v>
      </c>
      <c r="B25" s="195">
        <v>44834.0</v>
      </c>
      <c r="C25" s="189" t="s">
        <v>67</v>
      </c>
      <c r="D25" s="187">
        <v>3700.0</v>
      </c>
      <c r="E25" s="50">
        <f>SUMIFS('in-situ Acer outplants'!$H:$H,'in-situ Acer outplants'!$G:$G, $C25)</f>
        <v>0</v>
      </c>
      <c r="F25" s="50">
        <f>SUMIFS('ex-situ Acer outplants'!$H:$H,'ex-situ Acer outplants'!$G:$G, $C25)</f>
        <v>0</v>
      </c>
      <c r="G25" s="50">
        <f>SUMIFS('Upper Keys Outplants'!$I:$I, 'Upper Keys Outplants'!$G:$G,$C25)</f>
        <v>0</v>
      </c>
      <c r="H25" s="188">
        <f t="shared" si="1"/>
        <v>3700</v>
      </c>
      <c r="I25" s="187">
        <v>0.0</v>
      </c>
      <c r="J25" s="66">
        <f>SUMIFS('in-situ Apal outplants'!$H:$H,'in-situ Apal outplants'!$G:$G, $C25)</f>
        <v>0</v>
      </c>
      <c r="K25" s="50">
        <f>SUMIFS('ex-situ Apal outplants'!$H:$H,'ex-situ Apal outplants'!$G:$G, $C25)</f>
        <v>0</v>
      </c>
      <c r="L25" s="50">
        <f>SUMIFS('Upper Keys Outplants'!$J:$J, 'Upper Keys Outplants'!$G:$G,$C25)</f>
        <v>0</v>
      </c>
      <c r="M25" s="50">
        <f t="shared" si="2"/>
        <v>0</v>
      </c>
      <c r="N25" s="187">
        <v>0.0</v>
      </c>
      <c r="O25" s="50">
        <f>SUMIFS('in-situ Massive outplants'!$H:$H,'in-situ Massive outplants'!$G:$G, $C25)</f>
        <v>0</v>
      </c>
      <c r="P25" s="50">
        <f>SUMIFS('ex-situ Massive outplants'!$H:$H,'ex-situ Massive outplants'!$G:$G, $C25)</f>
        <v>0</v>
      </c>
      <c r="Q25" s="66">
        <f t="array" ref="Q25">IFNA(SUM(INDEX('Upper Keys Outplants'!$K:$O, MATCH($C25,'Upper Keys Outplants'!$G:$G,0))),0)</f>
        <v>0</v>
      </c>
      <c r="R25" s="50">
        <f t="shared" si="3"/>
        <v>0</v>
      </c>
      <c r="S25" s="118">
        <f t="shared" si="4"/>
        <v>3700</v>
      </c>
      <c r="T25" s="50">
        <f t="shared" si="5"/>
        <v>0</v>
      </c>
      <c r="U25" s="66" t="s">
        <v>68</v>
      </c>
    </row>
    <row r="26">
      <c r="A26" s="195">
        <v>44562.0</v>
      </c>
      <c r="B26" s="195">
        <v>44926.0</v>
      </c>
      <c r="C26" s="189" t="s">
        <v>69</v>
      </c>
      <c r="D26" s="187">
        <v>3000.0</v>
      </c>
      <c r="E26" s="50">
        <f>SUMIFS('in-situ Acer outplants'!$H:$H,'in-situ Acer outplants'!$G:$G, $C26)</f>
        <v>2675</v>
      </c>
      <c r="F26" s="50">
        <f>SUMIFS('ex-situ Acer outplants'!$H:$H,'ex-situ Acer outplants'!$G:$G, $C26)</f>
        <v>929</v>
      </c>
      <c r="G26" s="50">
        <f>SUMIFS('Upper Keys Outplants'!$I:$I, 'Upper Keys Outplants'!$G:$G,$C26)</f>
        <v>0</v>
      </c>
      <c r="H26" s="188">
        <f t="shared" si="1"/>
        <v>-604</v>
      </c>
      <c r="I26" s="187">
        <v>1400.0</v>
      </c>
      <c r="J26" s="66">
        <f>SUMIFS('in-situ Apal outplants'!$H:$H,'in-situ Apal outplants'!$G:$G, $C26)</f>
        <v>0</v>
      </c>
      <c r="K26" s="50">
        <f>SUMIFS('ex-situ Apal outplants'!$H:$H,'ex-situ Apal outplants'!$G:$G, $C26)</f>
        <v>1290</v>
      </c>
      <c r="L26" s="50">
        <f>SUMIFS('Upper Keys Outplants'!$J:$J, 'Upper Keys Outplants'!$G:$G,$C26)</f>
        <v>130</v>
      </c>
      <c r="M26" s="50">
        <f t="shared" si="2"/>
        <v>-20</v>
      </c>
      <c r="N26" s="187">
        <v>600.0</v>
      </c>
      <c r="O26" s="50">
        <f>SUMIFS('in-situ Massive outplants'!$H:$H,'in-situ Massive outplants'!$G:$G, $C26)</f>
        <v>599</v>
      </c>
      <c r="P26" s="50">
        <f>SUMIFS('ex-situ Massive outplants'!$H:$H,'ex-situ Massive outplants'!$G:$G, $C26)</f>
        <v>0</v>
      </c>
      <c r="Q26" s="66">
        <f t="array" ref="Q26">IFNA(SUM(INDEX('Upper Keys Outplants'!$K:$O, MATCH($C26,'Upper Keys Outplants'!$G:$G,0))),0)</f>
        <v>0</v>
      </c>
      <c r="R26" s="50">
        <f t="shared" si="3"/>
        <v>1</v>
      </c>
      <c r="S26" s="118">
        <f t="shared" si="4"/>
        <v>5000</v>
      </c>
      <c r="T26" s="50">
        <f t="shared" si="5"/>
        <v>5623</v>
      </c>
      <c r="U26" s="66" t="s">
        <v>70</v>
      </c>
    </row>
    <row r="27">
      <c r="A27" s="195">
        <v>44621.0</v>
      </c>
      <c r="B27" s="195">
        <v>44985.0</v>
      </c>
      <c r="C27" s="189" t="s">
        <v>71</v>
      </c>
      <c r="D27" s="187">
        <v>3285.0</v>
      </c>
      <c r="E27" s="50">
        <f>SUMIFS('in-situ Acer outplants'!$H:$H,'in-situ Acer outplants'!$G:$G, $C27)</f>
        <v>3300</v>
      </c>
      <c r="F27" s="50">
        <f>SUMIFS('ex-situ Acer outplants'!$H:$H,'ex-situ Acer outplants'!$G:$G, $C27)</f>
        <v>0</v>
      </c>
      <c r="G27" s="50">
        <f>SUMIFS('Upper Keys Outplants'!$I:$I, 'Upper Keys Outplants'!$G:$G,$C27)</f>
        <v>0</v>
      </c>
      <c r="H27" s="188">
        <f t="shared" si="1"/>
        <v>-15</v>
      </c>
      <c r="I27" s="187">
        <v>8000.0</v>
      </c>
      <c r="J27" s="66">
        <f>SUMIFS('in-situ Apal outplants'!$H:$H,'in-situ Apal outplants'!$G:$G, $C27)</f>
        <v>0</v>
      </c>
      <c r="K27" s="50">
        <f>SUMIFS('ex-situ Apal outplants'!$H:$H,'ex-situ Apal outplants'!$G:$G, $C27)</f>
        <v>8012</v>
      </c>
      <c r="L27" s="50">
        <f>SUMIFS('Upper Keys Outplants'!$J:$J, 'Upper Keys Outplants'!$G:$G,$C27)</f>
        <v>0</v>
      </c>
      <c r="M27" s="50">
        <f t="shared" si="2"/>
        <v>-12</v>
      </c>
      <c r="N27" s="187">
        <v>0.0</v>
      </c>
      <c r="O27" s="50">
        <f>SUMIFS('in-situ Massive outplants'!$H:$H,'in-situ Massive outplants'!$G:$G, $C27)</f>
        <v>0</v>
      </c>
      <c r="P27" s="50">
        <f>SUMIFS('ex-situ Massive outplants'!$H:$H,'ex-situ Massive outplants'!$G:$G, $C27)</f>
        <v>0</v>
      </c>
      <c r="Q27" s="66">
        <f t="array" ref="Q27">IFNA(SUM(INDEX('Upper Keys Outplants'!$K:$O, MATCH($C27,'Upper Keys Outplants'!$G:$G,0))),0)</f>
        <v>0</v>
      </c>
      <c r="R27" s="50">
        <f t="shared" si="3"/>
        <v>0</v>
      </c>
      <c r="S27" s="118">
        <f t="shared" si="4"/>
        <v>11285</v>
      </c>
      <c r="T27" s="50">
        <f t="shared" si="5"/>
        <v>11312</v>
      </c>
      <c r="U27" s="66" t="s">
        <v>72</v>
      </c>
    </row>
    <row r="28">
      <c r="A28" s="195">
        <v>44743.0</v>
      </c>
      <c r="B28" s="195">
        <v>45107.0</v>
      </c>
      <c r="C28" s="189" t="s">
        <v>73</v>
      </c>
      <c r="D28" s="187">
        <v>7000.0</v>
      </c>
      <c r="E28" s="50">
        <f>SUMIFS('in-situ Acer outplants'!$H:$H,'in-situ Acer outplants'!$G:$G, $C28)</f>
        <v>7700</v>
      </c>
      <c r="F28" s="50">
        <f>SUMIFS('ex-situ Acer outplants'!$H:$H,'ex-situ Acer outplants'!$G:$G, $C28)</f>
        <v>0</v>
      </c>
      <c r="G28" s="50">
        <f>SUMIFS('Upper Keys Outplants'!$I:$I, 'Upper Keys Outplants'!$G:$G,$C28)</f>
        <v>50</v>
      </c>
      <c r="H28" s="188">
        <f t="shared" si="1"/>
        <v>-750</v>
      </c>
      <c r="I28" s="187">
        <v>3000.0</v>
      </c>
      <c r="J28" s="66">
        <f>SUMIFS('in-situ Apal outplants'!$H:$H,'in-situ Apal outplants'!$G:$G, $C28)</f>
        <v>0</v>
      </c>
      <c r="K28" s="50">
        <f>SUMIFS('ex-situ Apal outplants'!$H:$H,'ex-situ Apal outplants'!$G:$G, $C28)</f>
        <v>3020</v>
      </c>
      <c r="L28" s="50">
        <f>SUMIFS('Upper Keys Outplants'!$J:$J, 'Upper Keys Outplants'!$G:$G,$C28)</f>
        <v>50</v>
      </c>
      <c r="M28" s="50">
        <f t="shared" si="2"/>
        <v>-70</v>
      </c>
      <c r="N28" s="187">
        <v>0.0</v>
      </c>
      <c r="O28" s="50">
        <f>SUMIFS('in-situ Massive outplants'!$H:$H,'in-situ Massive outplants'!$G:$G, $C28)</f>
        <v>0</v>
      </c>
      <c r="P28" s="50">
        <f>SUMIFS('ex-situ Massive outplants'!$H:$H,'ex-situ Massive outplants'!$G:$G, $C28)</f>
        <v>0</v>
      </c>
      <c r="Q28" s="66">
        <f t="array" ref="Q28">IFNA(SUM(INDEX('Upper Keys Outplants'!$K:$O, MATCH($C28,'Upper Keys Outplants'!$G:$G,0))),0)</f>
        <v>0</v>
      </c>
      <c r="R28" s="50">
        <f t="shared" si="3"/>
        <v>0</v>
      </c>
      <c r="S28" s="118">
        <f t="shared" si="4"/>
        <v>10000</v>
      </c>
      <c r="T28" s="50">
        <f t="shared" si="5"/>
        <v>10820</v>
      </c>
      <c r="U28" s="66" t="s">
        <v>64</v>
      </c>
    </row>
    <row r="29">
      <c r="A29" s="195">
        <v>45213.0</v>
      </c>
      <c r="B29" s="195">
        <v>45213.0</v>
      </c>
      <c r="C29" s="189" t="s">
        <v>74</v>
      </c>
      <c r="D29" s="187">
        <v>200.0</v>
      </c>
      <c r="E29" s="50">
        <f>SUMIFS('in-situ Acer outplants'!$H:$H,'in-situ Acer outplants'!$G:$G, $C29)</f>
        <v>200</v>
      </c>
      <c r="F29" s="50">
        <f>SUMIFS('ex-situ Acer outplants'!$H:$H,'ex-situ Acer outplants'!$G:$G, $C29)</f>
        <v>0</v>
      </c>
      <c r="G29" s="50">
        <f>SUMIFS('Upper Keys Outplants'!$I:$I, 'Upper Keys Outplants'!$G:$G,$C29)</f>
        <v>0</v>
      </c>
      <c r="H29" s="188">
        <f t="shared" si="1"/>
        <v>0</v>
      </c>
      <c r="I29" s="187">
        <v>0.0</v>
      </c>
      <c r="J29" s="66">
        <f>SUMIFS('in-situ Apal outplants'!$H:$H,'in-situ Apal outplants'!$G:$G, $C29)</f>
        <v>0</v>
      </c>
      <c r="K29" s="50">
        <f>SUMIFS('ex-situ Apal outplants'!$H:$H,'ex-situ Apal outplants'!$G:$G, $C29)</f>
        <v>0</v>
      </c>
      <c r="L29" s="50">
        <f>SUMIFS('Upper Keys Outplants'!$J:$J, 'Upper Keys Outplants'!$G:$G,$C29)</f>
        <v>0</v>
      </c>
      <c r="M29" s="50">
        <f t="shared" si="2"/>
        <v>0</v>
      </c>
      <c r="N29" s="187">
        <v>0.0</v>
      </c>
      <c r="O29" s="50">
        <f>SUMIFS('in-situ Massive outplants'!$H:$H,'in-situ Massive outplants'!$G:$G, $C29)</f>
        <v>0</v>
      </c>
      <c r="P29" s="50">
        <f>SUMIFS('ex-situ Massive outplants'!$H:$H,'ex-situ Massive outplants'!$G:$G, $C29)</f>
        <v>0</v>
      </c>
      <c r="Q29" s="66">
        <f t="array" ref="Q29">IFNA(SUM(INDEX('Upper Keys Outplants'!$K:$O, MATCH($C29,'Upper Keys Outplants'!$G:$G,0))),0)</f>
        <v>0</v>
      </c>
      <c r="R29" s="50">
        <f t="shared" si="3"/>
        <v>0</v>
      </c>
      <c r="S29" s="118">
        <f t="shared" si="4"/>
        <v>200</v>
      </c>
      <c r="T29" s="50">
        <f t="shared" si="5"/>
        <v>200</v>
      </c>
      <c r="U29" s="66" t="s">
        <v>75</v>
      </c>
    </row>
    <row r="30">
      <c r="A30" s="195">
        <v>44853.0</v>
      </c>
      <c r="B30" s="195">
        <v>45199.0</v>
      </c>
      <c r="C30" s="189" t="s">
        <v>76</v>
      </c>
      <c r="D30" s="187">
        <v>1000.0</v>
      </c>
      <c r="E30" s="50">
        <f>SUMIFS('in-situ Acer outplants'!$H:$H,'in-situ Acer outplants'!$G:$G, $C30)</f>
        <v>1000</v>
      </c>
      <c r="F30" s="50">
        <f>SUMIFS('ex-situ Acer outplants'!$H:$H,'ex-situ Acer outplants'!$G:$G, $C30)</f>
        <v>0</v>
      </c>
      <c r="G30" s="50">
        <f>SUMIFS('Upper Keys Outplants'!$I:$I, 'Upper Keys Outplants'!$G:$G,$C30)</f>
        <v>0</v>
      </c>
      <c r="H30" s="188">
        <f t="shared" si="1"/>
        <v>0</v>
      </c>
      <c r="I30" s="187">
        <v>1750.0</v>
      </c>
      <c r="J30" s="66">
        <f>SUMIFS('in-situ Apal outplants'!$H:$H,'in-situ Apal outplants'!$G:$G, $C30)</f>
        <v>0</v>
      </c>
      <c r="K30" s="50">
        <f>SUMIFS('ex-situ Apal outplants'!$H:$H,'ex-situ Apal outplants'!$G:$G, $C30)</f>
        <v>1799</v>
      </c>
      <c r="L30" s="50">
        <f>SUMIFS('Upper Keys Outplants'!$J:$J, 'Upper Keys Outplants'!$G:$G,$C30)</f>
        <v>0</v>
      </c>
      <c r="M30" s="50">
        <f t="shared" si="2"/>
        <v>-49</v>
      </c>
      <c r="N30" s="187">
        <v>0.0</v>
      </c>
      <c r="O30" s="50">
        <f>SUMIFS('in-situ Massive outplants'!$H:$H,'in-situ Massive outplants'!$G:$G, $C30)</f>
        <v>0</v>
      </c>
      <c r="P30" s="50">
        <f>SUMIFS('ex-situ Massive outplants'!$H:$H,'ex-situ Massive outplants'!$G:$G, $C30)</f>
        <v>0</v>
      </c>
      <c r="Q30" s="66">
        <f t="array" ref="Q30">IFNA(SUM(INDEX('Upper Keys Outplants'!$K:$O, MATCH($C30,'Upper Keys Outplants'!$G:$G,0))),0)</f>
        <v>0</v>
      </c>
      <c r="R30" s="50">
        <f t="shared" si="3"/>
        <v>0</v>
      </c>
      <c r="S30" s="118">
        <f t="shared" si="4"/>
        <v>2750</v>
      </c>
      <c r="T30" s="50">
        <f t="shared" si="5"/>
        <v>2799</v>
      </c>
      <c r="U30" s="66" t="s">
        <v>109</v>
      </c>
    </row>
    <row r="31">
      <c r="A31" s="195">
        <v>44853.0</v>
      </c>
      <c r="B31" s="195">
        <v>45199.0</v>
      </c>
      <c r="C31" s="189" t="s">
        <v>78</v>
      </c>
      <c r="D31" s="187">
        <v>1000.0</v>
      </c>
      <c r="E31" s="50">
        <f>SUMIFS('in-situ Acer outplants'!$H:$H,'in-situ Acer outplants'!$G:$G, $C31)</f>
        <v>1000</v>
      </c>
      <c r="F31" s="50">
        <f>SUMIFS('ex-situ Acer outplants'!$H:$H,'ex-situ Acer outplants'!$G:$G, $C31)</f>
        <v>0</v>
      </c>
      <c r="G31" s="50">
        <f>SUMIFS('Upper Keys Outplants'!$I:$I, 'Upper Keys Outplants'!$G:$G,$C31)</f>
        <v>0</v>
      </c>
      <c r="H31" s="188">
        <f t="shared" si="1"/>
        <v>0</v>
      </c>
      <c r="I31" s="187">
        <v>1750.0</v>
      </c>
      <c r="J31" s="66">
        <f>SUMIFS('in-situ Apal outplants'!$H:$H,'in-situ Apal outplants'!$G:$G, $C31)</f>
        <v>0</v>
      </c>
      <c r="K31" s="50">
        <f>SUMIFS('ex-situ Apal outplants'!$H:$H,'ex-situ Apal outplants'!$G:$G, $C31)</f>
        <v>1805</v>
      </c>
      <c r="L31" s="50">
        <f>SUMIFS('Upper Keys Outplants'!$J:$J, 'Upper Keys Outplants'!$G:$G,$C31)</f>
        <v>0</v>
      </c>
      <c r="M31" s="50">
        <f t="shared" si="2"/>
        <v>-55</v>
      </c>
      <c r="N31" s="187">
        <v>0.0</v>
      </c>
      <c r="O31" s="50">
        <f>SUMIFS('in-situ Massive outplants'!$H:$H,'in-situ Massive outplants'!$G:$G, $C31)</f>
        <v>0</v>
      </c>
      <c r="P31" s="50">
        <f>SUMIFS('ex-situ Massive outplants'!$H:$H,'ex-situ Massive outplants'!$G:$G, $C31)</f>
        <v>0</v>
      </c>
      <c r="Q31" s="66">
        <f t="array" ref="Q31">IFNA(SUM(INDEX('Upper Keys Outplants'!$K:$O, MATCH($C31,'Upper Keys Outplants'!$G:$G,0))),0)</f>
        <v>0</v>
      </c>
      <c r="R31" s="50">
        <f t="shared" si="3"/>
        <v>0</v>
      </c>
      <c r="S31" s="118">
        <f t="shared" si="4"/>
        <v>2750</v>
      </c>
      <c r="T31" s="50">
        <f t="shared" si="5"/>
        <v>2805</v>
      </c>
      <c r="U31" s="66" t="s">
        <v>110</v>
      </c>
    </row>
    <row r="32">
      <c r="A32" s="195">
        <v>44853.0</v>
      </c>
      <c r="B32" s="195">
        <v>45199.0</v>
      </c>
      <c r="C32" s="189" t="s">
        <v>80</v>
      </c>
      <c r="D32" s="187">
        <v>1000.0</v>
      </c>
      <c r="E32" s="50">
        <f>SUMIFS('in-situ Acer outplants'!$H:$H,'in-situ Acer outplants'!$G:$G, $C32)</f>
        <v>1000</v>
      </c>
      <c r="F32" s="50">
        <f>SUMIFS('ex-situ Acer outplants'!$H:$H,'ex-situ Acer outplants'!$G:$G, $C32)</f>
        <v>0</v>
      </c>
      <c r="G32" s="50">
        <f>SUMIFS('Upper Keys Outplants'!$I:$I, 'Upper Keys Outplants'!$G:$G,$C32)</f>
        <v>0</v>
      </c>
      <c r="H32" s="188">
        <f t="shared" si="1"/>
        <v>0</v>
      </c>
      <c r="I32" s="187">
        <v>1750.0</v>
      </c>
      <c r="J32" s="66">
        <f>SUMIFS('in-situ Apal outplants'!$H:$H,'in-situ Apal outplants'!$G:$G, $C32)</f>
        <v>0</v>
      </c>
      <c r="K32" s="50">
        <f>SUMIFS('ex-situ Apal outplants'!$H:$H,'ex-situ Apal outplants'!$G:$G, $C32)</f>
        <v>1799</v>
      </c>
      <c r="L32" s="50">
        <f>SUMIFS('Upper Keys Outplants'!$J:$J, 'Upper Keys Outplants'!$G:$G,$C32)</f>
        <v>0</v>
      </c>
      <c r="M32" s="50">
        <f t="shared" si="2"/>
        <v>-49</v>
      </c>
      <c r="N32" s="187">
        <v>0.0</v>
      </c>
      <c r="O32" s="50">
        <f>SUMIFS('in-situ Massive outplants'!$H:$H,'in-situ Massive outplants'!$G:$G, $C32)</f>
        <v>0</v>
      </c>
      <c r="P32" s="50">
        <f>SUMIFS('ex-situ Massive outplants'!$H:$H,'ex-situ Massive outplants'!$G:$G, $C32)</f>
        <v>0</v>
      </c>
      <c r="Q32" s="66">
        <f t="array" ref="Q32">IFNA(SUM(INDEX('Upper Keys Outplants'!$K:$O, MATCH($C32,'Upper Keys Outplants'!$G:$G,0))),0)</f>
        <v>0</v>
      </c>
      <c r="R32" s="50">
        <f t="shared" si="3"/>
        <v>0</v>
      </c>
      <c r="S32" s="118">
        <f t="shared" si="4"/>
        <v>2750</v>
      </c>
      <c r="T32" s="50">
        <f t="shared" si="5"/>
        <v>2799</v>
      </c>
      <c r="U32" s="66" t="s">
        <v>111</v>
      </c>
    </row>
    <row r="33">
      <c r="A33" s="195">
        <v>44853.0</v>
      </c>
      <c r="B33" s="195">
        <v>45199.0</v>
      </c>
      <c r="C33" s="189" t="s">
        <v>82</v>
      </c>
      <c r="D33" s="187">
        <v>1000.0</v>
      </c>
      <c r="E33" s="50">
        <f>SUMIFS('in-situ Acer outplants'!$H:$H,'in-situ Acer outplants'!$G:$G, $C33)</f>
        <v>0</v>
      </c>
      <c r="F33" s="50">
        <f>SUMIFS('ex-situ Acer outplants'!$H:$H,'ex-situ Acer outplants'!$G:$G, $C33)</f>
        <v>0</v>
      </c>
      <c r="G33" s="50">
        <f>SUMIFS('Upper Keys Outplants'!$I:$I, 'Upper Keys Outplants'!$G:$G,$C33)</f>
        <v>431</v>
      </c>
      <c r="H33" s="188">
        <f t="shared" si="1"/>
        <v>569</v>
      </c>
      <c r="I33" s="187">
        <v>1750.0</v>
      </c>
      <c r="J33" s="66">
        <f>SUMIFS('in-situ Apal outplants'!$H:$H,'in-situ Apal outplants'!$G:$G, $C33)</f>
        <v>0</v>
      </c>
      <c r="K33" s="50">
        <f>SUMIFS('ex-situ Apal outplants'!$H:$H,'ex-situ Apal outplants'!$G:$G, $C33)</f>
        <v>0</v>
      </c>
      <c r="L33" s="50">
        <f>SUMIFS('Upper Keys Outplants'!$J:$J, 'Upper Keys Outplants'!$G:$G,$C33)</f>
        <v>0</v>
      </c>
      <c r="M33" s="50">
        <f t="shared" si="2"/>
        <v>1750</v>
      </c>
      <c r="N33" s="187">
        <v>0.0</v>
      </c>
      <c r="O33" s="50">
        <f>SUMIFS('in-situ Massive outplants'!$H:$H,'in-situ Massive outplants'!$G:$G, $C33)</f>
        <v>0</v>
      </c>
      <c r="P33" s="50">
        <f>SUMIFS('ex-situ Massive outplants'!$H:$H,'ex-situ Massive outplants'!$G:$G, $C33)</f>
        <v>0</v>
      </c>
      <c r="Q33" s="66">
        <f t="array" ref="Q33">IFNA(SUM(INDEX('Upper Keys Outplants'!$K:$O, MATCH($C33,'Upper Keys Outplants'!$G:$G,0))),0)</f>
        <v>0</v>
      </c>
      <c r="R33" s="50">
        <f t="shared" si="3"/>
        <v>0</v>
      </c>
      <c r="S33" s="118">
        <f t="shared" si="4"/>
        <v>2750</v>
      </c>
      <c r="T33" s="50">
        <f t="shared" si="5"/>
        <v>431</v>
      </c>
      <c r="U33" s="66" t="s">
        <v>83</v>
      </c>
    </row>
    <row r="34">
      <c r="A34" s="195">
        <v>44853.0</v>
      </c>
      <c r="B34" s="195">
        <v>45199.0</v>
      </c>
      <c r="C34" s="189" t="s">
        <v>84</v>
      </c>
      <c r="D34" s="187">
        <v>3000.0</v>
      </c>
      <c r="E34" s="50">
        <f>SUMIFS('in-situ Acer outplants'!$H:$H,'in-situ Acer outplants'!$G:$G, $C34)</f>
        <v>0</v>
      </c>
      <c r="F34" s="50">
        <f>SUMIFS('ex-situ Acer outplants'!$H:$H,'ex-situ Acer outplants'!$G:$G, $C34)</f>
        <v>0</v>
      </c>
      <c r="G34" s="50">
        <f>SUMIFS('Upper Keys Outplants'!$I:$I, 'Upper Keys Outplants'!$G:$G,$C34)</f>
        <v>3230</v>
      </c>
      <c r="H34" s="188">
        <f t="shared" si="1"/>
        <v>-230</v>
      </c>
      <c r="I34" s="187">
        <v>700.0</v>
      </c>
      <c r="J34" s="66">
        <f>SUMIFS('in-situ Apal outplants'!$H:$H,'in-situ Apal outplants'!$G:$G, $C34)</f>
        <v>0</v>
      </c>
      <c r="K34" s="50">
        <f>SUMIFS('ex-situ Apal outplants'!$H:$H,'ex-situ Apal outplants'!$G:$G, $C34)</f>
        <v>0</v>
      </c>
      <c r="L34" s="50">
        <f>SUMIFS('Upper Keys Outplants'!$J:$J, 'Upper Keys Outplants'!$G:$G,$C34)</f>
        <v>1060</v>
      </c>
      <c r="M34" s="50">
        <f t="shared" si="2"/>
        <v>-360</v>
      </c>
      <c r="N34" s="187">
        <v>0.0</v>
      </c>
      <c r="O34" s="50">
        <f>SUMIFS('in-situ Massive outplants'!$H:$H,'in-situ Massive outplants'!$G:$G, $C34)</f>
        <v>0</v>
      </c>
      <c r="P34" s="50">
        <f>SUMIFS('ex-situ Massive outplants'!$H:$H,'ex-situ Massive outplants'!$G:$G, $C34)</f>
        <v>0</v>
      </c>
      <c r="Q34" s="66">
        <f t="array" ref="Q34">IFNA(SUM(INDEX('Upper Keys Outplants'!$K:$O, MATCH($C34,'Upper Keys Outplants'!$G:$G,0))),0)</f>
        <v>0</v>
      </c>
      <c r="R34" s="50">
        <f t="shared" si="3"/>
        <v>0</v>
      </c>
      <c r="S34" s="118">
        <f t="shared" si="4"/>
        <v>3700</v>
      </c>
      <c r="T34" s="50">
        <f t="shared" si="5"/>
        <v>4290</v>
      </c>
      <c r="U34" s="66" t="s">
        <v>85</v>
      </c>
    </row>
    <row r="35">
      <c r="A35" s="195">
        <v>44853.0</v>
      </c>
      <c r="B35" s="195">
        <v>45199.0</v>
      </c>
      <c r="C35" s="189" t="s">
        <v>86</v>
      </c>
      <c r="D35" s="187">
        <v>1000.0</v>
      </c>
      <c r="E35" s="50">
        <f>SUMIFS('in-situ Acer outplants'!$H:$H,'in-situ Acer outplants'!$G:$G, $C35)</f>
        <v>0</v>
      </c>
      <c r="F35" s="50">
        <f>SUMIFS('ex-situ Acer outplants'!$H:$H,'ex-situ Acer outplants'!$G:$G, $C35)</f>
        <v>0</v>
      </c>
      <c r="G35" s="50">
        <f>SUMIFS('Upper Keys Outplants'!$I:$I, 'Upper Keys Outplants'!$G:$G,$C35)</f>
        <v>535</v>
      </c>
      <c r="H35" s="188">
        <f t="shared" si="1"/>
        <v>465</v>
      </c>
      <c r="I35" s="187">
        <v>1750.0</v>
      </c>
      <c r="J35" s="66">
        <f>SUMIFS('in-situ Apal outplants'!$H:$H,'in-situ Apal outplants'!$G:$G, $C35)</f>
        <v>0</v>
      </c>
      <c r="K35" s="50">
        <f>SUMIFS('ex-situ Apal outplants'!$H:$H,'ex-situ Apal outplants'!$G:$G, $C35)</f>
        <v>0</v>
      </c>
      <c r="L35" s="50">
        <f>SUMIFS('Upper Keys Outplants'!$J:$J, 'Upper Keys Outplants'!$G:$G,$C35)</f>
        <v>0</v>
      </c>
      <c r="M35" s="50">
        <f t="shared" si="2"/>
        <v>1750</v>
      </c>
      <c r="N35" s="187">
        <v>0.0</v>
      </c>
      <c r="O35" s="50">
        <f>SUMIFS('in-situ Massive outplants'!$H:$H,'in-situ Massive outplants'!$G:$G, $C35)</f>
        <v>0</v>
      </c>
      <c r="P35" s="50">
        <f>SUMIFS('ex-situ Massive outplants'!$H:$H,'ex-situ Massive outplants'!$G:$G, $C35)</f>
        <v>0</v>
      </c>
      <c r="Q35" s="66">
        <f t="array" ref="Q35">IFNA(SUM(INDEX('Upper Keys Outplants'!$K:$O, MATCH($C35,'Upper Keys Outplants'!$G:$G,0))),0)</f>
        <v>0</v>
      </c>
      <c r="R35" s="50">
        <f t="shared" si="3"/>
        <v>0</v>
      </c>
      <c r="S35" s="118">
        <f t="shared" si="4"/>
        <v>2750</v>
      </c>
      <c r="T35" s="50">
        <f t="shared" si="5"/>
        <v>535</v>
      </c>
      <c r="U35" s="66" t="s">
        <v>83</v>
      </c>
    </row>
    <row r="36">
      <c r="A36" s="195">
        <v>44866.0</v>
      </c>
      <c r="B36" s="195">
        <v>45107.0</v>
      </c>
      <c r="C36" s="189" t="s">
        <v>87</v>
      </c>
      <c r="D36" s="187">
        <v>0.0</v>
      </c>
      <c r="E36" s="50">
        <f>SUMIFS('in-situ Acer outplants'!$H:$H,'in-situ Acer outplants'!$G:$G, $C36)</f>
        <v>0</v>
      </c>
      <c r="F36" s="50">
        <f>SUMIFS('ex-situ Acer outplants'!$H:$H,'ex-situ Acer outplants'!$G:$G, $C36)</f>
        <v>0</v>
      </c>
      <c r="G36" s="50">
        <f>SUMIFS('Upper Keys Outplants'!$I:$I, 'Upper Keys Outplants'!$G:$G,$C36)</f>
        <v>0</v>
      </c>
      <c r="H36" s="188">
        <f t="shared" si="1"/>
        <v>0</v>
      </c>
      <c r="I36" s="187">
        <v>828.0</v>
      </c>
      <c r="J36" s="66">
        <f>SUMIFS('in-situ Apal outplants'!$H:$H,'in-situ Apal outplants'!$G:$G, $C36)</f>
        <v>0</v>
      </c>
      <c r="K36" s="50">
        <f>SUMIFS('ex-situ Apal outplants'!$H:$H,'ex-situ Apal outplants'!$G:$G, $C36)</f>
        <v>828</v>
      </c>
      <c r="L36" s="50">
        <f>SUMIFS('Upper Keys Outplants'!$J:$J, 'Upper Keys Outplants'!$G:$G,$C36)</f>
        <v>0</v>
      </c>
      <c r="M36" s="50">
        <f t="shared" si="2"/>
        <v>0</v>
      </c>
      <c r="N36" s="187">
        <v>0.0</v>
      </c>
      <c r="O36" s="50">
        <f>SUMIFS('in-situ Massive outplants'!$H:$H,'in-situ Massive outplants'!$G:$G, $C36)</f>
        <v>0</v>
      </c>
      <c r="P36" s="50">
        <f>SUMIFS('ex-situ Massive outplants'!$H:$H,'ex-situ Massive outplants'!$G:$G, $C36)</f>
        <v>0</v>
      </c>
      <c r="Q36" s="66">
        <f t="array" ref="Q36">IFNA(SUM(INDEX('Upper Keys Outplants'!$K:$O, MATCH($C36,'Upper Keys Outplants'!$G:$G,0))),0)</f>
        <v>0</v>
      </c>
      <c r="R36" s="50">
        <f t="shared" si="3"/>
        <v>0</v>
      </c>
      <c r="S36" s="118">
        <f t="shared" si="4"/>
        <v>828</v>
      </c>
      <c r="T36" s="50">
        <f t="shared" si="5"/>
        <v>828</v>
      </c>
      <c r="U36" s="66" t="s">
        <v>88</v>
      </c>
    </row>
    <row r="37">
      <c r="A37" s="195">
        <v>44927.0</v>
      </c>
      <c r="B37" s="195">
        <v>45291.0</v>
      </c>
      <c r="C37" s="189" t="s">
        <v>89</v>
      </c>
      <c r="D37" s="187">
        <v>3000.0</v>
      </c>
      <c r="E37" s="50">
        <f>SUMIFS('in-situ Acer outplants'!$H:$H,'in-situ Acer outplants'!$G:$G, $C37)</f>
        <v>3500</v>
      </c>
      <c r="F37" s="50">
        <f>SUMIFS('ex-situ Acer outplants'!$H:$H,'ex-situ Acer outplants'!$G:$G, $C37)</f>
        <v>425</v>
      </c>
      <c r="G37" s="50">
        <f>SUMIFS('Upper Keys Outplants'!$I:$I, 'Upper Keys Outplants'!$G:$G,$C37)</f>
        <v>0</v>
      </c>
      <c r="H37" s="188">
        <f t="shared" si="1"/>
        <v>-925</v>
      </c>
      <c r="I37" s="187">
        <v>1400.0</v>
      </c>
      <c r="J37" s="66">
        <f>SUMIFS('in-situ Apal outplants'!$H:$H,'in-situ Apal outplants'!$G:$G, $C37)</f>
        <v>0</v>
      </c>
      <c r="K37" s="50">
        <f>SUMIFS('ex-situ Apal outplants'!$H:$H,'ex-situ Apal outplants'!$G:$G, $C37)</f>
        <v>672</v>
      </c>
      <c r="L37" s="50">
        <f>SUMIFS('Upper Keys Outplants'!$J:$J, 'Upper Keys Outplants'!$G:$G,$C37)</f>
        <v>0</v>
      </c>
      <c r="M37" s="50">
        <f t="shared" si="2"/>
        <v>728</v>
      </c>
      <c r="N37" s="187">
        <v>600.0</v>
      </c>
      <c r="O37" s="50">
        <f>SUMIFS('in-situ Massive outplants'!$H:$H,'in-situ Massive outplants'!$G:$G, $C37)</f>
        <v>450</v>
      </c>
      <c r="P37" s="50">
        <f>SUMIFS('ex-situ Massive outplants'!$H:$H,'ex-situ Massive outplants'!$G:$G, $C37)</f>
        <v>360</v>
      </c>
      <c r="Q37" s="66">
        <f t="array" ref="Q37">IFNA(SUM(INDEX('Upper Keys Outplants'!$K:$O, MATCH($C37,'Upper Keys Outplants'!$G:$G,0))),0)</f>
        <v>0</v>
      </c>
      <c r="R37" s="50">
        <f t="shared" si="3"/>
        <v>-210</v>
      </c>
      <c r="S37" s="118">
        <f t="shared" si="4"/>
        <v>5000</v>
      </c>
      <c r="T37" s="50">
        <f t="shared" si="5"/>
        <v>5407</v>
      </c>
      <c r="U37" s="66" t="s">
        <v>70</v>
      </c>
    </row>
    <row r="38">
      <c r="A38" s="195">
        <v>44978.0</v>
      </c>
      <c r="B38" s="195">
        <v>44978.0</v>
      </c>
      <c r="C38" s="189" t="s">
        <v>90</v>
      </c>
      <c r="D38" s="187">
        <v>450.0</v>
      </c>
      <c r="E38" s="50">
        <f>SUMIFS('in-situ Acer outplants'!$H:$H,'in-situ Acer outplants'!$G:$G, $C38)</f>
        <v>750</v>
      </c>
      <c r="F38" s="50">
        <f>SUMIFS('ex-situ Acer outplants'!$H:$H,'ex-situ Acer outplants'!$G:$G, $C38)</f>
        <v>0</v>
      </c>
      <c r="G38" s="50">
        <f>SUMIFS('Upper Keys Outplants'!$I:$I, 'Upper Keys Outplants'!$G:$G,$C38)</f>
        <v>0</v>
      </c>
      <c r="H38" s="188">
        <f t="shared" si="1"/>
        <v>-300</v>
      </c>
      <c r="I38" s="187">
        <v>0.0</v>
      </c>
      <c r="J38" s="66">
        <f>SUMIFS('in-situ Apal outplants'!$H:$H,'in-situ Apal outplants'!$G:$G, $C38)</f>
        <v>0</v>
      </c>
      <c r="K38" s="50">
        <f>SUMIFS('ex-situ Apal outplants'!$H:$H,'ex-situ Apal outplants'!$G:$G, $C38)</f>
        <v>0</v>
      </c>
      <c r="L38" s="50">
        <f>SUMIFS('Upper Keys Outplants'!$J:$J, 'Upper Keys Outplants'!$G:$G,$C38)</f>
        <v>0</v>
      </c>
      <c r="M38" s="50">
        <f t="shared" si="2"/>
        <v>0</v>
      </c>
      <c r="N38" s="187">
        <v>0.0</v>
      </c>
      <c r="O38" s="50">
        <f>SUMIFS('in-situ Massive outplants'!$H:$H,'in-situ Massive outplants'!$G:$G, $C38)</f>
        <v>0</v>
      </c>
      <c r="P38" s="50">
        <f>SUMIFS('ex-situ Massive outplants'!$H:$H,'ex-situ Massive outplants'!$G:$G, $C38)</f>
        <v>0</v>
      </c>
      <c r="Q38" s="66">
        <f t="array" ref="Q38">IFNA(SUM(INDEX('Upper Keys Outplants'!$K:$O, MATCH($C38,'Upper Keys Outplants'!$G:$G,0))),0)</f>
        <v>0</v>
      </c>
      <c r="R38" s="50">
        <f t="shared" si="3"/>
        <v>0</v>
      </c>
      <c r="S38" s="118">
        <f t="shared" si="4"/>
        <v>450</v>
      </c>
      <c r="T38" s="50">
        <f t="shared" si="5"/>
        <v>750</v>
      </c>
      <c r="U38" s="66" t="s">
        <v>91</v>
      </c>
    </row>
    <row r="39">
      <c r="A39" s="195">
        <v>44986.0</v>
      </c>
      <c r="B39" s="195">
        <v>45350.0</v>
      </c>
      <c r="C39" s="189" t="s">
        <v>92</v>
      </c>
      <c r="D39" s="187">
        <v>3285.0</v>
      </c>
      <c r="E39" s="50">
        <f>SUMIFS('in-situ Acer outplants'!$H:$H,'in-situ Acer outplants'!$G:$G, $C39)</f>
        <v>1500</v>
      </c>
      <c r="F39" s="50">
        <f>SUMIFS('ex-situ Acer outplants'!$H:$H,'ex-situ Acer outplants'!$G:$G, $C39)</f>
        <v>0</v>
      </c>
      <c r="G39" s="50">
        <f>SUMIFS('Upper Keys Outplants'!$I:$I, 'Upper Keys Outplants'!$G:$G,$C39)</f>
        <v>0</v>
      </c>
      <c r="H39" s="188">
        <f t="shared" si="1"/>
        <v>1785</v>
      </c>
      <c r="I39" s="187">
        <v>11000.0</v>
      </c>
      <c r="J39" s="66">
        <f>SUMIFS('in-situ Apal outplants'!$H:$H,'in-situ Apal outplants'!$G:$G, $C39)</f>
        <v>0</v>
      </c>
      <c r="K39" s="50">
        <f>SUMIFS('ex-situ Apal outplants'!$H:$H,'ex-situ Apal outplants'!$G:$G, $C39)</f>
        <v>6347</v>
      </c>
      <c r="L39" s="50">
        <f>SUMIFS('Upper Keys Outplants'!$J:$J, 'Upper Keys Outplants'!$G:$G,$C39)</f>
        <v>0</v>
      </c>
      <c r="M39" s="50">
        <f t="shared" si="2"/>
        <v>4653</v>
      </c>
      <c r="N39" s="187">
        <v>0.0</v>
      </c>
      <c r="O39" s="50">
        <f>SUMIFS('in-situ Massive outplants'!$H:$H,'in-situ Massive outplants'!$G:$G, $C39)</f>
        <v>0</v>
      </c>
      <c r="P39" s="50">
        <f>SUMIFS('ex-situ Massive outplants'!$H:$H,'ex-situ Massive outplants'!$G:$G, $C39)</f>
        <v>0</v>
      </c>
      <c r="Q39" s="66">
        <f t="array" ref="Q39">IFNA(SUM(INDEX('Upper Keys Outplants'!$K:$O, MATCH($C39,'Upper Keys Outplants'!$G:$G,0))),0)</f>
        <v>0</v>
      </c>
      <c r="R39" s="50">
        <f t="shared" si="3"/>
        <v>0</v>
      </c>
      <c r="S39" s="118">
        <f t="shared" si="4"/>
        <v>14285</v>
      </c>
      <c r="T39" s="50">
        <f t="shared" si="5"/>
        <v>7847</v>
      </c>
      <c r="U39" s="66" t="s">
        <v>93</v>
      </c>
    </row>
    <row r="40">
      <c r="A40" s="195"/>
      <c r="B40" s="195"/>
      <c r="C40" s="189" t="s">
        <v>94</v>
      </c>
      <c r="D40" s="194"/>
      <c r="E40" s="50">
        <f>SUMIFS('in-situ Acer outplants'!$H:$H,'in-situ Acer outplants'!$G:$G, $C40)</f>
        <v>0</v>
      </c>
      <c r="F40" s="50">
        <f>SUMIFS('ex-situ Acer outplants'!$H:$H,'ex-situ Acer outplants'!$G:$G, $C40)</f>
        <v>0</v>
      </c>
      <c r="G40" s="50">
        <f>SUMIFS('Upper Keys Outplants'!$I:$I, 'Upper Keys Outplants'!$G:$G,$C40)</f>
        <v>0</v>
      </c>
      <c r="H40" s="188">
        <f t="shared" si="1"/>
        <v>0</v>
      </c>
      <c r="I40" s="194"/>
      <c r="J40" s="66">
        <f>SUMIFS('in-situ Apal outplants'!$H:$H,'in-situ Apal outplants'!$G:$G, $C40)</f>
        <v>0</v>
      </c>
      <c r="K40" s="50">
        <f>SUMIFS('ex-situ Apal outplants'!$H:$H,'ex-situ Apal outplants'!$G:$G, $C40)</f>
        <v>0</v>
      </c>
      <c r="L40" s="50">
        <f>SUMIFS('Upper Keys Outplants'!$J:$J, 'Upper Keys Outplants'!$G:$G,$C40)</f>
        <v>0</v>
      </c>
      <c r="M40" s="50">
        <f t="shared" si="2"/>
        <v>0</v>
      </c>
      <c r="N40" s="194"/>
      <c r="O40" s="50">
        <f>SUMIFS('in-situ Massive outplants'!$H:$H,'in-situ Massive outplants'!$G:$G, $C40)</f>
        <v>0</v>
      </c>
      <c r="P40" s="50">
        <f>SUMIFS('ex-situ Massive outplants'!$H:$H,'ex-situ Massive outplants'!$G:$G, $C40)</f>
        <v>1040</v>
      </c>
      <c r="Q40" s="66">
        <f t="array" ref="Q40">IFNA(SUM(INDEX('Upper Keys Outplants'!$K:$O, MATCH($C40,'Upper Keys Outplants'!$G:$G,0))),0)</f>
        <v>0</v>
      </c>
      <c r="R40" s="50">
        <f t="shared" si="3"/>
        <v>-1040</v>
      </c>
      <c r="S40" s="118">
        <f t="shared" si="4"/>
        <v>0</v>
      </c>
      <c r="T40" s="50">
        <f t="shared" si="5"/>
        <v>1040</v>
      </c>
      <c r="U40" s="50"/>
    </row>
    <row r="41">
      <c r="A41" s="198" t="s">
        <v>112</v>
      </c>
      <c r="B41" s="199"/>
      <c r="C41" s="200" t="s">
        <v>95</v>
      </c>
      <c r="D41" s="201">
        <f t="shared" ref="D41:O41" si="6">SUM(D3:D39)</f>
        <v>135441</v>
      </c>
      <c r="E41" s="201">
        <f t="shared" si="6"/>
        <v>123932</v>
      </c>
      <c r="F41" s="201">
        <f t="shared" si="6"/>
        <v>5082</v>
      </c>
      <c r="G41" s="201">
        <f t="shared" si="6"/>
        <v>4246</v>
      </c>
      <c r="H41" s="202">
        <f t="shared" si="6"/>
        <v>2181</v>
      </c>
      <c r="I41" s="203">
        <f t="shared" si="6"/>
        <v>56868</v>
      </c>
      <c r="J41" s="201">
        <f t="shared" si="6"/>
        <v>61</v>
      </c>
      <c r="K41" s="201">
        <f t="shared" si="6"/>
        <v>47132</v>
      </c>
      <c r="L41" s="201">
        <f t="shared" si="6"/>
        <v>1240</v>
      </c>
      <c r="M41" s="201">
        <f t="shared" si="6"/>
        <v>8435</v>
      </c>
      <c r="N41" s="203">
        <f t="shared" si="6"/>
        <v>16942</v>
      </c>
      <c r="O41" s="201">
        <f t="shared" si="6"/>
        <v>2729</v>
      </c>
      <c r="P41" s="201">
        <f>SUM(P3:P40)</f>
        <v>32846</v>
      </c>
      <c r="Q41" s="201">
        <f t="shared" ref="Q41:R41" si="7">SUM(Q3:Q39)</f>
        <v>0</v>
      </c>
      <c r="R41" s="204">
        <f t="shared" si="7"/>
        <v>-17593</v>
      </c>
      <c r="S41" s="205">
        <f t="shared" si="4"/>
        <v>209251</v>
      </c>
      <c r="T41" s="206">
        <f t="shared" si="5"/>
        <v>217268</v>
      </c>
      <c r="U41" s="154"/>
    </row>
    <row r="42">
      <c r="A42" s="155"/>
      <c r="B42" s="156"/>
      <c r="C42" s="207"/>
      <c r="D42" s="208"/>
      <c r="E42" s="209"/>
      <c r="F42" s="209"/>
      <c r="G42" s="66"/>
      <c r="H42" s="210"/>
      <c r="I42" s="208"/>
      <c r="J42" s="209"/>
      <c r="K42" s="209"/>
      <c r="L42" s="209"/>
      <c r="M42" s="211"/>
      <c r="N42" s="208"/>
      <c r="O42" s="209"/>
      <c r="P42" s="212"/>
      <c r="Q42" s="213"/>
      <c r="R42" s="155"/>
      <c r="S42" s="214"/>
      <c r="T42" s="155"/>
      <c r="U42" s="155"/>
    </row>
    <row r="43">
      <c r="A43" s="50"/>
      <c r="B43" s="160"/>
      <c r="C43" s="215"/>
      <c r="D43" s="194"/>
      <c r="E43" s="216"/>
      <c r="F43" s="50"/>
      <c r="G43" s="50"/>
      <c r="H43" s="217"/>
      <c r="I43" s="218"/>
      <c r="J43" s="50"/>
      <c r="K43" s="50"/>
      <c r="L43" s="50"/>
      <c r="M43" s="50"/>
      <c r="N43" s="194"/>
      <c r="O43" s="50"/>
      <c r="P43" s="50"/>
      <c r="Q43" s="162"/>
      <c r="R43" s="50"/>
      <c r="S43" s="118"/>
      <c r="T43" s="50"/>
      <c r="U43" s="50"/>
    </row>
    <row r="44">
      <c r="A44" s="50"/>
      <c r="B44" s="160"/>
      <c r="C44" s="219" t="s">
        <v>98</v>
      </c>
      <c r="D44" s="220"/>
      <c r="E44" s="216"/>
      <c r="F44" s="216"/>
      <c r="G44" s="221"/>
      <c r="H44" s="222">
        <f>E17+E18+E26+F26+E37+F37</f>
        <v>19654</v>
      </c>
      <c r="I44" s="223"/>
      <c r="J44" s="224"/>
      <c r="K44" s="216"/>
      <c r="L44" s="221"/>
      <c r="M44" s="221"/>
      <c r="N44" s="220"/>
      <c r="O44" s="221"/>
      <c r="P44" s="224"/>
      <c r="Q44" s="162"/>
      <c r="R44" s="50"/>
      <c r="S44" s="118"/>
      <c r="T44" s="50"/>
      <c r="U44" s="50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5" priority="1" operator="lessThanOrEqual">
      <formula>0</formula>
    </cfRule>
  </conditionalFormatting>
  <conditionalFormatting sqref="D1:R44">
    <cfRule type="cellIs" dxfId="6" priority="2" operator="equal">
      <formula>0</formula>
    </cfRule>
  </conditionalFormatting>
  <conditionalFormatting sqref="H1:H44 M1:M44 R1:R44">
    <cfRule type="cellIs" dxfId="7" priority="3" operator="greaterThan">
      <formula>0</formula>
    </cfRule>
  </conditionalFormatting>
  <conditionalFormatting sqref="S3:S44">
    <cfRule type="expression" dxfId="7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1.57"/>
    <col customWidth="1" min="4" max="4" width="12.14"/>
    <col customWidth="1" min="5" max="5" width="17.0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31" width="13.71"/>
    <col customWidth="1" min="32" max="32" width="12.71"/>
    <col customWidth="1" min="33" max="33" width="17.57"/>
    <col customWidth="1" min="34" max="34" width="43.0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120</v>
      </c>
      <c r="J1" s="230" t="s">
        <v>121</v>
      </c>
      <c r="K1" s="230" t="s">
        <v>122</v>
      </c>
      <c r="L1" s="231" t="s">
        <v>108</v>
      </c>
      <c r="M1" s="232" t="s">
        <v>123</v>
      </c>
      <c r="N1" s="233" t="s">
        <v>124</v>
      </c>
      <c r="O1" s="234" t="s">
        <v>125</v>
      </c>
      <c r="P1" s="235" t="s">
        <v>126</v>
      </c>
      <c r="Q1" s="235" t="s">
        <v>127</v>
      </c>
      <c r="R1" s="235" t="s">
        <v>128</v>
      </c>
      <c r="S1" s="236" t="s">
        <v>129</v>
      </c>
      <c r="T1" s="237" t="s">
        <v>130</v>
      </c>
      <c r="U1" s="238" t="s">
        <v>131</v>
      </c>
      <c r="V1" s="239" t="s">
        <v>132</v>
      </c>
      <c r="W1" s="239" t="s">
        <v>133</v>
      </c>
      <c r="X1" s="239" t="s">
        <v>134</v>
      </c>
      <c r="Y1" s="240" t="s">
        <v>135</v>
      </c>
      <c r="Z1" s="241" t="s">
        <v>136</v>
      </c>
      <c r="AA1" s="242" t="s">
        <v>137</v>
      </c>
      <c r="AB1" s="240" t="s">
        <v>138</v>
      </c>
      <c r="AC1" s="241" t="s">
        <v>136</v>
      </c>
      <c r="AD1" s="242" t="s">
        <v>137</v>
      </c>
      <c r="AE1" s="243" t="s">
        <v>139</v>
      </c>
      <c r="AF1" s="244" t="s">
        <v>140</v>
      </c>
      <c r="AG1" s="245" t="s">
        <v>141</v>
      </c>
      <c r="AH1" s="246" t="s">
        <v>142</v>
      </c>
    </row>
    <row r="2">
      <c r="A2" s="247">
        <v>2008.0</v>
      </c>
      <c r="B2" s="248">
        <v>39575.0</v>
      </c>
      <c r="C2" s="247" t="s">
        <v>143</v>
      </c>
      <c r="D2" s="249" t="s">
        <v>144</v>
      </c>
      <c r="E2" s="247" t="s">
        <v>145</v>
      </c>
      <c r="F2" s="250" t="s">
        <v>146</v>
      </c>
      <c r="G2" s="247" t="s">
        <v>28</v>
      </c>
      <c r="H2" s="247">
        <v>30.0</v>
      </c>
      <c r="I2" s="251" t="s">
        <v>147</v>
      </c>
      <c r="J2" s="252">
        <v>24.6214</v>
      </c>
      <c r="K2" s="252">
        <v>-81.36293</v>
      </c>
      <c r="L2" s="253" t="s">
        <v>148</v>
      </c>
      <c r="M2" s="254">
        <v>39661.0</v>
      </c>
      <c r="N2" s="255" t="s">
        <v>149</v>
      </c>
      <c r="O2" s="256" t="s">
        <v>149</v>
      </c>
      <c r="P2" s="256" t="s">
        <v>149</v>
      </c>
      <c r="Q2" s="256" t="s">
        <v>149</v>
      </c>
      <c r="R2" s="256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55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54">
        <v>39787.0</v>
      </c>
      <c r="U2" s="257" t="s">
        <v>149</v>
      </c>
      <c r="V2" s="258" t="s">
        <v>149</v>
      </c>
      <c r="W2" s="258" t="s">
        <v>149</v>
      </c>
      <c r="X2" s="258" t="s">
        <v>149</v>
      </c>
      <c r="Y2" s="259"/>
      <c r="Z2" s="260"/>
      <c r="AA2" s="261"/>
      <c r="AB2" s="259"/>
      <c r="AC2" s="260"/>
      <c r="AD2" s="261"/>
      <c r="AE2" s="262" t="str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Monitored"")"),"Not Monitored")</f>
        <v>Not Monitored</v>
      </c>
      <c r="AF2" s="263" t="str">
        <f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Monitored"")"),"Not Monitored")</f>
        <v>Not Monitored</v>
      </c>
      <c r="AG2" s="264" t="str">
        <f t="shared" ref="AG2:AG302" si="1">IFERROR(AF2/H2,"Not Monitored")</f>
        <v>Not Monitored</v>
      </c>
      <c r="AH2" s="265" t="s">
        <v>150</v>
      </c>
    </row>
    <row r="3">
      <c r="A3" s="250">
        <v>2008.0</v>
      </c>
      <c r="B3" s="266">
        <v>39575.0</v>
      </c>
      <c r="C3" s="250" t="s">
        <v>151</v>
      </c>
      <c r="D3" s="267" t="s">
        <v>152</v>
      </c>
      <c r="E3" s="250" t="s">
        <v>145</v>
      </c>
      <c r="F3" s="250" t="s">
        <v>146</v>
      </c>
      <c r="G3" s="250" t="s">
        <v>28</v>
      </c>
      <c r="H3" s="250">
        <v>28.0</v>
      </c>
      <c r="I3" s="268" t="s">
        <v>147</v>
      </c>
      <c r="J3" s="269">
        <v>24.59537</v>
      </c>
      <c r="K3" s="269">
        <v>-81.37193</v>
      </c>
      <c r="L3" s="270" t="s">
        <v>148</v>
      </c>
      <c r="M3" s="271">
        <v>39661.0</v>
      </c>
      <c r="N3" s="255" t="s">
        <v>149</v>
      </c>
      <c r="O3" s="256" t="s">
        <v>149</v>
      </c>
      <c r="P3" s="256" t="s">
        <v>149</v>
      </c>
      <c r="Q3" s="256" t="s">
        <v>149</v>
      </c>
      <c r="R3" s="256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55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71">
        <v>39787.0</v>
      </c>
      <c r="U3" s="257" t="s">
        <v>149</v>
      </c>
      <c r="V3" s="258" t="s">
        <v>149</v>
      </c>
      <c r="W3" s="258" t="s">
        <v>149</v>
      </c>
      <c r="X3" s="258" t="s">
        <v>149</v>
      </c>
      <c r="Y3" s="259"/>
      <c r="Z3" s="260"/>
      <c r="AA3" s="261"/>
      <c r="AB3" s="259"/>
      <c r="AC3" s="260"/>
      <c r="AD3" s="261"/>
      <c r="AE3" s="262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F3" s="263" t="str">
        <f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Monitored"")"),"Not Monitored")</f>
        <v>Not Monitored</v>
      </c>
      <c r="AG3" s="264" t="str">
        <f t="shared" si="1"/>
        <v>Not Monitored</v>
      </c>
      <c r="AH3" s="265" t="s">
        <v>153</v>
      </c>
    </row>
    <row r="4">
      <c r="A4" s="250">
        <v>2008.0</v>
      </c>
      <c r="B4" s="266">
        <v>39575.0</v>
      </c>
      <c r="C4" s="250" t="s">
        <v>154</v>
      </c>
      <c r="D4" s="267" t="s">
        <v>155</v>
      </c>
      <c r="E4" s="250" t="s">
        <v>145</v>
      </c>
      <c r="F4" s="250" t="s">
        <v>146</v>
      </c>
      <c r="G4" s="250" t="s">
        <v>28</v>
      </c>
      <c r="H4" s="250">
        <v>28.0</v>
      </c>
      <c r="I4" s="268" t="s">
        <v>147</v>
      </c>
      <c r="J4" s="269">
        <v>24.56307</v>
      </c>
      <c r="K4" s="269">
        <v>-81.401</v>
      </c>
      <c r="L4" s="270" t="s">
        <v>148</v>
      </c>
      <c r="M4" s="271">
        <v>39661.0</v>
      </c>
      <c r="N4" s="255" t="s">
        <v>149</v>
      </c>
      <c r="O4" s="256" t="s">
        <v>149</v>
      </c>
      <c r="P4" s="256" t="s">
        <v>149</v>
      </c>
      <c r="Q4" s="256" t="s">
        <v>149</v>
      </c>
      <c r="R4" s="256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55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71">
        <v>39787.0</v>
      </c>
      <c r="U4" s="257" t="s">
        <v>149</v>
      </c>
      <c r="V4" s="258" t="s">
        <v>149</v>
      </c>
      <c r="W4" s="258" t="s">
        <v>149</v>
      </c>
      <c r="X4" s="258" t="s">
        <v>149</v>
      </c>
      <c r="Y4" s="259"/>
      <c r="Z4" s="260"/>
      <c r="AA4" s="261"/>
      <c r="AB4" s="259"/>
      <c r="AC4" s="260"/>
      <c r="AD4" s="261"/>
      <c r="AE4" s="262" t="str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Monitored"")"),"Not Monitored")</f>
        <v>Not Monitored</v>
      </c>
      <c r="AF4" s="263" t="str">
        <f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Monitored"")"),"Not Monitored")</f>
        <v>Not Monitored</v>
      </c>
      <c r="AG4" s="264" t="str">
        <f t="shared" si="1"/>
        <v>Not Monitored</v>
      </c>
      <c r="AH4" s="265" t="s">
        <v>153</v>
      </c>
    </row>
    <row r="5">
      <c r="A5" s="272">
        <v>2008.0</v>
      </c>
      <c r="B5" s="273">
        <v>39575.0</v>
      </c>
      <c r="C5" s="272" t="s">
        <v>156</v>
      </c>
      <c r="D5" s="274" t="s">
        <v>157</v>
      </c>
      <c r="E5" s="272" t="s">
        <v>145</v>
      </c>
      <c r="F5" s="272" t="s">
        <v>146</v>
      </c>
      <c r="G5" s="272" t="s">
        <v>28</v>
      </c>
      <c r="H5" s="272">
        <v>26.0</v>
      </c>
      <c r="I5" s="275" t="s">
        <v>147</v>
      </c>
      <c r="J5" s="276">
        <v>24.55225</v>
      </c>
      <c r="K5" s="276">
        <v>-81.38393</v>
      </c>
      <c r="L5" s="277" t="s">
        <v>148</v>
      </c>
      <c r="M5" s="278">
        <v>39661.0</v>
      </c>
      <c r="N5" s="279" t="s">
        <v>149</v>
      </c>
      <c r="O5" s="280" t="s">
        <v>149</v>
      </c>
      <c r="P5" s="280" t="s">
        <v>149</v>
      </c>
      <c r="Q5" s="280" t="s">
        <v>149</v>
      </c>
      <c r="R5" s="280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79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278">
        <v>39787.0</v>
      </c>
      <c r="U5" s="281" t="s">
        <v>149</v>
      </c>
      <c r="V5" s="282" t="s">
        <v>149</v>
      </c>
      <c r="W5" s="282" t="s">
        <v>149</v>
      </c>
      <c r="X5" s="282" t="s">
        <v>149</v>
      </c>
      <c r="Y5" s="283"/>
      <c r="Z5" s="284"/>
      <c r="AA5" s="285"/>
      <c r="AB5" s="283"/>
      <c r="AC5" s="284"/>
      <c r="AD5" s="285"/>
      <c r="AE5" s="262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F5" s="263" t="str">
        <f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Monitored"")"),"Not Monitored")</f>
        <v>Not Monitored</v>
      </c>
      <c r="AG5" s="264" t="str">
        <f t="shared" si="1"/>
        <v>Not Monitored</v>
      </c>
      <c r="AH5" s="265" t="s">
        <v>150</v>
      </c>
    </row>
    <row r="6">
      <c r="A6" s="286">
        <v>2012.0</v>
      </c>
      <c r="B6" s="287">
        <v>41024.0</v>
      </c>
      <c r="C6" s="288" t="s">
        <v>158</v>
      </c>
      <c r="D6" s="289" t="s">
        <v>159</v>
      </c>
      <c r="E6" s="290" t="s">
        <v>160</v>
      </c>
      <c r="F6" s="290" t="s">
        <v>161</v>
      </c>
      <c r="G6" s="290" t="s">
        <v>30</v>
      </c>
      <c r="H6" s="288">
        <v>150.0</v>
      </c>
      <c r="I6" s="291" t="s">
        <v>162</v>
      </c>
      <c r="J6" s="292">
        <v>24.55245</v>
      </c>
      <c r="K6" s="292">
        <v>-81.38409</v>
      </c>
      <c r="L6" s="293"/>
      <c r="M6" s="294">
        <v>41060.0</v>
      </c>
      <c r="N6" s="295">
        <v>1.0</v>
      </c>
      <c r="O6" s="296">
        <v>0.0</v>
      </c>
      <c r="P6" s="296">
        <v>0.0</v>
      </c>
      <c r="Q6" s="296" t="s">
        <v>149</v>
      </c>
      <c r="R6" s="296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95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294">
        <v>41400.0</v>
      </c>
      <c r="U6" s="297">
        <v>0.94</v>
      </c>
      <c r="V6" s="298">
        <v>0.04</v>
      </c>
      <c r="W6" s="298">
        <v>0.02</v>
      </c>
      <c r="X6" s="298" t="s">
        <v>149</v>
      </c>
      <c r="Y6" s="299"/>
      <c r="Z6" s="300"/>
      <c r="AA6" s="301"/>
      <c r="AB6" s="299"/>
      <c r="AC6" s="300"/>
      <c r="AD6" s="301"/>
      <c r="AE6" s="262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Monitored"")"),45239.0)</f>
        <v>45239</v>
      </c>
      <c r="AF6" s="263">
        <f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Monitored"")"),0.0)</f>
        <v>0</v>
      </c>
      <c r="AG6" s="264">
        <f t="shared" si="1"/>
        <v>0</v>
      </c>
      <c r="AH6" s="265" t="s">
        <v>163</v>
      </c>
    </row>
    <row r="7">
      <c r="A7" s="286">
        <v>2012.0</v>
      </c>
      <c r="B7" s="287">
        <v>41043.0</v>
      </c>
      <c r="C7" s="290" t="s">
        <v>164</v>
      </c>
      <c r="D7" s="289" t="s">
        <v>165</v>
      </c>
      <c r="E7" s="290" t="s">
        <v>166</v>
      </c>
      <c r="F7" s="290" t="s">
        <v>161</v>
      </c>
      <c r="G7" s="290" t="s">
        <v>30</v>
      </c>
      <c r="H7" s="288">
        <v>150.0</v>
      </c>
      <c r="I7" s="291" t="s">
        <v>162</v>
      </c>
      <c r="J7" s="292">
        <v>24.53145</v>
      </c>
      <c r="K7" s="292">
        <v>-81.48355</v>
      </c>
      <c r="L7" s="293"/>
      <c r="M7" s="294">
        <v>41074.0</v>
      </c>
      <c r="N7" s="295">
        <v>1.0</v>
      </c>
      <c r="O7" s="296">
        <v>0.0</v>
      </c>
      <c r="P7" s="296">
        <v>0.0</v>
      </c>
      <c r="Q7" s="296" t="s">
        <v>149</v>
      </c>
      <c r="R7" s="296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95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294">
        <v>41444.0</v>
      </c>
      <c r="U7" s="297">
        <v>0.9533333333333334</v>
      </c>
      <c r="V7" s="298">
        <v>0.04</v>
      </c>
      <c r="W7" s="298">
        <v>0.006666666666666667</v>
      </c>
      <c r="X7" s="298" t="s">
        <v>149</v>
      </c>
      <c r="Y7" s="299"/>
      <c r="Z7" s="300"/>
      <c r="AA7" s="301"/>
      <c r="AB7" s="299"/>
      <c r="AC7" s="300"/>
      <c r="AD7" s="301"/>
      <c r="AE7" s="262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Monitored"")"),45247.0)</f>
        <v>45247</v>
      </c>
      <c r="AF7" s="263">
        <f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Monitored"")"),0.0)</f>
        <v>0</v>
      </c>
      <c r="AG7" s="264">
        <f t="shared" si="1"/>
        <v>0</v>
      </c>
      <c r="AH7" s="265" t="s">
        <v>167</v>
      </c>
    </row>
    <row r="8">
      <c r="A8" s="290">
        <v>2012.0</v>
      </c>
      <c r="B8" s="302">
        <v>41046.0</v>
      </c>
      <c r="C8" s="290" t="s">
        <v>168</v>
      </c>
      <c r="D8" s="289" t="s">
        <v>169</v>
      </c>
      <c r="E8" s="290" t="s">
        <v>170</v>
      </c>
      <c r="F8" s="290" t="s">
        <v>161</v>
      </c>
      <c r="G8" s="290" t="s">
        <v>30</v>
      </c>
      <c r="H8" s="290">
        <v>150.0</v>
      </c>
      <c r="I8" s="303" t="s">
        <v>162</v>
      </c>
      <c r="J8" s="304">
        <v>24.52327</v>
      </c>
      <c r="K8" s="304">
        <v>-81.51572</v>
      </c>
      <c r="L8" s="293"/>
      <c r="M8" s="294">
        <v>41074.0</v>
      </c>
      <c r="N8" s="295">
        <v>0.9466666666666667</v>
      </c>
      <c r="O8" s="296">
        <v>0.05333333333333334</v>
      </c>
      <c r="P8" s="296">
        <v>0.0</v>
      </c>
      <c r="Q8" s="296" t="s">
        <v>149</v>
      </c>
      <c r="R8" s="296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95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294">
        <v>41426.0</v>
      </c>
      <c r="U8" s="297">
        <v>0.8</v>
      </c>
      <c r="V8" s="298">
        <v>0.08666666666666667</v>
      </c>
      <c r="W8" s="298">
        <v>0.11333333333333333</v>
      </c>
      <c r="X8" s="298" t="s">
        <v>149</v>
      </c>
      <c r="Y8" s="299"/>
      <c r="Z8" s="300"/>
      <c r="AA8" s="301"/>
      <c r="AB8" s="299"/>
      <c r="AC8" s="300"/>
      <c r="AD8" s="301"/>
      <c r="AE8" s="305" t="str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Monitored"")"),"Not Monitored")</f>
        <v>Not Monitored</v>
      </c>
      <c r="AF8" s="263" t="str">
        <f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Monitored"")"),"Not Monitored")</f>
        <v>Not Monitored</v>
      </c>
      <c r="AG8" s="264" t="str">
        <f t="shared" si="1"/>
        <v>Not Monitored</v>
      </c>
      <c r="AH8" s="265" t="s">
        <v>171</v>
      </c>
    </row>
    <row r="9">
      <c r="A9" s="306">
        <v>2012.0</v>
      </c>
      <c r="B9" s="307">
        <v>41053.0</v>
      </c>
      <c r="C9" s="308" t="s">
        <v>172</v>
      </c>
      <c r="D9" s="309" t="s">
        <v>173</v>
      </c>
      <c r="E9" s="308" t="s">
        <v>170</v>
      </c>
      <c r="F9" s="308" t="s">
        <v>161</v>
      </c>
      <c r="G9" s="308" t="s">
        <v>30</v>
      </c>
      <c r="H9" s="310">
        <v>150.0</v>
      </c>
      <c r="I9" s="311" t="s">
        <v>162</v>
      </c>
      <c r="J9" s="312">
        <v>24.55262</v>
      </c>
      <c r="K9" s="312">
        <v>-81.38171</v>
      </c>
      <c r="L9" s="313"/>
      <c r="M9" s="314">
        <v>41089.0</v>
      </c>
      <c r="N9" s="315">
        <v>0.9333333333333333</v>
      </c>
      <c r="O9" s="316">
        <v>0.06666666666666667</v>
      </c>
      <c r="P9" s="316">
        <v>0.0</v>
      </c>
      <c r="Q9" s="316" t="s">
        <v>149</v>
      </c>
      <c r="R9" s="316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315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314">
        <v>41394.0</v>
      </c>
      <c r="U9" s="317">
        <v>0.8866666666666667</v>
      </c>
      <c r="V9" s="318">
        <v>0.10666666666666667</v>
      </c>
      <c r="W9" s="318">
        <v>0.006666666666666667</v>
      </c>
      <c r="X9" s="318" t="s">
        <v>149</v>
      </c>
      <c r="Y9" s="319"/>
      <c r="Z9" s="320"/>
      <c r="AA9" s="321"/>
      <c r="AB9" s="319"/>
      <c r="AC9" s="320"/>
      <c r="AD9" s="321"/>
      <c r="AE9" s="305" t="str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F9" s="263" t="str">
        <f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Monitored"")"),"Not Monitored")</f>
        <v>Not Monitored</v>
      </c>
      <c r="AG9" s="264" t="str">
        <f t="shared" si="1"/>
        <v>Not Monitored</v>
      </c>
      <c r="AH9" s="265" t="s">
        <v>174</v>
      </c>
    </row>
    <row r="10">
      <c r="A10" s="290">
        <v>2013.0</v>
      </c>
      <c r="B10" s="322">
        <v>41390.0</v>
      </c>
      <c r="C10" s="323" t="s">
        <v>158</v>
      </c>
      <c r="D10" s="324" t="s">
        <v>175</v>
      </c>
      <c r="E10" s="325" t="s">
        <v>170</v>
      </c>
      <c r="F10" s="290" t="s">
        <v>161</v>
      </c>
      <c r="G10" s="290" t="s">
        <v>31</v>
      </c>
      <c r="H10" s="325">
        <v>80.0</v>
      </c>
      <c r="I10" s="303" t="s">
        <v>176</v>
      </c>
      <c r="J10" s="326">
        <v>24.55227</v>
      </c>
      <c r="K10" s="326">
        <v>-81.38367</v>
      </c>
      <c r="L10" s="323" t="s">
        <v>177</v>
      </c>
      <c r="M10" s="327" t="s">
        <v>149</v>
      </c>
      <c r="N10" s="295" t="s">
        <v>149</v>
      </c>
      <c r="O10" s="296" t="s">
        <v>149</v>
      </c>
      <c r="P10" s="296" t="s">
        <v>149</v>
      </c>
      <c r="Q10" s="296" t="s">
        <v>149</v>
      </c>
      <c r="R10" s="296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95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327" t="s">
        <v>149</v>
      </c>
      <c r="U10" s="297" t="s">
        <v>149</v>
      </c>
      <c r="V10" s="298" t="s">
        <v>149</v>
      </c>
      <c r="W10" s="298" t="s">
        <v>149</v>
      </c>
      <c r="X10" s="298" t="s">
        <v>149</v>
      </c>
      <c r="Y10" s="299"/>
      <c r="Z10" s="300"/>
      <c r="AA10" s="301"/>
      <c r="AB10" s="299"/>
      <c r="AC10" s="300"/>
      <c r="AD10" s="301"/>
      <c r="AE10" s="328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Monitored"")"),45310.0)</f>
        <v>45310</v>
      </c>
      <c r="AF10" s="329">
        <f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Monitored"")"),0.0)</f>
        <v>0</v>
      </c>
      <c r="AG10" s="330">
        <f t="shared" si="1"/>
        <v>0</v>
      </c>
      <c r="AH10" s="331" t="s">
        <v>178</v>
      </c>
    </row>
    <row r="11">
      <c r="A11" s="250">
        <v>2013.0</v>
      </c>
      <c r="B11" s="332">
        <v>41404.0</v>
      </c>
      <c r="C11" s="333" t="s">
        <v>164</v>
      </c>
      <c r="D11" s="334" t="s">
        <v>179</v>
      </c>
      <c r="E11" s="335" t="s">
        <v>180</v>
      </c>
      <c r="F11" s="250" t="s">
        <v>146</v>
      </c>
      <c r="G11" s="336" t="s">
        <v>31</v>
      </c>
      <c r="H11" s="335">
        <v>192.0</v>
      </c>
      <c r="I11" s="268" t="s">
        <v>181</v>
      </c>
      <c r="J11" s="337">
        <v>24.53147</v>
      </c>
      <c r="K11" s="337">
        <v>-81.48349</v>
      </c>
      <c r="L11" s="333" t="s">
        <v>182</v>
      </c>
      <c r="M11" s="271">
        <v>41444.0</v>
      </c>
      <c r="N11" s="255">
        <v>1.0</v>
      </c>
      <c r="O11" s="256">
        <v>0.0</v>
      </c>
      <c r="P11" s="256">
        <v>0.0</v>
      </c>
      <c r="Q11" s="256" t="s">
        <v>149</v>
      </c>
      <c r="R11" s="256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55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71">
        <v>41809.0</v>
      </c>
      <c r="U11" s="257">
        <v>0.9635416666666666</v>
      </c>
      <c r="V11" s="258">
        <v>0.026041666666666668</v>
      </c>
      <c r="W11" s="258">
        <v>0.010416666666666666</v>
      </c>
      <c r="X11" s="258" t="s">
        <v>149</v>
      </c>
      <c r="Y11" s="259"/>
      <c r="Z11" s="260"/>
      <c r="AA11" s="261"/>
      <c r="AB11" s="259"/>
      <c r="AC11" s="260"/>
      <c r="AD11" s="261"/>
      <c r="AE11" s="262" t="str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Monitored"")"),"Not Monitored")</f>
        <v>Not Monitored</v>
      </c>
      <c r="AF11" s="263" t="str">
        <f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Monitored"")"),"Not Monitored")</f>
        <v>Not Monitored</v>
      </c>
      <c r="AG11" s="264" t="str">
        <f t="shared" si="1"/>
        <v>Not Monitored</v>
      </c>
      <c r="AH11" s="265" t="s">
        <v>183</v>
      </c>
    </row>
    <row r="12">
      <c r="A12" s="290">
        <v>2013.0</v>
      </c>
      <c r="B12" s="322">
        <v>41417.0</v>
      </c>
      <c r="C12" s="323" t="s">
        <v>158</v>
      </c>
      <c r="D12" s="324" t="s">
        <v>184</v>
      </c>
      <c r="E12" s="325" t="s">
        <v>185</v>
      </c>
      <c r="F12" s="290" t="s">
        <v>186</v>
      </c>
      <c r="G12" s="338" t="s">
        <v>31</v>
      </c>
      <c r="H12" s="325">
        <v>35.0</v>
      </c>
      <c r="I12" s="303" t="s">
        <v>187</v>
      </c>
      <c r="J12" s="326">
        <v>24.55251</v>
      </c>
      <c r="K12" s="326">
        <v>-81.38417</v>
      </c>
      <c r="L12" s="323" t="s">
        <v>188</v>
      </c>
      <c r="M12" s="327" t="s">
        <v>149</v>
      </c>
      <c r="N12" s="295" t="s">
        <v>149</v>
      </c>
      <c r="O12" s="296" t="s">
        <v>149</v>
      </c>
      <c r="P12" s="296" t="s">
        <v>149</v>
      </c>
      <c r="Q12" s="296" t="s">
        <v>149</v>
      </c>
      <c r="R12" s="296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95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327" t="s">
        <v>149</v>
      </c>
      <c r="U12" s="297" t="s">
        <v>149</v>
      </c>
      <c r="V12" s="298" t="s">
        <v>149</v>
      </c>
      <c r="W12" s="298" t="s">
        <v>149</v>
      </c>
      <c r="X12" s="298" t="s">
        <v>149</v>
      </c>
      <c r="Y12" s="299"/>
      <c r="Z12" s="300"/>
      <c r="AA12" s="301"/>
      <c r="AB12" s="299"/>
      <c r="AC12" s="300"/>
      <c r="AD12" s="301"/>
      <c r="AE12" s="328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Monitored"")"),45310.0)</f>
        <v>45310</v>
      </c>
      <c r="AF12" s="329">
        <f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Monitored"")"),0.0)</f>
        <v>0</v>
      </c>
      <c r="AG12" s="330">
        <f t="shared" si="1"/>
        <v>0</v>
      </c>
      <c r="AH12" s="331" t="s">
        <v>189</v>
      </c>
    </row>
    <row r="13">
      <c r="A13" s="250">
        <v>2013.0</v>
      </c>
      <c r="B13" s="332">
        <v>41541.0</v>
      </c>
      <c r="C13" s="333" t="s">
        <v>190</v>
      </c>
      <c r="D13" s="334" t="s">
        <v>191</v>
      </c>
      <c r="E13" s="335" t="s">
        <v>192</v>
      </c>
      <c r="F13" s="250" t="s">
        <v>146</v>
      </c>
      <c r="G13" s="250" t="s">
        <v>33</v>
      </c>
      <c r="H13" s="335">
        <v>540.0</v>
      </c>
      <c r="I13" s="268" t="s">
        <v>32</v>
      </c>
      <c r="J13" s="337">
        <v>24.63238</v>
      </c>
      <c r="K13" s="337">
        <v>-81.08897</v>
      </c>
      <c r="L13" s="333" t="s">
        <v>193</v>
      </c>
      <c r="M13" s="339" t="s">
        <v>149</v>
      </c>
      <c r="N13" s="255" t="s">
        <v>149</v>
      </c>
      <c r="O13" s="256" t="s">
        <v>149</v>
      </c>
      <c r="P13" s="256" t="s">
        <v>149</v>
      </c>
      <c r="Q13" s="256" t="s">
        <v>149</v>
      </c>
      <c r="R13" s="256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55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339" t="s">
        <v>149</v>
      </c>
      <c r="U13" s="257" t="s">
        <v>149</v>
      </c>
      <c r="V13" s="258" t="s">
        <v>149</v>
      </c>
      <c r="W13" s="258" t="s">
        <v>149</v>
      </c>
      <c r="X13" s="258" t="s">
        <v>149</v>
      </c>
      <c r="Y13" s="259"/>
      <c r="Z13" s="260"/>
      <c r="AA13" s="261"/>
      <c r="AB13" s="259"/>
      <c r="AC13" s="260"/>
      <c r="AD13" s="261"/>
      <c r="AE13" s="262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F13" s="263" t="str">
        <f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Monitored"")"),"Not Monitored")</f>
        <v>Not Monitored</v>
      </c>
      <c r="AG13" s="264" t="str">
        <f t="shared" si="1"/>
        <v>Not Monitored</v>
      </c>
      <c r="AH13" s="265" t="s">
        <v>194</v>
      </c>
    </row>
    <row r="14">
      <c r="A14" s="290">
        <v>2013.0</v>
      </c>
      <c r="B14" s="322">
        <v>41563.0</v>
      </c>
      <c r="C14" s="323" t="s">
        <v>158</v>
      </c>
      <c r="D14" s="324" t="s">
        <v>195</v>
      </c>
      <c r="E14" s="325" t="s">
        <v>196</v>
      </c>
      <c r="F14" s="290" t="s">
        <v>186</v>
      </c>
      <c r="G14" s="338" t="s">
        <v>31</v>
      </c>
      <c r="H14" s="325">
        <v>50.0</v>
      </c>
      <c r="I14" s="303" t="s">
        <v>197</v>
      </c>
      <c r="J14" s="326">
        <v>24.55212</v>
      </c>
      <c r="K14" s="326">
        <v>-81.38361</v>
      </c>
      <c r="L14" s="293"/>
      <c r="M14" s="327" t="s">
        <v>149</v>
      </c>
      <c r="N14" s="295" t="s">
        <v>149</v>
      </c>
      <c r="O14" s="296" t="s">
        <v>149</v>
      </c>
      <c r="P14" s="296" t="s">
        <v>149</v>
      </c>
      <c r="Q14" s="296" t="s">
        <v>149</v>
      </c>
      <c r="R14" s="296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95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327" t="s">
        <v>149</v>
      </c>
      <c r="U14" s="297" t="s">
        <v>149</v>
      </c>
      <c r="V14" s="298" t="s">
        <v>149</v>
      </c>
      <c r="W14" s="298" t="s">
        <v>149</v>
      </c>
      <c r="X14" s="298" t="s">
        <v>149</v>
      </c>
      <c r="Y14" s="299"/>
      <c r="Z14" s="300"/>
      <c r="AA14" s="301"/>
      <c r="AB14" s="299"/>
      <c r="AC14" s="300"/>
      <c r="AD14" s="301"/>
      <c r="AE14" s="328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Monitored"")"),45310.0)</f>
        <v>45310</v>
      </c>
      <c r="AF14" s="329">
        <f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Monitored"")"),0.0)</f>
        <v>0</v>
      </c>
      <c r="AG14" s="330">
        <f t="shared" si="1"/>
        <v>0</v>
      </c>
      <c r="AH14" s="331" t="s">
        <v>198</v>
      </c>
    </row>
    <row r="15">
      <c r="A15" s="340">
        <v>2013.0</v>
      </c>
      <c r="B15" s="341">
        <v>41564.0</v>
      </c>
      <c r="C15" s="250" t="s">
        <v>199</v>
      </c>
      <c r="D15" s="267" t="s">
        <v>200</v>
      </c>
      <c r="E15" s="250" t="s">
        <v>201</v>
      </c>
      <c r="F15" s="250" t="s">
        <v>146</v>
      </c>
      <c r="G15" s="336" t="s">
        <v>31</v>
      </c>
      <c r="H15" s="250">
        <v>30.0</v>
      </c>
      <c r="I15" s="268" t="s">
        <v>147</v>
      </c>
      <c r="J15" s="342">
        <v>24.56749</v>
      </c>
      <c r="K15" s="342">
        <v>-81.38804</v>
      </c>
      <c r="L15" s="333" t="s">
        <v>202</v>
      </c>
      <c r="M15" s="271">
        <v>41611.0</v>
      </c>
      <c r="N15" s="255">
        <v>0.9</v>
      </c>
      <c r="O15" s="256">
        <v>0.1</v>
      </c>
      <c r="P15" s="256">
        <v>0.0</v>
      </c>
      <c r="Q15" s="256" t="s">
        <v>149</v>
      </c>
      <c r="R15" s="256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55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71">
        <v>41985.0</v>
      </c>
      <c r="U15" s="257">
        <v>0.7</v>
      </c>
      <c r="V15" s="258">
        <v>0.3</v>
      </c>
      <c r="W15" s="258">
        <v>0.0</v>
      </c>
      <c r="X15" s="258" t="s">
        <v>149</v>
      </c>
      <c r="Y15" s="259"/>
      <c r="Z15" s="260"/>
      <c r="AA15" s="261"/>
      <c r="AB15" s="259"/>
      <c r="AC15" s="260"/>
      <c r="AD15" s="261"/>
      <c r="AE15" s="262" t="str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Monitored"")"),"Not Monitored")</f>
        <v>Not Monitored</v>
      </c>
      <c r="AF15" s="263" t="str">
        <f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Monitored"")"),"Not Monitored")</f>
        <v>Not Monitored</v>
      </c>
      <c r="AG15" s="264" t="str">
        <f t="shared" si="1"/>
        <v>Not Monitored</v>
      </c>
      <c r="AH15" s="265" t="s">
        <v>203</v>
      </c>
    </row>
    <row r="16">
      <c r="A16" s="340">
        <v>2013.0</v>
      </c>
      <c r="B16" s="341">
        <v>41564.0</v>
      </c>
      <c r="C16" s="250" t="s">
        <v>204</v>
      </c>
      <c r="D16" s="267" t="s">
        <v>205</v>
      </c>
      <c r="E16" s="250" t="s">
        <v>201</v>
      </c>
      <c r="F16" s="250" t="s">
        <v>146</v>
      </c>
      <c r="G16" s="336" t="s">
        <v>31</v>
      </c>
      <c r="H16" s="343">
        <v>30.0</v>
      </c>
      <c r="I16" s="344" t="s">
        <v>147</v>
      </c>
      <c r="J16" s="342">
        <v>24.56929</v>
      </c>
      <c r="K16" s="342">
        <v>-81.38236</v>
      </c>
      <c r="L16" s="333" t="s">
        <v>202</v>
      </c>
      <c r="M16" s="271">
        <v>41611.0</v>
      </c>
      <c r="N16" s="255">
        <v>0.8333333333333334</v>
      </c>
      <c r="O16" s="256">
        <v>0.13333333333333333</v>
      </c>
      <c r="P16" s="256">
        <v>0.03333333333333333</v>
      </c>
      <c r="Q16" s="256" t="s">
        <v>149</v>
      </c>
      <c r="R16" s="256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55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71">
        <v>41985.0</v>
      </c>
      <c r="U16" s="257">
        <v>0.8333333333333334</v>
      </c>
      <c r="V16" s="258">
        <v>0.13333333333333333</v>
      </c>
      <c r="W16" s="258">
        <v>0.03333333333333333</v>
      </c>
      <c r="X16" s="258" t="s">
        <v>149</v>
      </c>
      <c r="Y16" s="259"/>
      <c r="Z16" s="260"/>
      <c r="AA16" s="261"/>
      <c r="AB16" s="259"/>
      <c r="AC16" s="260"/>
      <c r="AD16" s="261"/>
      <c r="AE16" s="262" t="str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Monitored"")"),"Not Monitored")</f>
        <v>Not Monitored</v>
      </c>
      <c r="AF16" s="263" t="str">
        <f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Monitored"")"),"Not Monitored")</f>
        <v>Not Monitored</v>
      </c>
      <c r="AG16" s="264" t="str">
        <f t="shared" si="1"/>
        <v>Not Monitored</v>
      </c>
      <c r="AH16" s="265" t="s">
        <v>206</v>
      </c>
    </row>
    <row r="17" ht="13.5" customHeight="1">
      <c r="A17" s="345">
        <v>2013.0</v>
      </c>
      <c r="B17" s="346">
        <v>41611.0</v>
      </c>
      <c r="C17" s="272" t="s">
        <v>172</v>
      </c>
      <c r="D17" s="274" t="s">
        <v>207</v>
      </c>
      <c r="E17" s="272" t="s">
        <v>170</v>
      </c>
      <c r="F17" s="272" t="s">
        <v>161</v>
      </c>
      <c r="G17" s="347" t="s">
        <v>31</v>
      </c>
      <c r="H17" s="272">
        <v>70.0</v>
      </c>
      <c r="I17" s="275" t="s">
        <v>208</v>
      </c>
      <c r="J17" s="348">
        <v>24.55277</v>
      </c>
      <c r="K17" s="348">
        <v>-81.3806</v>
      </c>
      <c r="L17" s="349"/>
      <c r="M17" s="278">
        <v>41822.0</v>
      </c>
      <c r="N17" s="279" t="s">
        <v>149</v>
      </c>
      <c r="O17" s="280" t="s">
        <v>149</v>
      </c>
      <c r="P17" s="280" t="s">
        <v>149</v>
      </c>
      <c r="Q17" s="280" t="s">
        <v>149</v>
      </c>
      <c r="R17" s="280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79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278">
        <v>42019.0</v>
      </c>
      <c r="U17" s="281">
        <v>0.6571428571428571</v>
      </c>
      <c r="V17" s="282">
        <v>0.18571428571428572</v>
      </c>
      <c r="W17" s="282">
        <v>0.1</v>
      </c>
      <c r="X17" s="282">
        <v>0.7428571428571429</v>
      </c>
      <c r="Y17" s="283"/>
      <c r="Z17" s="284"/>
      <c r="AA17" s="285"/>
      <c r="AB17" s="283"/>
      <c r="AC17" s="284"/>
      <c r="AD17" s="285"/>
      <c r="AE17" s="262" t="str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Monitored"")"),"Not Monitored")</f>
        <v>Not Monitored</v>
      </c>
      <c r="AF17" s="263" t="str">
        <f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Monitored"")"),"Not Monitored")</f>
        <v>Not Monitored</v>
      </c>
      <c r="AG17" s="264" t="str">
        <f t="shared" si="1"/>
        <v>Not Monitored</v>
      </c>
      <c r="AH17" s="265" t="s">
        <v>209</v>
      </c>
    </row>
    <row r="18">
      <c r="A18" s="340">
        <v>2014.0</v>
      </c>
      <c r="B18" s="341">
        <v>41698.0</v>
      </c>
      <c r="C18" s="250" t="s">
        <v>210</v>
      </c>
      <c r="D18" s="267" t="s">
        <v>211</v>
      </c>
      <c r="E18" s="250" t="s">
        <v>180</v>
      </c>
      <c r="F18" s="250" t="s">
        <v>161</v>
      </c>
      <c r="G18" s="336" t="s">
        <v>31</v>
      </c>
      <c r="H18" s="250">
        <v>50.0</v>
      </c>
      <c r="I18" s="268" t="s">
        <v>212</v>
      </c>
      <c r="J18" s="342">
        <v>24.6214</v>
      </c>
      <c r="K18" s="342">
        <v>-81.36293</v>
      </c>
      <c r="L18" s="333" t="s">
        <v>213</v>
      </c>
      <c r="M18" s="271">
        <v>41759.0</v>
      </c>
      <c r="N18" s="255">
        <v>1.0</v>
      </c>
      <c r="O18" s="256">
        <v>0.0</v>
      </c>
      <c r="P18" s="256">
        <v>0.0</v>
      </c>
      <c r="Q18" s="256">
        <v>1.0</v>
      </c>
      <c r="R18" s="256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55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71">
        <v>41928.0</v>
      </c>
      <c r="U18" s="257">
        <v>0.0</v>
      </c>
      <c r="V18" s="258">
        <v>1.0</v>
      </c>
      <c r="W18" s="258">
        <v>0.0</v>
      </c>
      <c r="X18" s="258">
        <v>0.0</v>
      </c>
      <c r="Y18" s="259"/>
      <c r="Z18" s="260"/>
      <c r="AA18" s="261"/>
      <c r="AB18" s="259"/>
      <c r="AC18" s="260"/>
      <c r="AD18" s="261"/>
      <c r="AE18" s="262" t="str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Monitored"")"),"Not Monitored")</f>
        <v>Not Monitored</v>
      </c>
      <c r="AF18" s="263" t="str">
        <f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Monitored"")"),"Not Monitored")</f>
        <v>Not Monitored</v>
      </c>
      <c r="AG18" s="264" t="str">
        <f t="shared" si="1"/>
        <v>Not Monitored</v>
      </c>
      <c r="AH18" s="265" t="s">
        <v>214</v>
      </c>
    </row>
    <row r="19">
      <c r="A19" s="340">
        <v>2014.0</v>
      </c>
      <c r="B19" s="341">
        <v>41765.0</v>
      </c>
      <c r="C19" s="250" t="s">
        <v>215</v>
      </c>
      <c r="D19" s="267" t="s">
        <v>216</v>
      </c>
      <c r="E19" s="250" t="s">
        <v>215</v>
      </c>
      <c r="F19" s="250" t="s">
        <v>161</v>
      </c>
      <c r="G19" s="336" t="s">
        <v>31</v>
      </c>
      <c r="H19" s="343">
        <v>100.0</v>
      </c>
      <c r="I19" s="344" t="s">
        <v>217</v>
      </c>
      <c r="J19" s="342">
        <v>24.56817</v>
      </c>
      <c r="K19" s="342">
        <v>-81.32867</v>
      </c>
      <c r="L19" s="333" t="s">
        <v>218</v>
      </c>
      <c r="M19" s="271">
        <v>41765.0</v>
      </c>
      <c r="N19" s="255">
        <v>0.99</v>
      </c>
      <c r="O19" s="256">
        <v>0.01</v>
      </c>
      <c r="P19" s="256">
        <v>0.0</v>
      </c>
      <c r="Q19" s="256">
        <v>0.5</v>
      </c>
      <c r="R19" s="256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55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71">
        <v>42018.0</v>
      </c>
      <c r="U19" s="257">
        <v>0.44999999999999996</v>
      </c>
      <c r="V19" s="258">
        <v>0.5</v>
      </c>
      <c r="W19" s="258">
        <v>0.05</v>
      </c>
      <c r="X19" s="258">
        <v>0.7</v>
      </c>
      <c r="Y19" s="259"/>
      <c r="Z19" s="260"/>
      <c r="AA19" s="261"/>
      <c r="AB19" s="259"/>
      <c r="AC19" s="260"/>
      <c r="AD19" s="261"/>
      <c r="AE19" s="262" t="str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Monitored"")"),"Not Monitored")</f>
        <v>Not Monitored</v>
      </c>
      <c r="AF19" s="263" t="str">
        <f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Monitored"")"),"Not Monitored")</f>
        <v>Not Monitored</v>
      </c>
      <c r="AG19" s="264" t="str">
        <f t="shared" si="1"/>
        <v>Not Monitored</v>
      </c>
      <c r="AH19" s="265" t="s">
        <v>219</v>
      </c>
    </row>
    <row r="20">
      <c r="A20" s="290">
        <v>2014.0</v>
      </c>
      <c r="B20" s="302">
        <v>41782.0</v>
      </c>
      <c r="C20" s="290" t="s">
        <v>158</v>
      </c>
      <c r="D20" s="289" t="s">
        <v>220</v>
      </c>
      <c r="E20" s="290" t="s">
        <v>221</v>
      </c>
      <c r="F20" s="290" t="s">
        <v>146</v>
      </c>
      <c r="G20" s="338" t="s">
        <v>31</v>
      </c>
      <c r="H20" s="290">
        <v>20.0</v>
      </c>
      <c r="I20" s="303" t="s">
        <v>222</v>
      </c>
      <c r="J20" s="326">
        <v>24.55251</v>
      </c>
      <c r="K20" s="326">
        <v>-81.38407</v>
      </c>
      <c r="L20" s="323" t="s">
        <v>223</v>
      </c>
      <c r="M20" s="327" t="s">
        <v>149</v>
      </c>
      <c r="N20" s="295" t="s">
        <v>149</v>
      </c>
      <c r="O20" s="296" t="s">
        <v>149</v>
      </c>
      <c r="P20" s="296" t="s">
        <v>149</v>
      </c>
      <c r="Q20" s="296" t="s">
        <v>149</v>
      </c>
      <c r="R20" s="296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95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327" t="s">
        <v>149</v>
      </c>
      <c r="U20" s="297" t="s">
        <v>149</v>
      </c>
      <c r="V20" s="298" t="s">
        <v>149</v>
      </c>
      <c r="W20" s="298" t="s">
        <v>149</v>
      </c>
      <c r="X20" s="298" t="s">
        <v>149</v>
      </c>
      <c r="Y20" s="299"/>
      <c r="Z20" s="300"/>
      <c r="AA20" s="301"/>
      <c r="AB20" s="299"/>
      <c r="AC20" s="300"/>
      <c r="AD20" s="301"/>
      <c r="AE20" s="328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Monitored"")"),45309.0)</f>
        <v>45309</v>
      </c>
      <c r="AF20" s="329">
        <f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Monitored"")"),0.0)</f>
        <v>0</v>
      </c>
      <c r="AG20" s="330">
        <f t="shared" si="1"/>
        <v>0</v>
      </c>
      <c r="AH20" s="331" t="s">
        <v>224</v>
      </c>
    </row>
    <row r="21">
      <c r="A21" s="340">
        <v>2014.0</v>
      </c>
      <c r="B21" s="341">
        <v>41782.0</v>
      </c>
      <c r="C21" s="250" t="s">
        <v>225</v>
      </c>
      <c r="D21" s="267" t="s">
        <v>226</v>
      </c>
      <c r="E21" s="250" t="s">
        <v>221</v>
      </c>
      <c r="F21" s="250" t="s">
        <v>146</v>
      </c>
      <c r="G21" s="336" t="s">
        <v>31</v>
      </c>
      <c r="H21" s="250">
        <v>20.0</v>
      </c>
      <c r="I21" s="268" t="s">
        <v>227</v>
      </c>
      <c r="J21" s="342">
        <v>24.59536</v>
      </c>
      <c r="K21" s="342">
        <v>-81.37193</v>
      </c>
      <c r="L21" s="333" t="s">
        <v>223</v>
      </c>
      <c r="M21" s="271">
        <v>41808.0</v>
      </c>
      <c r="N21" s="255">
        <v>1.0</v>
      </c>
      <c r="O21" s="256">
        <v>0.0</v>
      </c>
      <c r="P21" s="256">
        <v>0.0</v>
      </c>
      <c r="Q21" s="256">
        <v>1.0</v>
      </c>
      <c r="R21" s="256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55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71">
        <v>41985.0</v>
      </c>
      <c r="U21" s="257">
        <v>0.0</v>
      </c>
      <c r="V21" s="258">
        <v>1.0</v>
      </c>
      <c r="W21" s="258">
        <v>0.0</v>
      </c>
      <c r="X21" s="258">
        <v>0.0</v>
      </c>
      <c r="Y21" s="259"/>
      <c r="Z21" s="260"/>
      <c r="AA21" s="261"/>
      <c r="AB21" s="259"/>
      <c r="AC21" s="260"/>
      <c r="AD21" s="261"/>
      <c r="AE21" s="262" t="str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Monitored"")"),"Not Monitored")</f>
        <v>Not Monitored</v>
      </c>
      <c r="AF21" s="263" t="str">
        <f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Monitored"")"),"Not Monitored")</f>
        <v>Not Monitored</v>
      </c>
      <c r="AG21" s="264" t="str">
        <f t="shared" si="1"/>
        <v>Not Monitored</v>
      </c>
      <c r="AH21" s="265" t="s">
        <v>228</v>
      </c>
    </row>
    <row r="22">
      <c r="A22" s="250">
        <v>2014.0</v>
      </c>
      <c r="B22" s="266">
        <v>41796.0</v>
      </c>
      <c r="C22" s="250" t="s">
        <v>199</v>
      </c>
      <c r="D22" s="267" t="s">
        <v>229</v>
      </c>
      <c r="E22" s="250" t="s">
        <v>201</v>
      </c>
      <c r="F22" s="250" t="s">
        <v>146</v>
      </c>
      <c r="G22" s="336" t="s">
        <v>31</v>
      </c>
      <c r="H22" s="250">
        <v>40.0</v>
      </c>
      <c r="I22" s="268" t="s">
        <v>230</v>
      </c>
      <c r="J22" s="337">
        <v>24.56749</v>
      </c>
      <c r="K22" s="337">
        <v>-81.38804</v>
      </c>
      <c r="L22" s="333" t="s">
        <v>202</v>
      </c>
      <c r="M22" s="350">
        <v>41894.0</v>
      </c>
      <c r="N22" s="255" t="s">
        <v>149</v>
      </c>
      <c r="O22" s="256" t="s">
        <v>149</v>
      </c>
      <c r="P22" s="256" t="s">
        <v>149</v>
      </c>
      <c r="Q22" s="256" t="s">
        <v>149</v>
      </c>
      <c r="R22" s="256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55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71">
        <v>42139.0</v>
      </c>
      <c r="U22" s="257" t="s">
        <v>149</v>
      </c>
      <c r="V22" s="258" t="s">
        <v>149</v>
      </c>
      <c r="W22" s="258" t="s">
        <v>149</v>
      </c>
      <c r="X22" s="258" t="s">
        <v>149</v>
      </c>
      <c r="Y22" s="259"/>
      <c r="Z22" s="260"/>
      <c r="AA22" s="261"/>
      <c r="AB22" s="259"/>
      <c r="AC22" s="260"/>
      <c r="AD22" s="261"/>
      <c r="AE22" s="262" t="str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Monitored"")"),"Not Monitored")</f>
        <v>Not Monitored</v>
      </c>
      <c r="AF22" s="263" t="str">
        <f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Monitored"")"),"Not Monitored")</f>
        <v>Not Monitored</v>
      </c>
      <c r="AG22" s="264" t="str">
        <f t="shared" si="1"/>
        <v>Not Monitored</v>
      </c>
      <c r="AH22" s="265" t="s">
        <v>231</v>
      </c>
    </row>
    <row r="23">
      <c r="A23" s="286">
        <v>2014.0</v>
      </c>
      <c r="B23" s="302">
        <v>41764.0</v>
      </c>
      <c r="C23" s="290" t="s">
        <v>232</v>
      </c>
      <c r="D23" s="289" t="s">
        <v>233</v>
      </c>
      <c r="E23" s="290" t="s">
        <v>234</v>
      </c>
      <c r="F23" s="290" t="s">
        <v>186</v>
      </c>
      <c r="G23" s="338" t="s">
        <v>31</v>
      </c>
      <c r="H23" s="290">
        <v>300.0</v>
      </c>
      <c r="I23" s="303" t="s">
        <v>235</v>
      </c>
      <c r="J23" s="292">
        <v>24.55115</v>
      </c>
      <c r="K23" s="292">
        <v>-81.38983</v>
      </c>
      <c r="L23" s="323" t="s">
        <v>236</v>
      </c>
      <c r="M23" s="294">
        <v>41788.0</v>
      </c>
      <c r="N23" s="295">
        <v>0.9933333333333333</v>
      </c>
      <c r="O23" s="296">
        <v>0.0033333333333333335</v>
      </c>
      <c r="P23" s="296">
        <v>0.0033333333333333335</v>
      </c>
      <c r="Q23" s="296" t="s">
        <v>149</v>
      </c>
      <c r="R23" s="296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95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294">
        <v>42132.0</v>
      </c>
      <c r="U23" s="297">
        <v>0.5066666666666666</v>
      </c>
      <c r="V23" s="298">
        <v>0.46</v>
      </c>
      <c r="W23" s="298">
        <v>0.03333333333333333</v>
      </c>
      <c r="X23" s="298">
        <v>0.6666666666666666</v>
      </c>
      <c r="Y23" s="299"/>
      <c r="Z23" s="300"/>
      <c r="AA23" s="301"/>
      <c r="AB23" s="299"/>
      <c r="AC23" s="300"/>
      <c r="AD23" s="301"/>
      <c r="AE23" s="328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Monitored"")"),45309.0)</f>
        <v>45309</v>
      </c>
      <c r="AF23" s="329">
        <f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Monitored"")"),0.0)</f>
        <v>0</v>
      </c>
      <c r="AG23" s="330">
        <f t="shared" si="1"/>
        <v>0</v>
      </c>
      <c r="AH23" s="331" t="s">
        <v>237</v>
      </c>
    </row>
    <row r="24">
      <c r="A24" s="290">
        <v>2014.0</v>
      </c>
      <c r="B24" s="302">
        <v>41801.0</v>
      </c>
      <c r="C24" s="290" t="s">
        <v>232</v>
      </c>
      <c r="D24" s="289" t="s">
        <v>238</v>
      </c>
      <c r="E24" s="290" t="s">
        <v>170</v>
      </c>
      <c r="F24" s="290" t="s">
        <v>146</v>
      </c>
      <c r="G24" s="338" t="s">
        <v>31</v>
      </c>
      <c r="H24" s="290">
        <v>200.0</v>
      </c>
      <c r="I24" s="303" t="s">
        <v>239</v>
      </c>
      <c r="J24" s="326">
        <v>24.55115</v>
      </c>
      <c r="K24" s="326">
        <v>-81.38983</v>
      </c>
      <c r="L24" s="323" t="s">
        <v>240</v>
      </c>
      <c r="M24" s="294">
        <v>41822.0</v>
      </c>
      <c r="N24" s="295">
        <v>1.0</v>
      </c>
      <c r="O24" s="296">
        <v>0.0</v>
      </c>
      <c r="P24" s="296">
        <v>0.0</v>
      </c>
      <c r="Q24" s="296" t="s">
        <v>149</v>
      </c>
      <c r="R24" s="296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95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294">
        <v>42132.0</v>
      </c>
      <c r="U24" s="297">
        <v>0.5900000000000001</v>
      </c>
      <c r="V24" s="298">
        <v>0.375</v>
      </c>
      <c r="W24" s="298">
        <v>0.035</v>
      </c>
      <c r="X24" s="298">
        <v>0.85</v>
      </c>
      <c r="Y24" s="299"/>
      <c r="Z24" s="300"/>
      <c r="AA24" s="301"/>
      <c r="AB24" s="299"/>
      <c r="AC24" s="300"/>
      <c r="AD24" s="301"/>
      <c r="AE24" s="328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Monitored"")"),45309.0)</f>
        <v>45309</v>
      </c>
      <c r="AF24" s="329">
        <f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Monitored"")"),0.0)</f>
        <v>0</v>
      </c>
      <c r="AG24" s="330">
        <f t="shared" si="1"/>
        <v>0</v>
      </c>
      <c r="AH24" s="331" t="s">
        <v>241</v>
      </c>
    </row>
    <row r="25">
      <c r="A25" s="340">
        <v>2014.0</v>
      </c>
      <c r="B25" s="341">
        <v>41835.0</v>
      </c>
      <c r="C25" s="250" t="s">
        <v>242</v>
      </c>
      <c r="D25" s="267" t="s">
        <v>243</v>
      </c>
      <c r="E25" s="250" t="s">
        <v>244</v>
      </c>
      <c r="F25" s="250" t="s">
        <v>186</v>
      </c>
      <c r="G25" s="336" t="s">
        <v>31</v>
      </c>
      <c r="H25" s="343">
        <v>600.0</v>
      </c>
      <c r="I25" s="344" t="s">
        <v>235</v>
      </c>
      <c r="J25" s="342">
        <v>24.55178</v>
      </c>
      <c r="K25" s="342">
        <v>-81.38648</v>
      </c>
      <c r="L25" s="351"/>
      <c r="M25" s="271">
        <v>41877.0</v>
      </c>
      <c r="N25" s="255">
        <v>0.8416666666666667</v>
      </c>
      <c r="O25" s="256">
        <v>0.15833333333333333</v>
      </c>
      <c r="P25" s="256">
        <v>0.0</v>
      </c>
      <c r="Q25" s="256" t="s">
        <v>149</v>
      </c>
      <c r="R25" s="256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55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71">
        <v>42132.0</v>
      </c>
      <c r="U25" s="257">
        <v>0.635</v>
      </c>
      <c r="V25" s="258">
        <v>0.3016666666666667</v>
      </c>
      <c r="W25" s="258">
        <v>0.06333333333333334</v>
      </c>
      <c r="X25" s="258">
        <v>0.9</v>
      </c>
      <c r="Y25" s="259"/>
      <c r="Z25" s="260"/>
      <c r="AA25" s="261"/>
      <c r="AB25" s="259"/>
      <c r="AC25" s="260"/>
      <c r="AD25" s="261"/>
      <c r="AE25" s="262" t="str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Monitored"")"),"Not Monitored")</f>
        <v>Not Monitored</v>
      </c>
      <c r="AF25" s="263" t="str">
        <f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Monitored"")"),"Not Monitored")</f>
        <v>Not Monitored</v>
      </c>
      <c r="AG25" s="264" t="str">
        <f t="shared" si="1"/>
        <v>Not Monitored</v>
      </c>
      <c r="AH25" s="265" t="s">
        <v>245</v>
      </c>
    </row>
    <row r="26">
      <c r="A26" s="290">
        <v>2014.0</v>
      </c>
      <c r="B26" s="322">
        <v>41848.0</v>
      </c>
      <c r="C26" s="325" t="s">
        <v>246</v>
      </c>
      <c r="D26" s="289" t="s">
        <v>247</v>
      </c>
      <c r="E26" s="325" t="s">
        <v>248</v>
      </c>
      <c r="F26" s="290" t="s">
        <v>186</v>
      </c>
      <c r="G26" s="338" t="s">
        <v>31</v>
      </c>
      <c r="H26" s="325">
        <v>250.0</v>
      </c>
      <c r="I26" s="303" t="s">
        <v>249</v>
      </c>
      <c r="J26" s="304">
        <v>24.55264</v>
      </c>
      <c r="K26" s="304">
        <v>-81.38235</v>
      </c>
      <c r="L26" s="351"/>
      <c r="M26" s="271">
        <v>41877.0</v>
      </c>
      <c r="N26" s="255">
        <v>0.912</v>
      </c>
      <c r="O26" s="256">
        <v>0.088</v>
      </c>
      <c r="P26" s="256">
        <v>0.0</v>
      </c>
      <c r="Q26" s="256" t="s">
        <v>149</v>
      </c>
      <c r="R26" s="256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55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71">
        <v>42192.0</v>
      </c>
      <c r="U26" s="257">
        <v>0.716</v>
      </c>
      <c r="V26" s="258">
        <v>0.28</v>
      </c>
      <c r="W26" s="258">
        <v>0.004</v>
      </c>
      <c r="X26" s="258" t="s">
        <v>149</v>
      </c>
      <c r="Y26" s="259"/>
      <c r="Z26" s="260"/>
      <c r="AA26" s="261"/>
      <c r="AB26" s="259"/>
      <c r="AC26" s="260"/>
      <c r="AD26" s="261"/>
      <c r="AE26" s="262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Monitored"")"),45302.0)</f>
        <v>45302</v>
      </c>
      <c r="AF26" s="263">
        <f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Monitored"")"),0.0)</f>
        <v>0</v>
      </c>
      <c r="AG26" s="264">
        <f t="shared" si="1"/>
        <v>0</v>
      </c>
      <c r="AH26" s="265" t="s">
        <v>250</v>
      </c>
    </row>
    <row r="27">
      <c r="A27" s="290">
        <v>2014.0</v>
      </c>
      <c r="B27" s="302">
        <v>41992.0</v>
      </c>
      <c r="C27" s="290" t="s">
        <v>158</v>
      </c>
      <c r="D27" s="324" t="s">
        <v>251</v>
      </c>
      <c r="E27" s="325" t="s">
        <v>221</v>
      </c>
      <c r="F27" s="290" t="s">
        <v>146</v>
      </c>
      <c r="G27" s="352" t="s">
        <v>33</v>
      </c>
      <c r="H27" s="325">
        <v>20.0</v>
      </c>
      <c r="I27" s="303" t="s">
        <v>252</v>
      </c>
      <c r="J27" s="326">
        <v>24.55251</v>
      </c>
      <c r="K27" s="326">
        <v>-81.38407</v>
      </c>
      <c r="L27" s="323" t="s">
        <v>223</v>
      </c>
      <c r="M27" s="327" t="s">
        <v>149</v>
      </c>
      <c r="N27" s="295" t="s">
        <v>149</v>
      </c>
      <c r="O27" s="296" t="s">
        <v>149</v>
      </c>
      <c r="P27" s="296" t="s">
        <v>149</v>
      </c>
      <c r="Q27" s="296" t="s">
        <v>149</v>
      </c>
      <c r="R27" s="296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95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294">
        <v>42401.0</v>
      </c>
      <c r="U27" s="297">
        <v>0.4</v>
      </c>
      <c r="V27" s="298">
        <v>0.6</v>
      </c>
      <c r="W27" s="298">
        <v>0.0</v>
      </c>
      <c r="X27" s="298" t="s">
        <v>149</v>
      </c>
      <c r="Y27" s="299"/>
      <c r="Z27" s="300"/>
      <c r="AA27" s="301"/>
      <c r="AB27" s="299"/>
      <c r="AC27" s="300"/>
      <c r="AD27" s="301"/>
      <c r="AE27" s="328">
        <f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Monitored"")"),45309.0)</f>
        <v>45309</v>
      </c>
      <c r="AF27" s="329">
        <f>IFERROR(__xludf.DUMMYFUNCTION("IFERROR(INDEX(IMPORTRANGE(""https://docs.google.com/spreadsheets/d/1fpsE_0655xguD48cGK6n1ZqSLnI-tw9aHzhbPM9kZ-k/edit#gid=0"", ""Monitoring Summary!E:E""),MATCH(D27,IMPORTRANGE(""https://docs.google.com/spreadsheets/d/1fpsE_0655xguD48cGK6n1ZqSLnI-tw9aHzhbP"&amp;"M9kZ-k/edit#gid=0"", ""Monitoring Summary!C:C""),0)),""Not Monitored"")"),0.0)</f>
        <v>0</v>
      </c>
      <c r="AG27" s="330">
        <f t="shared" si="1"/>
        <v>0</v>
      </c>
      <c r="AH27" s="331" t="s">
        <v>253</v>
      </c>
    </row>
    <row r="28">
      <c r="A28" s="272">
        <v>2014.0</v>
      </c>
      <c r="B28" s="273">
        <v>41992.0</v>
      </c>
      <c r="C28" s="272" t="s">
        <v>225</v>
      </c>
      <c r="D28" s="353" t="s">
        <v>254</v>
      </c>
      <c r="E28" s="354" t="s">
        <v>221</v>
      </c>
      <c r="F28" s="272" t="s">
        <v>146</v>
      </c>
      <c r="G28" s="355" t="s">
        <v>33</v>
      </c>
      <c r="H28" s="354">
        <v>20.0</v>
      </c>
      <c r="I28" s="356" t="s">
        <v>255</v>
      </c>
      <c r="J28" s="357">
        <v>24.59536</v>
      </c>
      <c r="K28" s="357">
        <v>-81.37193</v>
      </c>
      <c r="L28" s="358" t="s">
        <v>223</v>
      </c>
      <c r="M28" s="278">
        <v>42026.0</v>
      </c>
      <c r="N28" s="279">
        <v>0.85</v>
      </c>
      <c r="O28" s="280">
        <v>0.15</v>
      </c>
      <c r="P28" s="280">
        <v>0.0</v>
      </c>
      <c r="Q28" s="280">
        <v>1.0</v>
      </c>
      <c r="R28" s="280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79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278">
        <v>42197.0</v>
      </c>
      <c r="U28" s="281">
        <v>0.8</v>
      </c>
      <c r="V28" s="282">
        <v>0.15</v>
      </c>
      <c r="W28" s="282">
        <v>0.05</v>
      </c>
      <c r="X28" s="282">
        <v>1.0</v>
      </c>
      <c r="Y28" s="283"/>
      <c r="Z28" s="284"/>
      <c r="AA28" s="285"/>
      <c r="AB28" s="283"/>
      <c r="AC28" s="284"/>
      <c r="AD28" s="285"/>
      <c r="AE28" s="262" t="str">
        <f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Monitored"")"),"Not Monitored")</f>
        <v>Not Monitored</v>
      </c>
      <c r="AF28" s="263" t="str">
        <f>IFERROR(__xludf.DUMMYFUNCTION("IFERROR(INDEX(IMPORTRANGE(""https://docs.google.com/spreadsheets/d/1fpsE_0655xguD48cGK6n1ZqSLnI-tw9aHzhbPM9kZ-k/edit#gid=0"", ""Monitoring Summary!E:E""),MATCH(D28,IMPORTRANGE(""https://docs.google.com/spreadsheets/d/1fpsE_0655xguD48cGK6n1ZqSLnI-tw9aHzhbP"&amp;"M9kZ-k/edit#gid=0"", ""Monitoring Summary!C:C""),0)),""Not Monitored"")"),"Not Monitored")</f>
        <v>Not Monitored</v>
      </c>
      <c r="AG28" s="264" t="str">
        <f t="shared" si="1"/>
        <v>Not Monitored</v>
      </c>
      <c r="AH28" s="265" t="s">
        <v>256</v>
      </c>
    </row>
    <row r="29">
      <c r="A29" s="286">
        <v>2015.0</v>
      </c>
      <c r="B29" s="287">
        <v>42114.0</v>
      </c>
      <c r="C29" s="290" t="s">
        <v>172</v>
      </c>
      <c r="D29" s="289" t="s">
        <v>257</v>
      </c>
      <c r="E29" s="290" t="s">
        <v>258</v>
      </c>
      <c r="F29" s="290" t="s">
        <v>161</v>
      </c>
      <c r="G29" s="290" t="s">
        <v>34</v>
      </c>
      <c r="H29" s="288">
        <v>1000.0</v>
      </c>
      <c r="I29" s="291" t="s">
        <v>259</v>
      </c>
      <c r="J29" s="292">
        <v>24.5529</v>
      </c>
      <c r="K29" s="292">
        <v>-81.38015</v>
      </c>
      <c r="L29" s="293"/>
      <c r="M29" s="294">
        <v>42177.0</v>
      </c>
      <c r="N29" s="295">
        <v>0.982</v>
      </c>
      <c r="O29" s="296">
        <v>0.016</v>
      </c>
      <c r="P29" s="296">
        <v>0.002</v>
      </c>
      <c r="Q29" s="296">
        <v>1.0</v>
      </c>
      <c r="R29" s="296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95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294">
        <v>42496.0</v>
      </c>
      <c r="U29" s="297">
        <v>0.74</v>
      </c>
      <c r="V29" s="298">
        <v>0.127</v>
      </c>
      <c r="W29" s="298">
        <v>0.133</v>
      </c>
      <c r="X29" s="298">
        <v>0.925</v>
      </c>
      <c r="Y29" s="299"/>
      <c r="Z29" s="300"/>
      <c r="AA29" s="301"/>
      <c r="AB29" s="299"/>
      <c r="AC29" s="300"/>
      <c r="AD29" s="301"/>
      <c r="AE29" s="262" t="str">
        <f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Monitored"")"),"Not Monitored")</f>
        <v>Not Monitored</v>
      </c>
      <c r="AF29" s="263" t="str">
        <f>IFERROR(__xludf.DUMMYFUNCTION("IFERROR(INDEX(IMPORTRANGE(""https://docs.google.com/spreadsheets/d/1fpsE_0655xguD48cGK6n1ZqSLnI-tw9aHzhbPM9kZ-k/edit#gid=0"", ""Monitoring Summary!E:E""),MATCH(D29,IMPORTRANGE(""https://docs.google.com/spreadsheets/d/1fpsE_0655xguD48cGK6n1ZqSLnI-tw9aHzhbP"&amp;"M9kZ-k/edit#gid=0"", ""Monitoring Summary!C:C""),0)),""Not Monitored"")"),"Not Monitored")</f>
        <v>Not Monitored</v>
      </c>
      <c r="AG29" s="264" t="str">
        <f t="shared" si="1"/>
        <v>Not Monitored</v>
      </c>
      <c r="AH29" s="265" t="s">
        <v>260</v>
      </c>
    </row>
    <row r="30">
      <c r="A30" s="286">
        <v>2015.0</v>
      </c>
      <c r="B30" s="287">
        <v>42144.0</v>
      </c>
      <c r="C30" s="290" t="s">
        <v>168</v>
      </c>
      <c r="D30" s="289" t="s">
        <v>261</v>
      </c>
      <c r="E30" s="290" t="s">
        <v>170</v>
      </c>
      <c r="F30" s="290" t="s">
        <v>161</v>
      </c>
      <c r="G30" s="290" t="s">
        <v>34</v>
      </c>
      <c r="H30" s="288">
        <v>1000.0</v>
      </c>
      <c r="I30" s="291" t="s">
        <v>259</v>
      </c>
      <c r="J30" s="292">
        <v>24.52292</v>
      </c>
      <c r="K30" s="292">
        <v>-81.51683</v>
      </c>
      <c r="L30" s="293"/>
      <c r="M30" s="294">
        <v>42179.0</v>
      </c>
      <c r="N30" s="295">
        <v>0.96</v>
      </c>
      <c r="O30" s="296">
        <v>0.039</v>
      </c>
      <c r="P30" s="296">
        <v>0.001</v>
      </c>
      <c r="Q30" s="296">
        <v>1.0</v>
      </c>
      <c r="R30" s="296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95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294">
        <v>42485.0</v>
      </c>
      <c r="U30" s="297">
        <v>0.858</v>
      </c>
      <c r="V30" s="298">
        <v>0.07200000000000001</v>
      </c>
      <c r="W30" s="298">
        <v>0.07</v>
      </c>
      <c r="X30" s="298">
        <v>1.0</v>
      </c>
      <c r="Y30" s="299"/>
      <c r="Z30" s="300"/>
      <c r="AA30" s="301"/>
      <c r="AB30" s="299"/>
      <c r="AC30" s="300"/>
      <c r="AD30" s="301"/>
      <c r="AE30" s="262" t="str">
        <f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Monitored"")"),"Not Monitored")</f>
        <v>Not Monitored</v>
      </c>
      <c r="AF30" s="263" t="str">
        <f>IFERROR(__xludf.DUMMYFUNCTION("IFERROR(INDEX(IMPORTRANGE(""https://docs.google.com/spreadsheets/d/1fpsE_0655xguD48cGK6n1ZqSLnI-tw9aHzhbPM9kZ-k/edit#gid=0"", ""Monitoring Summary!E:E""),MATCH(D30,IMPORTRANGE(""https://docs.google.com/spreadsheets/d/1fpsE_0655xguD48cGK6n1ZqSLnI-tw9aHzhbP"&amp;"M9kZ-k/edit#gid=0"", ""Monitoring Summary!C:C""),0)),""Not Monitored"")"),"Not Monitored")</f>
        <v>Not Monitored</v>
      </c>
      <c r="AG30" s="264" t="str">
        <f t="shared" si="1"/>
        <v>Not Monitored</v>
      </c>
      <c r="AH30" s="265" t="s">
        <v>262</v>
      </c>
    </row>
    <row r="31">
      <c r="A31" s="340">
        <v>2015.0</v>
      </c>
      <c r="B31" s="341">
        <v>42156.0</v>
      </c>
      <c r="C31" s="343" t="s">
        <v>215</v>
      </c>
      <c r="D31" s="267" t="s">
        <v>263</v>
      </c>
      <c r="E31" s="250" t="s">
        <v>170</v>
      </c>
      <c r="F31" s="250" t="s">
        <v>161</v>
      </c>
      <c r="G31" s="250" t="s">
        <v>34</v>
      </c>
      <c r="H31" s="343">
        <v>1000.0</v>
      </c>
      <c r="I31" s="344" t="s">
        <v>259</v>
      </c>
      <c r="J31" s="342">
        <v>24.5676</v>
      </c>
      <c r="K31" s="342">
        <v>-81.32977</v>
      </c>
      <c r="L31" s="351"/>
      <c r="M31" s="271">
        <v>42177.0</v>
      </c>
      <c r="N31" s="255">
        <v>0.974</v>
      </c>
      <c r="O31" s="256">
        <v>0.02</v>
      </c>
      <c r="P31" s="256">
        <v>0.006</v>
      </c>
      <c r="Q31" s="256">
        <v>1.0</v>
      </c>
      <c r="R31" s="256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55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71">
        <v>42486.0</v>
      </c>
      <c r="U31" s="257">
        <v>0.14600000000000002</v>
      </c>
      <c r="V31" s="258">
        <v>0.825</v>
      </c>
      <c r="W31" s="258">
        <v>0.028</v>
      </c>
      <c r="X31" s="258">
        <v>0.255</v>
      </c>
      <c r="Y31" s="259"/>
      <c r="Z31" s="260"/>
      <c r="AA31" s="261"/>
      <c r="AB31" s="259"/>
      <c r="AC31" s="260"/>
      <c r="AD31" s="261"/>
      <c r="AE31" s="262" t="str">
        <f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Monitored"")"),"Not Monitored")</f>
        <v>Not Monitored</v>
      </c>
      <c r="AF31" s="263" t="str">
        <f>IFERROR(__xludf.DUMMYFUNCTION("IFERROR(INDEX(IMPORTRANGE(""https://docs.google.com/spreadsheets/d/1fpsE_0655xguD48cGK6n1ZqSLnI-tw9aHzhbPM9kZ-k/edit#gid=0"", ""Monitoring Summary!E:E""),MATCH(D31,IMPORTRANGE(""https://docs.google.com/spreadsheets/d/1fpsE_0655xguD48cGK6n1ZqSLnI-tw9aHzhbP"&amp;"M9kZ-k/edit#gid=0"", ""Monitoring Summary!C:C""),0)),""Not Monitored"")"),"Not Monitored")</f>
        <v>Not Monitored</v>
      </c>
      <c r="AG31" s="264" t="str">
        <f t="shared" si="1"/>
        <v>Not Monitored</v>
      </c>
      <c r="AH31" s="265" t="s">
        <v>264</v>
      </c>
    </row>
    <row r="32" ht="15.75" customHeight="1">
      <c r="A32" s="250">
        <v>2015.0</v>
      </c>
      <c r="B32" s="332">
        <v>42192.0</v>
      </c>
      <c r="C32" s="335" t="s">
        <v>210</v>
      </c>
      <c r="D32" s="267" t="s">
        <v>265</v>
      </c>
      <c r="E32" s="335" t="s">
        <v>180</v>
      </c>
      <c r="F32" s="250" t="s">
        <v>146</v>
      </c>
      <c r="G32" s="359" t="s">
        <v>33</v>
      </c>
      <c r="H32" s="250">
        <v>250.0</v>
      </c>
      <c r="I32" s="268" t="s">
        <v>266</v>
      </c>
      <c r="J32" s="337">
        <v>24.6214</v>
      </c>
      <c r="K32" s="337">
        <v>-81.36293</v>
      </c>
      <c r="L32" s="333" t="s">
        <v>213</v>
      </c>
      <c r="M32" s="350">
        <v>42243.0</v>
      </c>
      <c r="N32" s="255">
        <v>0.992</v>
      </c>
      <c r="O32" s="256">
        <v>0.008</v>
      </c>
      <c r="P32" s="256">
        <v>0.0</v>
      </c>
      <c r="Q32" s="256">
        <v>1.0</v>
      </c>
      <c r="R32" s="256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55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271">
        <v>42401.0</v>
      </c>
      <c r="U32" s="257">
        <v>0.0</v>
      </c>
      <c r="V32" s="258">
        <v>1.0</v>
      </c>
      <c r="W32" s="258">
        <v>0.0</v>
      </c>
      <c r="X32" s="258">
        <v>0.0</v>
      </c>
      <c r="Y32" s="259"/>
      <c r="Z32" s="260"/>
      <c r="AA32" s="261"/>
      <c r="AB32" s="259"/>
      <c r="AC32" s="260"/>
      <c r="AD32" s="261"/>
      <c r="AE32" s="262" t="str">
        <f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Monitored"")"),"Not Monitored")</f>
        <v>Not Monitored</v>
      </c>
      <c r="AF32" s="263" t="str">
        <f>IFERROR(__xludf.DUMMYFUNCTION("IFERROR(INDEX(IMPORTRANGE(""https://docs.google.com/spreadsheets/d/1fpsE_0655xguD48cGK6n1ZqSLnI-tw9aHzhbPM9kZ-k/edit#gid=0"", ""Monitoring Summary!E:E""),MATCH(D32,IMPORTRANGE(""https://docs.google.com/spreadsheets/d/1fpsE_0655xguD48cGK6n1ZqSLnI-tw9aHzhbP"&amp;"M9kZ-k/edit#gid=0"", ""Monitoring Summary!C:C""),0)),""Not Monitored"")"),"Not Monitored")</f>
        <v>Not Monitored</v>
      </c>
      <c r="AG32" s="264" t="str">
        <f t="shared" si="1"/>
        <v>Not Monitored</v>
      </c>
      <c r="AH32" s="265" t="s">
        <v>267</v>
      </c>
    </row>
    <row r="33" ht="15.75" customHeight="1">
      <c r="A33" s="340">
        <v>2015.0</v>
      </c>
      <c r="B33" s="341">
        <v>42201.0</v>
      </c>
      <c r="C33" s="250" t="s">
        <v>268</v>
      </c>
      <c r="D33" s="267" t="s">
        <v>269</v>
      </c>
      <c r="E33" s="250" t="s">
        <v>170</v>
      </c>
      <c r="F33" s="250" t="s">
        <v>161</v>
      </c>
      <c r="G33" s="250" t="s">
        <v>34</v>
      </c>
      <c r="H33" s="343">
        <v>1000.0</v>
      </c>
      <c r="I33" s="344" t="s">
        <v>259</v>
      </c>
      <c r="J33" s="342">
        <v>24.45175</v>
      </c>
      <c r="K33" s="342">
        <v>-81.87891</v>
      </c>
      <c r="L33" s="351"/>
      <c r="M33" s="271">
        <v>42255.0</v>
      </c>
      <c r="N33" s="255">
        <v>0.977</v>
      </c>
      <c r="O33" s="256">
        <v>0.020999999999999998</v>
      </c>
      <c r="P33" s="256">
        <v>0.002</v>
      </c>
      <c r="Q33" s="256">
        <v>1.0</v>
      </c>
      <c r="R33" s="256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55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271">
        <v>42468.0</v>
      </c>
      <c r="U33" s="257">
        <v>0.893</v>
      </c>
      <c r="V33" s="258">
        <v>0.031</v>
      </c>
      <c r="W33" s="258">
        <v>0.076</v>
      </c>
      <c r="X33" s="258">
        <v>0.975</v>
      </c>
      <c r="Y33" s="259"/>
      <c r="Z33" s="260"/>
      <c r="AA33" s="261"/>
      <c r="AB33" s="360">
        <v>43991.0</v>
      </c>
      <c r="AC33" s="260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261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262" t="str">
        <f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Monitored"")"),"Not Monitored")</f>
        <v>Not Monitored</v>
      </c>
      <c r="AF33" s="263" t="str">
        <f>IFERROR(__xludf.DUMMYFUNCTION("IFERROR(INDEX(IMPORTRANGE(""https://docs.google.com/spreadsheets/d/1fpsE_0655xguD48cGK6n1ZqSLnI-tw9aHzhbPM9kZ-k/edit#gid=0"", ""Monitoring Summary!E:E""),MATCH(D33,IMPORTRANGE(""https://docs.google.com/spreadsheets/d/1fpsE_0655xguD48cGK6n1ZqSLnI-tw9aHzhbP"&amp;"M9kZ-k/edit#gid=0"", ""Monitoring Summary!C:C""),0)),""Not Monitored"")"),"Not Monitored")</f>
        <v>Not Monitored</v>
      </c>
      <c r="AG33" s="264" t="str">
        <f t="shared" si="1"/>
        <v>Not Monitored</v>
      </c>
      <c r="AH33" s="265" t="s">
        <v>270</v>
      </c>
    </row>
    <row r="34" ht="15.75" customHeight="1">
      <c r="A34" s="308">
        <v>2015.0</v>
      </c>
      <c r="B34" s="361">
        <v>42205.0</v>
      </c>
      <c r="C34" s="362" t="s">
        <v>246</v>
      </c>
      <c r="D34" s="363" t="s">
        <v>271</v>
      </c>
      <c r="E34" s="364" t="s">
        <v>272</v>
      </c>
      <c r="F34" s="308" t="s">
        <v>186</v>
      </c>
      <c r="G34" s="365" t="s">
        <v>33</v>
      </c>
      <c r="H34" s="364">
        <v>250.0</v>
      </c>
      <c r="I34" s="366" t="s">
        <v>273</v>
      </c>
      <c r="J34" s="367">
        <v>24.55267</v>
      </c>
      <c r="K34" s="367">
        <v>-81.38227</v>
      </c>
      <c r="L34" s="349"/>
      <c r="M34" s="278">
        <v>42242.0</v>
      </c>
      <c r="N34" s="279">
        <v>1.0</v>
      </c>
      <c r="O34" s="280">
        <v>0.0</v>
      </c>
      <c r="P34" s="280">
        <v>0.0</v>
      </c>
      <c r="Q34" s="280">
        <v>1.0</v>
      </c>
      <c r="R34" s="280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79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278">
        <v>42563.0</v>
      </c>
      <c r="U34" s="281">
        <v>0.712</v>
      </c>
      <c r="V34" s="282">
        <v>0.188</v>
      </c>
      <c r="W34" s="282">
        <v>0.1</v>
      </c>
      <c r="X34" s="282">
        <v>0.94</v>
      </c>
      <c r="Y34" s="283"/>
      <c r="Z34" s="284"/>
      <c r="AA34" s="285"/>
      <c r="AB34" s="283"/>
      <c r="AC34" s="284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285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62">
        <f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Monitored"")"),45302.0)</f>
        <v>45302</v>
      </c>
      <c r="AF34" s="263">
        <f>IFERROR(__xludf.DUMMYFUNCTION("IFERROR(INDEX(IMPORTRANGE(""https://docs.google.com/spreadsheets/d/1fpsE_0655xguD48cGK6n1ZqSLnI-tw9aHzhbPM9kZ-k/edit#gid=0"", ""Monitoring Summary!E:E""),MATCH(D34,IMPORTRANGE(""https://docs.google.com/spreadsheets/d/1fpsE_0655xguD48cGK6n1ZqSLnI-tw9aHzhbP"&amp;"M9kZ-k/edit#gid=0"", ""Monitoring Summary!C:C""),0)),""Not Monitored"")"),0.0)</f>
        <v>0</v>
      </c>
      <c r="AG34" s="264">
        <f t="shared" si="1"/>
        <v>0</v>
      </c>
      <c r="AH34" s="265" t="s">
        <v>274</v>
      </c>
    </row>
    <row r="35" ht="15.75" customHeight="1">
      <c r="A35" s="340">
        <v>2016.0</v>
      </c>
      <c r="B35" s="332">
        <v>42447.0</v>
      </c>
      <c r="C35" s="335" t="s">
        <v>275</v>
      </c>
      <c r="D35" s="267" t="s">
        <v>276</v>
      </c>
      <c r="E35" s="335" t="s">
        <v>277</v>
      </c>
      <c r="F35" s="250" t="s">
        <v>146</v>
      </c>
      <c r="G35" s="250" t="s">
        <v>35</v>
      </c>
      <c r="H35" s="250">
        <v>60.0</v>
      </c>
      <c r="I35" s="268" t="s">
        <v>32</v>
      </c>
      <c r="J35" s="337">
        <v>24.5384</v>
      </c>
      <c r="K35" s="337">
        <v>-81.45338</v>
      </c>
      <c r="L35" s="333" t="s">
        <v>278</v>
      </c>
      <c r="M35" s="339" t="s">
        <v>149</v>
      </c>
      <c r="N35" s="368" t="s">
        <v>149</v>
      </c>
      <c r="O35" s="256" t="s">
        <v>149</v>
      </c>
      <c r="P35" s="369" t="s">
        <v>149</v>
      </c>
      <c r="Q35" s="369" t="s">
        <v>149</v>
      </c>
      <c r="R35" s="256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55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370" t="s">
        <v>149</v>
      </c>
      <c r="U35" s="258" t="s">
        <v>149</v>
      </c>
      <c r="V35" s="258" t="s">
        <v>149</v>
      </c>
      <c r="W35" s="258" t="s">
        <v>149</v>
      </c>
      <c r="X35" s="258" t="s">
        <v>149</v>
      </c>
      <c r="Y35" s="259"/>
      <c r="Z35" s="260"/>
      <c r="AA35" s="261"/>
      <c r="AB35" s="259" t="s">
        <v>149</v>
      </c>
      <c r="AC35" s="260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61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62" t="str">
        <f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Monitored"")"),"Not Monitored")</f>
        <v>Not Monitored</v>
      </c>
      <c r="AF35" s="263" t="str">
        <f>IFERROR(__xludf.DUMMYFUNCTION("IFERROR(INDEX(IMPORTRANGE(""https://docs.google.com/spreadsheets/d/1fpsE_0655xguD48cGK6n1ZqSLnI-tw9aHzhbPM9kZ-k/edit#gid=0"", ""Monitoring Summary!E:E""),MATCH(D35,IMPORTRANGE(""https://docs.google.com/spreadsheets/d/1fpsE_0655xguD48cGK6n1ZqSLnI-tw9aHzhbP"&amp;"M9kZ-k/edit#gid=0"", ""Monitoring Summary!C:C""),0)),""Not Monitored"")"),"Not Monitored")</f>
        <v>Not Monitored</v>
      </c>
      <c r="AG35" s="264" t="str">
        <f t="shared" si="1"/>
        <v>Not Monitored</v>
      </c>
      <c r="AH35" s="265" t="s">
        <v>279</v>
      </c>
    </row>
    <row r="36" ht="15.75" customHeight="1">
      <c r="A36" s="286">
        <v>2016.0</v>
      </c>
      <c r="B36" s="287">
        <v>42474.0</v>
      </c>
      <c r="C36" s="290" t="s">
        <v>268</v>
      </c>
      <c r="D36" s="289" t="s">
        <v>280</v>
      </c>
      <c r="E36" s="290" t="s">
        <v>170</v>
      </c>
      <c r="F36" s="290" t="s">
        <v>161</v>
      </c>
      <c r="G36" s="290" t="s">
        <v>37</v>
      </c>
      <c r="H36" s="288">
        <v>1000.0</v>
      </c>
      <c r="I36" s="291" t="s">
        <v>281</v>
      </c>
      <c r="J36" s="292">
        <v>24.45165</v>
      </c>
      <c r="K36" s="292">
        <v>-81.87835</v>
      </c>
      <c r="L36" s="293"/>
      <c r="M36" s="294">
        <v>42577.0</v>
      </c>
      <c r="N36" s="295">
        <v>0.708</v>
      </c>
      <c r="O36" s="296">
        <v>0.291</v>
      </c>
      <c r="P36" s="296">
        <v>0.001</v>
      </c>
      <c r="Q36" s="296">
        <v>0.83</v>
      </c>
      <c r="R36" s="296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95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294">
        <v>42867.0</v>
      </c>
      <c r="U36" s="297">
        <v>0.6839999999999999</v>
      </c>
      <c r="V36" s="298">
        <v>0.279</v>
      </c>
      <c r="W36" s="298">
        <v>0.037</v>
      </c>
      <c r="X36" s="298">
        <v>0.825</v>
      </c>
      <c r="Y36" s="299"/>
      <c r="Z36" s="300"/>
      <c r="AA36" s="301"/>
      <c r="AB36" s="371">
        <v>44379.0</v>
      </c>
      <c r="AC36" s="300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301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262">
        <f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Monitored"")"),45259.0)</f>
        <v>45259</v>
      </c>
      <c r="AF36" s="263">
        <f>IFERROR(__xludf.DUMMYFUNCTION("IFERROR(INDEX(IMPORTRANGE(""https://docs.google.com/spreadsheets/d/1fpsE_0655xguD48cGK6n1ZqSLnI-tw9aHzhbPM9kZ-k/edit#gid=0"", ""Monitoring Summary!E:E""),MATCH(D36,IMPORTRANGE(""https://docs.google.com/spreadsheets/d/1fpsE_0655xguD48cGK6n1ZqSLnI-tw9aHzhbP"&amp;"M9kZ-k/edit#gid=0"", ""Monitoring Summary!C:C""),0)),""Not Monitored"")"),0.0)</f>
        <v>0</v>
      </c>
      <c r="AG36" s="264">
        <f t="shared" si="1"/>
        <v>0</v>
      </c>
      <c r="AH36" s="265" t="s">
        <v>282</v>
      </c>
    </row>
    <row r="37" ht="15.75" customHeight="1">
      <c r="A37" s="286">
        <v>2016.0</v>
      </c>
      <c r="B37" s="287">
        <v>42525.0</v>
      </c>
      <c r="C37" s="290" t="s">
        <v>168</v>
      </c>
      <c r="D37" s="289" t="s">
        <v>283</v>
      </c>
      <c r="E37" s="290" t="s">
        <v>170</v>
      </c>
      <c r="F37" s="290" t="s">
        <v>161</v>
      </c>
      <c r="G37" s="290" t="s">
        <v>37</v>
      </c>
      <c r="H37" s="290">
        <v>1000.0</v>
      </c>
      <c r="I37" s="303" t="s">
        <v>284</v>
      </c>
      <c r="J37" s="292">
        <v>24.52304</v>
      </c>
      <c r="K37" s="292">
        <v>-81.51753</v>
      </c>
      <c r="L37" s="293"/>
      <c r="M37" s="294">
        <v>42564.0</v>
      </c>
      <c r="N37" s="295">
        <v>0.967</v>
      </c>
      <c r="O37" s="296">
        <v>0.031</v>
      </c>
      <c r="P37" s="296">
        <v>0.002</v>
      </c>
      <c r="Q37" s="296">
        <v>0.99</v>
      </c>
      <c r="R37" s="296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95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294">
        <v>42817.0</v>
      </c>
      <c r="U37" s="297">
        <v>0.923</v>
      </c>
      <c r="V37" s="298">
        <v>0.053</v>
      </c>
      <c r="W37" s="298">
        <v>0.024</v>
      </c>
      <c r="X37" s="298">
        <v>0.99</v>
      </c>
      <c r="Y37" s="299"/>
      <c r="Z37" s="300"/>
      <c r="AA37" s="301"/>
      <c r="AB37" s="299" t="s">
        <v>149</v>
      </c>
      <c r="AC37" s="300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301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62">
        <f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Monitored"")"),45264.0)</f>
        <v>45264</v>
      </c>
      <c r="AF37" s="263">
        <f>IFERROR(__xludf.DUMMYFUNCTION("IFERROR(INDEX(IMPORTRANGE(""https://docs.google.com/spreadsheets/d/1fpsE_0655xguD48cGK6n1ZqSLnI-tw9aHzhbPM9kZ-k/edit#gid=0"", ""Monitoring Summary!E:E""),MATCH(D37,IMPORTRANGE(""https://docs.google.com/spreadsheets/d/1fpsE_0655xguD48cGK6n1ZqSLnI-tw9aHzhbP"&amp;"M9kZ-k/edit#gid=0"", ""Monitoring Summary!C:C""),0)),""Not Monitored"")"),0.0)</f>
        <v>0</v>
      </c>
      <c r="AG37" s="264">
        <f t="shared" si="1"/>
        <v>0</v>
      </c>
      <c r="AH37" s="265" t="s">
        <v>285</v>
      </c>
    </row>
    <row r="38" ht="15.75" customHeight="1">
      <c r="A38" s="286">
        <v>2016.0</v>
      </c>
      <c r="B38" s="287">
        <v>42559.0</v>
      </c>
      <c r="C38" s="290" t="s">
        <v>286</v>
      </c>
      <c r="D38" s="289" t="s">
        <v>287</v>
      </c>
      <c r="E38" s="290" t="s">
        <v>170</v>
      </c>
      <c r="F38" s="290" t="s">
        <v>161</v>
      </c>
      <c r="G38" s="290" t="s">
        <v>34</v>
      </c>
      <c r="H38" s="288">
        <v>1000.0</v>
      </c>
      <c r="I38" s="291" t="s">
        <v>259</v>
      </c>
      <c r="J38" s="292">
        <v>24.45461</v>
      </c>
      <c r="K38" s="292">
        <v>-81.85935</v>
      </c>
      <c r="L38" s="293"/>
      <c r="M38" s="294">
        <v>42619.0</v>
      </c>
      <c r="N38" s="295">
        <v>0.956</v>
      </c>
      <c r="O38" s="296">
        <v>0.03</v>
      </c>
      <c r="P38" s="296">
        <v>0.014</v>
      </c>
      <c r="Q38" s="296">
        <v>1.0</v>
      </c>
      <c r="R38" s="296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95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294">
        <v>42867.0</v>
      </c>
      <c r="U38" s="297">
        <v>0.874</v>
      </c>
      <c r="V38" s="298">
        <v>0.032</v>
      </c>
      <c r="W38" s="298">
        <v>0.094</v>
      </c>
      <c r="X38" s="298">
        <v>0.99</v>
      </c>
      <c r="Y38" s="299"/>
      <c r="Z38" s="300"/>
      <c r="AA38" s="301"/>
      <c r="AB38" s="371">
        <v>44403.0</v>
      </c>
      <c r="AC38" s="300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301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328">
        <f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Monitored"")"),45294.0)</f>
        <v>45294</v>
      </c>
      <c r="AF38" s="329">
        <f>IFERROR(__xludf.DUMMYFUNCTION("IFERROR(INDEX(IMPORTRANGE(""https://docs.google.com/spreadsheets/d/1fpsE_0655xguD48cGK6n1ZqSLnI-tw9aHzhbPM9kZ-k/edit#gid=0"", ""Monitoring Summary!E:E""),MATCH(D38,IMPORTRANGE(""https://docs.google.com/spreadsheets/d/1fpsE_0655xguD48cGK6n1ZqSLnI-tw9aHzhbP"&amp;"M9kZ-k/edit#gid=0"", ""Monitoring Summary!C:C""),0)),""Not Monitored"")"),0.0)</f>
        <v>0</v>
      </c>
      <c r="AG38" s="330">
        <f t="shared" si="1"/>
        <v>0</v>
      </c>
      <c r="AH38" s="331" t="s">
        <v>288</v>
      </c>
    </row>
    <row r="39" ht="15.75" customHeight="1">
      <c r="A39" s="290">
        <v>2016.0</v>
      </c>
      <c r="B39" s="322">
        <v>42572.0</v>
      </c>
      <c r="C39" s="325" t="s">
        <v>246</v>
      </c>
      <c r="D39" s="324" t="s">
        <v>289</v>
      </c>
      <c r="E39" s="325" t="s">
        <v>170</v>
      </c>
      <c r="F39" s="290" t="s">
        <v>186</v>
      </c>
      <c r="G39" s="290" t="s">
        <v>37</v>
      </c>
      <c r="H39" s="325">
        <v>500.0</v>
      </c>
      <c r="I39" s="303" t="s">
        <v>290</v>
      </c>
      <c r="J39" s="326">
        <v>24.55279</v>
      </c>
      <c r="K39" s="326">
        <v>-81.38232</v>
      </c>
      <c r="L39" s="351"/>
      <c r="M39" s="350">
        <v>42629.0</v>
      </c>
      <c r="N39" s="255">
        <v>0.916</v>
      </c>
      <c r="O39" s="256">
        <v>0.074</v>
      </c>
      <c r="P39" s="256">
        <v>0.01</v>
      </c>
      <c r="Q39" s="256">
        <v>1.0</v>
      </c>
      <c r="R39" s="256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55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271">
        <v>42830.0</v>
      </c>
      <c r="U39" s="257">
        <v>0.858</v>
      </c>
      <c r="V39" s="258">
        <v>0.142</v>
      </c>
      <c r="W39" s="258">
        <v>0.0</v>
      </c>
      <c r="X39" s="258">
        <v>1.0</v>
      </c>
      <c r="Y39" s="259"/>
      <c r="Z39" s="260"/>
      <c r="AA39" s="261"/>
      <c r="AB39" s="259" t="s">
        <v>149</v>
      </c>
      <c r="AC39" s="260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61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62">
        <f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Monitored"")"),45302.0)</f>
        <v>45302</v>
      </c>
      <c r="AF39" s="263">
        <f>IFERROR(__xludf.DUMMYFUNCTION("IFERROR(INDEX(IMPORTRANGE(""https://docs.google.com/spreadsheets/d/1fpsE_0655xguD48cGK6n1ZqSLnI-tw9aHzhbPM9kZ-k/edit#gid=0"", ""Monitoring Summary!E:E""),MATCH(D39,IMPORTRANGE(""https://docs.google.com/spreadsheets/d/1fpsE_0655xguD48cGK6n1ZqSLnI-tw9aHzhbP"&amp;"M9kZ-k/edit#gid=0"", ""Monitoring Summary!C:C""),0)),""Not Monitored"")"),0.0)</f>
        <v>0</v>
      </c>
      <c r="AG39" s="264">
        <f t="shared" si="1"/>
        <v>0</v>
      </c>
      <c r="AH39" s="265" t="s">
        <v>291</v>
      </c>
    </row>
    <row r="40" ht="15.75" customHeight="1">
      <c r="A40" s="286">
        <v>2016.0</v>
      </c>
      <c r="B40" s="287">
        <v>42591.0</v>
      </c>
      <c r="C40" s="290" t="s">
        <v>292</v>
      </c>
      <c r="D40" s="289" t="s">
        <v>293</v>
      </c>
      <c r="E40" s="290" t="s">
        <v>170</v>
      </c>
      <c r="F40" s="290" t="s">
        <v>161</v>
      </c>
      <c r="G40" s="290" t="s">
        <v>34</v>
      </c>
      <c r="H40" s="288">
        <v>1000.0</v>
      </c>
      <c r="I40" s="291" t="s">
        <v>259</v>
      </c>
      <c r="J40" s="292">
        <v>24.4591</v>
      </c>
      <c r="K40" s="292">
        <v>-81.84433</v>
      </c>
      <c r="L40" s="293"/>
      <c r="M40" s="294">
        <v>42641.0</v>
      </c>
      <c r="N40" s="295">
        <v>0.952</v>
      </c>
      <c r="O40" s="296">
        <v>0.04</v>
      </c>
      <c r="P40" s="296">
        <v>0.008</v>
      </c>
      <c r="Q40" s="296">
        <v>1.0</v>
      </c>
      <c r="R40" s="296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95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294">
        <v>42870.0</v>
      </c>
      <c r="U40" s="297">
        <v>0.891</v>
      </c>
      <c r="V40" s="298">
        <v>0.10200000000000001</v>
      </c>
      <c r="W40" s="298">
        <v>0.007</v>
      </c>
      <c r="X40" s="298">
        <v>0.97</v>
      </c>
      <c r="Y40" s="299"/>
      <c r="Z40" s="300"/>
      <c r="AA40" s="301"/>
      <c r="AB40" s="371">
        <v>44413.0</v>
      </c>
      <c r="AC40" s="300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301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262">
        <f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Monitored"")"),45293.0)</f>
        <v>45293</v>
      </c>
      <c r="AF40" s="263">
        <f>IFERROR(__xludf.DUMMYFUNCTION("IFERROR(INDEX(IMPORTRANGE(""https://docs.google.com/spreadsheets/d/1fpsE_0655xguD48cGK6n1ZqSLnI-tw9aHzhbPM9kZ-k/edit#gid=0"", ""Monitoring Summary!E:E""),MATCH(D40,IMPORTRANGE(""https://docs.google.com/spreadsheets/d/1fpsE_0655xguD48cGK6n1ZqSLnI-tw9aHzhbP"&amp;"M9kZ-k/edit#gid=0"", ""Monitoring Summary!C:C""),0)),""Not Monitored"")"),0.0)</f>
        <v>0</v>
      </c>
      <c r="AG40" s="264">
        <f t="shared" si="1"/>
        <v>0</v>
      </c>
      <c r="AH40" s="265" t="s">
        <v>294</v>
      </c>
    </row>
    <row r="41" ht="15.75" customHeight="1">
      <c r="A41" s="286">
        <v>2016.0</v>
      </c>
      <c r="B41" s="287">
        <v>42600.0</v>
      </c>
      <c r="C41" s="290" t="s">
        <v>275</v>
      </c>
      <c r="D41" s="289" t="s">
        <v>295</v>
      </c>
      <c r="E41" s="290" t="s">
        <v>170</v>
      </c>
      <c r="F41" s="290" t="s">
        <v>161</v>
      </c>
      <c r="G41" s="338" t="s">
        <v>37</v>
      </c>
      <c r="H41" s="288">
        <v>1000.0</v>
      </c>
      <c r="I41" s="291" t="s">
        <v>259</v>
      </c>
      <c r="J41" s="292">
        <v>24.5384</v>
      </c>
      <c r="K41" s="292">
        <v>-81.4535</v>
      </c>
      <c r="L41" s="323" t="s">
        <v>296</v>
      </c>
      <c r="M41" s="294">
        <v>42632.0</v>
      </c>
      <c r="N41" s="295">
        <v>0.9390000000000001</v>
      </c>
      <c r="O41" s="296">
        <v>0.045</v>
      </c>
      <c r="P41" s="296">
        <v>0.016</v>
      </c>
      <c r="Q41" s="296">
        <v>0.995</v>
      </c>
      <c r="R41" s="296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95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294">
        <v>42807.0</v>
      </c>
      <c r="U41" s="297">
        <v>0.894</v>
      </c>
      <c r="V41" s="298">
        <v>0.067</v>
      </c>
      <c r="W41" s="298">
        <v>0.039</v>
      </c>
      <c r="X41" s="298">
        <v>0.99</v>
      </c>
      <c r="Y41" s="299"/>
      <c r="Z41" s="300"/>
      <c r="AA41" s="301"/>
      <c r="AB41" s="371">
        <v>44484.0</v>
      </c>
      <c r="AC41" s="300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301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262">
        <f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Monitored"")"),45247.0)</f>
        <v>45247</v>
      </c>
      <c r="AF41" s="263">
        <f>IFERROR(__xludf.DUMMYFUNCTION("IFERROR(INDEX(IMPORTRANGE(""https://docs.google.com/spreadsheets/d/1fpsE_0655xguD48cGK6n1ZqSLnI-tw9aHzhbPM9kZ-k/edit#gid=0"", ""Monitoring Summary!E:E""),MATCH(D41,IMPORTRANGE(""https://docs.google.com/spreadsheets/d/1fpsE_0655xguD48cGK6n1ZqSLnI-tw9aHzhbP"&amp;"M9kZ-k/edit#gid=0"", ""Monitoring Summary!C:C""),0)),""Not Monitored"")"),0.0)</f>
        <v>0</v>
      </c>
      <c r="AG41" s="264">
        <f t="shared" si="1"/>
        <v>0</v>
      </c>
      <c r="AH41" s="265" t="s">
        <v>297</v>
      </c>
    </row>
    <row r="42" ht="16.5" customHeight="1">
      <c r="A42" s="286">
        <v>2016.0</v>
      </c>
      <c r="B42" s="287">
        <v>42601.0</v>
      </c>
      <c r="C42" s="290" t="s">
        <v>172</v>
      </c>
      <c r="D42" s="289" t="s">
        <v>298</v>
      </c>
      <c r="E42" s="290" t="s">
        <v>170</v>
      </c>
      <c r="F42" s="290" t="s">
        <v>161</v>
      </c>
      <c r="G42" s="290" t="s">
        <v>37</v>
      </c>
      <c r="H42" s="290">
        <v>500.0</v>
      </c>
      <c r="I42" s="303" t="s">
        <v>299</v>
      </c>
      <c r="J42" s="292">
        <v>24.55318</v>
      </c>
      <c r="K42" s="292">
        <v>-81.37942</v>
      </c>
      <c r="L42" s="323" t="s">
        <v>296</v>
      </c>
      <c r="M42" s="294">
        <v>42632.0</v>
      </c>
      <c r="N42" s="295">
        <v>0.974</v>
      </c>
      <c r="O42" s="296">
        <v>0.006</v>
      </c>
      <c r="P42" s="296">
        <v>0.02</v>
      </c>
      <c r="Q42" s="296">
        <v>1.0</v>
      </c>
      <c r="R42" s="296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95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294">
        <v>42803.0</v>
      </c>
      <c r="U42" s="297">
        <v>0.926</v>
      </c>
      <c r="V42" s="298">
        <v>0.01</v>
      </c>
      <c r="W42" s="298">
        <v>0.064</v>
      </c>
      <c r="X42" s="298">
        <v>1.0</v>
      </c>
      <c r="Y42" s="299"/>
      <c r="Z42" s="300"/>
      <c r="AA42" s="301"/>
      <c r="AB42" s="371">
        <v>44484.0</v>
      </c>
      <c r="AC42" s="300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301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305" t="str">
        <f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F42" s="263" t="str">
        <f>IFERROR(__xludf.DUMMYFUNCTION("IFERROR(INDEX(IMPORTRANGE(""https://docs.google.com/spreadsheets/d/1fpsE_0655xguD48cGK6n1ZqSLnI-tw9aHzhbPM9kZ-k/edit#gid=0"", ""Monitoring Summary!E:E""),MATCH(D42,IMPORTRANGE(""https://docs.google.com/spreadsheets/d/1fpsE_0655xguD48cGK6n1ZqSLnI-tw9aHzhbP"&amp;"M9kZ-k/edit#gid=0"", ""Monitoring Summary!C:C""),0)),""Not Monitored"")"),"Not Monitored")</f>
        <v>Not Monitored</v>
      </c>
      <c r="AG42" s="264" t="str">
        <f t="shared" si="1"/>
        <v>Not Monitored</v>
      </c>
      <c r="AH42" s="265" t="s">
        <v>300</v>
      </c>
    </row>
    <row r="43" ht="15.75" customHeight="1">
      <c r="A43" s="286">
        <v>2016.0</v>
      </c>
      <c r="B43" s="287">
        <v>42618.0</v>
      </c>
      <c r="C43" s="290" t="s">
        <v>292</v>
      </c>
      <c r="D43" s="289" t="s">
        <v>301</v>
      </c>
      <c r="E43" s="290" t="s">
        <v>170</v>
      </c>
      <c r="F43" s="290" t="s">
        <v>161</v>
      </c>
      <c r="G43" s="338" t="s">
        <v>37</v>
      </c>
      <c r="H43" s="288">
        <v>1000.0</v>
      </c>
      <c r="I43" s="291" t="s">
        <v>281</v>
      </c>
      <c r="J43" s="292">
        <v>24.45928</v>
      </c>
      <c r="K43" s="292">
        <v>-81.84386</v>
      </c>
      <c r="L43" s="293"/>
      <c r="M43" s="294">
        <v>42641.0</v>
      </c>
      <c r="N43" s="295">
        <v>0.977</v>
      </c>
      <c r="O43" s="296">
        <v>0.019999999999999997</v>
      </c>
      <c r="P43" s="296">
        <v>0.003</v>
      </c>
      <c r="Q43" s="296">
        <v>0.995</v>
      </c>
      <c r="R43" s="296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95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294">
        <v>42870.0</v>
      </c>
      <c r="U43" s="297">
        <v>0.937</v>
      </c>
      <c r="V43" s="298">
        <v>0.049999999999999996</v>
      </c>
      <c r="W43" s="298">
        <v>0.013</v>
      </c>
      <c r="X43" s="298">
        <v>0.99</v>
      </c>
      <c r="Y43" s="299"/>
      <c r="Z43" s="300"/>
      <c r="AA43" s="301"/>
      <c r="AB43" s="371">
        <v>44439.0</v>
      </c>
      <c r="AC43" s="300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301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262">
        <f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Monitored"")"),45294.0)</f>
        <v>45294</v>
      </c>
      <c r="AF43" s="263">
        <f>IFERROR(__xludf.DUMMYFUNCTION("IFERROR(INDEX(IMPORTRANGE(""https://docs.google.com/spreadsheets/d/1fpsE_0655xguD48cGK6n1ZqSLnI-tw9aHzhbPM9kZ-k/edit#gid=0"", ""Monitoring Summary!E:E""),MATCH(D43,IMPORTRANGE(""https://docs.google.com/spreadsheets/d/1fpsE_0655xguD48cGK6n1ZqSLnI-tw9aHzhbP"&amp;"M9kZ-k/edit#gid=0"", ""Monitoring Summary!C:C""),0)),""Not Monitored"")"),0.0)</f>
        <v>0</v>
      </c>
      <c r="AG43" s="264">
        <f t="shared" si="1"/>
        <v>0</v>
      </c>
      <c r="AH43" s="265" t="s">
        <v>302</v>
      </c>
    </row>
    <row r="44" ht="15.75" customHeight="1">
      <c r="A44" s="308">
        <v>2016.0</v>
      </c>
      <c r="B44" s="307">
        <v>42620.0</v>
      </c>
      <c r="C44" s="308" t="s">
        <v>286</v>
      </c>
      <c r="D44" s="309" t="s">
        <v>303</v>
      </c>
      <c r="E44" s="308" t="s">
        <v>170</v>
      </c>
      <c r="F44" s="308" t="s">
        <v>161</v>
      </c>
      <c r="G44" s="372" t="s">
        <v>37</v>
      </c>
      <c r="H44" s="310">
        <v>1000.0</v>
      </c>
      <c r="I44" s="311" t="s">
        <v>281</v>
      </c>
      <c r="J44" s="312">
        <v>24.45447</v>
      </c>
      <c r="K44" s="312">
        <v>-81.85912</v>
      </c>
      <c r="L44" s="313"/>
      <c r="M44" s="314">
        <v>42641.0</v>
      </c>
      <c r="N44" s="315">
        <v>0.995</v>
      </c>
      <c r="O44" s="316">
        <v>0.004</v>
      </c>
      <c r="P44" s="316">
        <v>0.001</v>
      </c>
      <c r="Q44" s="316">
        <v>1.0</v>
      </c>
      <c r="R44" s="316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315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314">
        <v>42870.0</v>
      </c>
      <c r="U44" s="317">
        <v>0.978</v>
      </c>
      <c r="V44" s="318">
        <v>0.008</v>
      </c>
      <c r="W44" s="318">
        <v>0.014</v>
      </c>
      <c r="X44" s="318">
        <v>1.0</v>
      </c>
      <c r="Y44" s="319"/>
      <c r="Z44" s="320"/>
      <c r="AA44" s="321"/>
      <c r="AB44" s="373">
        <v>44403.0</v>
      </c>
      <c r="AC44" s="320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321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328">
        <f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Monitored"")"),45294.0)</f>
        <v>45294</v>
      </c>
      <c r="AF44" s="329">
        <f>IFERROR(__xludf.DUMMYFUNCTION("IFERROR(INDEX(IMPORTRANGE(""https://docs.google.com/spreadsheets/d/1fpsE_0655xguD48cGK6n1ZqSLnI-tw9aHzhbPM9kZ-k/edit#gid=0"", ""Monitoring Summary!E:E""),MATCH(D44,IMPORTRANGE(""https://docs.google.com/spreadsheets/d/1fpsE_0655xguD48cGK6n1ZqSLnI-tw9aHzhbP"&amp;"M9kZ-k/edit#gid=0"", ""Monitoring Summary!C:C""),0)),""Not Monitored"")"),0.0)</f>
        <v>0</v>
      </c>
      <c r="AG44" s="330">
        <f t="shared" si="1"/>
        <v>0</v>
      </c>
      <c r="AH44" s="331" t="s">
        <v>304</v>
      </c>
    </row>
    <row r="45" ht="15.75" customHeight="1">
      <c r="A45" s="286">
        <v>2017.0</v>
      </c>
      <c r="B45" s="287">
        <v>42864.0</v>
      </c>
      <c r="C45" s="290" t="s">
        <v>168</v>
      </c>
      <c r="D45" s="289" t="s">
        <v>305</v>
      </c>
      <c r="E45" s="290" t="s">
        <v>170</v>
      </c>
      <c r="F45" s="290" t="s">
        <v>161</v>
      </c>
      <c r="G45" s="290" t="s">
        <v>38</v>
      </c>
      <c r="H45" s="288">
        <v>1000.0</v>
      </c>
      <c r="I45" s="303" t="s">
        <v>306</v>
      </c>
      <c r="J45" s="292">
        <v>24.52272</v>
      </c>
      <c r="K45" s="292">
        <v>-81.51727</v>
      </c>
      <c r="L45" s="293"/>
      <c r="M45" s="294">
        <v>42914.0</v>
      </c>
      <c r="N45" s="295">
        <v>0.998</v>
      </c>
      <c r="O45" s="296">
        <v>0.001</v>
      </c>
      <c r="P45" s="296">
        <v>0.001</v>
      </c>
      <c r="Q45" s="296">
        <v>1.0</v>
      </c>
      <c r="R45" s="296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95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294">
        <v>43227.0</v>
      </c>
      <c r="U45" s="297">
        <v>0.020000000000000018</v>
      </c>
      <c r="V45" s="298">
        <v>0.071</v>
      </c>
      <c r="W45" s="298">
        <v>0.909</v>
      </c>
      <c r="X45" s="298">
        <v>0.075</v>
      </c>
      <c r="Y45" s="299"/>
      <c r="Z45" s="300"/>
      <c r="AA45" s="301"/>
      <c r="AB45" s="299" t="s">
        <v>149</v>
      </c>
      <c r="AC45" s="300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301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62">
        <f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Monitored"")"),45264.0)</f>
        <v>45264</v>
      </c>
      <c r="AF45" s="263">
        <f>IFERROR(__xludf.DUMMYFUNCTION("IFERROR(INDEX(IMPORTRANGE(""https://docs.google.com/spreadsheets/d/1fpsE_0655xguD48cGK6n1ZqSLnI-tw9aHzhbPM9kZ-k/edit#gid=0"", ""Monitoring Summary!E:E""),MATCH(D45,IMPORTRANGE(""https://docs.google.com/spreadsheets/d/1fpsE_0655xguD48cGK6n1ZqSLnI-tw9aHzhbP"&amp;"M9kZ-k/edit#gid=0"", ""Monitoring Summary!C:C""),0)),""Not Monitored"")"),0.0)</f>
        <v>0</v>
      </c>
      <c r="AG45" s="264">
        <f t="shared" si="1"/>
        <v>0</v>
      </c>
      <c r="AH45" s="265" t="s">
        <v>307</v>
      </c>
    </row>
    <row r="46" ht="15.75" customHeight="1">
      <c r="A46" s="286">
        <v>2017.0</v>
      </c>
      <c r="B46" s="287">
        <v>42896.0</v>
      </c>
      <c r="C46" s="290" t="s">
        <v>275</v>
      </c>
      <c r="D46" s="289" t="s">
        <v>308</v>
      </c>
      <c r="E46" s="290" t="s">
        <v>170</v>
      </c>
      <c r="F46" s="290" t="s">
        <v>161</v>
      </c>
      <c r="G46" s="290" t="s">
        <v>38</v>
      </c>
      <c r="H46" s="288">
        <v>1000.0</v>
      </c>
      <c r="I46" s="291" t="s">
        <v>284</v>
      </c>
      <c r="J46" s="292">
        <v>24.53848</v>
      </c>
      <c r="K46" s="292">
        <v>-81.45287</v>
      </c>
      <c r="L46" s="293"/>
      <c r="M46" s="294">
        <v>42928.0</v>
      </c>
      <c r="N46" s="295">
        <v>0.981</v>
      </c>
      <c r="O46" s="296">
        <v>0.003</v>
      </c>
      <c r="P46" s="296">
        <v>0.016</v>
      </c>
      <c r="Q46" s="296">
        <v>1.0</v>
      </c>
      <c r="R46" s="296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95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294">
        <v>43201.0</v>
      </c>
      <c r="U46" s="297">
        <v>0.0040000000000000036</v>
      </c>
      <c r="V46" s="298">
        <v>0.038</v>
      </c>
      <c r="W46" s="298">
        <v>0.958</v>
      </c>
      <c r="X46" s="298">
        <v>0.01</v>
      </c>
      <c r="Y46" s="299"/>
      <c r="Z46" s="300"/>
      <c r="AA46" s="301"/>
      <c r="AB46" s="299" t="s">
        <v>149</v>
      </c>
      <c r="AC46" s="300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301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62">
        <f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Monitored"")"),45247.0)</f>
        <v>45247</v>
      </c>
      <c r="AF46" s="263">
        <f>IFERROR(__xludf.DUMMYFUNCTION("IFERROR(INDEX(IMPORTRANGE(""https://docs.google.com/spreadsheets/d/1fpsE_0655xguD48cGK6n1ZqSLnI-tw9aHzhbPM9kZ-k/edit#gid=0"", ""Monitoring Summary!E:E""),MATCH(D46,IMPORTRANGE(""https://docs.google.com/spreadsheets/d/1fpsE_0655xguD48cGK6n1ZqSLnI-tw9aHzhbP"&amp;"M9kZ-k/edit#gid=0"", ""Monitoring Summary!C:C""),0)),""Not Monitored"")"),0.0)</f>
        <v>0</v>
      </c>
      <c r="AG46" s="264">
        <f t="shared" si="1"/>
        <v>0</v>
      </c>
      <c r="AH46" s="265" t="s">
        <v>309</v>
      </c>
    </row>
    <row r="47" ht="15.75" customHeight="1">
      <c r="A47" s="286">
        <v>2017.0</v>
      </c>
      <c r="B47" s="322">
        <v>42913.0</v>
      </c>
      <c r="C47" s="325" t="s">
        <v>246</v>
      </c>
      <c r="D47" s="289" t="s">
        <v>310</v>
      </c>
      <c r="E47" s="325" t="s">
        <v>272</v>
      </c>
      <c r="F47" s="290" t="s">
        <v>186</v>
      </c>
      <c r="G47" s="290" t="s">
        <v>38</v>
      </c>
      <c r="H47" s="325">
        <v>500.0</v>
      </c>
      <c r="I47" s="303" t="s">
        <v>299</v>
      </c>
      <c r="J47" s="326">
        <v>24.55286</v>
      </c>
      <c r="K47" s="326">
        <v>-81.38219</v>
      </c>
      <c r="L47" s="351"/>
      <c r="M47" s="271">
        <v>42948.0</v>
      </c>
      <c r="N47" s="255">
        <v>0.9319999999999999</v>
      </c>
      <c r="O47" s="256">
        <v>0.046</v>
      </c>
      <c r="P47" s="256">
        <v>0.022</v>
      </c>
      <c r="Q47" s="256">
        <v>1.0</v>
      </c>
      <c r="R47" s="256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55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271">
        <v>43228.0</v>
      </c>
      <c r="U47" s="257">
        <v>0.0</v>
      </c>
      <c r="V47" s="258">
        <v>0.0</v>
      </c>
      <c r="W47" s="258">
        <v>1.0</v>
      </c>
      <c r="X47" s="258">
        <v>0.0</v>
      </c>
      <c r="Y47" s="259"/>
      <c r="Z47" s="260"/>
      <c r="AA47" s="261"/>
      <c r="AB47" s="259" t="s">
        <v>149</v>
      </c>
      <c r="AC47" s="260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61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62">
        <f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Monitored"")"),45302.0)</f>
        <v>45302</v>
      </c>
      <c r="AF47" s="263">
        <f>IFERROR(__xludf.DUMMYFUNCTION("IFERROR(INDEX(IMPORTRANGE(""https://docs.google.com/spreadsheets/d/1fpsE_0655xguD48cGK6n1ZqSLnI-tw9aHzhbPM9kZ-k/edit#gid=0"", ""Monitoring Summary!E:E""),MATCH(D47,IMPORTRANGE(""https://docs.google.com/spreadsheets/d/1fpsE_0655xguD48cGK6n1ZqSLnI-tw9aHzhbP"&amp;"M9kZ-k/edit#gid=0"", ""Monitoring Summary!C:C""),0)),""Not Monitored"")"),0.0)</f>
        <v>0</v>
      </c>
      <c r="AG47" s="264">
        <f t="shared" si="1"/>
        <v>0</v>
      </c>
      <c r="AH47" s="265" t="s">
        <v>311</v>
      </c>
    </row>
    <row r="48" ht="15.75" customHeight="1">
      <c r="A48" s="340">
        <v>2017.0</v>
      </c>
      <c r="B48" s="341">
        <v>42919.0</v>
      </c>
      <c r="C48" s="250" t="s">
        <v>242</v>
      </c>
      <c r="D48" s="267" t="s">
        <v>312</v>
      </c>
      <c r="E48" s="250" t="s">
        <v>244</v>
      </c>
      <c r="F48" s="250" t="s">
        <v>161</v>
      </c>
      <c r="G48" s="250" t="s">
        <v>38</v>
      </c>
      <c r="H48" s="343">
        <v>500.0</v>
      </c>
      <c r="I48" s="344" t="s">
        <v>313</v>
      </c>
      <c r="J48" s="342">
        <v>24.55178</v>
      </c>
      <c r="K48" s="342">
        <v>-81.38648</v>
      </c>
      <c r="L48" s="351"/>
      <c r="M48" s="350">
        <v>42948.0</v>
      </c>
      <c r="N48" s="255">
        <v>0.946</v>
      </c>
      <c r="O48" s="256">
        <v>0.046</v>
      </c>
      <c r="P48" s="256">
        <v>0.008</v>
      </c>
      <c r="Q48" s="256">
        <v>1.0</v>
      </c>
      <c r="R48" s="256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55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271">
        <v>43228.0</v>
      </c>
      <c r="U48" s="257">
        <v>0.018000000000000016</v>
      </c>
      <c r="V48" s="258">
        <v>0.02</v>
      </c>
      <c r="W48" s="258">
        <v>0.962</v>
      </c>
      <c r="X48" s="258">
        <v>0.05</v>
      </c>
      <c r="Y48" s="259"/>
      <c r="Z48" s="260"/>
      <c r="AA48" s="261"/>
      <c r="AB48" s="259" t="s">
        <v>149</v>
      </c>
      <c r="AC48" s="260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61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62" t="str">
        <f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F48" s="263" t="str">
        <f>IFERROR(__xludf.DUMMYFUNCTION("IFERROR(INDEX(IMPORTRANGE(""https://docs.google.com/spreadsheets/d/1fpsE_0655xguD48cGK6n1ZqSLnI-tw9aHzhbPM9kZ-k/edit#gid=0"", ""Monitoring Summary!E:E""),MATCH(D48,IMPORTRANGE(""https://docs.google.com/spreadsheets/d/1fpsE_0655xguD48cGK6n1ZqSLnI-tw9aHzhbP"&amp;"M9kZ-k/edit#gid=0"", ""Monitoring Summary!C:C""),0)),""Not Monitored"")"),"Not Monitored")</f>
        <v>Not Monitored</v>
      </c>
      <c r="AG48" s="264" t="str">
        <f t="shared" si="1"/>
        <v>Not Monitored</v>
      </c>
      <c r="AH48" s="265" t="s">
        <v>314</v>
      </c>
    </row>
    <row r="49" ht="15.75" customHeight="1">
      <c r="A49" s="286">
        <v>2017.0</v>
      </c>
      <c r="B49" s="287">
        <v>42922.0</v>
      </c>
      <c r="C49" s="290" t="s">
        <v>268</v>
      </c>
      <c r="D49" s="289" t="s">
        <v>315</v>
      </c>
      <c r="E49" s="290" t="s">
        <v>170</v>
      </c>
      <c r="F49" s="290" t="s">
        <v>161</v>
      </c>
      <c r="G49" s="290" t="s">
        <v>38</v>
      </c>
      <c r="H49" s="288">
        <v>500.0</v>
      </c>
      <c r="I49" s="291" t="s">
        <v>316</v>
      </c>
      <c r="J49" s="292">
        <v>24.45168</v>
      </c>
      <c r="K49" s="292">
        <v>-81.87829</v>
      </c>
      <c r="L49" s="293"/>
      <c r="M49" s="294">
        <v>43006.0</v>
      </c>
      <c r="N49" s="295">
        <v>0.29200000000000004</v>
      </c>
      <c r="O49" s="296">
        <v>0.42200000000000004</v>
      </c>
      <c r="P49" s="296">
        <v>0.286</v>
      </c>
      <c r="Q49" s="296">
        <v>0.62</v>
      </c>
      <c r="R49" s="296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95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294">
        <v>43236.0</v>
      </c>
      <c r="U49" s="297">
        <v>0.28800000000000003</v>
      </c>
      <c r="V49" s="298">
        <v>0.378</v>
      </c>
      <c r="W49" s="298">
        <v>0.334</v>
      </c>
      <c r="X49" s="298">
        <v>0.59</v>
      </c>
      <c r="Y49" s="371">
        <v>43993.0</v>
      </c>
      <c r="Z49" s="300">
        <v>101.0</v>
      </c>
      <c r="AA49" s="301">
        <v>6.960650045855431</v>
      </c>
      <c r="AB49" s="371">
        <v>44790.0</v>
      </c>
      <c r="AC49" s="300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301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262">
        <f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Monitored"")"),45259.0)</f>
        <v>45259</v>
      </c>
      <c r="AF49" s="263">
        <f>IFERROR(__xludf.DUMMYFUNCTION("IFERROR(INDEX(IMPORTRANGE(""https://docs.google.com/spreadsheets/d/1fpsE_0655xguD48cGK6n1ZqSLnI-tw9aHzhbPM9kZ-k/edit#gid=0"", ""Monitoring Summary!E:E""),MATCH(D49,IMPORTRANGE(""https://docs.google.com/spreadsheets/d/1fpsE_0655xguD48cGK6n1ZqSLnI-tw9aHzhbP"&amp;"M9kZ-k/edit#gid=0"", ""Monitoring Summary!C:C""),0)),""Not Monitored"")"),0.0)</f>
        <v>0</v>
      </c>
      <c r="AG49" s="264">
        <f t="shared" si="1"/>
        <v>0</v>
      </c>
      <c r="AH49" s="265" t="s">
        <v>317</v>
      </c>
    </row>
    <row r="50" ht="15.75" customHeight="1">
      <c r="A50" s="290">
        <v>2017.0</v>
      </c>
      <c r="B50" s="287">
        <v>42942.0</v>
      </c>
      <c r="C50" s="288" t="s">
        <v>318</v>
      </c>
      <c r="D50" s="289" t="s">
        <v>319</v>
      </c>
      <c r="E50" s="290" t="s">
        <v>170</v>
      </c>
      <c r="F50" s="290" t="s">
        <v>161</v>
      </c>
      <c r="G50" s="290" t="s">
        <v>39</v>
      </c>
      <c r="H50" s="288">
        <v>750.0</v>
      </c>
      <c r="I50" s="291" t="s">
        <v>162</v>
      </c>
      <c r="J50" s="292">
        <v>24.52646</v>
      </c>
      <c r="K50" s="292">
        <v>-81.50442</v>
      </c>
      <c r="L50" s="323" t="s">
        <v>320</v>
      </c>
      <c r="M50" s="294">
        <v>42977.0</v>
      </c>
      <c r="N50" s="295">
        <v>0.972</v>
      </c>
      <c r="O50" s="296">
        <v>0.006666666666666667</v>
      </c>
      <c r="P50" s="296">
        <v>0.021333333333333333</v>
      </c>
      <c r="Q50" s="296">
        <v>1.0</v>
      </c>
      <c r="R50" s="296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95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294">
        <v>43228.0</v>
      </c>
      <c r="U50" s="297">
        <v>0.002666666666666706</v>
      </c>
      <c r="V50" s="298">
        <v>0.0026666666666666666</v>
      </c>
      <c r="W50" s="298">
        <v>0.9946666666666667</v>
      </c>
      <c r="X50" s="298">
        <v>0.006666666666666667</v>
      </c>
      <c r="Y50" s="299"/>
      <c r="Z50" s="300" t="s">
        <v>321</v>
      </c>
      <c r="AA50" s="301" t="s">
        <v>321</v>
      </c>
      <c r="AB50" s="299" t="s">
        <v>149</v>
      </c>
      <c r="AC50" s="300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301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62">
        <f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Monitored"")"),45265.0)</f>
        <v>45265</v>
      </c>
      <c r="AF50" s="263">
        <f>IFERROR(__xludf.DUMMYFUNCTION("IFERROR(INDEX(IMPORTRANGE(""https://docs.google.com/spreadsheets/d/1fpsE_0655xguD48cGK6n1ZqSLnI-tw9aHzhbPM9kZ-k/edit#gid=0"", ""Monitoring Summary!E:E""),MATCH(D50,IMPORTRANGE(""https://docs.google.com/spreadsheets/d/1fpsE_0655xguD48cGK6n1ZqSLnI-tw9aHzhbP"&amp;"M9kZ-k/edit#gid=0"", ""Monitoring Summary!C:C""),0)),""Not Monitored"")"),0.0)</f>
        <v>0</v>
      </c>
      <c r="AG50" s="264">
        <f t="shared" si="1"/>
        <v>0</v>
      </c>
      <c r="AH50" s="265" t="s">
        <v>322</v>
      </c>
    </row>
    <row r="51" ht="15.75" customHeight="1">
      <c r="A51" s="290">
        <v>2017.0</v>
      </c>
      <c r="B51" s="287">
        <v>42943.0</v>
      </c>
      <c r="C51" s="290" t="s">
        <v>286</v>
      </c>
      <c r="D51" s="289" t="s">
        <v>323</v>
      </c>
      <c r="E51" s="290" t="s">
        <v>170</v>
      </c>
      <c r="F51" s="290" t="s">
        <v>161</v>
      </c>
      <c r="G51" s="290" t="s">
        <v>38</v>
      </c>
      <c r="H51" s="288">
        <v>500.0</v>
      </c>
      <c r="I51" s="291" t="s">
        <v>316</v>
      </c>
      <c r="J51" s="292">
        <v>24.45433</v>
      </c>
      <c r="K51" s="292">
        <v>-81.85763</v>
      </c>
      <c r="L51" s="293"/>
      <c r="M51" s="294">
        <v>43007.0</v>
      </c>
      <c r="N51" s="295">
        <v>0.384</v>
      </c>
      <c r="O51" s="296">
        <v>0.154</v>
      </c>
      <c r="P51" s="296">
        <v>0.462</v>
      </c>
      <c r="Q51" s="296">
        <v>0.8</v>
      </c>
      <c r="R51" s="296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95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294">
        <v>43237.0</v>
      </c>
      <c r="U51" s="297">
        <v>0.372</v>
      </c>
      <c r="V51" s="298">
        <v>0.222</v>
      </c>
      <c r="W51" s="298">
        <v>0.406</v>
      </c>
      <c r="X51" s="298">
        <v>0.75</v>
      </c>
      <c r="Y51" s="371">
        <v>43994.0</v>
      </c>
      <c r="Z51" s="300">
        <v>101.0</v>
      </c>
      <c r="AA51" s="301">
        <v>6.58931509880712</v>
      </c>
      <c r="AB51" s="371">
        <v>44760.0</v>
      </c>
      <c r="AC51" s="300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301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328">
        <f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Monitored"")"),45294.0)</f>
        <v>45294</v>
      </c>
      <c r="AF51" s="329">
        <f>IFERROR(__xludf.DUMMYFUNCTION("IFERROR(INDEX(IMPORTRANGE(""https://docs.google.com/spreadsheets/d/1fpsE_0655xguD48cGK6n1ZqSLnI-tw9aHzhbPM9kZ-k/edit#gid=0"", ""Monitoring Summary!E:E""),MATCH(D51,IMPORTRANGE(""https://docs.google.com/spreadsheets/d/1fpsE_0655xguD48cGK6n1ZqSLnI-tw9aHzhbP"&amp;"M9kZ-k/edit#gid=0"", ""Monitoring Summary!C:C""),0)),""Not Monitored"")"),0.0)</f>
        <v>0</v>
      </c>
      <c r="AG51" s="330">
        <f t="shared" si="1"/>
        <v>0</v>
      </c>
      <c r="AH51" s="331" t="s">
        <v>324</v>
      </c>
    </row>
    <row r="52" ht="15.75" customHeight="1">
      <c r="A52" s="308">
        <v>2017.0</v>
      </c>
      <c r="B52" s="307">
        <v>42944.0</v>
      </c>
      <c r="C52" s="308" t="s">
        <v>292</v>
      </c>
      <c r="D52" s="309" t="s">
        <v>325</v>
      </c>
      <c r="E52" s="308" t="s">
        <v>170</v>
      </c>
      <c r="F52" s="308" t="s">
        <v>161</v>
      </c>
      <c r="G52" s="308" t="s">
        <v>38</v>
      </c>
      <c r="H52" s="310">
        <v>500.0</v>
      </c>
      <c r="I52" s="311" t="s">
        <v>316</v>
      </c>
      <c r="J52" s="312">
        <v>24.45889</v>
      </c>
      <c r="K52" s="312">
        <v>-81.84499</v>
      </c>
      <c r="L52" s="313"/>
      <c r="M52" s="314">
        <v>43007.0</v>
      </c>
      <c r="N52" s="315">
        <v>0.398</v>
      </c>
      <c r="O52" s="316">
        <v>0.134</v>
      </c>
      <c r="P52" s="316">
        <v>0.468</v>
      </c>
      <c r="Q52" s="316">
        <v>0.76</v>
      </c>
      <c r="R52" s="316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315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314">
        <v>43237.0</v>
      </c>
      <c r="U52" s="317">
        <v>0.44599999999999995</v>
      </c>
      <c r="V52" s="318">
        <v>0.176</v>
      </c>
      <c r="W52" s="318">
        <v>0.378</v>
      </c>
      <c r="X52" s="318">
        <v>0.7</v>
      </c>
      <c r="Y52" s="373">
        <v>43994.0</v>
      </c>
      <c r="Z52" s="320">
        <v>108.0</v>
      </c>
      <c r="AA52" s="321">
        <v>7.625815608488146</v>
      </c>
      <c r="AB52" s="373">
        <v>44754.0</v>
      </c>
      <c r="AC52" s="320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321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262">
        <f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Monitored"")"),45259.0)</f>
        <v>45259</v>
      </c>
      <c r="AF52" s="263">
        <f>IFERROR(__xludf.DUMMYFUNCTION("IFERROR(INDEX(IMPORTRANGE(""https://docs.google.com/spreadsheets/d/1fpsE_0655xguD48cGK6n1ZqSLnI-tw9aHzhbPM9kZ-k/edit#gid=0"", ""Monitoring Summary!E:E""),MATCH(D52,IMPORTRANGE(""https://docs.google.com/spreadsheets/d/1fpsE_0655xguD48cGK6n1ZqSLnI-tw9aHzhbP"&amp;"M9kZ-k/edit#gid=0"", ""Monitoring Summary!C:C""),0)),""Not Monitored"")"),0.0)</f>
        <v>0</v>
      </c>
      <c r="AG52" s="264">
        <f t="shared" si="1"/>
        <v>0</v>
      </c>
      <c r="AH52" s="265" t="s">
        <v>326</v>
      </c>
    </row>
    <row r="53" ht="15.75" customHeight="1">
      <c r="A53" s="374">
        <v>2018.0</v>
      </c>
      <c r="B53" s="375">
        <v>43209.0</v>
      </c>
      <c r="C53" s="376" t="s">
        <v>327</v>
      </c>
      <c r="D53" s="377" t="s">
        <v>328</v>
      </c>
      <c r="E53" s="378" t="s">
        <v>329</v>
      </c>
      <c r="F53" s="376" t="s">
        <v>146</v>
      </c>
      <c r="G53" s="376" t="s">
        <v>41</v>
      </c>
      <c r="H53" s="379">
        <v>30.0</v>
      </c>
      <c r="I53" s="380" t="s">
        <v>147</v>
      </c>
      <c r="J53" s="381">
        <v>24.54667</v>
      </c>
      <c r="K53" s="381">
        <v>-81.40214</v>
      </c>
      <c r="L53" s="378" t="s">
        <v>330</v>
      </c>
      <c r="M53" s="294">
        <v>43238.0</v>
      </c>
      <c r="N53" s="295">
        <v>0.9333333333333333</v>
      </c>
      <c r="O53" s="296">
        <v>0.0</v>
      </c>
      <c r="P53" s="296">
        <v>0.06666666666666667</v>
      </c>
      <c r="Q53" s="296">
        <v>0.9333333333333333</v>
      </c>
      <c r="R53" s="296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95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294">
        <v>43585.0</v>
      </c>
      <c r="U53" s="297">
        <v>0.7333333333333334</v>
      </c>
      <c r="V53" s="298">
        <v>0.0</v>
      </c>
      <c r="W53" s="298">
        <v>0.26666666666666666</v>
      </c>
      <c r="X53" s="298">
        <v>0.6333333333333333</v>
      </c>
      <c r="Y53" s="371">
        <v>44299.0</v>
      </c>
      <c r="Z53" s="300">
        <v>17.0</v>
      </c>
      <c r="AA53" s="301">
        <v>5.322751456029422</v>
      </c>
      <c r="AB53" s="371">
        <v>45009.0</v>
      </c>
      <c r="AC53" s="300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301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328">
        <f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Monitored"")"),45309.0)</f>
        <v>45309</v>
      </c>
      <c r="AF53" s="329">
        <f>IFERROR(__xludf.DUMMYFUNCTION("IFERROR(INDEX(IMPORTRANGE(""https://docs.google.com/spreadsheets/d/1fpsE_0655xguD48cGK6n1ZqSLnI-tw9aHzhbPM9kZ-k/edit#gid=0"", ""Monitoring Summary!E:E""),MATCH(D53,IMPORTRANGE(""https://docs.google.com/spreadsheets/d/1fpsE_0655xguD48cGK6n1ZqSLnI-tw9aHzhbP"&amp;"M9kZ-k/edit#gid=0"", ""Monitoring Summary!C:C""),0)),""Not Monitored"")"),0.0)</f>
        <v>0</v>
      </c>
      <c r="AG53" s="330">
        <f t="shared" si="1"/>
        <v>0</v>
      </c>
      <c r="AH53" s="331" t="s">
        <v>331</v>
      </c>
    </row>
    <row r="54" ht="15.75" customHeight="1">
      <c r="A54" s="374">
        <v>2018.0</v>
      </c>
      <c r="B54" s="375">
        <v>43210.0</v>
      </c>
      <c r="C54" s="379" t="s">
        <v>332</v>
      </c>
      <c r="D54" s="377" t="s">
        <v>333</v>
      </c>
      <c r="E54" s="378" t="s">
        <v>329</v>
      </c>
      <c r="F54" s="376" t="s">
        <v>146</v>
      </c>
      <c r="G54" s="376" t="s">
        <v>41</v>
      </c>
      <c r="H54" s="379">
        <v>30.0</v>
      </c>
      <c r="I54" s="380" t="s">
        <v>147</v>
      </c>
      <c r="J54" s="381">
        <v>24.58908</v>
      </c>
      <c r="K54" s="381">
        <v>-81.24203</v>
      </c>
      <c r="L54" s="378" t="s">
        <v>330</v>
      </c>
      <c r="M54" s="294">
        <v>43244.0</v>
      </c>
      <c r="N54" s="295">
        <v>0.9666666666666667</v>
      </c>
      <c r="O54" s="296">
        <v>0.0</v>
      </c>
      <c r="P54" s="296">
        <v>0.03333333333333333</v>
      </c>
      <c r="Q54" s="296">
        <v>0.9666666666666667</v>
      </c>
      <c r="R54" s="296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95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294">
        <v>43584.0</v>
      </c>
      <c r="U54" s="297">
        <v>0.5666666666666667</v>
      </c>
      <c r="V54" s="298">
        <v>0.43333333333333335</v>
      </c>
      <c r="W54" s="298">
        <v>0.0</v>
      </c>
      <c r="X54" s="298">
        <v>0.6</v>
      </c>
      <c r="Y54" s="371">
        <v>44294.0</v>
      </c>
      <c r="Z54" s="300">
        <v>40.0</v>
      </c>
      <c r="AA54" s="301">
        <v>8.609226473945123</v>
      </c>
      <c r="AB54" s="371">
        <v>45014.0</v>
      </c>
      <c r="AC54" s="300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301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05" t="str">
        <f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F54" s="343" t="str">
        <f>IFERROR(__xludf.DUMMYFUNCTION("IFERROR(INDEX(IMPORTRANGE(""https://docs.google.com/spreadsheets/d/1fpsE_0655xguD48cGK6n1ZqSLnI-tw9aHzhbPM9kZ-k/edit#gid=0"", ""Monitoring Summary!E:E""),MATCH(D54,IMPORTRANGE(""https://docs.google.com/spreadsheets/d/1fpsE_0655xguD48cGK6n1ZqSLnI-tw9aHzhbP"&amp;"M9kZ-k/edit#gid=0"", ""Monitoring Summary!C:C""),0)),""Not Monitored"")"),"Not Monitored")</f>
        <v>Not Monitored</v>
      </c>
      <c r="AG54" s="382" t="str">
        <f t="shared" si="1"/>
        <v>Not Monitored</v>
      </c>
      <c r="AH54" s="265" t="s">
        <v>334</v>
      </c>
    </row>
    <row r="55" ht="15.75" customHeight="1">
      <c r="A55" s="383">
        <v>2018.0</v>
      </c>
      <c r="B55" s="384">
        <v>43210.0</v>
      </c>
      <c r="C55" s="385" t="s">
        <v>215</v>
      </c>
      <c r="D55" s="386" t="s">
        <v>335</v>
      </c>
      <c r="E55" s="387" t="s">
        <v>329</v>
      </c>
      <c r="F55" s="388" t="s">
        <v>146</v>
      </c>
      <c r="G55" s="388" t="s">
        <v>41</v>
      </c>
      <c r="H55" s="385">
        <v>30.0</v>
      </c>
      <c r="I55" s="389" t="s">
        <v>147</v>
      </c>
      <c r="J55" s="390">
        <v>24.56867</v>
      </c>
      <c r="K55" s="390">
        <v>-81.32655</v>
      </c>
      <c r="L55" s="387" t="s">
        <v>330</v>
      </c>
      <c r="M55" s="271">
        <v>43244.0</v>
      </c>
      <c r="N55" s="255">
        <v>0.9333333333333333</v>
      </c>
      <c r="O55" s="256">
        <v>0.0</v>
      </c>
      <c r="P55" s="256">
        <v>0.06666666666666667</v>
      </c>
      <c r="Q55" s="256">
        <v>0.9333333333333333</v>
      </c>
      <c r="R55" s="256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55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271">
        <v>43584.0</v>
      </c>
      <c r="U55" s="257">
        <v>0.7666666666666666</v>
      </c>
      <c r="V55" s="258">
        <v>0.1</v>
      </c>
      <c r="W55" s="258">
        <v>0.13333333333333333</v>
      </c>
      <c r="X55" s="258">
        <v>0.7666666666666667</v>
      </c>
      <c r="Y55" s="360">
        <v>44294.0</v>
      </c>
      <c r="Z55" s="260">
        <v>34.0</v>
      </c>
      <c r="AA55" s="261">
        <v>5.934293947458174</v>
      </c>
      <c r="AB55" s="360">
        <v>45014.0</v>
      </c>
      <c r="AC55" s="260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261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262" t="str">
        <f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Monitored"")"),"Not Monitored")</f>
        <v>Not Monitored</v>
      </c>
      <c r="AF55" s="263" t="str">
        <f>IFERROR(__xludf.DUMMYFUNCTION("IFERROR(INDEX(IMPORTRANGE(""https://docs.google.com/spreadsheets/d/1fpsE_0655xguD48cGK6n1ZqSLnI-tw9aHzhbPM9kZ-k/edit#gid=0"", ""Monitoring Summary!E:E""),MATCH(D55,IMPORTRANGE(""https://docs.google.com/spreadsheets/d/1fpsE_0655xguD48cGK6n1ZqSLnI-tw9aHzhbP"&amp;"M9kZ-k/edit#gid=0"", ""Monitoring Summary!C:C""),0)),""Not Monitored"")"),"Not Monitored")</f>
        <v>Not Monitored</v>
      </c>
      <c r="AG55" s="264" t="str">
        <f t="shared" si="1"/>
        <v>Not Monitored</v>
      </c>
      <c r="AH55" s="265" t="s">
        <v>336</v>
      </c>
    </row>
    <row r="56" ht="15.75" customHeight="1">
      <c r="A56" s="374">
        <v>2018.0</v>
      </c>
      <c r="B56" s="375">
        <v>43211.0</v>
      </c>
      <c r="C56" s="379" t="s">
        <v>337</v>
      </c>
      <c r="D56" s="377" t="s">
        <v>338</v>
      </c>
      <c r="E56" s="378" t="s">
        <v>329</v>
      </c>
      <c r="F56" s="376" t="s">
        <v>146</v>
      </c>
      <c r="G56" s="376" t="s">
        <v>41</v>
      </c>
      <c r="H56" s="379">
        <v>30.0</v>
      </c>
      <c r="I56" s="380" t="s">
        <v>147</v>
      </c>
      <c r="J56" s="381">
        <v>24.49305</v>
      </c>
      <c r="K56" s="381">
        <v>-81.65961</v>
      </c>
      <c r="L56" s="378" t="s">
        <v>330</v>
      </c>
      <c r="M56" s="294">
        <v>43238.0</v>
      </c>
      <c r="N56" s="295">
        <v>1.0</v>
      </c>
      <c r="O56" s="296">
        <v>0.0</v>
      </c>
      <c r="P56" s="296">
        <v>0.0</v>
      </c>
      <c r="Q56" s="296">
        <v>1.0</v>
      </c>
      <c r="R56" s="296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95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294">
        <v>43587.0</v>
      </c>
      <c r="U56" s="297">
        <v>0.9</v>
      </c>
      <c r="V56" s="298">
        <v>0.0</v>
      </c>
      <c r="W56" s="298">
        <v>0.1</v>
      </c>
      <c r="X56" s="298">
        <v>0.9</v>
      </c>
      <c r="Y56" s="371">
        <v>44312.0</v>
      </c>
      <c r="Z56" s="300">
        <v>26.0</v>
      </c>
      <c r="AA56" s="301">
        <v>9.271109222228631</v>
      </c>
      <c r="AB56" s="371">
        <v>45013.0</v>
      </c>
      <c r="AC56" s="300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301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262">
        <f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Monitored"")"),45240.0)</f>
        <v>45240</v>
      </c>
      <c r="AF56" s="263">
        <f>IFERROR(__xludf.DUMMYFUNCTION("IFERROR(INDEX(IMPORTRANGE(""https://docs.google.com/spreadsheets/d/1fpsE_0655xguD48cGK6n1ZqSLnI-tw9aHzhbPM9kZ-k/edit#gid=0"", ""Monitoring Summary!E:E""),MATCH(D56,IMPORTRANGE(""https://docs.google.com/spreadsheets/d/1fpsE_0655xguD48cGK6n1ZqSLnI-tw9aHzhbP"&amp;"M9kZ-k/edit#gid=0"", ""Monitoring Summary!C:C""),0)),""Not Monitored"")"),0.0)</f>
        <v>0</v>
      </c>
      <c r="AG56" s="264">
        <f t="shared" si="1"/>
        <v>0</v>
      </c>
      <c r="AH56" s="265" t="s">
        <v>339</v>
      </c>
    </row>
    <row r="57" ht="15.75" customHeight="1">
      <c r="A57" s="383">
        <v>2018.0</v>
      </c>
      <c r="B57" s="384">
        <v>43211.0</v>
      </c>
      <c r="C57" s="385" t="s">
        <v>340</v>
      </c>
      <c r="D57" s="386" t="s">
        <v>341</v>
      </c>
      <c r="E57" s="387" t="s">
        <v>329</v>
      </c>
      <c r="F57" s="388" t="s">
        <v>146</v>
      </c>
      <c r="G57" s="388" t="s">
        <v>41</v>
      </c>
      <c r="H57" s="385">
        <v>30.0</v>
      </c>
      <c r="I57" s="389" t="s">
        <v>147</v>
      </c>
      <c r="J57" s="390">
        <v>24.48268</v>
      </c>
      <c r="K57" s="390">
        <v>-81.70334</v>
      </c>
      <c r="L57" s="387" t="s">
        <v>330</v>
      </c>
      <c r="M57" s="271">
        <v>43238.0</v>
      </c>
      <c r="N57" s="255">
        <v>1.0</v>
      </c>
      <c r="O57" s="256">
        <v>0.0</v>
      </c>
      <c r="P57" s="256">
        <v>0.0</v>
      </c>
      <c r="Q57" s="256">
        <v>1.0</v>
      </c>
      <c r="R57" s="256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55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71">
        <v>43587.0</v>
      </c>
      <c r="U57" s="257">
        <v>0.8</v>
      </c>
      <c r="V57" s="258">
        <v>0.06666666666666667</v>
      </c>
      <c r="W57" s="258">
        <v>0.13333333333333333</v>
      </c>
      <c r="X57" s="258">
        <v>0.8</v>
      </c>
      <c r="Y57" s="360">
        <v>44312.0</v>
      </c>
      <c r="Z57" s="260">
        <v>23.0</v>
      </c>
      <c r="AA57" s="261">
        <v>12.594001759791752</v>
      </c>
      <c r="AB57" s="360">
        <v>45013.0</v>
      </c>
      <c r="AC57" s="260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261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262" t="str">
        <f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Monitored"")"),"Not Monitored")</f>
        <v>Not Monitored</v>
      </c>
      <c r="AF57" s="263" t="str">
        <f>IFERROR(__xludf.DUMMYFUNCTION("IFERROR(INDEX(IMPORTRANGE(""https://docs.google.com/spreadsheets/d/1fpsE_0655xguD48cGK6n1ZqSLnI-tw9aHzhbPM9kZ-k/edit#gid=0"", ""Monitoring Summary!E:E""),MATCH(D57,IMPORTRANGE(""https://docs.google.com/spreadsheets/d/1fpsE_0655xguD48cGK6n1ZqSLnI-tw9aHzhbP"&amp;"M9kZ-k/edit#gid=0"", ""Monitoring Summary!C:C""),0)),""Not Monitored"")"),"Not Monitored")</f>
        <v>Not Monitored</v>
      </c>
      <c r="AG57" s="264" t="str">
        <f t="shared" si="1"/>
        <v>Not Monitored</v>
      </c>
      <c r="AH57" s="265" t="s">
        <v>342</v>
      </c>
    </row>
    <row r="58" ht="15.75" customHeight="1">
      <c r="A58" s="383">
        <v>2018.0</v>
      </c>
      <c r="B58" s="384">
        <v>43213.0</v>
      </c>
      <c r="C58" s="385" t="s">
        <v>164</v>
      </c>
      <c r="D58" s="386" t="s">
        <v>343</v>
      </c>
      <c r="E58" s="387" t="s">
        <v>329</v>
      </c>
      <c r="F58" s="388" t="s">
        <v>146</v>
      </c>
      <c r="G58" s="388" t="s">
        <v>41</v>
      </c>
      <c r="H58" s="385">
        <v>30.0</v>
      </c>
      <c r="I58" s="389" t="s">
        <v>147</v>
      </c>
      <c r="J58" s="390">
        <v>24.53051</v>
      </c>
      <c r="K58" s="390">
        <v>-81.48734</v>
      </c>
      <c r="L58" s="387" t="s">
        <v>330</v>
      </c>
      <c r="M58" s="271">
        <v>43238.0</v>
      </c>
      <c r="N58" s="255">
        <v>0.9333333333333333</v>
      </c>
      <c r="O58" s="256">
        <v>0.0</v>
      </c>
      <c r="P58" s="256">
        <v>0.06666666666666667</v>
      </c>
      <c r="Q58" s="256">
        <v>1.0</v>
      </c>
      <c r="R58" s="256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55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71">
        <v>43591.0</v>
      </c>
      <c r="U58" s="257">
        <v>0.7</v>
      </c>
      <c r="V58" s="258">
        <v>0.03333333333333333</v>
      </c>
      <c r="W58" s="258">
        <v>0.26666666666666666</v>
      </c>
      <c r="X58" s="258">
        <v>0.7</v>
      </c>
      <c r="Y58" s="360">
        <v>44294.0</v>
      </c>
      <c r="Z58" s="260">
        <v>32.0</v>
      </c>
      <c r="AA58" s="261">
        <v>9.572923615923742</v>
      </c>
      <c r="AB58" s="360">
        <v>45009.0</v>
      </c>
      <c r="AC58" s="260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261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262" t="str">
        <f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Monitored"")"),"Not Monitored")</f>
        <v>Not Monitored</v>
      </c>
      <c r="AF58" s="263" t="str">
        <f>IFERROR(__xludf.DUMMYFUNCTION("IFERROR(INDEX(IMPORTRANGE(""https://docs.google.com/spreadsheets/d/1fpsE_0655xguD48cGK6n1ZqSLnI-tw9aHzhbPM9kZ-k/edit#gid=0"", ""Monitoring Summary!E:E""),MATCH(D58,IMPORTRANGE(""https://docs.google.com/spreadsheets/d/1fpsE_0655xguD48cGK6n1ZqSLnI-tw9aHzhbP"&amp;"M9kZ-k/edit#gid=0"", ""Monitoring Summary!C:C""),0)),""Not Monitored"")"),"Not Monitored")</f>
        <v>Not Monitored</v>
      </c>
      <c r="AG58" s="264" t="str">
        <f t="shared" si="1"/>
        <v>Not Monitored</v>
      </c>
      <c r="AH58" s="265" t="s">
        <v>344</v>
      </c>
    </row>
    <row r="59" ht="15.75" customHeight="1">
      <c r="A59" s="374">
        <v>2018.0</v>
      </c>
      <c r="B59" s="375">
        <v>43213.0</v>
      </c>
      <c r="C59" s="379" t="s">
        <v>345</v>
      </c>
      <c r="D59" s="377" t="s">
        <v>346</v>
      </c>
      <c r="E59" s="378" t="s">
        <v>329</v>
      </c>
      <c r="F59" s="376" t="s">
        <v>146</v>
      </c>
      <c r="G59" s="376" t="s">
        <v>41</v>
      </c>
      <c r="H59" s="379">
        <v>30.0</v>
      </c>
      <c r="I59" s="380" t="s">
        <v>147</v>
      </c>
      <c r="J59" s="381">
        <v>24.51036</v>
      </c>
      <c r="K59" s="381">
        <v>-81.56991</v>
      </c>
      <c r="L59" s="378" t="s">
        <v>330</v>
      </c>
      <c r="M59" s="294">
        <v>43238.0</v>
      </c>
      <c r="N59" s="295">
        <v>0.9666666666666667</v>
      </c>
      <c r="O59" s="296">
        <v>0.0</v>
      </c>
      <c r="P59" s="296">
        <v>0.03333333333333333</v>
      </c>
      <c r="Q59" s="296">
        <v>0.9666666666666667</v>
      </c>
      <c r="R59" s="296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95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294">
        <v>43591.0</v>
      </c>
      <c r="U59" s="297">
        <v>0.7</v>
      </c>
      <c r="V59" s="298">
        <v>0.23333333333333334</v>
      </c>
      <c r="W59" s="298">
        <v>0.06666666666666667</v>
      </c>
      <c r="X59" s="298">
        <v>0.7</v>
      </c>
      <c r="Y59" s="371">
        <v>44293.0</v>
      </c>
      <c r="Z59" s="300">
        <v>17.0</v>
      </c>
      <c r="AA59" s="301">
        <v>5.884069120270627</v>
      </c>
      <c r="AB59" s="371">
        <v>45013.0</v>
      </c>
      <c r="AC59" s="300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301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262">
        <f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Monitored"")"),45264.0)</f>
        <v>45264</v>
      </c>
      <c r="AF59" s="263">
        <f>IFERROR(__xludf.DUMMYFUNCTION("IFERROR(INDEX(IMPORTRANGE(""https://docs.google.com/spreadsheets/d/1fpsE_0655xguD48cGK6n1ZqSLnI-tw9aHzhbPM9kZ-k/edit#gid=0"", ""Monitoring Summary!E:E""),MATCH(D59,IMPORTRANGE(""https://docs.google.com/spreadsheets/d/1fpsE_0655xguD48cGK6n1ZqSLnI-tw9aHzhbP"&amp;"M9kZ-k/edit#gid=0"", ""Monitoring Summary!C:C""),0)),""Not Monitored"")"),0.0)</f>
        <v>0</v>
      </c>
      <c r="AG59" s="264">
        <f t="shared" si="1"/>
        <v>0</v>
      </c>
      <c r="AH59" s="265" t="s">
        <v>347</v>
      </c>
    </row>
    <row r="60" ht="15.75" customHeight="1">
      <c r="A60" s="383">
        <v>2018.0</v>
      </c>
      <c r="B60" s="384">
        <v>43215.0</v>
      </c>
      <c r="C60" s="391" t="s">
        <v>292</v>
      </c>
      <c r="D60" s="386" t="s">
        <v>348</v>
      </c>
      <c r="E60" s="387" t="s">
        <v>329</v>
      </c>
      <c r="F60" s="388" t="s">
        <v>146</v>
      </c>
      <c r="G60" s="388" t="s">
        <v>41</v>
      </c>
      <c r="H60" s="385">
        <v>30.0</v>
      </c>
      <c r="I60" s="389" t="s">
        <v>147</v>
      </c>
      <c r="J60" s="390">
        <v>24.45948</v>
      </c>
      <c r="K60" s="390">
        <v>-81.84412</v>
      </c>
      <c r="L60" s="387" t="s">
        <v>330</v>
      </c>
      <c r="M60" s="271">
        <v>43237.0</v>
      </c>
      <c r="N60" s="255">
        <v>1.0</v>
      </c>
      <c r="O60" s="256">
        <v>0.0</v>
      </c>
      <c r="P60" s="256">
        <v>0.0</v>
      </c>
      <c r="Q60" s="256">
        <v>1.0</v>
      </c>
      <c r="R60" s="256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55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71">
        <v>43588.0</v>
      </c>
      <c r="U60" s="257">
        <v>0.6333333333333333</v>
      </c>
      <c r="V60" s="258">
        <v>0.03333333333333333</v>
      </c>
      <c r="W60" s="258">
        <v>0.3333333333333333</v>
      </c>
      <c r="X60" s="258">
        <v>0.6333333333333333</v>
      </c>
      <c r="Y60" s="360">
        <v>44302.0</v>
      </c>
      <c r="Z60" s="260">
        <v>42.0</v>
      </c>
      <c r="AA60" s="261">
        <v>11.84239938674426</v>
      </c>
      <c r="AB60" s="360">
        <v>45012.0</v>
      </c>
      <c r="AC60" s="260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261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262" t="str">
        <f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Monitored"")"),"Not Monitored")</f>
        <v>Not Monitored</v>
      </c>
      <c r="AF60" s="263" t="str">
        <f>IFERROR(__xludf.DUMMYFUNCTION("IFERROR(INDEX(IMPORTRANGE(""https://docs.google.com/spreadsheets/d/1fpsE_0655xguD48cGK6n1ZqSLnI-tw9aHzhbPM9kZ-k/edit#gid=0"", ""Monitoring Summary!E:E""),MATCH(D60,IMPORTRANGE(""https://docs.google.com/spreadsheets/d/1fpsE_0655xguD48cGK6n1ZqSLnI-tw9aHzhbP"&amp;"M9kZ-k/edit#gid=0"", ""Monitoring Summary!C:C""),0)),""Not Monitored"")"),"Not Monitored")</f>
        <v>Not Monitored</v>
      </c>
      <c r="AG60" s="264" t="str">
        <f t="shared" si="1"/>
        <v>Not Monitored</v>
      </c>
      <c r="AH60" s="265" t="s">
        <v>349</v>
      </c>
    </row>
    <row r="61" ht="15.75" customHeight="1">
      <c r="A61" s="374">
        <v>2018.0</v>
      </c>
      <c r="B61" s="375">
        <v>43215.0</v>
      </c>
      <c r="C61" s="376" t="s">
        <v>350</v>
      </c>
      <c r="D61" s="377" t="s">
        <v>351</v>
      </c>
      <c r="E61" s="378" t="s">
        <v>329</v>
      </c>
      <c r="F61" s="376" t="s">
        <v>146</v>
      </c>
      <c r="G61" s="376" t="s">
        <v>41</v>
      </c>
      <c r="H61" s="379">
        <v>30.0</v>
      </c>
      <c r="I61" s="380" t="s">
        <v>147</v>
      </c>
      <c r="J61" s="381">
        <v>24.47408</v>
      </c>
      <c r="K61" s="381">
        <v>-81.7426</v>
      </c>
      <c r="L61" s="387" t="s">
        <v>330</v>
      </c>
      <c r="M61" s="271">
        <v>43238.0</v>
      </c>
      <c r="N61" s="255">
        <v>1.0</v>
      </c>
      <c r="O61" s="256">
        <v>0.0</v>
      </c>
      <c r="P61" s="256">
        <v>0.0</v>
      </c>
      <c r="Q61" s="256">
        <v>1.0</v>
      </c>
      <c r="R61" s="256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55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71">
        <v>43588.0</v>
      </c>
      <c r="U61" s="257">
        <v>0.8333333333333334</v>
      </c>
      <c r="V61" s="258">
        <v>0.03333333333333333</v>
      </c>
      <c r="W61" s="258">
        <v>0.13333333333333333</v>
      </c>
      <c r="X61" s="258">
        <v>0.8333333333333334</v>
      </c>
      <c r="Y61" s="360">
        <v>44312.0</v>
      </c>
      <c r="Z61" s="260">
        <v>48.0</v>
      </c>
      <c r="AA61" s="261">
        <v>34.61019888680623</v>
      </c>
      <c r="AB61" s="360">
        <v>45013.0</v>
      </c>
      <c r="AC61" s="260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261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262">
        <f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Monitored"")"),45240.0)</f>
        <v>45240</v>
      </c>
      <c r="AF61" s="263">
        <f>IFERROR(__xludf.DUMMYFUNCTION("IFERROR(INDEX(IMPORTRANGE(""https://docs.google.com/spreadsheets/d/1fpsE_0655xguD48cGK6n1ZqSLnI-tw9aHzhbPM9kZ-k/edit#gid=0"", ""Monitoring Summary!E:E""),MATCH(D61,IMPORTRANGE(""https://docs.google.com/spreadsheets/d/1fpsE_0655xguD48cGK6n1ZqSLnI-tw9aHzhbP"&amp;"M9kZ-k/edit#gid=0"", ""Monitoring Summary!C:C""),0)),""Not Monitored"")"),0.0)</f>
        <v>0</v>
      </c>
      <c r="AG61" s="264">
        <f t="shared" si="1"/>
        <v>0</v>
      </c>
      <c r="AH61" s="265" t="s">
        <v>352</v>
      </c>
    </row>
    <row r="62" ht="15.75" customHeight="1">
      <c r="A62" s="392">
        <v>2018.0</v>
      </c>
      <c r="B62" s="393">
        <v>43256.0</v>
      </c>
      <c r="C62" s="394" t="s">
        <v>327</v>
      </c>
      <c r="D62" s="395" t="s">
        <v>353</v>
      </c>
      <c r="E62" s="396" t="s">
        <v>170</v>
      </c>
      <c r="F62" s="394" t="s">
        <v>161</v>
      </c>
      <c r="G62" s="394" t="s">
        <v>43</v>
      </c>
      <c r="H62" s="397">
        <v>550.0</v>
      </c>
      <c r="I62" s="398" t="s">
        <v>354</v>
      </c>
      <c r="J62" s="399">
        <v>24.54646</v>
      </c>
      <c r="K62" s="399">
        <v>-81.40191</v>
      </c>
      <c r="L62" s="400"/>
      <c r="M62" s="294">
        <v>43291.0</v>
      </c>
      <c r="N62" s="295">
        <v>0.6836363636363636</v>
      </c>
      <c r="O62" s="296">
        <v>0.3072727272727273</v>
      </c>
      <c r="P62" s="296">
        <v>0.00909090909090909</v>
      </c>
      <c r="Q62" s="296">
        <v>0.8272727272727273</v>
      </c>
      <c r="R62" s="296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95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294">
        <v>43656.0</v>
      </c>
      <c r="U62" s="297">
        <v>0.509090909090909</v>
      </c>
      <c r="V62" s="298">
        <v>0.01090909090909091</v>
      </c>
      <c r="W62" s="298">
        <v>0.48</v>
      </c>
      <c r="X62" s="298">
        <v>0.6272727272727273</v>
      </c>
      <c r="Y62" s="371">
        <v>44334.0</v>
      </c>
      <c r="Z62" s="300">
        <v>114.0</v>
      </c>
      <c r="AA62" s="301">
        <v>5.062051965540521</v>
      </c>
      <c r="AB62" s="371">
        <v>45064.0</v>
      </c>
      <c r="AC62" s="300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301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262">
        <f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Summary!C:C""),0)),""Not Monitored"")"),45309.0)</f>
        <v>45309</v>
      </c>
      <c r="AF62" s="263">
        <f>IFERROR(__xludf.DUMMYFUNCTION("IFERROR(INDEX(IMPORTRANGE(""https://docs.google.com/spreadsheets/d/1fpsE_0655xguD48cGK6n1ZqSLnI-tw9aHzhbPM9kZ-k/edit#gid=0"", ""Monitoring Summary!E:E""),MATCH(D62,IMPORTRANGE(""https://docs.google.com/spreadsheets/d/1fpsE_0655xguD48cGK6n1ZqSLnI-tw9aHzhbP"&amp;"M9kZ-k/edit#gid=0"", ""Monitoring Summary!C:C""),0)),""Not Monitored"")"),0.0)</f>
        <v>0</v>
      </c>
      <c r="AG62" s="264">
        <f t="shared" si="1"/>
        <v>0</v>
      </c>
      <c r="AH62" s="265" t="s">
        <v>355</v>
      </c>
    </row>
    <row r="63" ht="15.75" customHeight="1">
      <c r="A63" s="392">
        <v>2018.0</v>
      </c>
      <c r="B63" s="393">
        <v>43258.0</v>
      </c>
      <c r="C63" s="394" t="s">
        <v>286</v>
      </c>
      <c r="D63" s="395" t="s">
        <v>356</v>
      </c>
      <c r="E63" s="396" t="s">
        <v>170</v>
      </c>
      <c r="F63" s="394" t="s">
        <v>161</v>
      </c>
      <c r="G63" s="394" t="s">
        <v>45</v>
      </c>
      <c r="H63" s="397">
        <v>750.0</v>
      </c>
      <c r="I63" s="398" t="s">
        <v>357</v>
      </c>
      <c r="J63" s="399">
        <v>24.45508</v>
      </c>
      <c r="K63" s="399">
        <v>-81.85645</v>
      </c>
      <c r="L63" s="400"/>
      <c r="M63" s="294">
        <v>43321.0</v>
      </c>
      <c r="N63" s="295">
        <v>0.7266666666666667</v>
      </c>
      <c r="O63" s="296">
        <v>0.2653333333333333</v>
      </c>
      <c r="P63" s="296">
        <v>0.008</v>
      </c>
      <c r="Q63" s="296">
        <v>0.8266666666666667</v>
      </c>
      <c r="R63" s="296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95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294">
        <v>43658.0</v>
      </c>
      <c r="U63" s="297">
        <v>0.708</v>
      </c>
      <c r="V63" s="298">
        <v>0.04666666666666666</v>
      </c>
      <c r="W63" s="298">
        <v>0.24533333333333332</v>
      </c>
      <c r="X63" s="298">
        <v>0.8</v>
      </c>
      <c r="Y63" s="371">
        <v>44397.0</v>
      </c>
      <c r="Z63" s="300">
        <v>334.0</v>
      </c>
      <c r="AA63" s="301">
        <v>12.455319975912708</v>
      </c>
      <c r="AB63" s="371">
        <v>45076.0</v>
      </c>
      <c r="AC63" s="300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301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28">
        <f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Monitored"")"),45294.0)</f>
        <v>45294</v>
      </c>
      <c r="AF63" s="329">
        <f>IFERROR(__xludf.DUMMYFUNCTION("IFERROR(INDEX(IMPORTRANGE(""https://docs.google.com/spreadsheets/d/1fpsE_0655xguD48cGK6n1ZqSLnI-tw9aHzhbPM9kZ-k/edit#gid=0"", ""Monitoring Summary!E:E""),MATCH(D63,IMPORTRANGE(""https://docs.google.com/spreadsheets/d/1fpsE_0655xguD48cGK6n1ZqSLnI-tw9aHzhbP"&amp;"M9kZ-k/edit#gid=0"", ""Monitoring Summary!C:C""),0)),""Not Monitored"")"),0.0)</f>
        <v>0</v>
      </c>
      <c r="AG63" s="330">
        <f t="shared" si="1"/>
        <v>0</v>
      </c>
      <c r="AH63" s="331" t="s">
        <v>358</v>
      </c>
    </row>
    <row r="64" ht="15.75" customHeight="1">
      <c r="A64" s="401">
        <v>2018.0</v>
      </c>
      <c r="B64" s="402">
        <v>43259.0</v>
      </c>
      <c r="C64" s="403" t="s">
        <v>268</v>
      </c>
      <c r="D64" s="404" t="s">
        <v>359</v>
      </c>
      <c r="E64" s="405" t="s">
        <v>170</v>
      </c>
      <c r="F64" s="403" t="s">
        <v>161</v>
      </c>
      <c r="G64" s="403" t="s">
        <v>45</v>
      </c>
      <c r="H64" s="406">
        <v>750.0</v>
      </c>
      <c r="I64" s="407" t="s">
        <v>357</v>
      </c>
      <c r="J64" s="408">
        <v>24.45176</v>
      </c>
      <c r="K64" s="408">
        <v>-81.87816</v>
      </c>
      <c r="L64" s="409"/>
      <c r="M64" s="271">
        <v>43321.0</v>
      </c>
      <c r="N64" s="255">
        <v>0.09333333333333338</v>
      </c>
      <c r="O64" s="256">
        <v>0.9053333333333333</v>
      </c>
      <c r="P64" s="256">
        <v>0.0013333333333333333</v>
      </c>
      <c r="Q64" s="256">
        <v>0.16666666666666666</v>
      </c>
      <c r="R64" s="256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55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271">
        <v>43658.0</v>
      </c>
      <c r="U64" s="257">
        <v>0.08266666666666667</v>
      </c>
      <c r="V64" s="258">
        <v>0.0013333333333333333</v>
      </c>
      <c r="W64" s="258">
        <v>0.916</v>
      </c>
      <c r="X64" s="258">
        <v>0.12666666666666668</v>
      </c>
      <c r="Y64" s="360">
        <v>44379.0</v>
      </c>
      <c r="Z64" s="260">
        <v>188.0</v>
      </c>
      <c r="AA64" s="261">
        <v>7.763785104089512</v>
      </c>
      <c r="AB64" s="360">
        <v>45076.0</v>
      </c>
      <c r="AC64" s="260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261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262">
        <f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Monitored"")"),45259.0)</f>
        <v>45259</v>
      </c>
      <c r="AF64" s="263">
        <f>IFERROR(__xludf.DUMMYFUNCTION("IFERROR(INDEX(IMPORTRANGE(""https://docs.google.com/spreadsheets/d/1fpsE_0655xguD48cGK6n1ZqSLnI-tw9aHzhbPM9kZ-k/edit#gid=0"", ""Monitoring Summary!E:E""),MATCH(D64,IMPORTRANGE(""https://docs.google.com/spreadsheets/d/1fpsE_0655xguD48cGK6n1ZqSLnI-tw9aHzhbP"&amp;"M9kZ-k/edit#gid=0"", ""Monitoring Summary!C:C""),0)),""Not Monitored"")"),0.0)</f>
        <v>0</v>
      </c>
      <c r="AG64" s="264">
        <f t="shared" si="1"/>
        <v>0</v>
      </c>
      <c r="AH64" s="265" t="s">
        <v>360</v>
      </c>
    </row>
    <row r="65" ht="15.75" customHeight="1">
      <c r="A65" s="392">
        <v>2018.0</v>
      </c>
      <c r="B65" s="393">
        <v>43265.0</v>
      </c>
      <c r="C65" s="394" t="s">
        <v>168</v>
      </c>
      <c r="D65" s="395" t="s">
        <v>361</v>
      </c>
      <c r="E65" s="396" t="s">
        <v>170</v>
      </c>
      <c r="F65" s="394" t="s">
        <v>161</v>
      </c>
      <c r="G65" s="394" t="s">
        <v>43</v>
      </c>
      <c r="H65" s="394">
        <v>550.0</v>
      </c>
      <c r="I65" s="410" t="s">
        <v>362</v>
      </c>
      <c r="J65" s="399">
        <v>24.52293</v>
      </c>
      <c r="K65" s="399">
        <v>-81.51861</v>
      </c>
      <c r="L65" s="400"/>
      <c r="M65" s="294">
        <v>43304.0</v>
      </c>
      <c r="N65" s="295">
        <v>0.9090909090909091</v>
      </c>
      <c r="O65" s="296">
        <v>0.08363636363636363</v>
      </c>
      <c r="P65" s="296">
        <v>0.007272727272727273</v>
      </c>
      <c r="Q65" s="296">
        <v>1.0</v>
      </c>
      <c r="R65" s="296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95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294">
        <v>43655.0</v>
      </c>
      <c r="U65" s="297">
        <v>0.7272727272727273</v>
      </c>
      <c r="V65" s="298">
        <v>0.016363636363636365</v>
      </c>
      <c r="W65" s="298">
        <v>0.25636363636363635</v>
      </c>
      <c r="X65" s="298">
        <v>0.8181818181818182</v>
      </c>
      <c r="Y65" s="371">
        <v>44329.0</v>
      </c>
      <c r="Z65" s="300">
        <v>178.0</v>
      </c>
      <c r="AA65" s="301">
        <v>7.8631518213781995</v>
      </c>
      <c r="AB65" s="371">
        <v>45072.0</v>
      </c>
      <c r="AC65" s="300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301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262">
        <f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Monitored"")"),45264.0)</f>
        <v>45264</v>
      </c>
      <c r="AF65" s="263">
        <f>IFERROR(__xludf.DUMMYFUNCTION("IFERROR(INDEX(IMPORTRANGE(""https://docs.google.com/spreadsheets/d/1fpsE_0655xguD48cGK6n1ZqSLnI-tw9aHzhbPM9kZ-k/edit#gid=0"", ""Monitoring Summary!E:E""),MATCH(D65,IMPORTRANGE(""https://docs.google.com/spreadsheets/d/1fpsE_0655xguD48cGK6n1ZqSLnI-tw9aHzhbP"&amp;"M9kZ-k/edit#gid=0"", ""Monitoring Summary!C:C""),0)),""Not Monitored"")"),0.0)</f>
        <v>0</v>
      </c>
      <c r="AG65" s="264">
        <f t="shared" si="1"/>
        <v>0</v>
      </c>
      <c r="AH65" s="265" t="s">
        <v>363</v>
      </c>
    </row>
    <row r="66" ht="15.75" customHeight="1">
      <c r="A66" s="401">
        <v>2018.0</v>
      </c>
      <c r="B66" s="402">
        <v>43270.0</v>
      </c>
      <c r="C66" s="403" t="s">
        <v>292</v>
      </c>
      <c r="D66" s="411" t="s">
        <v>364</v>
      </c>
      <c r="E66" s="405" t="s">
        <v>170</v>
      </c>
      <c r="F66" s="403" t="s">
        <v>161</v>
      </c>
      <c r="G66" s="403" t="s">
        <v>45</v>
      </c>
      <c r="H66" s="406">
        <v>750.0</v>
      </c>
      <c r="I66" s="407" t="s">
        <v>357</v>
      </c>
      <c r="J66" s="408">
        <v>24.45872</v>
      </c>
      <c r="K66" s="408">
        <v>-81.84532</v>
      </c>
      <c r="L66" s="409"/>
      <c r="M66" s="271">
        <v>43321.0</v>
      </c>
      <c r="N66" s="255">
        <v>0.2306666666666667</v>
      </c>
      <c r="O66" s="256">
        <v>0.7533333333333333</v>
      </c>
      <c r="P66" s="256">
        <v>0.016</v>
      </c>
      <c r="Q66" s="256">
        <v>0.44</v>
      </c>
      <c r="R66" s="256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55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271">
        <v>43658.0</v>
      </c>
      <c r="U66" s="257">
        <v>0.2453333333333333</v>
      </c>
      <c r="V66" s="258">
        <v>0.104</v>
      </c>
      <c r="W66" s="258">
        <v>0.6506666666666666</v>
      </c>
      <c r="X66" s="258">
        <v>0.36666666666666664</v>
      </c>
      <c r="Y66" s="360">
        <v>44397.0</v>
      </c>
      <c r="Z66" s="260">
        <v>263.0</v>
      </c>
      <c r="AA66" s="261">
        <v>7.969064953055852</v>
      </c>
      <c r="AB66" s="360">
        <v>45078.0</v>
      </c>
      <c r="AC66" s="260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261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262">
        <f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Monitored"")"),45293.0)</f>
        <v>45293</v>
      </c>
      <c r="AF66" s="263">
        <f>IFERROR(__xludf.DUMMYFUNCTION("IFERROR(INDEX(IMPORTRANGE(""https://docs.google.com/spreadsheets/d/1fpsE_0655xguD48cGK6n1ZqSLnI-tw9aHzhbPM9kZ-k/edit#gid=0"", ""Monitoring Summary!E:E""),MATCH(D66,IMPORTRANGE(""https://docs.google.com/spreadsheets/d/1fpsE_0655xguD48cGK6n1ZqSLnI-tw9aHzhbP"&amp;"M9kZ-k/edit#gid=0"", ""Monitoring Summary!C:C""),0)),""Not Monitored"")"),0.0)</f>
        <v>0</v>
      </c>
      <c r="AG66" s="264">
        <f t="shared" si="1"/>
        <v>0</v>
      </c>
      <c r="AH66" s="265" t="s">
        <v>365</v>
      </c>
    </row>
    <row r="67" ht="15.75" customHeight="1">
      <c r="A67" s="392">
        <v>2018.0</v>
      </c>
      <c r="B67" s="393">
        <v>43271.0</v>
      </c>
      <c r="C67" s="394" t="s">
        <v>275</v>
      </c>
      <c r="D67" s="395" t="s">
        <v>366</v>
      </c>
      <c r="E67" s="396" t="s">
        <v>170</v>
      </c>
      <c r="F67" s="394" t="s">
        <v>161</v>
      </c>
      <c r="G67" s="394" t="s">
        <v>43</v>
      </c>
      <c r="H67" s="397">
        <v>700.0</v>
      </c>
      <c r="I67" s="398" t="s">
        <v>367</v>
      </c>
      <c r="J67" s="399">
        <v>24.53853</v>
      </c>
      <c r="K67" s="399">
        <v>-81.452</v>
      </c>
      <c r="L67" s="400"/>
      <c r="M67" s="294">
        <v>43306.0</v>
      </c>
      <c r="N67" s="295">
        <v>0.7057142857142857</v>
      </c>
      <c r="O67" s="296">
        <v>0.2914285714285714</v>
      </c>
      <c r="P67" s="296">
        <v>0.002857142857142857</v>
      </c>
      <c r="Q67" s="296">
        <v>0.9214285714285714</v>
      </c>
      <c r="R67" s="296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95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294">
        <v>43655.0</v>
      </c>
      <c r="U67" s="297">
        <v>0.6142857142857143</v>
      </c>
      <c r="V67" s="298">
        <v>0.09857142857142857</v>
      </c>
      <c r="W67" s="298">
        <v>0.28714285714285714</v>
      </c>
      <c r="X67" s="298">
        <v>0.8</v>
      </c>
      <c r="Y67" s="371">
        <v>44329.0</v>
      </c>
      <c r="Z67" s="300">
        <v>205.0</v>
      </c>
      <c r="AA67" s="301">
        <v>4.641722441365242</v>
      </c>
      <c r="AB67" s="371">
        <v>45079.0</v>
      </c>
      <c r="AC67" s="300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301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262">
        <f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Monitored"")"),45247.0)</f>
        <v>45247</v>
      </c>
      <c r="AF67" s="263">
        <f>IFERROR(__xludf.DUMMYFUNCTION("IFERROR(INDEX(IMPORTRANGE(""https://docs.google.com/spreadsheets/d/1fpsE_0655xguD48cGK6n1ZqSLnI-tw9aHzhbPM9kZ-k/edit#gid=0"", ""Monitoring Summary!E:E""),MATCH(D67,IMPORTRANGE(""https://docs.google.com/spreadsheets/d/1fpsE_0655xguD48cGK6n1ZqSLnI-tw9aHzhbP"&amp;"M9kZ-k/edit#gid=0"", ""Monitoring Summary!C:C""),0)),""Not Monitored"")"),0.0)</f>
        <v>0</v>
      </c>
      <c r="AG67" s="264">
        <f t="shared" si="1"/>
        <v>0</v>
      </c>
      <c r="AH67" s="265" t="s">
        <v>368</v>
      </c>
    </row>
    <row r="68" ht="15.75" customHeight="1">
      <c r="A68" s="374">
        <v>2018.0</v>
      </c>
      <c r="B68" s="375">
        <v>43277.0</v>
      </c>
      <c r="C68" s="376" t="s">
        <v>246</v>
      </c>
      <c r="D68" s="377" t="s">
        <v>369</v>
      </c>
      <c r="E68" s="376" t="s">
        <v>272</v>
      </c>
      <c r="F68" s="376" t="s">
        <v>186</v>
      </c>
      <c r="G68" s="376" t="s">
        <v>41</v>
      </c>
      <c r="H68" s="379">
        <v>300.0</v>
      </c>
      <c r="I68" s="380" t="s">
        <v>370</v>
      </c>
      <c r="J68" s="412">
        <v>24.55244</v>
      </c>
      <c r="K68" s="412">
        <v>-81.38232</v>
      </c>
      <c r="L68" s="413"/>
      <c r="M68" s="271">
        <v>43298.0</v>
      </c>
      <c r="N68" s="255">
        <v>0.9166666666666666</v>
      </c>
      <c r="O68" s="256">
        <v>0.07</v>
      </c>
      <c r="P68" s="256">
        <v>0.013333333333333334</v>
      </c>
      <c r="Q68" s="256">
        <v>1.0</v>
      </c>
      <c r="R68" s="256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55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71">
        <v>43635.0</v>
      </c>
      <c r="U68" s="257">
        <v>0.6599999999999999</v>
      </c>
      <c r="V68" s="258">
        <v>0.26</v>
      </c>
      <c r="W68" s="258">
        <v>0.08</v>
      </c>
      <c r="X68" s="258">
        <v>0.9666666666666667</v>
      </c>
      <c r="Y68" s="360">
        <v>44419.0</v>
      </c>
      <c r="Z68" s="260">
        <v>51.0</v>
      </c>
      <c r="AA68" s="261">
        <v>2.1361192642454596</v>
      </c>
      <c r="AB68" s="360">
        <v>45092.0</v>
      </c>
      <c r="AC68" s="260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261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262">
        <f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Monitored"")"),45302.0)</f>
        <v>45302</v>
      </c>
      <c r="AF68" s="263">
        <f>IFERROR(__xludf.DUMMYFUNCTION("IFERROR(INDEX(IMPORTRANGE(""https://docs.google.com/spreadsheets/d/1fpsE_0655xguD48cGK6n1ZqSLnI-tw9aHzhbPM9kZ-k/edit#gid=0"", ""Monitoring Summary!E:E""),MATCH(D68,IMPORTRANGE(""https://docs.google.com/spreadsheets/d/1fpsE_0655xguD48cGK6n1ZqSLnI-tw9aHzhbP"&amp;"M9kZ-k/edit#gid=0"", ""Monitoring Summary!C:C""),0)),""Not Monitored"")"),0.0)</f>
        <v>0</v>
      </c>
      <c r="AG68" s="264">
        <f t="shared" si="1"/>
        <v>0</v>
      </c>
      <c r="AH68" s="265" t="s">
        <v>371</v>
      </c>
    </row>
    <row r="69" ht="15.75" customHeight="1">
      <c r="A69" s="374">
        <v>2018.0</v>
      </c>
      <c r="B69" s="414">
        <v>43332.0</v>
      </c>
      <c r="C69" s="378" t="s">
        <v>327</v>
      </c>
      <c r="D69" s="415" t="s">
        <v>372</v>
      </c>
      <c r="E69" s="416" t="s">
        <v>170</v>
      </c>
      <c r="F69" s="416" t="s">
        <v>161</v>
      </c>
      <c r="G69" s="416" t="s">
        <v>41</v>
      </c>
      <c r="H69" s="416">
        <v>205.0</v>
      </c>
      <c r="I69" s="417" t="s">
        <v>373</v>
      </c>
      <c r="J69" s="381">
        <v>24.54646</v>
      </c>
      <c r="K69" s="381">
        <v>-81.40191</v>
      </c>
      <c r="L69" s="418"/>
      <c r="M69" s="294">
        <v>43393.0</v>
      </c>
      <c r="N69" s="295">
        <v>0.8634146341463415</v>
      </c>
      <c r="O69" s="296">
        <v>0.11707317073170732</v>
      </c>
      <c r="P69" s="296">
        <v>0.01951219512195122</v>
      </c>
      <c r="Q69" s="296">
        <v>0.9512195121951219</v>
      </c>
      <c r="R69" s="296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95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294">
        <v>43656.0</v>
      </c>
      <c r="U69" s="297">
        <v>0.7951219512195122</v>
      </c>
      <c r="V69" s="298">
        <v>0.12682926829268293</v>
      </c>
      <c r="W69" s="298">
        <v>0.07804878048780488</v>
      </c>
      <c r="X69" s="298">
        <v>0.9512195121951219</v>
      </c>
      <c r="Y69" s="371">
        <v>44334.0</v>
      </c>
      <c r="Z69" s="300" t="s">
        <v>149</v>
      </c>
      <c r="AA69" s="301" t="s">
        <v>149</v>
      </c>
      <c r="AB69" s="419" t="s">
        <v>149</v>
      </c>
      <c r="AC69" s="420" t="s">
        <v>149</v>
      </c>
      <c r="AD69" s="296" t="s">
        <v>149</v>
      </c>
      <c r="AE69" s="305">
        <f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Monitored"")"),45216.0)</f>
        <v>45216</v>
      </c>
      <c r="AF69" s="343">
        <f>IFERROR(__xludf.DUMMYFUNCTION("IFERROR(INDEX(IMPORTRANGE(""https://docs.google.com/spreadsheets/d/1fpsE_0655xguD48cGK6n1ZqSLnI-tw9aHzhbPM9kZ-k/edit#gid=0"", ""Monitoring Summary!E:E""),MATCH(D69,IMPORTRANGE(""https://docs.google.com/spreadsheets/d/1fpsE_0655xguD48cGK6n1ZqSLnI-tw9aHzhbP"&amp;"M9kZ-k/edit#gid=0"", ""Monitoring Summary!C:C""),0)),""Not Monitored"")"),2.0)</f>
        <v>2</v>
      </c>
      <c r="AG69" s="382">
        <f t="shared" si="1"/>
        <v>0.009756097561</v>
      </c>
      <c r="AH69" s="265" t="s">
        <v>374</v>
      </c>
    </row>
    <row r="70" ht="15.75" customHeight="1">
      <c r="A70" s="374">
        <v>2018.0</v>
      </c>
      <c r="B70" s="414">
        <v>43335.0</v>
      </c>
      <c r="C70" s="378" t="s">
        <v>168</v>
      </c>
      <c r="D70" s="415" t="s">
        <v>375</v>
      </c>
      <c r="E70" s="416" t="s">
        <v>170</v>
      </c>
      <c r="F70" s="416" t="s">
        <v>161</v>
      </c>
      <c r="G70" s="416" t="s">
        <v>41</v>
      </c>
      <c r="H70" s="416">
        <v>125.0</v>
      </c>
      <c r="I70" s="417" t="s">
        <v>376</v>
      </c>
      <c r="J70" s="381">
        <v>24.52293</v>
      </c>
      <c r="K70" s="381">
        <v>-81.51861</v>
      </c>
      <c r="L70" s="418"/>
      <c r="M70" s="294">
        <v>43398.0</v>
      </c>
      <c r="N70" s="295">
        <v>0.944</v>
      </c>
      <c r="O70" s="296">
        <v>0.008</v>
      </c>
      <c r="P70" s="296">
        <v>0.048</v>
      </c>
      <c r="Q70" s="296">
        <v>1.0</v>
      </c>
      <c r="R70" s="296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95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294">
        <v>43655.0</v>
      </c>
      <c r="U70" s="297">
        <v>0.8160000000000001</v>
      </c>
      <c r="V70" s="298">
        <v>0.048</v>
      </c>
      <c r="W70" s="298">
        <v>0.136</v>
      </c>
      <c r="X70" s="298">
        <v>1.0</v>
      </c>
      <c r="Y70" s="371">
        <v>44329.0</v>
      </c>
      <c r="Z70" s="300" t="s">
        <v>149</v>
      </c>
      <c r="AA70" s="301" t="s">
        <v>149</v>
      </c>
      <c r="AB70" s="419" t="s">
        <v>149</v>
      </c>
      <c r="AC70" s="420" t="s">
        <v>149</v>
      </c>
      <c r="AD70" s="296" t="s">
        <v>149</v>
      </c>
      <c r="AE70" s="305">
        <f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Monitored"")"),45264.0)</f>
        <v>45264</v>
      </c>
      <c r="AF70" s="343">
        <f>IFERROR(__xludf.DUMMYFUNCTION("IFERROR(INDEX(IMPORTRANGE(""https://docs.google.com/spreadsheets/d/1fpsE_0655xguD48cGK6n1ZqSLnI-tw9aHzhbPM9kZ-k/edit#gid=0"", ""Monitoring Summary!E:E""),MATCH(D70,IMPORTRANGE(""https://docs.google.com/spreadsheets/d/1fpsE_0655xguD48cGK6n1ZqSLnI-tw9aHzhbP"&amp;"M9kZ-k/edit#gid=0"", ""Monitoring Summary!C:C""),0)),""Not Monitored"")"),0.0)</f>
        <v>0</v>
      </c>
      <c r="AG70" s="382">
        <f t="shared" si="1"/>
        <v>0</v>
      </c>
      <c r="AH70" s="265" t="s">
        <v>377</v>
      </c>
    </row>
    <row r="71" ht="15.75" customHeight="1">
      <c r="A71" s="374">
        <v>2018.0</v>
      </c>
      <c r="B71" s="414">
        <v>43335.0</v>
      </c>
      <c r="C71" s="378" t="s">
        <v>275</v>
      </c>
      <c r="D71" s="415" t="s">
        <v>378</v>
      </c>
      <c r="E71" s="416" t="s">
        <v>170</v>
      </c>
      <c r="F71" s="416" t="s">
        <v>161</v>
      </c>
      <c r="G71" s="416" t="s">
        <v>41</v>
      </c>
      <c r="H71" s="416">
        <v>130.0</v>
      </c>
      <c r="I71" s="417" t="s">
        <v>379</v>
      </c>
      <c r="J71" s="381">
        <v>24.53853</v>
      </c>
      <c r="K71" s="381">
        <v>-81.452</v>
      </c>
      <c r="L71" s="418"/>
      <c r="M71" s="294">
        <v>43398.0</v>
      </c>
      <c r="N71" s="295">
        <v>0.9615384615384616</v>
      </c>
      <c r="O71" s="296">
        <v>0.03076923076923077</v>
      </c>
      <c r="P71" s="296">
        <v>0.007692307692307693</v>
      </c>
      <c r="Q71" s="296">
        <v>1.0</v>
      </c>
      <c r="R71" s="296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95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294">
        <v>43655.0</v>
      </c>
      <c r="U71" s="297">
        <v>0.823076923076923</v>
      </c>
      <c r="V71" s="298">
        <v>0.11538461538461539</v>
      </c>
      <c r="W71" s="298">
        <v>0.06153846153846154</v>
      </c>
      <c r="X71" s="298">
        <v>0.9615384615384616</v>
      </c>
      <c r="Y71" s="371">
        <v>44329.0</v>
      </c>
      <c r="Z71" s="300" t="s">
        <v>149</v>
      </c>
      <c r="AA71" s="301" t="s">
        <v>149</v>
      </c>
      <c r="AB71" s="419" t="s">
        <v>149</v>
      </c>
      <c r="AC71" s="420" t="s">
        <v>149</v>
      </c>
      <c r="AD71" s="296" t="s">
        <v>149</v>
      </c>
      <c r="AE71" s="305">
        <f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Monitored"")"),45247.0)</f>
        <v>45247</v>
      </c>
      <c r="AF71" s="343">
        <f>IFERROR(__xludf.DUMMYFUNCTION("IFERROR(INDEX(IMPORTRANGE(""https://docs.google.com/spreadsheets/d/1fpsE_0655xguD48cGK6n1ZqSLnI-tw9aHzhbPM9kZ-k/edit#gid=0"", ""Monitoring Summary!E:E""),MATCH(D71,IMPORTRANGE(""https://docs.google.com/spreadsheets/d/1fpsE_0655xguD48cGK6n1ZqSLnI-tw9aHzhbP"&amp;"M9kZ-k/edit#gid=0"", ""Monitoring Summary!C:C""),0)),""Not Monitored"")"),0.0)</f>
        <v>0</v>
      </c>
      <c r="AG71" s="382">
        <f t="shared" si="1"/>
        <v>0</v>
      </c>
      <c r="AH71" s="265" t="s">
        <v>380</v>
      </c>
    </row>
    <row r="72" ht="15.75" customHeight="1">
      <c r="A72" s="383">
        <v>2018.0</v>
      </c>
      <c r="B72" s="421">
        <v>43354.0</v>
      </c>
      <c r="C72" s="387" t="s">
        <v>268</v>
      </c>
      <c r="D72" s="422" t="s">
        <v>381</v>
      </c>
      <c r="E72" s="423" t="s">
        <v>170</v>
      </c>
      <c r="F72" s="423" t="s">
        <v>161</v>
      </c>
      <c r="G72" s="423" t="s">
        <v>41</v>
      </c>
      <c r="H72" s="423">
        <v>605.0</v>
      </c>
      <c r="I72" s="424" t="s">
        <v>382</v>
      </c>
      <c r="J72" s="390">
        <v>24.45176</v>
      </c>
      <c r="K72" s="390">
        <v>-81.87816</v>
      </c>
      <c r="L72" s="413"/>
      <c r="M72" s="271">
        <v>43397.0</v>
      </c>
      <c r="N72" s="255">
        <v>0.8479338842975207</v>
      </c>
      <c r="O72" s="256">
        <v>0.14380165289256197</v>
      </c>
      <c r="P72" s="256">
        <v>0.008264462809917356</v>
      </c>
      <c r="Q72" s="256">
        <v>0.9917355371900827</v>
      </c>
      <c r="R72" s="256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55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271">
        <v>43658.0</v>
      </c>
      <c r="U72" s="257">
        <v>0.771900826446281</v>
      </c>
      <c r="V72" s="258">
        <v>0.20661157024793386</v>
      </c>
      <c r="W72" s="258">
        <v>0.021487603305785124</v>
      </c>
      <c r="X72" s="258">
        <v>0.9669421487603306</v>
      </c>
      <c r="Y72" s="360">
        <v>44379.0</v>
      </c>
      <c r="Z72" s="260" t="s">
        <v>149</v>
      </c>
      <c r="AA72" s="261" t="s">
        <v>149</v>
      </c>
      <c r="AB72" s="368" t="s">
        <v>149</v>
      </c>
      <c r="AC72" s="425" t="s">
        <v>149</v>
      </c>
      <c r="AD72" s="256" t="s">
        <v>149</v>
      </c>
      <c r="AE72" s="305">
        <f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Monitored"")"),45259.0)</f>
        <v>45259</v>
      </c>
      <c r="AF72" s="343">
        <f>IFERROR(__xludf.DUMMYFUNCTION("IFERROR(INDEX(IMPORTRANGE(""https://docs.google.com/spreadsheets/d/1fpsE_0655xguD48cGK6n1ZqSLnI-tw9aHzhbPM9kZ-k/edit#gid=0"", ""Monitoring Summary!E:E""),MATCH(D72,IMPORTRANGE(""https://docs.google.com/spreadsheets/d/1fpsE_0655xguD48cGK6n1ZqSLnI-tw9aHzhbP"&amp;"M9kZ-k/edit#gid=0"", ""Monitoring Summary!C:C""),0)),""Not Monitored"")"),1.0)</f>
        <v>1</v>
      </c>
      <c r="AG72" s="382">
        <f t="shared" si="1"/>
        <v>0.001652892562</v>
      </c>
      <c r="AH72" s="265" t="s">
        <v>383</v>
      </c>
    </row>
    <row r="73" ht="15.75" customHeight="1">
      <c r="A73" s="383">
        <v>2018.0</v>
      </c>
      <c r="B73" s="421">
        <v>43355.0</v>
      </c>
      <c r="C73" s="387" t="s">
        <v>292</v>
      </c>
      <c r="D73" s="426" t="s">
        <v>384</v>
      </c>
      <c r="E73" s="423" t="s">
        <v>170</v>
      </c>
      <c r="F73" s="423" t="s">
        <v>161</v>
      </c>
      <c r="G73" s="423" t="s">
        <v>41</v>
      </c>
      <c r="H73" s="423">
        <v>465.0</v>
      </c>
      <c r="I73" s="424" t="s">
        <v>382</v>
      </c>
      <c r="J73" s="390">
        <v>24.45872</v>
      </c>
      <c r="K73" s="390">
        <v>-81.84532</v>
      </c>
      <c r="L73" s="413"/>
      <c r="M73" s="271">
        <v>43397.0</v>
      </c>
      <c r="N73" s="255">
        <v>0.9247311827956989</v>
      </c>
      <c r="O73" s="256">
        <v>0.05161290322580645</v>
      </c>
      <c r="P73" s="256">
        <v>0.023655913978494623</v>
      </c>
      <c r="Q73" s="256">
        <v>1.0</v>
      </c>
      <c r="R73" s="256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55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271">
        <v>43658.0</v>
      </c>
      <c r="U73" s="257">
        <v>0.9225806451612903</v>
      </c>
      <c r="V73" s="258">
        <v>0.04086021505376344</v>
      </c>
      <c r="W73" s="258">
        <v>0.03655913978494624</v>
      </c>
      <c r="X73" s="258">
        <v>1.0</v>
      </c>
      <c r="Y73" s="360">
        <v>44397.0</v>
      </c>
      <c r="Z73" s="260" t="s">
        <v>149</v>
      </c>
      <c r="AA73" s="261" t="s">
        <v>149</v>
      </c>
      <c r="AB73" s="368" t="s">
        <v>149</v>
      </c>
      <c r="AC73" s="425" t="s">
        <v>149</v>
      </c>
      <c r="AD73" s="256" t="s">
        <v>149</v>
      </c>
      <c r="AE73" s="262">
        <f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Monitored"")"),45293.0)</f>
        <v>45293</v>
      </c>
      <c r="AF73" s="263">
        <f>IFERROR(__xludf.DUMMYFUNCTION("IFERROR(INDEX(IMPORTRANGE(""https://docs.google.com/spreadsheets/d/1fpsE_0655xguD48cGK6n1ZqSLnI-tw9aHzhbPM9kZ-k/edit#gid=0"", ""Monitoring Summary!E:E""),MATCH(D73,IMPORTRANGE(""https://docs.google.com/spreadsheets/d/1fpsE_0655xguD48cGK6n1ZqSLnI-tw9aHzhbP"&amp;"M9kZ-k/edit#gid=0"", ""Monitoring Summary!C:C""),0)),""Not Monitored"")"),3.0)</f>
        <v>3</v>
      </c>
      <c r="AG73" s="264">
        <f t="shared" si="1"/>
        <v>0.006451612903</v>
      </c>
      <c r="AH73" s="265" t="s">
        <v>365</v>
      </c>
    </row>
    <row r="74" ht="15.75" customHeight="1">
      <c r="A74" s="374">
        <v>2018.0</v>
      </c>
      <c r="B74" s="414">
        <v>43363.0</v>
      </c>
      <c r="C74" s="378" t="s">
        <v>286</v>
      </c>
      <c r="D74" s="415" t="s">
        <v>385</v>
      </c>
      <c r="E74" s="416" t="s">
        <v>170</v>
      </c>
      <c r="F74" s="416" t="s">
        <v>161</v>
      </c>
      <c r="G74" s="416" t="s">
        <v>41</v>
      </c>
      <c r="H74" s="416">
        <v>145.0</v>
      </c>
      <c r="I74" s="417" t="s">
        <v>382</v>
      </c>
      <c r="J74" s="381">
        <v>24.45508</v>
      </c>
      <c r="K74" s="381">
        <v>-81.85645</v>
      </c>
      <c r="L74" s="418"/>
      <c r="M74" s="294">
        <v>43397.0</v>
      </c>
      <c r="N74" s="295">
        <v>0.9241379310344827</v>
      </c>
      <c r="O74" s="296">
        <v>0.05517241379310345</v>
      </c>
      <c r="P74" s="296">
        <v>0.020689655172413793</v>
      </c>
      <c r="Q74" s="296">
        <v>1.0</v>
      </c>
      <c r="R74" s="296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95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294">
        <v>43658.0</v>
      </c>
      <c r="U74" s="297">
        <v>0.8758620689655172</v>
      </c>
      <c r="V74" s="298">
        <v>0.04827586206896552</v>
      </c>
      <c r="W74" s="298">
        <v>0.07586206896551724</v>
      </c>
      <c r="X74" s="298">
        <v>1.0</v>
      </c>
      <c r="Y74" s="371">
        <v>44397.0</v>
      </c>
      <c r="Z74" s="300" t="s">
        <v>149</v>
      </c>
      <c r="AA74" s="301" t="s">
        <v>149</v>
      </c>
      <c r="AB74" s="419" t="s">
        <v>149</v>
      </c>
      <c r="AC74" s="420" t="s">
        <v>149</v>
      </c>
      <c r="AD74" s="296" t="s">
        <v>149</v>
      </c>
      <c r="AE74" s="328">
        <f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Monitored"")"),45294.0)</f>
        <v>45294</v>
      </c>
      <c r="AF74" s="329">
        <f>IFERROR(__xludf.DUMMYFUNCTION("IFERROR(INDEX(IMPORTRANGE(""https://docs.google.com/spreadsheets/d/1fpsE_0655xguD48cGK6n1ZqSLnI-tw9aHzhbPM9kZ-k/edit#gid=0"", ""Monitoring Summary!E:E""),MATCH(D74,IMPORTRANGE(""https://docs.google.com/spreadsheets/d/1fpsE_0655xguD48cGK6n1ZqSLnI-tw9aHzhbP"&amp;"M9kZ-k/edit#gid=0"", ""Monitoring Summary!C:C""),0)),""Not Monitored"")"),0.0)</f>
        <v>0</v>
      </c>
      <c r="AG74" s="330">
        <f t="shared" si="1"/>
        <v>0</v>
      </c>
      <c r="AH74" s="331" t="s">
        <v>386</v>
      </c>
    </row>
    <row r="75" ht="15.75" customHeight="1">
      <c r="A75" s="427">
        <v>2018.0</v>
      </c>
      <c r="B75" s="428">
        <v>43438.0</v>
      </c>
      <c r="C75" s="429" t="s">
        <v>268</v>
      </c>
      <c r="D75" s="430" t="s">
        <v>387</v>
      </c>
      <c r="E75" s="429" t="s">
        <v>170</v>
      </c>
      <c r="F75" s="429" t="s">
        <v>161</v>
      </c>
      <c r="G75" s="429" t="s">
        <v>41</v>
      </c>
      <c r="H75" s="431">
        <v>500.0</v>
      </c>
      <c r="I75" s="432" t="s">
        <v>388</v>
      </c>
      <c r="J75" s="433">
        <v>24.4523</v>
      </c>
      <c r="K75" s="433">
        <v>-81.87636</v>
      </c>
      <c r="L75" s="434"/>
      <c r="M75" s="314">
        <v>43480.0</v>
      </c>
      <c r="N75" s="315">
        <v>0.964</v>
      </c>
      <c r="O75" s="316">
        <v>0.018</v>
      </c>
      <c r="P75" s="316">
        <v>0.018</v>
      </c>
      <c r="Q75" s="316">
        <v>1.0</v>
      </c>
      <c r="R75" s="296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95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314">
        <v>43859.0</v>
      </c>
      <c r="U75" s="317">
        <v>0.9339999999999999</v>
      </c>
      <c r="V75" s="318">
        <v>0.008</v>
      </c>
      <c r="W75" s="318">
        <v>0.058</v>
      </c>
      <c r="X75" s="318">
        <v>0.98</v>
      </c>
      <c r="Y75" s="373">
        <v>44532.0</v>
      </c>
      <c r="Z75" s="320">
        <v>196.0</v>
      </c>
      <c r="AA75" s="321">
        <v>13.057947476108762</v>
      </c>
      <c r="AB75" s="435"/>
      <c r="AC75" s="436"/>
      <c r="AD75" s="316"/>
      <c r="AE75" s="328">
        <f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Monitored"")"),45294.0)</f>
        <v>45294</v>
      </c>
      <c r="AF75" s="329">
        <f>IFERROR(__xludf.DUMMYFUNCTION("IFERROR(INDEX(IMPORTRANGE(""https://docs.google.com/spreadsheets/d/1fpsE_0655xguD48cGK6n1ZqSLnI-tw9aHzhbPM9kZ-k/edit#gid=0"", ""Monitoring Summary!E:E""),MATCH(D75,IMPORTRANGE(""https://docs.google.com/spreadsheets/d/1fpsE_0655xguD48cGK6n1ZqSLnI-tw9aHzhbP"&amp;"M9kZ-k/edit#gid=0"", ""Monitoring Summary!C:C""),0)),""Not Monitored"")"),0.0)</f>
        <v>0</v>
      </c>
      <c r="AG75" s="330">
        <f t="shared" si="1"/>
        <v>0</v>
      </c>
      <c r="AH75" s="331" t="s">
        <v>389</v>
      </c>
    </row>
    <row r="76" ht="15.75" customHeight="1">
      <c r="A76" s="437">
        <v>2019.0</v>
      </c>
      <c r="B76" s="438">
        <v>43479.0</v>
      </c>
      <c r="C76" s="437" t="s">
        <v>168</v>
      </c>
      <c r="D76" s="439" t="s">
        <v>390</v>
      </c>
      <c r="E76" s="437" t="s">
        <v>170</v>
      </c>
      <c r="F76" s="437" t="s">
        <v>161</v>
      </c>
      <c r="G76" s="437" t="s">
        <v>41</v>
      </c>
      <c r="H76" s="437">
        <v>500.0</v>
      </c>
      <c r="I76" s="440" t="s">
        <v>391</v>
      </c>
      <c r="J76" s="441">
        <v>24.52295</v>
      </c>
      <c r="K76" s="441">
        <v>-81.519</v>
      </c>
      <c r="L76" s="442"/>
      <c r="M76" s="443">
        <v>43529.0</v>
      </c>
      <c r="N76" s="295">
        <v>0.906</v>
      </c>
      <c r="O76" s="296">
        <v>0.0</v>
      </c>
      <c r="P76" s="296">
        <v>0.094</v>
      </c>
      <c r="Q76" s="296">
        <v>1.0</v>
      </c>
      <c r="R76" s="296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95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443">
        <v>43853.0</v>
      </c>
      <c r="U76" s="297">
        <v>0.866</v>
      </c>
      <c r="V76" s="298">
        <v>0.008</v>
      </c>
      <c r="W76" s="298">
        <v>0.126</v>
      </c>
      <c r="X76" s="298">
        <v>1.0</v>
      </c>
      <c r="Y76" s="371">
        <v>44566.0</v>
      </c>
      <c r="Z76" s="300">
        <v>198.0</v>
      </c>
      <c r="AA76" s="301">
        <v>9.347211951074849</v>
      </c>
      <c r="AB76" s="299"/>
      <c r="AC76" s="300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301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62">
        <f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Monitored"")"),45264.0)</f>
        <v>45264</v>
      </c>
      <c r="AF76" s="263">
        <f>IFERROR(__xludf.DUMMYFUNCTION("IFERROR(INDEX(IMPORTRANGE(""https://docs.google.com/spreadsheets/d/1fpsE_0655xguD48cGK6n1ZqSLnI-tw9aHzhbPM9kZ-k/edit#gid=0"", ""Monitoring Summary!E:E""),MATCH(D76,IMPORTRANGE(""https://docs.google.com/spreadsheets/d/1fpsE_0655xguD48cGK6n1ZqSLnI-tw9aHzhbP"&amp;"M9kZ-k/edit#gid=0"", ""Monitoring Summary!C:C""),0)),""Not Monitored"")"),0.0)</f>
        <v>0</v>
      </c>
      <c r="AG76" s="264">
        <f t="shared" si="1"/>
        <v>0</v>
      </c>
      <c r="AH76" s="265" t="s">
        <v>392</v>
      </c>
    </row>
    <row r="77" ht="15.75" customHeight="1">
      <c r="A77" s="376">
        <v>2019.0</v>
      </c>
      <c r="B77" s="444">
        <v>43481.0</v>
      </c>
      <c r="C77" s="376" t="s">
        <v>292</v>
      </c>
      <c r="D77" s="377" t="s">
        <v>393</v>
      </c>
      <c r="E77" s="376" t="s">
        <v>170</v>
      </c>
      <c r="F77" s="376" t="s">
        <v>161</v>
      </c>
      <c r="G77" s="376" t="s">
        <v>41</v>
      </c>
      <c r="H77" s="376">
        <v>500.0</v>
      </c>
      <c r="I77" s="445" t="s">
        <v>388</v>
      </c>
      <c r="J77" s="412">
        <v>24.45929</v>
      </c>
      <c r="K77" s="412">
        <v>-81.84457</v>
      </c>
      <c r="L77" s="418"/>
      <c r="M77" s="294">
        <v>43524.0</v>
      </c>
      <c r="N77" s="295">
        <v>0.96</v>
      </c>
      <c r="O77" s="296">
        <v>0.0</v>
      </c>
      <c r="P77" s="296">
        <v>0.04</v>
      </c>
      <c r="Q77" s="296">
        <v>1.0</v>
      </c>
      <c r="R77" s="296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95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294">
        <v>43859.0</v>
      </c>
      <c r="U77" s="297">
        <v>0.904</v>
      </c>
      <c r="V77" s="298">
        <v>0.012</v>
      </c>
      <c r="W77" s="298">
        <v>0.084</v>
      </c>
      <c r="X77" s="298">
        <v>0.97</v>
      </c>
      <c r="Y77" s="371">
        <v>44550.0</v>
      </c>
      <c r="Z77" s="300">
        <v>206.0</v>
      </c>
      <c r="AA77" s="301">
        <v>10.634020799598188</v>
      </c>
      <c r="AB77" s="371">
        <v>45293.0</v>
      </c>
      <c r="AC77" s="300"/>
      <c r="AD77" s="301"/>
      <c r="AE77" s="262">
        <f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Monitored"")"),45293.0)</f>
        <v>45293</v>
      </c>
      <c r="AF77" s="263">
        <f>IFERROR(__xludf.DUMMYFUNCTION("IFERROR(INDEX(IMPORTRANGE(""https://docs.google.com/spreadsheets/d/1fpsE_0655xguD48cGK6n1ZqSLnI-tw9aHzhbPM9kZ-k/edit#gid=0"", ""Monitoring Summary!E:E""),MATCH(D77,IMPORTRANGE(""https://docs.google.com/spreadsheets/d/1fpsE_0655xguD48cGK6n1ZqSLnI-tw9aHzhbP"&amp;"M9kZ-k/edit#gid=0"", ""Monitoring Summary!C:C""),0)),""Not Monitored"")"),0.0)</f>
        <v>0</v>
      </c>
      <c r="AG77" s="264">
        <f t="shared" si="1"/>
        <v>0</v>
      </c>
      <c r="AH77" s="265" t="s">
        <v>394</v>
      </c>
    </row>
    <row r="78" ht="15.75" customHeight="1">
      <c r="A78" s="388">
        <v>2019.0</v>
      </c>
      <c r="B78" s="446">
        <v>43514.0</v>
      </c>
      <c r="C78" s="388" t="s">
        <v>242</v>
      </c>
      <c r="D78" s="386" t="s">
        <v>395</v>
      </c>
      <c r="E78" s="388" t="s">
        <v>170</v>
      </c>
      <c r="F78" s="388" t="s">
        <v>161</v>
      </c>
      <c r="G78" s="388" t="s">
        <v>41</v>
      </c>
      <c r="H78" s="388">
        <v>500.0</v>
      </c>
      <c r="I78" s="447" t="s">
        <v>396</v>
      </c>
      <c r="J78" s="390">
        <v>24.55178</v>
      </c>
      <c r="K78" s="390">
        <v>-81.38648</v>
      </c>
      <c r="L78" s="413"/>
      <c r="M78" s="271">
        <v>43551.0</v>
      </c>
      <c r="N78" s="255">
        <v>0.996</v>
      </c>
      <c r="O78" s="256">
        <v>0.002</v>
      </c>
      <c r="P78" s="256">
        <v>0.002</v>
      </c>
      <c r="Q78" s="256">
        <v>1.0</v>
      </c>
      <c r="R78" s="256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55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271">
        <v>43873.0</v>
      </c>
      <c r="U78" s="257">
        <v>0.85</v>
      </c>
      <c r="V78" s="258">
        <v>0.1</v>
      </c>
      <c r="W78" s="258">
        <v>0.05</v>
      </c>
      <c r="X78" s="258">
        <v>0.99</v>
      </c>
      <c r="Y78" s="360">
        <v>44620.0</v>
      </c>
      <c r="Z78" s="260">
        <v>140.0</v>
      </c>
      <c r="AA78" s="261">
        <v>5.912784956633038</v>
      </c>
      <c r="AB78" s="259"/>
      <c r="AC78" s="260"/>
      <c r="AD78" s="261"/>
      <c r="AE78" s="262" t="str">
        <f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Monitored"")"),"Not Monitored")</f>
        <v>Not Monitored</v>
      </c>
      <c r="AF78" s="263" t="str">
        <f>IFERROR(__xludf.DUMMYFUNCTION("IFERROR(INDEX(IMPORTRANGE(""https://docs.google.com/spreadsheets/d/1fpsE_0655xguD48cGK6n1ZqSLnI-tw9aHzhbPM9kZ-k/edit#gid=0"", ""Monitoring Summary!E:E""),MATCH(D78,IMPORTRANGE(""https://docs.google.com/spreadsheets/d/1fpsE_0655xguD48cGK6n1ZqSLnI-tw9aHzhbP"&amp;"M9kZ-k/edit#gid=0"", ""Monitoring Summary!C:C""),0)),""Not Monitored"")"),"Not Monitored")</f>
        <v>Not Monitored</v>
      </c>
      <c r="AG78" s="264" t="str">
        <f t="shared" si="1"/>
        <v>Not Monitored</v>
      </c>
      <c r="AH78" s="265" t="s">
        <v>397</v>
      </c>
    </row>
    <row r="79" ht="15.75" customHeight="1">
      <c r="A79" s="376">
        <v>2019.0</v>
      </c>
      <c r="B79" s="444">
        <v>43523.0</v>
      </c>
      <c r="C79" s="376" t="s">
        <v>286</v>
      </c>
      <c r="D79" s="377" t="s">
        <v>398</v>
      </c>
      <c r="E79" s="376" t="s">
        <v>170</v>
      </c>
      <c r="F79" s="376" t="s">
        <v>161</v>
      </c>
      <c r="G79" s="376" t="s">
        <v>41</v>
      </c>
      <c r="H79" s="376">
        <v>500.0</v>
      </c>
      <c r="I79" s="445" t="s">
        <v>388</v>
      </c>
      <c r="J79" s="412">
        <v>24.45475</v>
      </c>
      <c r="K79" s="412">
        <v>-81.85652</v>
      </c>
      <c r="L79" s="418"/>
      <c r="M79" s="294">
        <v>43550.0</v>
      </c>
      <c r="N79" s="295">
        <v>1.0</v>
      </c>
      <c r="O79" s="296">
        <v>0.0</v>
      </c>
      <c r="P79" s="296">
        <v>0.0</v>
      </c>
      <c r="Q79" s="296">
        <v>1.0</v>
      </c>
      <c r="R79" s="296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95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294">
        <v>43859.0</v>
      </c>
      <c r="U79" s="297">
        <v>0.966</v>
      </c>
      <c r="V79" s="298">
        <v>0.022</v>
      </c>
      <c r="W79" s="298">
        <v>0.012</v>
      </c>
      <c r="X79" s="298">
        <v>1.0</v>
      </c>
      <c r="Y79" s="371">
        <v>44589.0</v>
      </c>
      <c r="Z79" s="300">
        <v>148.0</v>
      </c>
      <c r="AA79" s="301">
        <v>7.144123619170648</v>
      </c>
      <c r="AB79" s="299"/>
      <c r="AC79" s="448"/>
      <c r="AD79" s="301"/>
      <c r="AE79" s="328">
        <f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Monitored"")"),45294.0)</f>
        <v>45294</v>
      </c>
      <c r="AF79" s="329">
        <f>IFERROR(__xludf.DUMMYFUNCTION("IFERROR(INDEX(IMPORTRANGE(""https://docs.google.com/spreadsheets/d/1fpsE_0655xguD48cGK6n1ZqSLnI-tw9aHzhbPM9kZ-k/edit#gid=0"", ""Monitoring Summary!E:E""),MATCH(D79,IMPORTRANGE(""https://docs.google.com/spreadsheets/d/1fpsE_0655xguD48cGK6n1ZqSLnI-tw9aHzhbP"&amp;"M9kZ-k/edit#gid=0"", ""Monitoring Summary!C:C""),0)),""Not Monitored"")"),0.0)</f>
        <v>0</v>
      </c>
      <c r="AG79" s="330">
        <f t="shared" si="1"/>
        <v>0</v>
      </c>
      <c r="AH79" s="331" t="s">
        <v>399</v>
      </c>
    </row>
    <row r="80" ht="15.75" customHeight="1">
      <c r="A80" s="376">
        <v>2019.0</v>
      </c>
      <c r="B80" s="444">
        <v>43525.0</v>
      </c>
      <c r="C80" s="376" t="s">
        <v>158</v>
      </c>
      <c r="D80" s="377" t="s">
        <v>400</v>
      </c>
      <c r="E80" s="376" t="s">
        <v>170</v>
      </c>
      <c r="F80" s="376" t="s">
        <v>161</v>
      </c>
      <c r="G80" s="376" t="s">
        <v>41</v>
      </c>
      <c r="H80" s="376">
        <v>500.0</v>
      </c>
      <c r="I80" s="445" t="s">
        <v>401</v>
      </c>
      <c r="J80" s="381">
        <v>24.55245</v>
      </c>
      <c r="K80" s="381">
        <v>-81.38409</v>
      </c>
      <c r="L80" s="418"/>
      <c r="M80" s="294">
        <v>43565.0</v>
      </c>
      <c r="N80" s="295">
        <v>0.988</v>
      </c>
      <c r="O80" s="296">
        <v>0.002</v>
      </c>
      <c r="P80" s="296">
        <v>0.01</v>
      </c>
      <c r="Q80" s="296">
        <v>1.0</v>
      </c>
      <c r="R80" s="296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95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294">
        <v>43873.0</v>
      </c>
      <c r="U80" s="297">
        <v>0.86</v>
      </c>
      <c r="V80" s="298">
        <v>0.044</v>
      </c>
      <c r="W80" s="298">
        <v>0.096</v>
      </c>
      <c r="X80" s="298">
        <v>0.99</v>
      </c>
      <c r="Y80" s="371">
        <v>44623.0</v>
      </c>
      <c r="Z80" s="300">
        <v>136.0</v>
      </c>
      <c r="AA80" s="301">
        <v>6.329672400711095</v>
      </c>
      <c r="AB80" s="299"/>
      <c r="AC80" s="448"/>
      <c r="AD80" s="301"/>
      <c r="AE80" s="262">
        <f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Monitored"")"),45239.0)</f>
        <v>45239</v>
      </c>
      <c r="AF80" s="263">
        <f>IFERROR(__xludf.DUMMYFUNCTION("IFERROR(INDEX(IMPORTRANGE(""https://docs.google.com/spreadsheets/d/1fpsE_0655xguD48cGK6n1ZqSLnI-tw9aHzhbPM9kZ-k/edit#gid=0"", ""Monitoring Summary!E:E""),MATCH(D80,IMPORTRANGE(""https://docs.google.com/spreadsheets/d/1fpsE_0655xguD48cGK6n1ZqSLnI-tw9aHzhbP"&amp;"M9kZ-k/edit#gid=0"", ""Monitoring Summary!C:C""),0)),""Not Monitored"")"),0.0)</f>
        <v>0</v>
      </c>
      <c r="AG80" s="264">
        <f t="shared" si="1"/>
        <v>0</v>
      </c>
      <c r="AH80" s="265" t="s">
        <v>402</v>
      </c>
    </row>
    <row r="81" ht="15.75" customHeight="1">
      <c r="A81" s="376">
        <v>2019.0</v>
      </c>
      <c r="B81" s="444">
        <v>43542.0</v>
      </c>
      <c r="C81" s="376" t="s">
        <v>172</v>
      </c>
      <c r="D81" s="377" t="s">
        <v>403</v>
      </c>
      <c r="E81" s="376" t="s">
        <v>170</v>
      </c>
      <c r="F81" s="376" t="s">
        <v>161</v>
      </c>
      <c r="G81" s="376" t="s">
        <v>41</v>
      </c>
      <c r="H81" s="376">
        <v>500.0</v>
      </c>
      <c r="I81" s="445" t="s">
        <v>316</v>
      </c>
      <c r="J81" s="381">
        <v>24.5529</v>
      </c>
      <c r="K81" s="381">
        <v>-81.38015</v>
      </c>
      <c r="L81" s="418"/>
      <c r="M81" s="294">
        <v>43570.0</v>
      </c>
      <c r="N81" s="295">
        <v>0.972</v>
      </c>
      <c r="O81" s="296">
        <v>0.0</v>
      </c>
      <c r="P81" s="296">
        <v>0.028</v>
      </c>
      <c r="Q81" s="296">
        <v>1.0</v>
      </c>
      <c r="R81" s="296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95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294">
        <v>43901.0</v>
      </c>
      <c r="U81" s="297">
        <v>0.844</v>
      </c>
      <c r="V81" s="298">
        <v>0.016</v>
      </c>
      <c r="W81" s="298">
        <v>0.14</v>
      </c>
      <c r="X81" s="298">
        <v>1.0</v>
      </c>
      <c r="Y81" s="371">
        <v>44623.0</v>
      </c>
      <c r="Z81" s="300">
        <v>209.0</v>
      </c>
      <c r="AA81" s="301">
        <v>7.354331541871754</v>
      </c>
      <c r="AB81" s="299"/>
      <c r="AC81" s="300"/>
      <c r="AD81" s="301"/>
      <c r="AE81" s="262">
        <f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Monitored"")"),45239.0)</f>
        <v>45239</v>
      </c>
      <c r="AF81" s="263">
        <f>IFERROR(__xludf.DUMMYFUNCTION("IFERROR(INDEX(IMPORTRANGE(""https://docs.google.com/spreadsheets/d/1fpsE_0655xguD48cGK6n1ZqSLnI-tw9aHzhbPM9kZ-k/edit#gid=0"", ""Monitoring Summary!E:E""),MATCH(D81,IMPORTRANGE(""https://docs.google.com/spreadsheets/d/1fpsE_0655xguD48cGK6n1ZqSLnI-tw9aHzhbP"&amp;"M9kZ-k/edit#gid=0"", ""Monitoring Summary!C:C""),0)),""Not Monitored"")"),0.0)</f>
        <v>0</v>
      </c>
      <c r="AG81" s="264">
        <f t="shared" si="1"/>
        <v>0</v>
      </c>
      <c r="AH81" s="265" t="s">
        <v>404</v>
      </c>
    </row>
    <row r="82" ht="15.75" customHeight="1">
      <c r="A82" s="376">
        <v>2019.0</v>
      </c>
      <c r="B82" s="444">
        <v>43545.0</v>
      </c>
      <c r="C82" s="376" t="s">
        <v>275</v>
      </c>
      <c r="D82" s="377" t="s">
        <v>405</v>
      </c>
      <c r="E82" s="376" t="s">
        <v>170</v>
      </c>
      <c r="F82" s="376" t="s">
        <v>161</v>
      </c>
      <c r="G82" s="376" t="s">
        <v>41</v>
      </c>
      <c r="H82" s="376">
        <v>500.0</v>
      </c>
      <c r="I82" s="445" t="s">
        <v>406</v>
      </c>
      <c r="J82" s="381">
        <v>24.5384</v>
      </c>
      <c r="K82" s="381">
        <v>-81.4535</v>
      </c>
      <c r="L82" s="418"/>
      <c r="M82" s="294">
        <v>43572.0</v>
      </c>
      <c r="N82" s="295">
        <v>0.998</v>
      </c>
      <c r="O82" s="296">
        <v>0.002</v>
      </c>
      <c r="P82" s="296">
        <v>0.0</v>
      </c>
      <c r="Q82" s="296">
        <v>1.0</v>
      </c>
      <c r="R82" s="296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95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294">
        <v>43913.0</v>
      </c>
      <c r="U82" s="297">
        <v>0.9359999999999999</v>
      </c>
      <c r="V82" s="298">
        <v>0.028</v>
      </c>
      <c r="W82" s="298">
        <v>0.036</v>
      </c>
      <c r="X82" s="298">
        <v>0.99</v>
      </c>
      <c r="Y82" s="371">
        <v>44624.0</v>
      </c>
      <c r="Z82" s="300">
        <v>215.0</v>
      </c>
      <c r="AA82" s="301">
        <v>9.332075200241745</v>
      </c>
      <c r="AB82" s="299"/>
      <c r="AC82" s="300"/>
      <c r="AD82" s="301"/>
      <c r="AE82" s="262">
        <f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Monitored"")"),45247.0)</f>
        <v>45247</v>
      </c>
      <c r="AF82" s="263">
        <f>IFERROR(__xludf.DUMMYFUNCTION("IFERROR(INDEX(IMPORTRANGE(""https://docs.google.com/spreadsheets/d/1fpsE_0655xguD48cGK6n1ZqSLnI-tw9aHzhbPM9kZ-k/edit#gid=0"", ""Monitoring Summary!E:E""),MATCH(D82,IMPORTRANGE(""https://docs.google.com/spreadsheets/d/1fpsE_0655xguD48cGK6n1ZqSLnI-tw9aHzhbP"&amp;"M9kZ-k/edit#gid=0"", ""Monitoring Summary!C:C""),0)),""Not Monitored"")"),0.0)</f>
        <v>0</v>
      </c>
      <c r="AG82" s="264">
        <f t="shared" si="1"/>
        <v>0</v>
      </c>
      <c r="AH82" s="265" t="s">
        <v>407</v>
      </c>
    </row>
    <row r="83" ht="15.75" customHeight="1">
      <c r="A83" s="376">
        <v>2019.0</v>
      </c>
      <c r="B83" s="444">
        <v>43549.0</v>
      </c>
      <c r="C83" s="376" t="s">
        <v>268</v>
      </c>
      <c r="D83" s="377" t="s">
        <v>408</v>
      </c>
      <c r="E83" s="376" t="s">
        <v>170</v>
      </c>
      <c r="F83" s="376" t="s">
        <v>161</v>
      </c>
      <c r="G83" s="376" t="s">
        <v>41</v>
      </c>
      <c r="H83" s="376">
        <v>500.0</v>
      </c>
      <c r="I83" s="445" t="s">
        <v>409</v>
      </c>
      <c r="J83" s="412">
        <v>24.45238</v>
      </c>
      <c r="K83" s="412">
        <v>-81.87647</v>
      </c>
      <c r="L83" s="418"/>
      <c r="M83" s="294">
        <v>43577.0</v>
      </c>
      <c r="N83" s="295">
        <v>0.994</v>
      </c>
      <c r="O83" s="296">
        <v>0.004</v>
      </c>
      <c r="P83" s="296">
        <v>0.002</v>
      </c>
      <c r="Q83" s="296">
        <v>1.0</v>
      </c>
      <c r="R83" s="296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95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294">
        <v>43902.0</v>
      </c>
      <c r="U83" s="297">
        <v>0.902</v>
      </c>
      <c r="V83" s="298">
        <v>0.086</v>
      </c>
      <c r="W83" s="298">
        <v>0.012</v>
      </c>
      <c r="X83" s="298">
        <v>0.97</v>
      </c>
      <c r="Y83" s="371">
        <v>44670.0</v>
      </c>
      <c r="Z83" s="300">
        <v>142.0</v>
      </c>
      <c r="AA83" s="301">
        <v>11.437664749697545</v>
      </c>
      <c r="AB83" s="299"/>
      <c r="AC83" s="300"/>
      <c r="AD83" s="301"/>
      <c r="AE83" s="328">
        <f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Monitored"")"),45294.0)</f>
        <v>45294</v>
      </c>
      <c r="AF83" s="329">
        <f>IFERROR(__xludf.DUMMYFUNCTION("IFERROR(INDEX(IMPORTRANGE(""https://docs.google.com/spreadsheets/d/1fpsE_0655xguD48cGK6n1ZqSLnI-tw9aHzhbPM9kZ-k/edit#gid=0"", ""Monitoring Summary!E:E""),MATCH(D83,IMPORTRANGE(""https://docs.google.com/spreadsheets/d/1fpsE_0655xguD48cGK6n1ZqSLnI-tw9aHzhbP"&amp;"M9kZ-k/edit#gid=0"", ""Monitoring Summary!C:C""),0)),""Not Monitored"")"),0.0)</f>
        <v>0</v>
      </c>
      <c r="AG83" s="330">
        <f t="shared" si="1"/>
        <v>0</v>
      </c>
      <c r="AH83" s="331" t="s">
        <v>410</v>
      </c>
    </row>
    <row r="84" ht="15.75" customHeight="1">
      <c r="A84" s="376">
        <v>2019.0</v>
      </c>
      <c r="B84" s="444">
        <v>43550.0</v>
      </c>
      <c r="C84" s="376" t="s">
        <v>292</v>
      </c>
      <c r="D84" s="415" t="s">
        <v>411</v>
      </c>
      <c r="E84" s="376" t="s">
        <v>170</v>
      </c>
      <c r="F84" s="376" t="s">
        <v>161</v>
      </c>
      <c r="G84" s="376" t="s">
        <v>41</v>
      </c>
      <c r="H84" s="376">
        <v>500.0</v>
      </c>
      <c r="I84" s="445" t="s">
        <v>409</v>
      </c>
      <c r="J84" s="412">
        <v>24.45929</v>
      </c>
      <c r="K84" s="412">
        <v>-81.84502</v>
      </c>
      <c r="L84" s="418"/>
      <c r="M84" s="294">
        <v>43577.0</v>
      </c>
      <c r="N84" s="295">
        <v>0.996</v>
      </c>
      <c r="O84" s="296">
        <v>0.0</v>
      </c>
      <c r="P84" s="296">
        <v>0.004</v>
      </c>
      <c r="Q84" s="296">
        <v>1.0</v>
      </c>
      <c r="R84" s="296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95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294">
        <v>43902.0</v>
      </c>
      <c r="U84" s="297">
        <v>0.858</v>
      </c>
      <c r="V84" s="298">
        <v>0.058</v>
      </c>
      <c r="W84" s="298">
        <v>0.084</v>
      </c>
      <c r="X84" s="298">
        <v>0.97</v>
      </c>
      <c r="Y84" s="371">
        <v>44670.0</v>
      </c>
      <c r="Z84" s="300">
        <v>153.0</v>
      </c>
      <c r="AA84" s="301">
        <v>9.923543875004244</v>
      </c>
      <c r="AB84" s="371">
        <v>45293.0</v>
      </c>
      <c r="AC84" s="300"/>
      <c r="AD84" s="301"/>
      <c r="AE84" s="262">
        <f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Monitored"")"),45293.0)</f>
        <v>45293</v>
      </c>
      <c r="AF84" s="263">
        <f>IFERROR(__xludf.DUMMYFUNCTION("IFERROR(INDEX(IMPORTRANGE(""https://docs.google.com/spreadsheets/d/1fpsE_0655xguD48cGK6n1ZqSLnI-tw9aHzhbPM9kZ-k/edit#gid=0"", ""Monitoring Summary!E:E""),MATCH(D84,IMPORTRANGE(""https://docs.google.com/spreadsheets/d/1fpsE_0655xguD48cGK6n1ZqSLnI-tw9aHzhbP"&amp;"M9kZ-k/edit#gid=0"", ""Monitoring Summary!C:C""),0)),""Not Monitored"")"),0.0)</f>
        <v>0</v>
      </c>
      <c r="AG84" s="264">
        <f t="shared" si="1"/>
        <v>0</v>
      </c>
      <c r="AH84" s="265" t="s">
        <v>412</v>
      </c>
    </row>
    <row r="85" ht="15.75" customHeight="1">
      <c r="A85" s="376">
        <v>2019.0</v>
      </c>
      <c r="B85" s="444">
        <v>43566.0</v>
      </c>
      <c r="C85" s="376" t="s">
        <v>168</v>
      </c>
      <c r="D85" s="377" t="s">
        <v>413</v>
      </c>
      <c r="E85" s="376" t="s">
        <v>170</v>
      </c>
      <c r="F85" s="376" t="s">
        <v>161</v>
      </c>
      <c r="G85" s="376" t="s">
        <v>41</v>
      </c>
      <c r="H85" s="376">
        <v>500.0</v>
      </c>
      <c r="I85" s="445" t="s">
        <v>414</v>
      </c>
      <c r="J85" s="412">
        <v>24.52249</v>
      </c>
      <c r="K85" s="412">
        <v>-81.51951</v>
      </c>
      <c r="L85" s="418"/>
      <c r="M85" s="294">
        <v>43627.0</v>
      </c>
      <c r="N85" s="295">
        <v>0.974</v>
      </c>
      <c r="O85" s="296">
        <v>0.012</v>
      </c>
      <c r="P85" s="296">
        <v>0.014</v>
      </c>
      <c r="Q85" s="296">
        <v>1.0</v>
      </c>
      <c r="R85" s="296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95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294">
        <v>43913.0</v>
      </c>
      <c r="U85" s="297">
        <v>0.902</v>
      </c>
      <c r="V85" s="298">
        <v>0.046</v>
      </c>
      <c r="W85" s="298">
        <v>0.052</v>
      </c>
      <c r="X85" s="298">
        <v>0.99</v>
      </c>
      <c r="Y85" s="371">
        <v>44648.0</v>
      </c>
      <c r="Z85" s="300">
        <v>164.0</v>
      </c>
      <c r="AA85" s="301">
        <v>6.447934371673236</v>
      </c>
      <c r="AB85" s="299"/>
      <c r="AC85" s="300"/>
      <c r="AD85" s="301"/>
      <c r="AE85" s="262">
        <f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Monitored"")"),45264.0)</f>
        <v>45264</v>
      </c>
      <c r="AF85" s="263">
        <f>IFERROR(__xludf.DUMMYFUNCTION("IFERROR(INDEX(IMPORTRANGE(""https://docs.google.com/spreadsheets/d/1fpsE_0655xguD48cGK6n1ZqSLnI-tw9aHzhbPM9kZ-k/edit#gid=0"", ""Monitoring Summary!E:E""),MATCH(D85,IMPORTRANGE(""https://docs.google.com/spreadsheets/d/1fpsE_0655xguD48cGK6n1ZqSLnI-tw9aHzhbP"&amp;"M9kZ-k/edit#gid=0"", ""Monitoring Summary!C:C""),0)),""Not Monitored"")"),0.0)</f>
        <v>0</v>
      </c>
      <c r="AG85" s="264">
        <f t="shared" si="1"/>
        <v>0</v>
      </c>
      <c r="AH85" s="265" t="s">
        <v>415</v>
      </c>
    </row>
    <row r="86" ht="15.75" customHeight="1">
      <c r="A86" s="388">
        <v>2019.0</v>
      </c>
      <c r="B86" s="421">
        <v>43570.0</v>
      </c>
      <c r="C86" s="387" t="s">
        <v>158</v>
      </c>
      <c r="D86" s="386" t="s">
        <v>416</v>
      </c>
      <c r="E86" s="423" t="s">
        <v>170</v>
      </c>
      <c r="F86" s="423" t="s">
        <v>161</v>
      </c>
      <c r="G86" s="423" t="s">
        <v>41</v>
      </c>
      <c r="H86" s="423">
        <v>500.0</v>
      </c>
      <c r="I86" s="424" t="s">
        <v>417</v>
      </c>
      <c r="J86" s="449">
        <v>24.55235</v>
      </c>
      <c r="K86" s="449">
        <v>-81.38387</v>
      </c>
      <c r="L86" s="413"/>
      <c r="M86" s="271">
        <v>43619.0</v>
      </c>
      <c r="N86" s="255">
        <v>0.956</v>
      </c>
      <c r="O86" s="256">
        <v>0.022</v>
      </c>
      <c r="P86" s="256">
        <v>0.022</v>
      </c>
      <c r="Q86" s="256">
        <v>1.0</v>
      </c>
      <c r="R86" s="256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55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271">
        <v>43928.0</v>
      </c>
      <c r="U86" s="257">
        <v>0.9</v>
      </c>
      <c r="V86" s="258">
        <v>0.054</v>
      </c>
      <c r="W86" s="258">
        <v>0.046</v>
      </c>
      <c r="X86" s="258">
        <v>0.99</v>
      </c>
      <c r="Y86" s="360">
        <v>44649.0</v>
      </c>
      <c r="Z86" s="260">
        <v>130.0</v>
      </c>
      <c r="AA86" s="261">
        <v>4.97404424563986</v>
      </c>
      <c r="AB86" s="259"/>
      <c r="AC86" s="260"/>
      <c r="AD86" s="261"/>
      <c r="AE86" s="262">
        <f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Monitored"")"),45239.0)</f>
        <v>45239</v>
      </c>
      <c r="AF86" s="263">
        <f>IFERROR(__xludf.DUMMYFUNCTION("IFERROR(INDEX(IMPORTRANGE(""https://docs.google.com/spreadsheets/d/1fpsE_0655xguD48cGK6n1ZqSLnI-tw9aHzhbPM9kZ-k/edit#gid=0"", ""Monitoring Summary!E:E""),MATCH(D86,IMPORTRANGE(""https://docs.google.com/spreadsheets/d/1fpsE_0655xguD48cGK6n1ZqSLnI-tw9aHzhbP"&amp;"M9kZ-k/edit#gid=0"", ""Monitoring Summary!C:C""),0)),""Not Monitored"")"),4.0)</f>
        <v>4</v>
      </c>
      <c r="AG86" s="264">
        <f t="shared" si="1"/>
        <v>0.008</v>
      </c>
      <c r="AH86" s="265" t="s">
        <v>418</v>
      </c>
    </row>
    <row r="87" ht="15.75" customHeight="1">
      <c r="A87" s="376">
        <v>2019.0</v>
      </c>
      <c r="B87" s="444">
        <v>43577.0</v>
      </c>
      <c r="C87" s="376" t="s">
        <v>286</v>
      </c>
      <c r="D87" s="377" t="s">
        <v>419</v>
      </c>
      <c r="E87" s="376" t="s">
        <v>170</v>
      </c>
      <c r="F87" s="376" t="s">
        <v>161</v>
      </c>
      <c r="G87" s="376" t="s">
        <v>41</v>
      </c>
      <c r="H87" s="376">
        <v>250.0</v>
      </c>
      <c r="I87" s="445" t="s">
        <v>420</v>
      </c>
      <c r="J87" s="412">
        <v>24.45481</v>
      </c>
      <c r="K87" s="412">
        <v>-81.85661</v>
      </c>
      <c r="L87" s="418"/>
      <c r="M87" s="294">
        <v>43622.0</v>
      </c>
      <c r="N87" s="295">
        <v>0.952</v>
      </c>
      <c r="O87" s="296">
        <v>0.048</v>
      </c>
      <c r="P87" s="296">
        <v>0.0</v>
      </c>
      <c r="Q87" s="296">
        <v>0.98</v>
      </c>
      <c r="R87" s="296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95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294">
        <v>43902.0</v>
      </c>
      <c r="U87" s="297">
        <v>0.916</v>
      </c>
      <c r="V87" s="298">
        <v>0.072</v>
      </c>
      <c r="W87" s="298">
        <v>0.012</v>
      </c>
      <c r="X87" s="298">
        <v>0.96</v>
      </c>
      <c r="Y87" s="371">
        <v>44670.0</v>
      </c>
      <c r="Z87" s="300">
        <v>82.0</v>
      </c>
      <c r="AA87" s="301">
        <v>9.459397002162667</v>
      </c>
      <c r="AB87" s="299"/>
      <c r="AC87" s="300"/>
      <c r="AD87" s="301"/>
      <c r="AE87" s="328">
        <f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Monitored"")"),45294.0)</f>
        <v>45294</v>
      </c>
      <c r="AF87" s="329">
        <f>IFERROR(__xludf.DUMMYFUNCTION("IFERROR(INDEX(IMPORTRANGE(""https://docs.google.com/spreadsheets/d/1fpsE_0655xguD48cGK6n1ZqSLnI-tw9aHzhbPM9kZ-k/edit#gid=0"", ""Monitoring Summary!E:E""),MATCH(D87,IMPORTRANGE(""https://docs.google.com/spreadsheets/d/1fpsE_0655xguD48cGK6n1ZqSLnI-tw9aHzhbP"&amp;"M9kZ-k/edit#gid=0"", ""Monitoring Summary!C:C""),0)),""Not Monitored"")"),0.0)</f>
        <v>0</v>
      </c>
      <c r="AG87" s="330">
        <f t="shared" si="1"/>
        <v>0</v>
      </c>
      <c r="AH87" s="331" t="s">
        <v>421</v>
      </c>
    </row>
    <row r="88" ht="15.75" customHeight="1">
      <c r="A88" s="376">
        <v>2019.0</v>
      </c>
      <c r="B88" s="414">
        <v>43592.0</v>
      </c>
      <c r="C88" s="416" t="s">
        <v>172</v>
      </c>
      <c r="D88" s="415" t="s">
        <v>422</v>
      </c>
      <c r="E88" s="416" t="s">
        <v>170</v>
      </c>
      <c r="F88" s="416" t="s">
        <v>161</v>
      </c>
      <c r="G88" s="416" t="s">
        <v>41</v>
      </c>
      <c r="H88" s="416">
        <v>500.0</v>
      </c>
      <c r="I88" s="417" t="s">
        <v>423</v>
      </c>
      <c r="J88" s="450">
        <v>24.55296</v>
      </c>
      <c r="K88" s="450">
        <v>-81.37977</v>
      </c>
      <c r="L88" s="418"/>
      <c r="M88" s="294">
        <v>43627.0</v>
      </c>
      <c r="N88" s="295">
        <v>0.986</v>
      </c>
      <c r="O88" s="296">
        <v>0.0</v>
      </c>
      <c r="P88" s="296">
        <v>0.014</v>
      </c>
      <c r="Q88" s="296">
        <v>1.0</v>
      </c>
      <c r="R88" s="296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95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294">
        <v>43928.0</v>
      </c>
      <c r="U88" s="297">
        <v>0.856</v>
      </c>
      <c r="V88" s="298">
        <v>0.02</v>
      </c>
      <c r="W88" s="298">
        <v>0.124</v>
      </c>
      <c r="X88" s="298">
        <v>0.99</v>
      </c>
      <c r="Y88" s="371">
        <v>44697.0</v>
      </c>
      <c r="Z88" s="300">
        <v>149.0</v>
      </c>
      <c r="AA88" s="301">
        <v>3.987091294002125</v>
      </c>
      <c r="AB88" s="299"/>
      <c r="AC88" s="300"/>
      <c r="AD88" s="301"/>
      <c r="AE88" s="305">
        <f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Monitored"")"),45239.0)</f>
        <v>45239</v>
      </c>
      <c r="AF88" s="263">
        <f>IFERROR(__xludf.DUMMYFUNCTION("IFERROR(INDEX(IMPORTRANGE(""https://docs.google.com/spreadsheets/d/1fpsE_0655xguD48cGK6n1ZqSLnI-tw9aHzhbPM9kZ-k/edit#gid=0"", ""Monitoring Summary!E:E""),MATCH(D88,IMPORTRANGE(""https://docs.google.com/spreadsheets/d/1fpsE_0655xguD48cGK6n1ZqSLnI-tw9aHzhbP"&amp;"M9kZ-k/edit#gid=0"", ""Monitoring Summary!C:C""),0)),""Not Monitored"")"),0.0)</f>
        <v>0</v>
      </c>
      <c r="AG88" s="264">
        <f t="shared" si="1"/>
        <v>0</v>
      </c>
      <c r="AH88" s="265" t="s">
        <v>424</v>
      </c>
    </row>
    <row r="89" ht="15.75" customHeight="1">
      <c r="A89" s="376">
        <v>2019.0</v>
      </c>
      <c r="B89" s="414">
        <v>43595.0</v>
      </c>
      <c r="C89" s="416" t="s">
        <v>350</v>
      </c>
      <c r="D89" s="415" t="s">
        <v>425</v>
      </c>
      <c r="E89" s="416" t="s">
        <v>170</v>
      </c>
      <c r="F89" s="416" t="s">
        <v>161</v>
      </c>
      <c r="G89" s="416" t="s">
        <v>41</v>
      </c>
      <c r="H89" s="416">
        <v>600.0</v>
      </c>
      <c r="I89" s="417" t="s">
        <v>426</v>
      </c>
      <c r="J89" s="450">
        <v>24.47395</v>
      </c>
      <c r="K89" s="450">
        <v>-81.74257</v>
      </c>
      <c r="L89" s="418"/>
      <c r="M89" s="294">
        <v>43623.0</v>
      </c>
      <c r="N89" s="295">
        <v>1.0</v>
      </c>
      <c r="O89" s="296">
        <v>0.0</v>
      </c>
      <c r="P89" s="296">
        <v>0.0</v>
      </c>
      <c r="Q89" s="296">
        <v>1.0</v>
      </c>
      <c r="R89" s="296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95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294">
        <v>43956.0</v>
      </c>
      <c r="U89" s="297">
        <v>0.9316666666666666</v>
      </c>
      <c r="V89" s="298">
        <v>0.005</v>
      </c>
      <c r="W89" s="298">
        <v>0.06333333333333334</v>
      </c>
      <c r="X89" s="298">
        <v>1.0</v>
      </c>
      <c r="Y89" s="371">
        <v>44652.0</v>
      </c>
      <c r="Z89" s="300">
        <v>253.0</v>
      </c>
      <c r="AA89" s="301">
        <v>12.98881757923064</v>
      </c>
      <c r="AB89" s="299"/>
      <c r="AC89" s="300"/>
      <c r="AD89" s="301"/>
      <c r="AE89" s="262">
        <f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Monitored"")"),45240.0)</f>
        <v>45240</v>
      </c>
      <c r="AF89" s="263">
        <f>IFERROR(__xludf.DUMMYFUNCTION("IFERROR(INDEX(IMPORTRANGE(""https://docs.google.com/spreadsheets/d/1fpsE_0655xguD48cGK6n1ZqSLnI-tw9aHzhbPM9kZ-k/edit#gid=0"", ""Monitoring Summary!E:E""),MATCH(D89,IMPORTRANGE(""https://docs.google.com/spreadsheets/d/1fpsE_0655xguD48cGK6n1ZqSLnI-tw9aHzhbP"&amp;"M9kZ-k/edit#gid=0"", ""Monitoring Summary!C:C""),0)),""Not Monitored"")"),0.0)</f>
        <v>0</v>
      </c>
      <c r="AG89" s="264">
        <f t="shared" si="1"/>
        <v>0</v>
      </c>
      <c r="AH89" s="265" t="s">
        <v>427</v>
      </c>
    </row>
    <row r="90" ht="15.75" customHeight="1">
      <c r="A90" s="376">
        <v>2019.0</v>
      </c>
      <c r="B90" s="414">
        <v>43598.0</v>
      </c>
      <c r="C90" s="416" t="s">
        <v>428</v>
      </c>
      <c r="D90" s="415" t="s">
        <v>429</v>
      </c>
      <c r="E90" s="416" t="s">
        <v>170</v>
      </c>
      <c r="F90" s="416" t="s">
        <v>161</v>
      </c>
      <c r="G90" s="416" t="s">
        <v>41</v>
      </c>
      <c r="H90" s="416">
        <v>500.0</v>
      </c>
      <c r="I90" s="417" t="s">
        <v>401</v>
      </c>
      <c r="J90" s="450">
        <v>24.53048</v>
      </c>
      <c r="K90" s="450">
        <v>-81.4875</v>
      </c>
      <c r="L90" s="378" t="s">
        <v>430</v>
      </c>
      <c r="M90" s="294">
        <v>43634.0</v>
      </c>
      <c r="N90" s="295">
        <v>0.982</v>
      </c>
      <c r="O90" s="296">
        <v>0.016</v>
      </c>
      <c r="P90" s="296">
        <v>0.002</v>
      </c>
      <c r="Q90" s="296">
        <v>1.0</v>
      </c>
      <c r="R90" s="296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95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294">
        <v>43928.0</v>
      </c>
      <c r="U90" s="297">
        <v>0.9319999999999999</v>
      </c>
      <c r="V90" s="298">
        <v>0.032</v>
      </c>
      <c r="W90" s="298">
        <v>0.036</v>
      </c>
      <c r="X90" s="298">
        <v>1.0</v>
      </c>
      <c r="Y90" s="371">
        <v>44649.0</v>
      </c>
      <c r="Z90" s="300">
        <v>219.0</v>
      </c>
      <c r="AA90" s="301">
        <v>10.732725498918205</v>
      </c>
      <c r="AB90" s="299"/>
      <c r="AC90" s="300"/>
      <c r="AD90" s="301"/>
      <c r="AE90" s="262">
        <f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Monitored"")"),45258.0)</f>
        <v>45258</v>
      </c>
      <c r="AF90" s="263">
        <f>IFERROR(__xludf.DUMMYFUNCTION("IFERROR(INDEX(IMPORTRANGE(""https://docs.google.com/spreadsheets/d/1fpsE_0655xguD48cGK6n1ZqSLnI-tw9aHzhbPM9kZ-k/edit#gid=0"", ""Monitoring Summary!E:E""),MATCH(D90,IMPORTRANGE(""https://docs.google.com/spreadsheets/d/1fpsE_0655xguD48cGK6n1ZqSLnI-tw9aHzhbP"&amp;"M9kZ-k/edit#gid=0"", ""Monitoring Summary!C:C""),0)),""Not Monitored"")"),0.0)</f>
        <v>0</v>
      </c>
      <c r="AG90" s="264">
        <f t="shared" si="1"/>
        <v>0</v>
      </c>
      <c r="AH90" s="265" t="s">
        <v>431</v>
      </c>
    </row>
    <row r="91" ht="15.75" customHeight="1">
      <c r="A91" s="451">
        <v>2019.0</v>
      </c>
      <c r="B91" s="452">
        <v>43600.0</v>
      </c>
      <c r="C91" s="453" t="s">
        <v>275</v>
      </c>
      <c r="D91" s="454" t="s">
        <v>432</v>
      </c>
      <c r="E91" s="453" t="s">
        <v>277</v>
      </c>
      <c r="F91" s="453" t="s">
        <v>146</v>
      </c>
      <c r="G91" s="453" t="s">
        <v>47</v>
      </c>
      <c r="H91" s="453">
        <v>60.0</v>
      </c>
      <c r="I91" s="455" t="s">
        <v>32</v>
      </c>
      <c r="J91" s="456">
        <v>24.53832</v>
      </c>
      <c r="K91" s="456">
        <v>-81.45374</v>
      </c>
      <c r="L91" s="457" t="s">
        <v>433</v>
      </c>
      <c r="M91" s="271">
        <v>43634.0</v>
      </c>
      <c r="N91" s="255"/>
      <c r="O91" s="256">
        <v>0.0</v>
      </c>
      <c r="P91" s="256">
        <v>0.0</v>
      </c>
      <c r="Q91" s="256" t="s">
        <v>149</v>
      </c>
      <c r="R91" s="256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55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71">
        <v>43951.0</v>
      </c>
      <c r="U91" s="257" t="s">
        <v>149</v>
      </c>
      <c r="V91" s="258" t="s">
        <v>149</v>
      </c>
      <c r="W91" s="258" t="s">
        <v>149</v>
      </c>
      <c r="X91" s="258" t="s">
        <v>149</v>
      </c>
      <c r="Y91" s="259" t="s">
        <v>149</v>
      </c>
      <c r="Z91" s="260" t="s">
        <v>149</v>
      </c>
      <c r="AA91" s="261" t="s">
        <v>149</v>
      </c>
      <c r="AB91" s="259"/>
      <c r="AC91" s="260"/>
      <c r="AD91" s="261"/>
      <c r="AE91" s="262" t="str">
        <f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Monitored"")"),"Not Monitored")</f>
        <v>Not Monitored</v>
      </c>
      <c r="AF91" s="263" t="str">
        <f>IFERROR(__xludf.DUMMYFUNCTION("IFERROR(INDEX(IMPORTRANGE(""https://docs.google.com/spreadsheets/d/1fpsE_0655xguD48cGK6n1ZqSLnI-tw9aHzhbPM9kZ-k/edit#gid=0"", ""Monitoring Summary!E:E""),MATCH(D91,IMPORTRANGE(""https://docs.google.com/spreadsheets/d/1fpsE_0655xguD48cGK6n1ZqSLnI-tw9aHzhbP"&amp;"M9kZ-k/edit#gid=0"", ""Monitoring Summary!C:C""),0)),""Not Monitored"")"),"Not Monitored")</f>
        <v>Not Monitored</v>
      </c>
      <c r="AG91" s="264" t="str">
        <f t="shared" si="1"/>
        <v>Not Monitored</v>
      </c>
      <c r="AH91" s="265" t="s">
        <v>434</v>
      </c>
    </row>
    <row r="92" ht="15.75" customHeight="1">
      <c r="A92" s="451">
        <v>2019.0</v>
      </c>
      <c r="B92" s="452">
        <v>43620.0</v>
      </c>
      <c r="C92" s="453" t="s">
        <v>275</v>
      </c>
      <c r="D92" s="454" t="s">
        <v>435</v>
      </c>
      <c r="E92" s="453" t="s">
        <v>277</v>
      </c>
      <c r="F92" s="453" t="s">
        <v>146</v>
      </c>
      <c r="G92" s="453" t="s">
        <v>47</v>
      </c>
      <c r="H92" s="453">
        <v>60.0</v>
      </c>
      <c r="I92" s="455" t="s">
        <v>32</v>
      </c>
      <c r="J92" s="456">
        <v>24.53819</v>
      </c>
      <c r="K92" s="456">
        <v>-81.45444</v>
      </c>
      <c r="L92" s="457" t="s">
        <v>433</v>
      </c>
      <c r="M92" s="271">
        <v>43664.0</v>
      </c>
      <c r="N92" s="255"/>
      <c r="O92" s="256">
        <v>0.0</v>
      </c>
      <c r="P92" s="256">
        <v>0.0</v>
      </c>
      <c r="Q92" s="256" t="s">
        <v>149</v>
      </c>
      <c r="R92" s="256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55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71">
        <v>43951.0</v>
      </c>
      <c r="U92" s="257" t="s">
        <v>149</v>
      </c>
      <c r="V92" s="258" t="s">
        <v>149</v>
      </c>
      <c r="W92" s="258" t="s">
        <v>149</v>
      </c>
      <c r="X92" s="258" t="s">
        <v>149</v>
      </c>
      <c r="Y92" s="259" t="s">
        <v>149</v>
      </c>
      <c r="Z92" s="260" t="s">
        <v>149</v>
      </c>
      <c r="AA92" s="261" t="s">
        <v>149</v>
      </c>
      <c r="AB92" s="259"/>
      <c r="AC92" s="260"/>
      <c r="AD92" s="261"/>
      <c r="AE92" s="262" t="str">
        <f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Monitored"")"),"Not Monitored")</f>
        <v>Not Monitored</v>
      </c>
      <c r="AF92" s="263" t="str">
        <f>IFERROR(__xludf.DUMMYFUNCTION("IFERROR(INDEX(IMPORTRANGE(""https://docs.google.com/spreadsheets/d/1fpsE_0655xguD48cGK6n1ZqSLnI-tw9aHzhbPM9kZ-k/edit#gid=0"", ""Monitoring Summary!E:E""),MATCH(D92,IMPORTRANGE(""https://docs.google.com/spreadsheets/d/1fpsE_0655xguD48cGK6n1ZqSLnI-tw9aHzhbP"&amp;"M9kZ-k/edit#gid=0"", ""Monitoring Summary!C:C""),0)),""Not Monitored"")"),"Not Monitored")</f>
        <v>Not Monitored</v>
      </c>
      <c r="AG92" s="264" t="str">
        <f t="shared" si="1"/>
        <v>Not Monitored</v>
      </c>
      <c r="AH92" s="265" t="s">
        <v>436</v>
      </c>
    </row>
    <row r="93" ht="15.75" customHeight="1">
      <c r="A93" s="451">
        <v>2019.0</v>
      </c>
      <c r="B93" s="452">
        <v>43622.0</v>
      </c>
      <c r="C93" s="453" t="s">
        <v>437</v>
      </c>
      <c r="D93" s="454" t="s">
        <v>438</v>
      </c>
      <c r="E93" s="453" t="s">
        <v>439</v>
      </c>
      <c r="F93" s="453" t="s">
        <v>146</v>
      </c>
      <c r="G93" s="453" t="s">
        <v>47</v>
      </c>
      <c r="H93" s="453">
        <v>200.0</v>
      </c>
      <c r="I93" s="455" t="s">
        <v>32</v>
      </c>
      <c r="J93" s="456" t="s">
        <v>440</v>
      </c>
      <c r="K93" s="456" t="s">
        <v>441</v>
      </c>
      <c r="L93" s="457" t="s">
        <v>442</v>
      </c>
      <c r="M93" s="271" t="s">
        <v>149</v>
      </c>
      <c r="N93" s="255"/>
      <c r="O93" s="256">
        <v>0.0</v>
      </c>
      <c r="P93" s="256">
        <v>0.0</v>
      </c>
      <c r="Q93" s="256" t="s">
        <v>149</v>
      </c>
      <c r="R93" s="256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55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339" t="s">
        <v>149</v>
      </c>
      <c r="U93" s="257" t="s">
        <v>149</v>
      </c>
      <c r="V93" s="258" t="s">
        <v>149</v>
      </c>
      <c r="W93" s="258" t="s">
        <v>149</v>
      </c>
      <c r="X93" s="258" t="s">
        <v>149</v>
      </c>
      <c r="Y93" s="259" t="s">
        <v>149</v>
      </c>
      <c r="Z93" s="260" t="s">
        <v>149</v>
      </c>
      <c r="AA93" s="261" t="s">
        <v>149</v>
      </c>
      <c r="AB93" s="259"/>
      <c r="AC93" s="260"/>
      <c r="AD93" s="261"/>
      <c r="AE93" s="262" t="str">
        <f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Monitored"")"),"Not Monitored")</f>
        <v>Not Monitored</v>
      </c>
      <c r="AF93" s="263" t="str">
        <f>IFERROR(__xludf.DUMMYFUNCTION("IFERROR(INDEX(IMPORTRANGE(""https://docs.google.com/spreadsheets/d/1fpsE_0655xguD48cGK6n1ZqSLnI-tw9aHzhbPM9kZ-k/edit#gid=0"", ""Monitoring Summary!E:E""),MATCH(D93,IMPORTRANGE(""https://docs.google.com/spreadsheets/d/1fpsE_0655xguD48cGK6n1ZqSLnI-tw9aHzhbP"&amp;"M9kZ-k/edit#gid=0"", ""Monitoring Summary!C:C""),0)),""Not Monitored"")"),"Not Monitored")</f>
        <v>Not Monitored</v>
      </c>
      <c r="AG93" s="264" t="str">
        <f t="shared" si="1"/>
        <v>Not Monitored</v>
      </c>
      <c r="AH93" s="265" t="s">
        <v>443</v>
      </c>
    </row>
    <row r="94" ht="15.75" customHeight="1">
      <c r="A94" s="451">
        <v>2019.0</v>
      </c>
      <c r="B94" s="452">
        <v>43623.0</v>
      </c>
      <c r="C94" s="453" t="s">
        <v>168</v>
      </c>
      <c r="D94" s="454" t="s">
        <v>444</v>
      </c>
      <c r="E94" s="453" t="s">
        <v>445</v>
      </c>
      <c r="F94" s="453" t="s">
        <v>146</v>
      </c>
      <c r="G94" s="453" t="s">
        <v>47</v>
      </c>
      <c r="H94" s="453">
        <v>200.0</v>
      </c>
      <c r="I94" s="455" t="s">
        <v>32</v>
      </c>
      <c r="J94" s="456" t="s">
        <v>440</v>
      </c>
      <c r="K94" s="456" t="s">
        <v>441</v>
      </c>
      <c r="L94" s="457" t="s">
        <v>442</v>
      </c>
      <c r="M94" s="271" t="s">
        <v>149</v>
      </c>
      <c r="N94" s="255"/>
      <c r="O94" s="256">
        <v>0.0</v>
      </c>
      <c r="P94" s="256">
        <v>0.0</v>
      </c>
      <c r="Q94" s="256" t="s">
        <v>149</v>
      </c>
      <c r="R94" s="256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55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339" t="s">
        <v>149</v>
      </c>
      <c r="U94" s="257" t="s">
        <v>149</v>
      </c>
      <c r="V94" s="258" t="s">
        <v>149</v>
      </c>
      <c r="W94" s="258" t="s">
        <v>149</v>
      </c>
      <c r="X94" s="258" t="s">
        <v>149</v>
      </c>
      <c r="Y94" s="259" t="s">
        <v>149</v>
      </c>
      <c r="Z94" s="260" t="s">
        <v>149</v>
      </c>
      <c r="AA94" s="261" t="s">
        <v>149</v>
      </c>
      <c r="AB94" s="259"/>
      <c r="AC94" s="260"/>
      <c r="AD94" s="261"/>
      <c r="AE94" s="262" t="str">
        <f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Monitored"")"),"Not Monitored")</f>
        <v>Not Monitored</v>
      </c>
      <c r="AF94" s="263" t="str">
        <f>IFERROR(__xludf.DUMMYFUNCTION("IFERROR(INDEX(IMPORTRANGE(""https://docs.google.com/spreadsheets/d/1fpsE_0655xguD48cGK6n1ZqSLnI-tw9aHzhbPM9kZ-k/edit#gid=0"", ""Monitoring Summary!E:E""),MATCH(D94,IMPORTRANGE(""https://docs.google.com/spreadsheets/d/1fpsE_0655xguD48cGK6n1ZqSLnI-tw9aHzhbP"&amp;"M9kZ-k/edit#gid=0"", ""Monitoring Summary!C:C""),0)),""Not Monitored"")"),"Not Monitored")</f>
        <v>Not Monitored</v>
      </c>
      <c r="AG94" s="264" t="str">
        <f t="shared" si="1"/>
        <v>Not Monitored</v>
      </c>
      <c r="AH94" s="265" t="s">
        <v>443</v>
      </c>
    </row>
    <row r="95" ht="15.75" customHeight="1">
      <c r="A95" s="376">
        <v>2019.0</v>
      </c>
      <c r="B95" s="414">
        <v>43623.0</v>
      </c>
      <c r="C95" s="416" t="s">
        <v>286</v>
      </c>
      <c r="D95" s="415" t="s">
        <v>446</v>
      </c>
      <c r="E95" s="416" t="s">
        <v>170</v>
      </c>
      <c r="F95" s="416" t="s">
        <v>161</v>
      </c>
      <c r="G95" s="416" t="s">
        <v>41</v>
      </c>
      <c r="H95" s="416">
        <v>750.0</v>
      </c>
      <c r="I95" s="417" t="s">
        <v>447</v>
      </c>
      <c r="J95" s="450">
        <v>24.45471</v>
      </c>
      <c r="K95" s="450">
        <v>-81.85681</v>
      </c>
      <c r="L95" s="418"/>
      <c r="M95" s="294">
        <v>43676.0</v>
      </c>
      <c r="N95" s="295">
        <v>0.9586666666666667</v>
      </c>
      <c r="O95" s="296">
        <v>0.04</v>
      </c>
      <c r="P95" s="296">
        <v>0.0013333333333333333</v>
      </c>
      <c r="Q95" s="296">
        <v>1.0</v>
      </c>
      <c r="R95" s="296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95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294">
        <v>43970.0</v>
      </c>
      <c r="U95" s="297">
        <v>0.948</v>
      </c>
      <c r="V95" s="298">
        <v>0.029333333333333333</v>
      </c>
      <c r="W95" s="298">
        <v>0.02266666666666667</v>
      </c>
      <c r="X95" s="298">
        <v>1.0</v>
      </c>
      <c r="Y95" s="371">
        <v>44699.0</v>
      </c>
      <c r="Z95" s="300">
        <v>252.0</v>
      </c>
      <c r="AA95" s="301">
        <v>9.444460353024924</v>
      </c>
      <c r="AB95" s="299"/>
      <c r="AC95" s="300"/>
      <c r="AD95" s="301"/>
      <c r="AE95" s="262">
        <f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Monitored"")"),45239.0)</f>
        <v>45239</v>
      </c>
      <c r="AF95" s="263">
        <f>IFERROR(__xludf.DUMMYFUNCTION("IFERROR(INDEX(IMPORTRANGE(""https://docs.google.com/spreadsheets/d/1fpsE_0655xguD48cGK6n1ZqSLnI-tw9aHzhbPM9kZ-k/edit#gid=0"", ""Monitoring Summary!E:E""),MATCH(D95,IMPORTRANGE(""https://docs.google.com/spreadsheets/d/1fpsE_0655xguD48cGK6n1ZqSLnI-tw9aHzhbP"&amp;"M9kZ-k/edit#gid=0"", ""Monitoring Summary!C:C""),0)),""Not Monitored"")"),0.0)</f>
        <v>0</v>
      </c>
      <c r="AG95" s="264">
        <f t="shared" si="1"/>
        <v>0</v>
      </c>
      <c r="AH95" s="265" t="s">
        <v>448</v>
      </c>
    </row>
    <row r="96" ht="15.75" customHeight="1">
      <c r="A96" s="451">
        <v>2019.0</v>
      </c>
      <c r="B96" s="452">
        <v>43628.0</v>
      </c>
      <c r="C96" s="453" t="s">
        <v>449</v>
      </c>
      <c r="D96" s="454" t="s">
        <v>450</v>
      </c>
      <c r="E96" s="453" t="s">
        <v>451</v>
      </c>
      <c r="F96" s="453" t="s">
        <v>146</v>
      </c>
      <c r="G96" s="453" t="s">
        <v>47</v>
      </c>
      <c r="H96" s="453">
        <v>125.0</v>
      </c>
      <c r="I96" s="455" t="s">
        <v>452</v>
      </c>
      <c r="J96" s="456">
        <v>24.56314</v>
      </c>
      <c r="K96" s="456">
        <v>-81.40017</v>
      </c>
      <c r="L96" s="457" t="s">
        <v>453</v>
      </c>
      <c r="M96" s="271">
        <v>43663.0</v>
      </c>
      <c r="N96" s="255">
        <v>0.968</v>
      </c>
      <c r="O96" s="256">
        <v>0.032</v>
      </c>
      <c r="P96" s="256">
        <v>0.0</v>
      </c>
      <c r="Q96" s="256">
        <v>1.0</v>
      </c>
      <c r="R96" s="256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55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339" t="s">
        <v>149</v>
      </c>
      <c r="U96" s="257" t="s">
        <v>149</v>
      </c>
      <c r="V96" s="258" t="s">
        <v>149</v>
      </c>
      <c r="W96" s="258" t="s">
        <v>149</v>
      </c>
      <c r="X96" s="258" t="s">
        <v>149</v>
      </c>
      <c r="Y96" s="360">
        <v>44694.0</v>
      </c>
      <c r="Z96" s="260">
        <v>21.0</v>
      </c>
      <c r="AA96" s="261">
        <v>1.2286815228920718</v>
      </c>
      <c r="AB96" s="259"/>
      <c r="AC96" s="260"/>
      <c r="AD96" s="261"/>
      <c r="AE96" s="262" t="str">
        <f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Monitored"")"),"Not Monitored")</f>
        <v>Not Monitored</v>
      </c>
      <c r="AF96" s="263" t="str">
        <f>IFERROR(__xludf.DUMMYFUNCTION("IFERROR(INDEX(IMPORTRANGE(""https://docs.google.com/spreadsheets/d/1fpsE_0655xguD48cGK6n1ZqSLnI-tw9aHzhbPM9kZ-k/edit#gid=0"", ""Monitoring Summary!E:E""),MATCH(D96,IMPORTRANGE(""https://docs.google.com/spreadsheets/d/1fpsE_0655xguD48cGK6n1ZqSLnI-tw9aHzhbP"&amp;"M9kZ-k/edit#gid=0"", ""Monitoring Summary!C:C""),0)),""Not Monitored"")"),"Not Monitored")</f>
        <v>Not Monitored</v>
      </c>
      <c r="AG96" s="264" t="str">
        <f t="shared" si="1"/>
        <v>Not Monitored</v>
      </c>
      <c r="AH96" s="265" t="s">
        <v>454</v>
      </c>
    </row>
    <row r="97" ht="15.75" customHeight="1">
      <c r="A97" s="451">
        <v>2019.0</v>
      </c>
      <c r="B97" s="452">
        <v>43628.0</v>
      </c>
      <c r="C97" s="453" t="s">
        <v>242</v>
      </c>
      <c r="D97" s="454" t="s">
        <v>455</v>
      </c>
      <c r="E97" s="453" t="s">
        <v>451</v>
      </c>
      <c r="F97" s="453" t="s">
        <v>146</v>
      </c>
      <c r="G97" s="453" t="s">
        <v>47</v>
      </c>
      <c r="H97" s="453">
        <v>125.0</v>
      </c>
      <c r="I97" s="455" t="s">
        <v>452</v>
      </c>
      <c r="J97" s="456">
        <v>24.55185</v>
      </c>
      <c r="K97" s="456">
        <v>-81.38647</v>
      </c>
      <c r="L97" s="457" t="s">
        <v>456</v>
      </c>
      <c r="M97" s="271">
        <v>43663.0</v>
      </c>
      <c r="N97" s="255">
        <v>0.944</v>
      </c>
      <c r="O97" s="256">
        <v>0.056</v>
      </c>
      <c r="P97" s="256">
        <v>0.0</v>
      </c>
      <c r="Q97" s="256">
        <v>1.0</v>
      </c>
      <c r="R97" s="256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55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339" t="s">
        <v>149</v>
      </c>
      <c r="U97" s="257" t="s">
        <v>149</v>
      </c>
      <c r="V97" s="258" t="s">
        <v>149</v>
      </c>
      <c r="W97" s="258" t="s">
        <v>149</v>
      </c>
      <c r="X97" s="258" t="s">
        <v>149</v>
      </c>
      <c r="Y97" s="259" t="s">
        <v>149</v>
      </c>
      <c r="Z97" s="260" t="s">
        <v>149</v>
      </c>
      <c r="AA97" s="261" t="s">
        <v>149</v>
      </c>
      <c r="AB97" s="259"/>
      <c r="AC97" s="260"/>
      <c r="AD97" s="261"/>
      <c r="AE97" s="262" t="str">
        <f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Monitored"")"),"Not Monitored")</f>
        <v>Not Monitored</v>
      </c>
      <c r="AF97" s="263" t="str">
        <f>IFERROR(__xludf.DUMMYFUNCTION("IFERROR(INDEX(IMPORTRANGE(""https://docs.google.com/spreadsheets/d/1fpsE_0655xguD48cGK6n1ZqSLnI-tw9aHzhbPM9kZ-k/edit#gid=0"", ""Monitoring Summary!E:E""),MATCH(D97,IMPORTRANGE(""https://docs.google.com/spreadsheets/d/1fpsE_0655xguD48cGK6n1ZqSLnI-tw9aHzhbP"&amp;"M9kZ-k/edit#gid=0"", ""Monitoring Summary!C:C""),0)),""Not Monitored"")"),"Not Monitored")</f>
        <v>Not Monitored</v>
      </c>
      <c r="AG97" s="264" t="str">
        <f t="shared" si="1"/>
        <v>Not Monitored</v>
      </c>
      <c r="AH97" s="265" t="s">
        <v>457</v>
      </c>
    </row>
    <row r="98" ht="15.75" customHeight="1">
      <c r="A98" s="376">
        <v>2019.0</v>
      </c>
      <c r="B98" s="414">
        <v>43628.0</v>
      </c>
      <c r="C98" s="416" t="s">
        <v>172</v>
      </c>
      <c r="D98" s="415" t="s">
        <v>458</v>
      </c>
      <c r="E98" s="416" t="s">
        <v>170</v>
      </c>
      <c r="F98" s="416" t="s">
        <v>161</v>
      </c>
      <c r="G98" s="416" t="s">
        <v>41</v>
      </c>
      <c r="H98" s="416">
        <v>500.0</v>
      </c>
      <c r="I98" s="417" t="s">
        <v>459</v>
      </c>
      <c r="J98" s="450">
        <v>24.55318</v>
      </c>
      <c r="K98" s="450">
        <v>-81.37936</v>
      </c>
      <c r="L98" s="418"/>
      <c r="M98" s="294">
        <v>43665.0</v>
      </c>
      <c r="N98" s="295">
        <v>0.986</v>
      </c>
      <c r="O98" s="296">
        <v>0.002</v>
      </c>
      <c r="P98" s="296">
        <v>0.012</v>
      </c>
      <c r="Q98" s="296">
        <v>1.0</v>
      </c>
      <c r="R98" s="296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95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294">
        <v>43979.0</v>
      </c>
      <c r="U98" s="297">
        <v>0.85</v>
      </c>
      <c r="V98" s="298">
        <v>0.03</v>
      </c>
      <c r="W98" s="298">
        <v>0.12</v>
      </c>
      <c r="X98" s="298">
        <v>0.99</v>
      </c>
      <c r="Y98" s="371">
        <v>44697.0</v>
      </c>
      <c r="Z98" s="300">
        <v>131.0</v>
      </c>
      <c r="AA98" s="301">
        <v>3.2313675238761546</v>
      </c>
      <c r="AB98" s="299"/>
      <c r="AC98" s="300"/>
      <c r="AD98" s="301"/>
      <c r="AE98" s="262">
        <f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Monitored"")"),45239.0)</f>
        <v>45239</v>
      </c>
      <c r="AF98" s="263">
        <f>IFERROR(__xludf.DUMMYFUNCTION("IFERROR(INDEX(IMPORTRANGE(""https://docs.google.com/spreadsheets/d/1fpsE_0655xguD48cGK6n1ZqSLnI-tw9aHzhbPM9kZ-k/edit#gid=0"", ""Monitoring Summary!E:E""),MATCH(D98,IMPORTRANGE(""https://docs.google.com/spreadsheets/d/1fpsE_0655xguD48cGK6n1ZqSLnI-tw9aHzhbP"&amp;"M9kZ-k/edit#gid=0"", ""Monitoring Summary!C:C""),0)),""Not Monitored"")"),0.0)</f>
        <v>0</v>
      </c>
      <c r="AG98" s="264">
        <f t="shared" si="1"/>
        <v>0</v>
      </c>
      <c r="AH98" s="265" t="s">
        <v>460</v>
      </c>
    </row>
    <row r="99" ht="15.75" customHeight="1">
      <c r="A99" s="451">
        <v>2019.0</v>
      </c>
      <c r="B99" s="452">
        <v>43629.0</v>
      </c>
      <c r="C99" s="453" t="s">
        <v>210</v>
      </c>
      <c r="D99" s="454" t="s">
        <v>461</v>
      </c>
      <c r="E99" s="453" t="s">
        <v>451</v>
      </c>
      <c r="F99" s="453" t="s">
        <v>146</v>
      </c>
      <c r="G99" s="453" t="s">
        <v>47</v>
      </c>
      <c r="H99" s="453">
        <v>125.0</v>
      </c>
      <c r="I99" s="455" t="s">
        <v>452</v>
      </c>
      <c r="J99" s="456">
        <v>24.62221</v>
      </c>
      <c r="K99" s="456">
        <v>-81.36281</v>
      </c>
      <c r="L99" s="457" t="s">
        <v>453</v>
      </c>
      <c r="M99" s="271">
        <v>43663.0</v>
      </c>
      <c r="N99" s="255">
        <v>0.976</v>
      </c>
      <c r="O99" s="256">
        <v>0.016</v>
      </c>
      <c r="P99" s="256">
        <v>0.008</v>
      </c>
      <c r="Q99" s="256">
        <v>1.0</v>
      </c>
      <c r="R99" s="256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55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339" t="s">
        <v>149</v>
      </c>
      <c r="U99" s="257" t="s">
        <v>149</v>
      </c>
      <c r="V99" s="258" t="s">
        <v>149</v>
      </c>
      <c r="W99" s="258" t="s">
        <v>149</v>
      </c>
      <c r="X99" s="258" t="s">
        <v>149</v>
      </c>
      <c r="Y99" s="259" t="s">
        <v>149</v>
      </c>
      <c r="Z99" s="260" t="s">
        <v>149</v>
      </c>
      <c r="AA99" s="261" t="s">
        <v>149</v>
      </c>
      <c r="AB99" s="259"/>
      <c r="AC99" s="260"/>
      <c r="AD99" s="261"/>
      <c r="AE99" s="262" t="str">
        <f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Monitored"")"),"Not Monitored")</f>
        <v>Not Monitored</v>
      </c>
      <c r="AF99" s="263" t="str">
        <f>IFERROR(__xludf.DUMMYFUNCTION("IFERROR(INDEX(IMPORTRANGE(""https://docs.google.com/spreadsheets/d/1fpsE_0655xguD48cGK6n1ZqSLnI-tw9aHzhbPM9kZ-k/edit#gid=0"", ""Monitoring Summary!E:E""),MATCH(D99,IMPORTRANGE(""https://docs.google.com/spreadsheets/d/1fpsE_0655xguD48cGK6n1ZqSLnI-tw9aHzhbP"&amp;"M9kZ-k/edit#gid=0"", ""Monitoring Summary!C:C""),0)),""Not Monitored"")"),"Not Monitored")</f>
        <v>Not Monitored</v>
      </c>
      <c r="AG99" s="264" t="str">
        <f t="shared" si="1"/>
        <v>Not Monitored</v>
      </c>
      <c r="AH99" s="265" t="s">
        <v>462</v>
      </c>
    </row>
    <row r="100" ht="15.75" customHeight="1">
      <c r="A100" s="451">
        <v>2019.0</v>
      </c>
      <c r="B100" s="452">
        <v>43629.0</v>
      </c>
      <c r="C100" s="453" t="s">
        <v>463</v>
      </c>
      <c r="D100" s="454" t="s">
        <v>464</v>
      </c>
      <c r="E100" s="453" t="s">
        <v>451</v>
      </c>
      <c r="F100" s="453" t="s">
        <v>146</v>
      </c>
      <c r="G100" s="453" t="s">
        <v>47</v>
      </c>
      <c r="H100" s="453">
        <v>125.0</v>
      </c>
      <c r="I100" s="455" t="s">
        <v>452</v>
      </c>
      <c r="J100" s="458">
        <v>24.59536</v>
      </c>
      <c r="K100" s="458">
        <v>-81.37193</v>
      </c>
      <c r="L100" s="457" t="s">
        <v>453</v>
      </c>
      <c r="M100" s="271">
        <v>43663.0</v>
      </c>
      <c r="N100" s="255">
        <v>0.992</v>
      </c>
      <c r="O100" s="256">
        <v>0.008</v>
      </c>
      <c r="P100" s="256">
        <v>0.0</v>
      </c>
      <c r="Q100" s="256">
        <v>1.0</v>
      </c>
      <c r="R100" s="256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55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339" t="s">
        <v>149</v>
      </c>
      <c r="U100" s="257" t="s">
        <v>149</v>
      </c>
      <c r="V100" s="258" t="s">
        <v>149</v>
      </c>
      <c r="W100" s="258" t="s">
        <v>149</v>
      </c>
      <c r="X100" s="258" t="s">
        <v>149</v>
      </c>
      <c r="Y100" s="360">
        <v>44694.0</v>
      </c>
      <c r="Z100" s="260">
        <v>20.0</v>
      </c>
      <c r="AA100" s="261">
        <v>1.3451428571428572</v>
      </c>
      <c r="AB100" s="259"/>
      <c r="AC100" s="260"/>
      <c r="AD100" s="261"/>
      <c r="AE100" s="262" t="str">
        <f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Monitored"")"),"Not Monitored")</f>
        <v>Not Monitored</v>
      </c>
      <c r="AF100" s="263" t="str">
        <f>IFERROR(__xludf.DUMMYFUNCTION("IFERROR(INDEX(IMPORTRANGE(""https://docs.google.com/spreadsheets/d/1fpsE_0655xguD48cGK6n1ZqSLnI-tw9aHzhbPM9kZ-k/edit#gid=0"", ""Monitoring Summary!E:E""),MATCH(D100,IMPORTRANGE(""https://docs.google.com/spreadsheets/d/1fpsE_0655xguD48cGK6n1ZqSLnI-tw9aHzhb"&amp;"PM9kZ-k/edit#gid=0"", ""Monitoring Summary!C:C""),0)),""Not Monitored"")"),"Not Monitored")</f>
        <v>Not Monitored</v>
      </c>
      <c r="AG100" s="264" t="str">
        <f t="shared" si="1"/>
        <v>Not Monitored</v>
      </c>
      <c r="AH100" s="265" t="s">
        <v>465</v>
      </c>
    </row>
    <row r="101" ht="15.75" customHeight="1">
      <c r="A101" s="376">
        <v>2019.0</v>
      </c>
      <c r="B101" s="414">
        <v>43630.0</v>
      </c>
      <c r="C101" s="378" t="s">
        <v>275</v>
      </c>
      <c r="D101" s="415" t="s">
        <v>466</v>
      </c>
      <c r="E101" s="416" t="s">
        <v>170</v>
      </c>
      <c r="F101" s="416" t="s">
        <v>161</v>
      </c>
      <c r="G101" s="416" t="s">
        <v>41</v>
      </c>
      <c r="H101" s="416">
        <v>550.0</v>
      </c>
      <c r="I101" s="417" t="s">
        <v>467</v>
      </c>
      <c r="J101" s="450">
        <v>24.54018</v>
      </c>
      <c r="K101" s="450">
        <v>-81.44843</v>
      </c>
      <c r="L101" s="418"/>
      <c r="M101" s="294">
        <v>43662.0</v>
      </c>
      <c r="N101" s="295">
        <v>0.990909090909091</v>
      </c>
      <c r="O101" s="296">
        <v>0.007272727272727273</v>
      </c>
      <c r="P101" s="296">
        <v>0.0018181818181818182</v>
      </c>
      <c r="Q101" s="296">
        <v>1.0</v>
      </c>
      <c r="R101" s="296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95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294">
        <v>43983.0</v>
      </c>
      <c r="U101" s="297">
        <v>0.9618181818181818</v>
      </c>
      <c r="V101" s="298">
        <v>0.01818181818181818</v>
      </c>
      <c r="W101" s="298">
        <v>0.02</v>
      </c>
      <c r="X101" s="298">
        <v>1.0</v>
      </c>
      <c r="Y101" s="371">
        <v>44725.0</v>
      </c>
      <c r="Z101" s="300">
        <v>238.0</v>
      </c>
      <c r="AA101" s="301">
        <v>12.899295103791603</v>
      </c>
      <c r="AB101" s="299"/>
      <c r="AC101" s="300"/>
      <c r="AD101" s="301"/>
      <c r="AE101" s="262">
        <f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Monitored"")"),45247.0)</f>
        <v>45247</v>
      </c>
      <c r="AF101" s="263">
        <f>IFERROR(__xludf.DUMMYFUNCTION("IFERROR(INDEX(IMPORTRANGE(""https://docs.google.com/spreadsheets/d/1fpsE_0655xguD48cGK6n1ZqSLnI-tw9aHzhbPM9kZ-k/edit#gid=0"", ""Monitoring Summary!E:E""),MATCH(D101,IMPORTRANGE(""https://docs.google.com/spreadsheets/d/1fpsE_0655xguD48cGK6n1ZqSLnI-tw9aHzhb"&amp;"PM9kZ-k/edit#gid=0"", ""Monitoring Summary!C:C""),0)),""Not Monitored"")"),0.0)</f>
        <v>0</v>
      </c>
      <c r="AG101" s="264">
        <f t="shared" si="1"/>
        <v>0</v>
      </c>
      <c r="AH101" s="265" t="s">
        <v>468</v>
      </c>
    </row>
    <row r="102" ht="15.75" customHeight="1">
      <c r="A102" s="376">
        <v>2019.0</v>
      </c>
      <c r="B102" s="414">
        <v>43635.0</v>
      </c>
      <c r="C102" s="378" t="s">
        <v>428</v>
      </c>
      <c r="D102" s="415" t="s">
        <v>469</v>
      </c>
      <c r="E102" s="416" t="s">
        <v>170</v>
      </c>
      <c r="F102" s="416" t="s">
        <v>161</v>
      </c>
      <c r="G102" s="416" t="s">
        <v>41</v>
      </c>
      <c r="H102" s="416">
        <v>500.0</v>
      </c>
      <c r="I102" s="417" t="s">
        <v>417</v>
      </c>
      <c r="J102" s="450">
        <v>24.53054</v>
      </c>
      <c r="K102" s="450">
        <v>-81.48806</v>
      </c>
      <c r="L102" s="418"/>
      <c r="M102" s="294">
        <v>43662.0</v>
      </c>
      <c r="N102" s="295">
        <v>0.986</v>
      </c>
      <c r="O102" s="296">
        <v>0.014</v>
      </c>
      <c r="P102" s="296">
        <v>0.0</v>
      </c>
      <c r="Q102" s="296">
        <v>1.0</v>
      </c>
      <c r="R102" s="296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95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294">
        <v>43983.0</v>
      </c>
      <c r="U102" s="297">
        <v>0.928</v>
      </c>
      <c r="V102" s="298">
        <v>0.032</v>
      </c>
      <c r="W102" s="298">
        <v>0.04</v>
      </c>
      <c r="X102" s="298">
        <v>1.0</v>
      </c>
      <c r="Y102" s="371">
        <v>44729.0</v>
      </c>
      <c r="Z102" s="300">
        <v>175.0</v>
      </c>
      <c r="AA102" s="301">
        <v>9.25120993718425</v>
      </c>
      <c r="AB102" s="299"/>
      <c r="AC102" s="300"/>
      <c r="AD102" s="301"/>
      <c r="AE102" s="262">
        <f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Monitored"")"),45258.0)</f>
        <v>45258</v>
      </c>
      <c r="AF102" s="263">
        <f>IFERROR(__xludf.DUMMYFUNCTION("IFERROR(INDEX(IMPORTRANGE(""https://docs.google.com/spreadsheets/d/1fpsE_0655xguD48cGK6n1ZqSLnI-tw9aHzhbPM9kZ-k/edit#gid=0"", ""Monitoring Summary!E:E""),MATCH(D102,IMPORTRANGE(""https://docs.google.com/spreadsheets/d/1fpsE_0655xguD48cGK6n1ZqSLnI-tw9aHzhb"&amp;"PM9kZ-k/edit#gid=0"", ""Monitoring Summary!C:C""),0)),""Not Monitored"")"),0.0)</f>
        <v>0</v>
      </c>
      <c r="AG102" s="264">
        <f t="shared" si="1"/>
        <v>0</v>
      </c>
      <c r="AH102" s="265" t="s">
        <v>470</v>
      </c>
    </row>
    <row r="103" ht="15.75" customHeight="1">
      <c r="A103" s="376">
        <v>2019.0</v>
      </c>
      <c r="B103" s="414">
        <v>43640.0</v>
      </c>
      <c r="C103" s="378" t="s">
        <v>168</v>
      </c>
      <c r="D103" s="415" t="s">
        <v>471</v>
      </c>
      <c r="E103" s="416" t="s">
        <v>170</v>
      </c>
      <c r="F103" s="416" t="s">
        <v>161</v>
      </c>
      <c r="G103" s="416" t="s">
        <v>41</v>
      </c>
      <c r="H103" s="416">
        <v>200.0</v>
      </c>
      <c r="I103" s="417" t="s">
        <v>472</v>
      </c>
      <c r="J103" s="450">
        <v>24.52252</v>
      </c>
      <c r="K103" s="450">
        <v>-81.51978</v>
      </c>
      <c r="L103" s="418"/>
      <c r="M103" s="294">
        <v>43669.0</v>
      </c>
      <c r="N103" s="295">
        <v>0.986</v>
      </c>
      <c r="O103" s="296">
        <v>0.01</v>
      </c>
      <c r="P103" s="296">
        <v>0.004</v>
      </c>
      <c r="Q103" s="296">
        <v>1.0</v>
      </c>
      <c r="R103" s="296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95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59">
        <v>43990.0</v>
      </c>
      <c r="U103" s="297">
        <v>0.918</v>
      </c>
      <c r="V103" s="298">
        <v>0.04</v>
      </c>
      <c r="W103" s="298">
        <v>0.042</v>
      </c>
      <c r="X103" s="298">
        <v>1.0</v>
      </c>
      <c r="Y103" s="371">
        <v>44729.0</v>
      </c>
      <c r="Z103" s="300">
        <v>138.0</v>
      </c>
      <c r="AA103" s="301">
        <v>8.288628161066905</v>
      </c>
      <c r="AB103" s="299"/>
      <c r="AC103" s="300"/>
      <c r="AD103" s="301"/>
      <c r="AE103" s="262">
        <f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Monitored"")"),45264.0)</f>
        <v>45264</v>
      </c>
      <c r="AF103" s="263">
        <f>IFERROR(__xludf.DUMMYFUNCTION("IFERROR(INDEX(IMPORTRANGE(""https://docs.google.com/spreadsheets/d/1fpsE_0655xguD48cGK6n1ZqSLnI-tw9aHzhbPM9kZ-k/edit#gid=0"", ""Monitoring Summary!E:E""),MATCH(D103,IMPORTRANGE(""https://docs.google.com/spreadsheets/d/1fpsE_0655xguD48cGK6n1ZqSLnI-tw9aHzhb"&amp;"PM9kZ-k/edit#gid=0"", ""Monitoring Summary!C:C""),0)),""Not Monitored"")"),0.0)</f>
        <v>0</v>
      </c>
      <c r="AG103" s="264">
        <f t="shared" si="1"/>
        <v>0</v>
      </c>
      <c r="AH103" s="265" t="s">
        <v>473</v>
      </c>
    </row>
    <row r="104" ht="15.75" customHeight="1">
      <c r="A104" s="460">
        <v>2019.0</v>
      </c>
      <c r="B104" s="461">
        <v>43640.0</v>
      </c>
      <c r="C104" s="462" t="s">
        <v>168</v>
      </c>
      <c r="D104" s="463" t="s">
        <v>471</v>
      </c>
      <c r="E104" s="464" t="s">
        <v>170</v>
      </c>
      <c r="F104" s="464" t="s">
        <v>161</v>
      </c>
      <c r="G104" s="464" t="s">
        <v>47</v>
      </c>
      <c r="H104" s="464">
        <v>300.0</v>
      </c>
      <c r="I104" s="465" t="s">
        <v>474</v>
      </c>
      <c r="J104" s="466">
        <v>24.52252</v>
      </c>
      <c r="K104" s="466">
        <v>-81.51978</v>
      </c>
      <c r="L104" s="467"/>
      <c r="M104" s="294">
        <v>43669.0</v>
      </c>
      <c r="N104" s="295">
        <v>0.986</v>
      </c>
      <c r="O104" s="296">
        <v>0.01</v>
      </c>
      <c r="P104" s="296">
        <v>0.004</v>
      </c>
      <c r="Q104" s="296">
        <v>1.0</v>
      </c>
      <c r="R104" s="296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95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294">
        <v>43990.0</v>
      </c>
      <c r="U104" s="297">
        <v>0.918</v>
      </c>
      <c r="V104" s="298">
        <v>0.04</v>
      </c>
      <c r="W104" s="298">
        <v>0.042</v>
      </c>
      <c r="X104" s="298">
        <v>1.0</v>
      </c>
      <c r="Y104" s="371">
        <v>44729.0</v>
      </c>
      <c r="Z104" s="300">
        <v>138.0</v>
      </c>
      <c r="AA104" s="301">
        <v>8.288628161066905</v>
      </c>
      <c r="AB104" s="299"/>
      <c r="AC104" s="300"/>
      <c r="AD104" s="301"/>
      <c r="AE104" s="262">
        <f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Monitored"")"),45264.0)</f>
        <v>45264</v>
      </c>
      <c r="AF104" s="263">
        <f>IFERROR(__xludf.DUMMYFUNCTION("IFERROR(INDEX(IMPORTRANGE(""https://docs.google.com/spreadsheets/d/1fpsE_0655xguD48cGK6n1ZqSLnI-tw9aHzhbPM9kZ-k/edit#gid=0"", ""Monitoring Summary!E:E""),MATCH(D104,IMPORTRANGE(""https://docs.google.com/spreadsheets/d/1fpsE_0655xguD48cGK6n1ZqSLnI-tw9aHzhb"&amp;"PM9kZ-k/edit#gid=0"", ""Monitoring Summary!C:C""),0)),""Not Monitored"")"),0.0)</f>
        <v>0</v>
      </c>
      <c r="AG104" s="264">
        <f t="shared" si="1"/>
        <v>0</v>
      </c>
      <c r="AH104" s="265" t="s">
        <v>473</v>
      </c>
    </row>
    <row r="105" ht="15.75" customHeight="1">
      <c r="A105" s="460">
        <v>2019.0</v>
      </c>
      <c r="B105" s="461">
        <v>43642.0</v>
      </c>
      <c r="C105" s="462" t="s">
        <v>246</v>
      </c>
      <c r="D105" s="463" t="s">
        <v>475</v>
      </c>
      <c r="E105" s="464" t="s">
        <v>170</v>
      </c>
      <c r="F105" s="464" t="s">
        <v>186</v>
      </c>
      <c r="G105" s="464" t="s">
        <v>47</v>
      </c>
      <c r="H105" s="464">
        <v>500.0</v>
      </c>
      <c r="I105" s="465" t="s">
        <v>476</v>
      </c>
      <c r="J105" s="466">
        <v>24.55327</v>
      </c>
      <c r="K105" s="466">
        <v>-81.3823</v>
      </c>
      <c r="L105" s="468"/>
      <c r="M105" s="271">
        <v>43670.0</v>
      </c>
      <c r="N105" s="255">
        <v>0.968</v>
      </c>
      <c r="O105" s="256">
        <v>0.008</v>
      </c>
      <c r="P105" s="256">
        <v>0.024</v>
      </c>
      <c r="Q105" s="256">
        <v>1.0</v>
      </c>
      <c r="R105" s="256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55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271">
        <v>44007.0</v>
      </c>
      <c r="U105" s="469">
        <v>0.812</v>
      </c>
      <c r="V105" s="258">
        <v>0.05</v>
      </c>
      <c r="W105" s="258">
        <v>0.138</v>
      </c>
      <c r="X105" s="258">
        <v>0.98</v>
      </c>
      <c r="Y105" s="360">
        <v>44735.0</v>
      </c>
      <c r="Z105" s="260">
        <v>180.0</v>
      </c>
      <c r="AA105" s="261">
        <v>5.2830883287149755</v>
      </c>
      <c r="AB105" s="259"/>
      <c r="AC105" s="260"/>
      <c r="AD105" s="261"/>
      <c r="AE105" s="262">
        <f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Monitored"")"),45302.0)</f>
        <v>45302</v>
      </c>
      <c r="AF105" s="263">
        <f>IFERROR(__xludf.DUMMYFUNCTION("IFERROR(INDEX(IMPORTRANGE(""https://docs.google.com/spreadsheets/d/1fpsE_0655xguD48cGK6n1ZqSLnI-tw9aHzhbPM9kZ-k/edit#gid=0"", ""Monitoring Summary!E:E""),MATCH(D105,IMPORTRANGE(""https://docs.google.com/spreadsheets/d/1fpsE_0655xguD48cGK6n1ZqSLnI-tw9aHzhb"&amp;"PM9kZ-k/edit#gid=0"", ""Monitoring Summary!C:C""),0)),""Not Monitored"")"),0.0)</f>
        <v>0</v>
      </c>
      <c r="AG105" s="264">
        <f t="shared" si="1"/>
        <v>0</v>
      </c>
      <c r="AH105" s="265" t="s">
        <v>477</v>
      </c>
    </row>
    <row r="106" ht="15.75" customHeight="1">
      <c r="A106" s="460">
        <v>2019.0</v>
      </c>
      <c r="B106" s="461">
        <v>43648.0</v>
      </c>
      <c r="C106" s="462" t="s">
        <v>268</v>
      </c>
      <c r="D106" s="463" t="s">
        <v>478</v>
      </c>
      <c r="E106" s="464" t="s">
        <v>170</v>
      </c>
      <c r="F106" s="464" t="s">
        <v>161</v>
      </c>
      <c r="G106" s="464" t="s">
        <v>47</v>
      </c>
      <c r="H106" s="464">
        <v>500.0</v>
      </c>
      <c r="I106" s="465" t="s">
        <v>479</v>
      </c>
      <c r="J106" s="466">
        <v>24.45233</v>
      </c>
      <c r="K106" s="466">
        <v>-81.87598</v>
      </c>
      <c r="L106" s="467"/>
      <c r="M106" s="294">
        <v>43676.0</v>
      </c>
      <c r="N106" s="295">
        <v>0.976</v>
      </c>
      <c r="O106" s="296">
        <v>0.024</v>
      </c>
      <c r="P106" s="296">
        <v>0.0</v>
      </c>
      <c r="Q106" s="296">
        <v>1.0</v>
      </c>
      <c r="R106" s="296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95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294">
        <v>43992.0</v>
      </c>
      <c r="U106" s="297">
        <v>0.9299999999999999</v>
      </c>
      <c r="V106" s="298">
        <v>0.054</v>
      </c>
      <c r="W106" s="298">
        <v>0.016</v>
      </c>
      <c r="X106" s="298">
        <v>0.99</v>
      </c>
      <c r="Y106" s="371">
        <v>44760.0</v>
      </c>
      <c r="Z106" s="300">
        <v>120.0</v>
      </c>
      <c r="AA106" s="301">
        <v>15.214336858185154</v>
      </c>
      <c r="AB106" s="299"/>
      <c r="AC106" s="300"/>
      <c r="AD106" s="301"/>
      <c r="AE106" s="328">
        <f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Monitored"")"),45294.0)</f>
        <v>45294</v>
      </c>
      <c r="AF106" s="329">
        <f>IFERROR(__xludf.DUMMYFUNCTION("IFERROR(INDEX(IMPORTRANGE(""https://docs.google.com/spreadsheets/d/1fpsE_0655xguD48cGK6n1ZqSLnI-tw9aHzhbPM9kZ-k/edit#gid=0"", ""Monitoring Summary!E:E""),MATCH(D106,IMPORTRANGE(""https://docs.google.com/spreadsheets/d/1fpsE_0655xguD48cGK6n1ZqSLnI-tw9aHzhb"&amp;"PM9kZ-k/edit#gid=0"", ""Monitoring Summary!C:C""),0)),""Not Monitored"")"),0.0)</f>
        <v>0</v>
      </c>
      <c r="AG106" s="330">
        <f t="shared" si="1"/>
        <v>0</v>
      </c>
      <c r="AH106" s="331" t="s">
        <v>480</v>
      </c>
    </row>
    <row r="107" ht="15.75" customHeight="1">
      <c r="A107" s="460">
        <v>2019.0</v>
      </c>
      <c r="B107" s="461">
        <v>43656.0</v>
      </c>
      <c r="C107" s="462" t="s">
        <v>428</v>
      </c>
      <c r="D107" s="463" t="s">
        <v>481</v>
      </c>
      <c r="E107" s="464" t="s">
        <v>170</v>
      </c>
      <c r="F107" s="464" t="s">
        <v>161</v>
      </c>
      <c r="G107" s="464" t="s">
        <v>47</v>
      </c>
      <c r="H107" s="464">
        <v>500.0</v>
      </c>
      <c r="I107" s="465" t="s">
        <v>482</v>
      </c>
      <c r="J107" s="470">
        <v>24.53035</v>
      </c>
      <c r="K107" s="466">
        <v>-81.48829</v>
      </c>
      <c r="L107" s="467"/>
      <c r="M107" s="294">
        <v>43690.0</v>
      </c>
      <c r="N107" s="295">
        <v>0.99</v>
      </c>
      <c r="O107" s="296">
        <v>0.008</v>
      </c>
      <c r="P107" s="296">
        <v>0.002</v>
      </c>
      <c r="Q107" s="296">
        <v>1.0</v>
      </c>
      <c r="R107" s="296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95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294">
        <v>44007.0</v>
      </c>
      <c r="U107" s="471">
        <v>0.9359999999999999</v>
      </c>
      <c r="V107" s="298">
        <v>0.03</v>
      </c>
      <c r="W107" s="298">
        <v>0.034</v>
      </c>
      <c r="X107" s="298">
        <v>0.98</v>
      </c>
      <c r="Y107" s="371">
        <v>44729.0</v>
      </c>
      <c r="Z107" s="300">
        <v>113.0</v>
      </c>
      <c r="AA107" s="301">
        <v>4.732680289325537</v>
      </c>
      <c r="AB107" s="299"/>
      <c r="AC107" s="300"/>
      <c r="AD107" s="301"/>
      <c r="AE107" s="262">
        <f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Monitored"")"),45258.0)</f>
        <v>45258</v>
      </c>
      <c r="AF107" s="263">
        <f>IFERROR(__xludf.DUMMYFUNCTION("IFERROR(INDEX(IMPORTRANGE(""https://docs.google.com/spreadsheets/d/1fpsE_0655xguD48cGK6n1ZqSLnI-tw9aHzhbPM9kZ-k/edit#gid=0"", ""Monitoring Summary!E:E""),MATCH(D107,IMPORTRANGE(""https://docs.google.com/spreadsheets/d/1fpsE_0655xguD48cGK6n1ZqSLnI-tw9aHzhb"&amp;"PM9kZ-k/edit#gid=0"", ""Monitoring Summary!C:C""),0)),""Not Monitored"")"),0.0)</f>
        <v>0</v>
      </c>
      <c r="AG107" s="264">
        <f t="shared" si="1"/>
        <v>0</v>
      </c>
      <c r="AH107" s="265" t="s">
        <v>483</v>
      </c>
    </row>
    <row r="108" ht="15.75" customHeight="1">
      <c r="A108" s="460">
        <v>2019.0</v>
      </c>
      <c r="B108" s="472">
        <v>43669.0</v>
      </c>
      <c r="C108" s="460" t="s">
        <v>275</v>
      </c>
      <c r="D108" s="473" t="s">
        <v>484</v>
      </c>
      <c r="E108" s="460" t="s">
        <v>170</v>
      </c>
      <c r="F108" s="464" t="s">
        <v>161</v>
      </c>
      <c r="G108" s="464" t="s">
        <v>47</v>
      </c>
      <c r="H108" s="460">
        <v>500.0</v>
      </c>
      <c r="I108" s="474" t="s">
        <v>409</v>
      </c>
      <c r="J108" s="475">
        <v>24.53867</v>
      </c>
      <c r="K108" s="475">
        <v>-81.45764</v>
      </c>
      <c r="L108" s="467"/>
      <c r="M108" s="294">
        <v>43703.0</v>
      </c>
      <c r="N108" s="295">
        <v>0.88</v>
      </c>
      <c r="O108" s="296">
        <v>0.10999999999999999</v>
      </c>
      <c r="P108" s="296">
        <v>0.01</v>
      </c>
      <c r="Q108" s="296">
        <v>0.98</v>
      </c>
      <c r="R108" s="296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95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294">
        <v>44014.0</v>
      </c>
      <c r="U108" s="471">
        <v>0.834</v>
      </c>
      <c r="V108" s="298">
        <v>0.114</v>
      </c>
      <c r="W108" s="298">
        <v>0.052</v>
      </c>
      <c r="X108" s="298">
        <v>0.96</v>
      </c>
      <c r="Y108" s="371">
        <v>44742.0</v>
      </c>
      <c r="Z108" s="300">
        <v>149.0</v>
      </c>
      <c r="AA108" s="301">
        <v>5.614016653413868</v>
      </c>
      <c r="AB108" s="299"/>
      <c r="AC108" s="300"/>
      <c r="AD108" s="301"/>
      <c r="AE108" s="262">
        <f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Monitored"")"),45247.0)</f>
        <v>45247</v>
      </c>
      <c r="AF108" s="263">
        <f>IFERROR(__xludf.DUMMYFUNCTION("IFERROR(INDEX(IMPORTRANGE(""https://docs.google.com/spreadsheets/d/1fpsE_0655xguD48cGK6n1ZqSLnI-tw9aHzhbPM9kZ-k/edit#gid=0"", ""Monitoring Summary!E:E""),MATCH(D108,IMPORTRANGE(""https://docs.google.com/spreadsheets/d/1fpsE_0655xguD48cGK6n1ZqSLnI-tw9aHzhb"&amp;"PM9kZ-k/edit#gid=0"", ""Monitoring Summary!C:C""),0)),""Not Monitored"")"),0.0)</f>
        <v>0</v>
      </c>
      <c r="AG108" s="264">
        <f t="shared" si="1"/>
        <v>0</v>
      </c>
      <c r="AH108" s="265" t="s">
        <v>485</v>
      </c>
    </row>
    <row r="109" ht="15.75" customHeight="1">
      <c r="A109" s="460">
        <v>2019.0</v>
      </c>
      <c r="B109" s="472">
        <v>43672.0</v>
      </c>
      <c r="C109" s="460" t="s">
        <v>158</v>
      </c>
      <c r="D109" s="473" t="s">
        <v>486</v>
      </c>
      <c r="E109" s="460" t="s">
        <v>170</v>
      </c>
      <c r="F109" s="464" t="s">
        <v>161</v>
      </c>
      <c r="G109" s="464" t="s">
        <v>47</v>
      </c>
      <c r="H109" s="460">
        <v>500.0</v>
      </c>
      <c r="I109" s="474" t="s">
        <v>482</v>
      </c>
      <c r="J109" s="475">
        <v>24.55256</v>
      </c>
      <c r="K109" s="475">
        <v>-81.38395</v>
      </c>
      <c r="L109" s="467"/>
      <c r="M109" s="294">
        <v>43703.0</v>
      </c>
      <c r="N109" s="295">
        <v>0.986</v>
      </c>
      <c r="O109" s="296">
        <v>0.008</v>
      </c>
      <c r="P109" s="296">
        <v>0.006</v>
      </c>
      <c r="Q109" s="296">
        <v>1.0</v>
      </c>
      <c r="R109" s="296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95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294">
        <v>44014.0</v>
      </c>
      <c r="U109" s="471">
        <v>0.924</v>
      </c>
      <c r="V109" s="298">
        <v>0.018000000000000002</v>
      </c>
      <c r="W109" s="298">
        <v>0.058</v>
      </c>
      <c r="X109" s="298">
        <v>1.0</v>
      </c>
      <c r="Y109" s="371">
        <v>44749.0</v>
      </c>
      <c r="Z109" s="300">
        <v>116.0</v>
      </c>
      <c r="AA109" s="301">
        <v>4.405538441348819</v>
      </c>
      <c r="AB109" s="299"/>
      <c r="AC109" s="300"/>
      <c r="AD109" s="301"/>
      <c r="AE109" s="262">
        <f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Monitored"")"),45239.0)</f>
        <v>45239</v>
      </c>
      <c r="AF109" s="263">
        <f>IFERROR(__xludf.DUMMYFUNCTION("IFERROR(INDEX(IMPORTRANGE(""https://docs.google.com/spreadsheets/d/1fpsE_0655xguD48cGK6n1ZqSLnI-tw9aHzhbPM9kZ-k/edit#gid=0"", ""Monitoring Summary!E:E""),MATCH(D109,IMPORTRANGE(""https://docs.google.com/spreadsheets/d/1fpsE_0655xguD48cGK6n1ZqSLnI-tw9aHzhb"&amp;"PM9kZ-k/edit#gid=0"", ""Monitoring Summary!C:C""),0)),""Not Monitored"")"),0.0)</f>
        <v>0</v>
      </c>
      <c r="AG109" s="264">
        <f t="shared" si="1"/>
        <v>0</v>
      </c>
      <c r="AH109" s="265" t="s">
        <v>487</v>
      </c>
    </row>
    <row r="110" ht="15.75" customHeight="1">
      <c r="A110" s="451">
        <v>2019.0</v>
      </c>
      <c r="B110" s="476">
        <v>43676.0</v>
      </c>
      <c r="C110" s="451" t="s">
        <v>292</v>
      </c>
      <c r="D110" s="477" t="s">
        <v>488</v>
      </c>
      <c r="E110" s="451" t="s">
        <v>170</v>
      </c>
      <c r="F110" s="453" t="s">
        <v>161</v>
      </c>
      <c r="G110" s="453" t="s">
        <v>47</v>
      </c>
      <c r="H110" s="451">
        <v>500.0</v>
      </c>
      <c r="I110" s="478" t="s">
        <v>479</v>
      </c>
      <c r="J110" s="479">
        <v>24.45862</v>
      </c>
      <c r="K110" s="479">
        <v>-81.84569</v>
      </c>
      <c r="L110" s="468"/>
      <c r="M110" s="271">
        <v>43706.0</v>
      </c>
      <c r="N110" s="255">
        <v>0.9359999999999999</v>
      </c>
      <c r="O110" s="256">
        <v>0.062</v>
      </c>
      <c r="P110" s="256">
        <v>0.002</v>
      </c>
      <c r="Q110" s="256">
        <v>1.0</v>
      </c>
      <c r="R110" s="256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55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271">
        <v>44022.0</v>
      </c>
      <c r="U110" s="469">
        <v>0.832</v>
      </c>
      <c r="V110" s="258">
        <v>0.128</v>
      </c>
      <c r="W110" s="258">
        <v>0.04</v>
      </c>
      <c r="X110" s="258">
        <v>0.97</v>
      </c>
      <c r="Y110" s="360">
        <v>44754.0</v>
      </c>
      <c r="Z110" s="260">
        <v>100.0</v>
      </c>
      <c r="AA110" s="261">
        <v>8.976906447692897</v>
      </c>
      <c r="AB110" s="259"/>
      <c r="AC110" s="260"/>
      <c r="AD110" s="261"/>
      <c r="AE110" s="262">
        <f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Monitored"")"),45293.0)</f>
        <v>45293</v>
      </c>
      <c r="AF110" s="263">
        <f>IFERROR(__xludf.DUMMYFUNCTION("IFERROR(INDEX(IMPORTRANGE(""https://docs.google.com/spreadsheets/d/1fpsE_0655xguD48cGK6n1ZqSLnI-tw9aHzhbPM9kZ-k/edit#gid=0"", ""Monitoring Summary!E:E""),MATCH(D110,IMPORTRANGE(""https://docs.google.com/spreadsheets/d/1fpsE_0655xguD48cGK6n1ZqSLnI-tw9aHzhb"&amp;"PM9kZ-k/edit#gid=0"", ""Monitoring Summary!C:C""),0)),""Not Monitored"")"),6.0)</f>
        <v>6</v>
      </c>
      <c r="AG110" s="264">
        <f t="shared" si="1"/>
        <v>0.012</v>
      </c>
      <c r="AH110" s="265" t="s">
        <v>489</v>
      </c>
    </row>
    <row r="111" ht="15.75" customHeight="1">
      <c r="A111" s="460">
        <v>2019.0</v>
      </c>
      <c r="B111" s="472">
        <v>43682.0</v>
      </c>
      <c r="C111" s="460" t="s">
        <v>168</v>
      </c>
      <c r="D111" s="473" t="s">
        <v>490</v>
      </c>
      <c r="E111" s="460" t="s">
        <v>170</v>
      </c>
      <c r="F111" s="464" t="s">
        <v>161</v>
      </c>
      <c r="G111" s="464" t="s">
        <v>47</v>
      </c>
      <c r="H111" s="460">
        <v>425.0</v>
      </c>
      <c r="I111" s="474" t="s">
        <v>491</v>
      </c>
      <c r="J111" s="475">
        <v>24.52263</v>
      </c>
      <c r="K111" s="475">
        <v>-81.5198</v>
      </c>
      <c r="L111" s="467"/>
      <c r="M111" s="294">
        <v>43714.0</v>
      </c>
      <c r="N111" s="295">
        <v>0.9905882352941177</v>
      </c>
      <c r="O111" s="296">
        <v>0.0</v>
      </c>
      <c r="P111" s="296">
        <v>0.009411764705882352</v>
      </c>
      <c r="Q111" s="296">
        <v>1.0</v>
      </c>
      <c r="R111" s="296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95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294">
        <v>44018.0</v>
      </c>
      <c r="U111" s="471">
        <v>0.9670588235294117</v>
      </c>
      <c r="V111" s="298">
        <v>0.004705882352941176</v>
      </c>
      <c r="W111" s="298">
        <v>0.02823529411764706</v>
      </c>
      <c r="X111" s="298">
        <v>1.0</v>
      </c>
      <c r="Y111" s="371">
        <v>44748.0</v>
      </c>
      <c r="Z111" s="300">
        <v>128.0</v>
      </c>
      <c r="AA111" s="301">
        <v>8.635485590626038</v>
      </c>
      <c r="AB111" s="299"/>
      <c r="AC111" s="300"/>
      <c r="AD111" s="301"/>
      <c r="AE111" s="262">
        <f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Monitored"")"),45264.0)</f>
        <v>45264</v>
      </c>
      <c r="AF111" s="263">
        <f>IFERROR(__xludf.DUMMYFUNCTION("IFERROR(INDEX(IMPORTRANGE(""https://docs.google.com/spreadsheets/d/1fpsE_0655xguD48cGK6n1ZqSLnI-tw9aHzhbPM9kZ-k/edit#gid=0"", ""Monitoring Summary!E:E""),MATCH(D111,IMPORTRANGE(""https://docs.google.com/spreadsheets/d/1fpsE_0655xguD48cGK6n1ZqSLnI-tw9aHzhb"&amp;"PM9kZ-k/edit#gid=0"", ""Monitoring Summary!C:C""),0)),""Not Monitored"")"),0.0)</f>
        <v>0</v>
      </c>
      <c r="AG111" s="264">
        <f t="shared" si="1"/>
        <v>0</v>
      </c>
      <c r="AH111" s="265" t="s">
        <v>492</v>
      </c>
    </row>
    <row r="112" ht="15.75" customHeight="1">
      <c r="A112" s="460">
        <v>2019.0</v>
      </c>
      <c r="B112" s="472">
        <v>43684.0</v>
      </c>
      <c r="C112" s="460" t="s">
        <v>286</v>
      </c>
      <c r="D112" s="473" t="s">
        <v>493</v>
      </c>
      <c r="E112" s="460" t="s">
        <v>170</v>
      </c>
      <c r="F112" s="464" t="s">
        <v>161</v>
      </c>
      <c r="G112" s="464" t="s">
        <v>47</v>
      </c>
      <c r="H112" s="460">
        <v>500.0</v>
      </c>
      <c r="I112" s="474" t="s">
        <v>494</v>
      </c>
      <c r="J112" s="475">
        <v>24.45504</v>
      </c>
      <c r="K112" s="475">
        <v>-81.85616</v>
      </c>
      <c r="L112" s="467"/>
      <c r="M112" s="294">
        <v>43734.0</v>
      </c>
      <c r="N112" s="295">
        <v>0.978</v>
      </c>
      <c r="O112" s="296">
        <v>0.022</v>
      </c>
      <c r="P112" s="296">
        <v>0.0</v>
      </c>
      <c r="Q112" s="296">
        <v>1.0</v>
      </c>
      <c r="R112" s="296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95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294">
        <v>44022.0</v>
      </c>
      <c r="U112" s="471">
        <v>0.978</v>
      </c>
      <c r="V112" s="298">
        <v>0.016</v>
      </c>
      <c r="W112" s="298">
        <v>0.006</v>
      </c>
      <c r="X112" s="298">
        <v>1.0</v>
      </c>
      <c r="Y112" s="371">
        <v>44790.0</v>
      </c>
      <c r="Z112" s="300">
        <v>97.0</v>
      </c>
      <c r="AA112" s="301">
        <v>8.173954928563342</v>
      </c>
      <c r="AB112" s="299"/>
      <c r="AC112" s="300"/>
      <c r="AD112" s="301"/>
      <c r="AE112" s="328">
        <f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Monitored"")"),45294.0)</f>
        <v>45294</v>
      </c>
      <c r="AF112" s="329">
        <f>IFERROR(__xludf.DUMMYFUNCTION("IFERROR(INDEX(IMPORTRANGE(""https://docs.google.com/spreadsheets/d/1fpsE_0655xguD48cGK6n1ZqSLnI-tw9aHzhbPM9kZ-k/edit#gid=0"", ""Monitoring Summary!E:E""),MATCH(D112,IMPORTRANGE(""https://docs.google.com/spreadsheets/d/1fpsE_0655xguD48cGK6n1ZqSLnI-tw9aHzhb"&amp;"PM9kZ-k/edit#gid=0"", ""Monitoring Summary!C:C""),0)),""Not Monitored"")"),0.0)</f>
        <v>0</v>
      </c>
      <c r="AG112" s="330">
        <f t="shared" si="1"/>
        <v>0</v>
      </c>
      <c r="AH112" s="331" t="s">
        <v>495</v>
      </c>
    </row>
    <row r="113" ht="15.75" customHeight="1">
      <c r="A113" s="460">
        <v>2019.0</v>
      </c>
      <c r="B113" s="472">
        <v>43686.0</v>
      </c>
      <c r="C113" s="460" t="s">
        <v>350</v>
      </c>
      <c r="D113" s="473" t="s">
        <v>496</v>
      </c>
      <c r="E113" s="460" t="s">
        <v>170</v>
      </c>
      <c r="F113" s="464" t="s">
        <v>161</v>
      </c>
      <c r="G113" s="464" t="s">
        <v>47</v>
      </c>
      <c r="H113" s="460">
        <v>500.0</v>
      </c>
      <c r="I113" s="474" t="s">
        <v>497</v>
      </c>
      <c r="J113" s="475">
        <v>24.47406</v>
      </c>
      <c r="K113" s="475">
        <v>-81.742</v>
      </c>
      <c r="L113" s="467"/>
      <c r="M113" s="294">
        <v>43734.0</v>
      </c>
      <c r="N113" s="295">
        <v>0.992</v>
      </c>
      <c r="O113" s="296">
        <v>0.008</v>
      </c>
      <c r="P113" s="296">
        <v>0.0</v>
      </c>
      <c r="Q113" s="296">
        <v>1.0</v>
      </c>
      <c r="R113" s="296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95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294">
        <v>44046.0</v>
      </c>
      <c r="U113" s="471">
        <v>0.948</v>
      </c>
      <c r="V113" s="298">
        <v>0.02</v>
      </c>
      <c r="W113" s="298">
        <v>0.032</v>
      </c>
      <c r="X113" s="298">
        <v>1.0</v>
      </c>
      <c r="Y113" s="371">
        <v>44776.0</v>
      </c>
      <c r="Z113" s="300">
        <v>173.0</v>
      </c>
      <c r="AA113" s="301">
        <v>11.181220844352708</v>
      </c>
      <c r="AB113" s="299"/>
      <c r="AC113" s="300"/>
      <c r="AD113" s="301"/>
      <c r="AE113" s="262">
        <f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Monitored"")"),45240.0)</f>
        <v>45240</v>
      </c>
      <c r="AF113" s="263">
        <f>IFERROR(__xludf.DUMMYFUNCTION("IFERROR(INDEX(IMPORTRANGE(""https://docs.google.com/spreadsheets/d/1fpsE_0655xguD48cGK6n1ZqSLnI-tw9aHzhbPM9kZ-k/edit#gid=0"", ""Monitoring Summary!E:E""),MATCH(D113,IMPORTRANGE(""https://docs.google.com/spreadsheets/d/1fpsE_0655xguD48cGK6n1ZqSLnI-tw9aHzhb"&amp;"PM9kZ-k/edit#gid=0"", ""Monitoring Summary!C:C""),0)),""Not Monitored"")"),0.0)</f>
        <v>0</v>
      </c>
      <c r="AG113" s="264">
        <f t="shared" si="1"/>
        <v>0</v>
      </c>
      <c r="AH113" s="265" t="s">
        <v>498</v>
      </c>
    </row>
    <row r="114" ht="15.75" customHeight="1">
      <c r="A114" s="460">
        <v>2019.0</v>
      </c>
      <c r="B114" s="472">
        <v>43689.0</v>
      </c>
      <c r="C114" s="460" t="s">
        <v>428</v>
      </c>
      <c r="D114" s="473" t="s">
        <v>499</v>
      </c>
      <c r="E114" s="460" t="s">
        <v>170</v>
      </c>
      <c r="F114" s="464" t="s">
        <v>161</v>
      </c>
      <c r="G114" s="464" t="s">
        <v>47</v>
      </c>
      <c r="H114" s="460">
        <v>500.0</v>
      </c>
      <c r="I114" s="474" t="s">
        <v>500</v>
      </c>
      <c r="J114" s="475">
        <v>24.53055</v>
      </c>
      <c r="K114" s="475">
        <v>-81.48723</v>
      </c>
      <c r="L114" s="467"/>
      <c r="M114" s="294">
        <v>43726.0</v>
      </c>
      <c r="N114" s="295">
        <v>0.956</v>
      </c>
      <c r="O114" s="296">
        <v>0.036</v>
      </c>
      <c r="P114" s="296">
        <v>0.008</v>
      </c>
      <c r="Q114" s="296">
        <v>1.0</v>
      </c>
      <c r="R114" s="296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95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294">
        <v>44028.0</v>
      </c>
      <c r="U114" s="471">
        <v>0.922</v>
      </c>
      <c r="V114" s="298">
        <v>0.032</v>
      </c>
      <c r="W114" s="298">
        <v>0.046</v>
      </c>
      <c r="X114" s="298">
        <v>1.0</v>
      </c>
      <c r="Y114" s="371">
        <v>44753.0</v>
      </c>
      <c r="Z114" s="300">
        <v>129.0</v>
      </c>
      <c r="AA114" s="301">
        <v>5.6961635410939975</v>
      </c>
      <c r="AB114" s="299"/>
      <c r="AC114" s="300"/>
      <c r="AD114" s="301"/>
      <c r="AE114" s="262">
        <f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Monitored"")"),45258.0)</f>
        <v>45258</v>
      </c>
      <c r="AF114" s="263">
        <f>IFERROR(__xludf.DUMMYFUNCTION("IFERROR(INDEX(IMPORTRANGE(""https://docs.google.com/spreadsheets/d/1fpsE_0655xguD48cGK6n1ZqSLnI-tw9aHzhbPM9kZ-k/edit#gid=0"", ""Monitoring Summary!E:E""),MATCH(D114,IMPORTRANGE(""https://docs.google.com/spreadsheets/d/1fpsE_0655xguD48cGK6n1ZqSLnI-tw9aHzhb"&amp;"PM9kZ-k/edit#gid=0"", ""Monitoring Summary!C:C""),0)),""Not Monitored"")"),0.0)</f>
        <v>0</v>
      </c>
      <c r="AG114" s="264">
        <f t="shared" si="1"/>
        <v>0</v>
      </c>
      <c r="AH114" s="265" t="s">
        <v>501</v>
      </c>
    </row>
    <row r="115" ht="15.75" customHeight="1">
      <c r="A115" s="451">
        <v>2019.0</v>
      </c>
      <c r="B115" s="476">
        <v>43692.0</v>
      </c>
      <c r="C115" s="451" t="s">
        <v>502</v>
      </c>
      <c r="D115" s="477" t="s">
        <v>503</v>
      </c>
      <c r="E115" s="451" t="s">
        <v>170</v>
      </c>
      <c r="F115" s="453" t="s">
        <v>161</v>
      </c>
      <c r="G115" s="453" t="s">
        <v>47</v>
      </c>
      <c r="H115" s="451">
        <v>500.0</v>
      </c>
      <c r="I115" s="478" t="s">
        <v>401</v>
      </c>
      <c r="J115" s="458">
        <v>24.55262</v>
      </c>
      <c r="K115" s="458">
        <v>-81.38171</v>
      </c>
      <c r="L115" s="457" t="s">
        <v>504</v>
      </c>
      <c r="M115" s="271">
        <v>43726.0</v>
      </c>
      <c r="N115" s="255">
        <v>0.982</v>
      </c>
      <c r="O115" s="256">
        <v>0.008</v>
      </c>
      <c r="P115" s="256">
        <v>0.01</v>
      </c>
      <c r="Q115" s="256">
        <v>1.0</v>
      </c>
      <c r="R115" s="256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55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271">
        <v>44025.0</v>
      </c>
      <c r="U115" s="469">
        <v>0.892</v>
      </c>
      <c r="V115" s="258">
        <v>0.046</v>
      </c>
      <c r="W115" s="258">
        <v>0.062</v>
      </c>
      <c r="X115" s="258">
        <v>0.98</v>
      </c>
      <c r="Y115" s="360">
        <v>44762.0</v>
      </c>
      <c r="Z115" s="260">
        <v>45.0</v>
      </c>
      <c r="AA115" s="261">
        <v>0.46393919469229417</v>
      </c>
      <c r="AB115" s="259"/>
      <c r="AC115" s="260"/>
      <c r="AD115" s="261"/>
      <c r="AE115" s="262" t="str">
        <f>IFERROR(__xludf.DUMMYFUNCTION("IFERROR(INDEX(IMPORTRANGE(""https://docs.google.com/spreadsheets/d/1fpsE_0655xguD48cGK6n1ZqSLnI-tw9aHzhbPM9kZ-k/edit#gid=0"", ""Monitoring Summary!B:B""),MATCH(D115,IMPORTRANGE(""https://docs.google.com/spreadsheets/d/1fpsE_0655xguD48cGK6n1ZqSLnI-tw9aHzhb"&amp;"PM9kZ-k/edit#gid=0"", ""Monitoring Summary!C:C""),0)),""Not Monitored"")"),"Not Monitored")</f>
        <v>Not Monitored</v>
      </c>
      <c r="AF115" s="263" t="str">
        <f>IFERROR(__xludf.DUMMYFUNCTION("IFERROR(INDEX(IMPORTRANGE(""https://docs.google.com/spreadsheets/d/1fpsE_0655xguD48cGK6n1ZqSLnI-tw9aHzhbPM9kZ-k/edit#gid=0"", ""Monitoring Summary!E:E""),MATCH(D115,IMPORTRANGE(""https://docs.google.com/spreadsheets/d/1fpsE_0655xguD48cGK6n1ZqSLnI-tw9aHzhb"&amp;"PM9kZ-k/edit#gid=0"", ""Monitoring Summary!C:C""),0)),""Not Monitored"")"),"Not Monitored")</f>
        <v>Not Monitored</v>
      </c>
      <c r="AG115" s="264" t="str">
        <f t="shared" si="1"/>
        <v>Not Monitored</v>
      </c>
      <c r="AH115" s="265" t="s">
        <v>505</v>
      </c>
    </row>
    <row r="116" ht="15.75" customHeight="1">
      <c r="A116" s="460">
        <v>2019.0</v>
      </c>
      <c r="B116" s="472">
        <v>43700.0</v>
      </c>
      <c r="C116" s="460" t="s">
        <v>327</v>
      </c>
      <c r="D116" s="473" t="s">
        <v>506</v>
      </c>
      <c r="E116" s="460" t="s">
        <v>170</v>
      </c>
      <c r="F116" s="460" t="s">
        <v>161</v>
      </c>
      <c r="G116" s="460" t="s">
        <v>47</v>
      </c>
      <c r="H116" s="460">
        <v>800.0</v>
      </c>
      <c r="I116" s="474" t="s">
        <v>507</v>
      </c>
      <c r="J116" s="475">
        <v>24.54641</v>
      </c>
      <c r="K116" s="475">
        <v>-81.40275</v>
      </c>
      <c r="L116" s="462" t="s">
        <v>508</v>
      </c>
      <c r="M116" s="294">
        <v>43742.0</v>
      </c>
      <c r="N116" s="295">
        <v>0.9425</v>
      </c>
      <c r="O116" s="296">
        <v>0.04875</v>
      </c>
      <c r="P116" s="296">
        <v>0.00875</v>
      </c>
      <c r="Q116" s="296">
        <v>0.99375</v>
      </c>
      <c r="R116" s="296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95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294">
        <v>44040.0</v>
      </c>
      <c r="U116" s="471">
        <v>0.9025</v>
      </c>
      <c r="V116" s="298">
        <v>0.056249999999999994</v>
      </c>
      <c r="W116" s="298">
        <v>0.04125</v>
      </c>
      <c r="X116" s="298">
        <v>0.9875</v>
      </c>
      <c r="Y116" s="371">
        <v>44770.0</v>
      </c>
      <c r="Z116" s="300">
        <v>211.0</v>
      </c>
      <c r="AA116" s="301">
        <v>10.295088741836379</v>
      </c>
      <c r="AB116" s="299"/>
      <c r="AC116" s="300"/>
      <c r="AD116" s="301"/>
      <c r="AE116" s="262">
        <f>IFERROR(__xludf.DUMMYFUNCTION("IFERROR(INDEX(IMPORTRANGE(""https://docs.google.com/spreadsheets/d/1fpsE_0655xguD48cGK6n1ZqSLnI-tw9aHzhbPM9kZ-k/edit#gid=0"", ""Monitoring Summary!B:B""),MATCH(D116,IMPORTRANGE(""https://docs.google.com/spreadsheets/d/1fpsE_0655xguD48cGK6n1ZqSLnI-tw9aHzhb"&amp;"PM9kZ-k/edit#gid=0"", ""Monitoring Summary!C:C""),0)),""Not Monitored"")"),45238.0)</f>
        <v>45238</v>
      </c>
      <c r="AF116" s="263">
        <f>IFERROR(__xludf.DUMMYFUNCTION("IFERROR(INDEX(IMPORTRANGE(""https://docs.google.com/spreadsheets/d/1fpsE_0655xguD48cGK6n1ZqSLnI-tw9aHzhbPM9kZ-k/edit#gid=0"", ""Monitoring Summary!E:E""),MATCH(D116,IMPORTRANGE(""https://docs.google.com/spreadsheets/d/1fpsE_0655xguD48cGK6n1ZqSLnI-tw9aHzhb"&amp;"PM9kZ-k/edit#gid=0"", ""Monitoring Summary!C:C""),0)),""Not Monitored"")"),0.0)</f>
        <v>0</v>
      </c>
      <c r="AG116" s="264">
        <f t="shared" si="1"/>
        <v>0</v>
      </c>
      <c r="AH116" s="265" t="s">
        <v>509</v>
      </c>
    </row>
    <row r="117" ht="15.75" customHeight="1">
      <c r="A117" s="460">
        <v>2019.0</v>
      </c>
      <c r="B117" s="472">
        <v>43706.0</v>
      </c>
      <c r="C117" s="460" t="s">
        <v>268</v>
      </c>
      <c r="D117" s="473" t="s">
        <v>510</v>
      </c>
      <c r="E117" s="460" t="s">
        <v>170</v>
      </c>
      <c r="F117" s="464" t="s">
        <v>161</v>
      </c>
      <c r="G117" s="464" t="s">
        <v>47</v>
      </c>
      <c r="H117" s="460">
        <v>500.0</v>
      </c>
      <c r="I117" s="474" t="s">
        <v>494</v>
      </c>
      <c r="J117" s="475">
        <v>24.45226</v>
      </c>
      <c r="K117" s="475">
        <v>-81.87573</v>
      </c>
      <c r="L117" s="467"/>
      <c r="M117" s="294">
        <v>43734.0</v>
      </c>
      <c r="N117" s="295">
        <v>0.974</v>
      </c>
      <c r="O117" s="296">
        <v>0.026</v>
      </c>
      <c r="P117" s="296">
        <v>0.0</v>
      </c>
      <c r="Q117" s="296">
        <v>1.0</v>
      </c>
      <c r="R117" s="296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95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294">
        <v>44047.0</v>
      </c>
      <c r="U117" s="471">
        <v>0.982</v>
      </c>
      <c r="V117" s="298">
        <v>0.016</v>
      </c>
      <c r="W117" s="298">
        <v>0.002</v>
      </c>
      <c r="X117" s="298">
        <v>1.0</v>
      </c>
      <c r="Y117" s="371">
        <v>44792.0</v>
      </c>
      <c r="Z117" s="300">
        <v>124.0</v>
      </c>
      <c r="AA117" s="301">
        <v>13.083766843417378</v>
      </c>
      <c r="AB117" s="299"/>
      <c r="AC117" s="300"/>
      <c r="AD117" s="301"/>
      <c r="AE117" s="328">
        <f>IFERROR(__xludf.DUMMYFUNCTION("IFERROR(INDEX(IMPORTRANGE(""https://docs.google.com/spreadsheets/d/1fpsE_0655xguD48cGK6n1ZqSLnI-tw9aHzhbPM9kZ-k/edit#gid=0"", ""Monitoring Summary!B:B""),MATCH(D117,IMPORTRANGE(""https://docs.google.com/spreadsheets/d/1fpsE_0655xguD48cGK6n1ZqSLnI-tw9aHzhb"&amp;"PM9kZ-k/edit#gid=0"", ""Monitoring Summary!C:C""),0)),""Not Monitored"")"),45294.0)</f>
        <v>45294</v>
      </c>
      <c r="AF117" s="329">
        <f>IFERROR(__xludf.DUMMYFUNCTION("IFERROR(INDEX(IMPORTRANGE(""https://docs.google.com/spreadsheets/d/1fpsE_0655xguD48cGK6n1ZqSLnI-tw9aHzhbPM9kZ-k/edit#gid=0"", ""Monitoring Summary!E:E""),MATCH(D117,IMPORTRANGE(""https://docs.google.com/spreadsheets/d/1fpsE_0655xguD48cGK6n1ZqSLnI-tw9aHzhb"&amp;"PM9kZ-k/edit#gid=0"", ""Monitoring Summary!C:C""),0)),""Not Monitored"")"),0.0)</f>
        <v>0</v>
      </c>
      <c r="AG117" s="330">
        <f t="shared" si="1"/>
        <v>0</v>
      </c>
      <c r="AH117" s="331" t="s">
        <v>511</v>
      </c>
    </row>
    <row r="118" ht="15.75" customHeight="1">
      <c r="A118" s="480">
        <v>2019.0</v>
      </c>
      <c r="B118" s="481">
        <v>43748.0</v>
      </c>
      <c r="C118" s="480" t="s">
        <v>168</v>
      </c>
      <c r="D118" s="482" t="s">
        <v>512</v>
      </c>
      <c r="E118" s="480" t="s">
        <v>170</v>
      </c>
      <c r="F118" s="483" t="s">
        <v>161</v>
      </c>
      <c r="G118" s="483" t="s">
        <v>49</v>
      </c>
      <c r="H118" s="480">
        <v>500.0</v>
      </c>
      <c r="I118" s="484" t="s">
        <v>513</v>
      </c>
      <c r="J118" s="485">
        <v>24.52282</v>
      </c>
      <c r="K118" s="485">
        <v>-81.51711</v>
      </c>
      <c r="L118" s="486"/>
      <c r="M118" s="294">
        <v>43782.0</v>
      </c>
      <c r="N118" s="295">
        <v>0.996</v>
      </c>
      <c r="O118" s="296">
        <v>0.0</v>
      </c>
      <c r="P118" s="296">
        <v>0.004</v>
      </c>
      <c r="Q118" s="296">
        <v>1.0</v>
      </c>
      <c r="R118" s="296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95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294">
        <v>44082.0</v>
      </c>
      <c r="U118" s="471">
        <v>0.844</v>
      </c>
      <c r="V118" s="298">
        <v>0.022</v>
      </c>
      <c r="W118" s="298">
        <v>0.134</v>
      </c>
      <c r="X118" s="298">
        <v>1.0</v>
      </c>
      <c r="Y118" s="371">
        <v>44825.0</v>
      </c>
      <c r="Z118" s="300">
        <v>147.0</v>
      </c>
      <c r="AA118" s="301">
        <v>6.100687776560855</v>
      </c>
      <c r="AB118" s="299"/>
      <c r="AC118" s="300"/>
      <c r="AD118" s="301"/>
      <c r="AE118" s="262">
        <f>IFERROR(__xludf.DUMMYFUNCTION("IFERROR(INDEX(IMPORTRANGE(""https://docs.google.com/spreadsheets/d/1fpsE_0655xguD48cGK6n1ZqSLnI-tw9aHzhbPM9kZ-k/edit#gid=0"", ""Monitoring Summary!B:B""),MATCH(D118,IMPORTRANGE(""https://docs.google.com/spreadsheets/d/1fpsE_0655xguD48cGK6n1ZqSLnI-tw9aHzhb"&amp;"PM9kZ-k/edit#gid=0"", ""Monitoring Summary!C:C""),0)),""Not Monitored"")"),45264.0)</f>
        <v>45264</v>
      </c>
      <c r="AF118" s="263">
        <f>IFERROR(__xludf.DUMMYFUNCTION("IFERROR(INDEX(IMPORTRANGE(""https://docs.google.com/spreadsheets/d/1fpsE_0655xguD48cGK6n1ZqSLnI-tw9aHzhbPM9kZ-k/edit#gid=0"", ""Monitoring Summary!E:E""),MATCH(D118,IMPORTRANGE(""https://docs.google.com/spreadsheets/d/1fpsE_0655xguD48cGK6n1ZqSLnI-tw9aHzhb"&amp;"PM9kZ-k/edit#gid=0"", ""Monitoring Summary!C:C""),0)),""Not Monitored"")"),0.0)</f>
        <v>0</v>
      </c>
      <c r="AG118" s="264">
        <f t="shared" si="1"/>
        <v>0</v>
      </c>
      <c r="AH118" s="265" t="s">
        <v>514</v>
      </c>
    </row>
    <row r="119" ht="15.75" customHeight="1">
      <c r="A119" s="487">
        <v>2019.0</v>
      </c>
      <c r="B119" s="488">
        <v>43753.0</v>
      </c>
      <c r="C119" s="487" t="s">
        <v>515</v>
      </c>
      <c r="D119" s="489" t="s">
        <v>516</v>
      </c>
      <c r="E119" s="487" t="s">
        <v>170</v>
      </c>
      <c r="F119" s="490" t="s">
        <v>161</v>
      </c>
      <c r="G119" s="490" t="s">
        <v>49</v>
      </c>
      <c r="H119" s="487">
        <v>500.0</v>
      </c>
      <c r="I119" s="491" t="s">
        <v>517</v>
      </c>
      <c r="J119" s="492">
        <v>24.55683</v>
      </c>
      <c r="K119" s="492">
        <v>-81.36023</v>
      </c>
      <c r="L119" s="493" t="s">
        <v>518</v>
      </c>
      <c r="M119" s="271">
        <v>43788.0</v>
      </c>
      <c r="N119" s="255">
        <v>0.914</v>
      </c>
      <c r="O119" s="256">
        <v>0.03</v>
      </c>
      <c r="P119" s="256">
        <v>0.056</v>
      </c>
      <c r="Q119" s="256">
        <v>1.0</v>
      </c>
      <c r="R119" s="256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55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71">
        <v>44085.0</v>
      </c>
      <c r="U119" s="469">
        <v>0.694</v>
      </c>
      <c r="V119" s="258">
        <v>0.138</v>
      </c>
      <c r="W119" s="258">
        <v>0.168</v>
      </c>
      <c r="X119" s="258">
        <v>0.97</v>
      </c>
      <c r="Y119" s="360">
        <v>44844.0</v>
      </c>
      <c r="Z119" s="260">
        <v>78.0</v>
      </c>
      <c r="AA119" s="261">
        <v>2.10255154047367</v>
      </c>
      <c r="AB119" s="259"/>
      <c r="AC119" s="260"/>
      <c r="AD119" s="261"/>
      <c r="AE119" s="262" t="str">
        <f>IFERROR(__xludf.DUMMYFUNCTION("IFERROR(INDEX(IMPORTRANGE(""https://docs.google.com/spreadsheets/d/1fpsE_0655xguD48cGK6n1ZqSLnI-tw9aHzhbPM9kZ-k/edit#gid=0"", ""Monitoring Summary!B:B""),MATCH(D119,IMPORTRANGE(""https://docs.google.com/spreadsheets/d/1fpsE_0655xguD48cGK6n1ZqSLnI-tw9aHzhb"&amp;"PM9kZ-k/edit#gid=0"", ""Monitoring Summary!C:C""),0)),""Not Monitored"")"),"Not Monitored")</f>
        <v>Not Monitored</v>
      </c>
      <c r="AF119" s="263" t="str">
        <f>IFERROR(__xludf.DUMMYFUNCTION("IFERROR(INDEX(IMPORTRANGE(""https://docs.google.com/spreadsheets/d/1fpsE_0655xguD48cGK6n1ZqSLnI-tw9aHzhbPM9kZ-k/edit#gid=0"", ""Monitoring Summary!E:E""),MATCH(D119,IMPORTRANGE(""https://docs.google.com/spreadsheets/d/1fpsE_0655xguD48cGK6n1ZqSLnI-tw9aHzhb"&amp;"PM9kZ-k/edit#gid=0"", ""Monitoring Summary!C:C""),0)),""Not Monitored"")"),"Not Monitored")</f>
        <v>Not Monitored</v>
      </c>
      <c r="AG119" s="264" t="str">
        <f t="shared" si="1"/>
        <v>Not Monitored</v>
      </c>
      <c r="AH119" s="265" t="s">
        <v>519</v>
      </c>
    </row>
    <row r="120" ht="15.75" customHeight="1">
      <c r="A120" s="480">
        <v>2019.0</v>
      </c>
      <c r="B120" s="481">
        <v>43755.0</v>
      </c>
      <c r="C120" s="480" t="s">
        <v>520</v>
      </c>
      <c r="D120" s="482" t="s">
        <v>521</v>
      </c>
      <c r="E120" s="480" t="s">
        <v>170</v>
      </c>
      <c r="F120" s="483" t="s">
        <v>161</v>
      </c>
      <c r="G120" s="483" t="s">
        <v>49</v>
      </c>
      <c r="H120" s="480">
        <v>500.0</v>
      </c>
      <c r="I120" s="484" t="s">
        <v>517</v>
      </c>
      <c r="J120" s="485">
        <v>24.47724</v>
      </c>
      <c r="K120" s="485">
        <v>-81.73116</v>
      </c>
      <c r="L120" s="486"/>
      <c r="M120" s="294">
        <v>43794.0</v>
      </c>
      <c r="N120" s="295">
        <v>1.0</v>
      </c>
      <c r="O120" s="296">
        <v>0.0</v>
      </c>
      <c r="P120" s="296">
        <v>0.0</v>
      </c>
      <c r="Q120" s="296">
        <v>1.0</v>
      </c>
      <c r="R120" s="296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95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294">
        <v>44103.0</v>
      </c>
      <c r="U120" s="471">
        <v>0.9319999999999999</v>
      </c>
      <c r="V120" s="298">
        <v>0.008</v>
      </c>
      <c r="W120" s="298">
        <v>0.06</v>
      </c>
      <c r="X120" s="298">
        <v>1.0</v>
      </c>
      <c r="Y120" s="371">
        <v>44827.0</v>
      </c>
      <c r="Z120" s="300">
        <v>134.0</v>
      </c>
      <c r="AA120" s="301">
        <v>9.067352454543364</v>
      </c>
      <c r="AB120" s="299"/>
      <c r="AC120" s="300"/>
      <c r="AD120" s="301"/>
      <c r="AE120" s="262">
        <f>IFERROR(__xludf.DUMMYFUNCTION("IFERROR(INDEX(IMPORTRANGE(""https://docs.google.com/spreadsheets/d/1fpsE_0655xguD48cGK6n1ZqSLnI-tw9aHzhbPM9kZ-k/edit#gid=0"", ""Monitoring Summary!B:B""),MATCH(D120,IMPORTRANGE(""https://docs.google.com/spreadsheets/d/1fpsE_0655xguD48cGK6n1ZqSLnI-tw9aHzhb"&amp;"PM9kZ-k/edit#gid=0"", ""Monitoring Summary!C:C""),0)),""Not Monitored"")"),45240.0)</f>
        <v>45240</v>
      </c>
      <c r="AF120" s="263">
        <f>IFERROR(__xludf.DUMMYFUNCTION("IFERROR(INDEX(IMPORTRANGE(""https://docs.google.com/spreadsheets/d/1fpsE_0655xguD48cGK6n1ZqSLnI-tw9aHzhbPM9kZ-k/edit#gid=0"", ""Monitoring Summary!E:E""),MATCH(D120,IMPORTRANGE(""https://docs.google.com/spreadsheets/d/1fpsE_0655xguD48cGK6n1ZqSLnI-tw9aHzhb"&amp;"PM9kZ-k/edit#gid=0"", ""Monitoring Summary!C:C""),0)),""Not Monitored"")"),0.0)</f>
        <v>0</v>
      </c>
      <c r="AG120" s="264">
        <f t="shared" si="1"/>
        <v>0</v>
      </c>
      <c r="AH120" s="265" t="s">
        <v>522</v>
      </c>
    </row>
    <row r="121" ht="15.75" customHeight="1">
      <c r="A121" s="487">
        <v>2019.0</v>
      </c>
      <c r="B121" s="488">
        <v>43760.0</v>
      </c>
      <c r="C121" s="487" t="s">
        <v>502</v>
      </c>
      <c r="D121" s="494" t="s">
        <v>523</v>
      </c>
      <c r="E121" s="487" t="s">
        <v>170</v>
      </c>
      <c r="F121" s="490" t="s">
        <v>161</v>
      </c>
      <c r="G121" s="490" t="s">
        <v>49</v>
      </c>
      <c r="H121" s="487">
        <v>500.0</v>
      </c>
      <c r="I121" s="495" t="s">
        <v>417</v>
      </c>
      <c r="J121" s="492">
        <v>24.55261</v>
      </c>
      <c r="K121" s="492">
        <v>-81.38178</v>
      </c>
      <c r="L121" s="496"/>
      <c r="M121" s="271">
        <v>43788.0</v>
      </c>
      <c r="N121" s="255">
        <v>0.996</v>
      </c>
      <c r="O121" s="256">
        <v>0.002</v>
      </c>
      <c r="P121" s="256">
        <v>0.002</v>
      </c>
      <c r="Q121" s="256">
        <v>1.0</v>
      </c>
      <c r="R121" s="256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55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271">
        <v>44135.0</v>
      </c>
      <c r="U121" s="469">
        <v>0.6819999999999999</v>
      </c>
      <c r="V121" s="258">
        <v>0.174</v>
      </c>
      <c r="W121" s="258">
        <v>0.144</v>
      </c>
      <c r="X121" s="258">
        <v>0.9</v>
      </c>
      <c r="Y121" s="360">
        <v>44865.0</v>
      </c>
      <c r="Z121" s="260">
        <v>22.0</v>
      </c>
      <c r="AA121" s="261">
        <v>0.09958252841792924</v>
      </c>
      <c r="AB121" s="259"/>
      <c r="AC121" s="260"/>
      <c r="AD121" s="261"/>
      <c r="AE121" s="305" t="str">
        <f>IFERROR(__xludf.DUMMYFUNCTION("IFERROR(INDEX(IMPORTRANGE(""https://docs.google.com/spreadsheets/d/1fpsE_0655xguD48cGK6n1ZqSLnI-tw9aHzhbPM9kZ-k/edit#gid=0"", ""Monitoring Summary!B:B""),MATCH(D121,IMPORTRANGE(""https://docs.google.com/spreadsheets/d/1fpsE_0655xguD48cGK6n1ZqSLnI-tw9aHzhb"&amp;"PM9kZ-k/edit#gid=0"", ""Monitoring Summary!C:C""),0)),""Not Monitored"")"),"Not Monitored")</f>
        <v>Not Monitored</v>
      </c>
      <c r="AF121" s="343" t="str">
        <f>IFERROR(__xludf.DUMMYFUNCTION("IFERROR(INDEX(IMPORTRANGE(""https://docs.google.com/spreadsheets/d/1fpsE_0655xguD48cGK6n1ZqSLnI-tw9aHzhbPM9kZ-k/edit#gid=0"", ""Monitoring Summary!E:E""),MATCH(D121,IMPORTRANGE(""https://docs.google.com/spreadsheets/d/1fpsE_0655xguD48cGK6n1ZqSLnI-tw9aHzhb"&amp;"PM9kZ-k/edit#gid=0"", ""Monitoring Summary!C:C""),0)),""Not Monitored"")"),"Not Monitored")</f>
        <v>Not Monitored</v>
      </c>
      <c r="AG121" s="382" t="str">
        <f t="shared" si="1"/>
        <v>Not Monitored</v>
      </c>
      <c r="AH121" s="265" t="s">
        <v>524</v>
      </c>
    </row>
    <row r="122" ht="15.75" customHeight="1">
      <c r="A122" s="480">
        <v>2019.0</v>
      </c>
      <c r="B122" s="481">
        <v>43773.0</v>
      </c>
      <c r="C122" s="480" t="s">
        <v>275</v>
      </c>
      <c r="D122" s="482" t="s">
        <v>525</v>
      </c>
      <c r="E122" s="480" t="s">
        <v>170</v>
      </c>
      <c r="F122" s="480" t="s">
        <v>161</v>
      </c>
      <c r="G122" s="480" t="s">
        <v>49</v>
      </c>
      <c r="H122" s="480">
        <v>500.0</v>
      </c>
      <c r="I122" s="497" t="s">
        <v>479</v>
      </c>
      <c r="J122" s="485">
        <v>24.54126</v>
      </c>
      <c r="K122" s="485">
        <v>-81.4407</v>
      </c>
      <c r="L122" s="486"/>
      <c r="M122" s="294">
        <v>43808.0</v>
      </c>
      <c r="N122" s="295">
        <v>1.0</v>
      </c>
      <c r="O122" s="296">
        <v>0.0</v>
      </c>
      <c r="P122" s="296">
        <v>0.0</v>
      </c>
      <c r="Q122" s="296">
        <v>1.0</v>
      </c>
      <c r="R122" s="296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95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294">
        <v>44151.0</v>
      </c>
      <c r="U122" s="471">
        <v>0.864</v>
      </c>
      <c r="V122" s="298">
        <v>0.022</v>
      </c>
      <c r="W122" s="298">
        <v>0.114</v>
      </c>
      <c r="X122" s="298">
        <v>1.0</v>
      </c>
      <c r="Y122" s="371">
        <v>44861.0</v>
      </c>
      <c r="Z122" s="300">
        <v>89.0</v>
      </c>
      <c r="AA122" s="301">
        <v>2.2585270708253526</v>
      </c>
      <c r="AB122" s="299"/>
      <c r="AC122" s="300"/>
      <c r="AD122" s="301"/>
      <c r="AE122" s="305">
        <f>IFERROR(__xludf.DUMMYFUNCTION("IFERROR(INDEX(IMPORTRANGE(""https://docs.google.com/spreadsheets/d/1fpsE_0655xguD48cGK6n1ZqSLnI-tw9aHzhbPM9kZ-k/edit#gid=0"", ""Monitoring Summary!B:B""),MATCH(D122,IMPORTRANGE(""https://docs.google.com/spreadsheets/d/1fpsE_0655xguD48cGK6n1ZqSLnI-tw9aHzhb"&amp;"PM9kZ-k/edit#gid=0"", ""Monitoring Summary!C:C""),0)),""Not Monitored"")"),45239.0)</f>
        <v>45239</v>
      </c>
      <c r="AF122" s="343">
        <f>IFERROR(__xludf.DUMMYFUNCTION("IFERROR(INDEX(IMPORTRANGE(""https://docs.google.com/spreadsheets/d/1fpsE_0655xguD48cGK6n1ZqSLnI-tw9aHzhbPM9kZ-k/edit#gid=0"", ""Monitoring Summary!E:E""),MATCH(D122,IMPORTRANGE(""https://docs.google.com/spreadsheets/d/1fpsE_0655xguD48cGK6n1ZqSLnI-tw9aHzhb"&amp;"PM9kZ-k/edit#gid=0"", ""Monitoring Summary!C:C""),0)),""Not Monitored"")"),0.0)</f>
        <v>0</v>
      </c>
      <c r="AG122" s="382">
        <f t="shared" si="1"/>
        <v>0</v>
      </c>
      <c r="AH122" s="265" t="s">
        <v>526</v>
      </c>
    </row>
    <row r="123" ht="15.75" customHeight="1">
      <c r="A123" s="480">
        <v>2019.0</v>
      </c>
      <c r="B123" s="481">
        <v>43773.0</v>
      </c>
      <c r="C123" s="480" t="s">
        <v>318</v>
      </c>
      <c r="D123" s="482" t="s">
        <v>527</v>
      </c>
      <c r="E123" s="480" t="s">
        <v>170</v>
      </c>
      <c r="F123" s="480" t="s">
        <v>161</v>
      </c>
      <c r="G123" s="480" t="s">
        <v>49</v>
      </c>
      <c r="H123" s="480">
        <v>450.0</v>
      </c>
      <c r="I123" s="484" t="s">
        <v>528</v>
      </c>
      <c r="J123" s="485">
        <v>24.52633</v>
      </c>
      <c r="K123" s="485">
        <v>-81.50436</v>
      </c>
      <c r="L123" s="498" t="s">
        <v>529</v>
      </c>
      <c r="M123" s="294">
        <v>43804.0</v>
      </c>
      <c r="N123" s="295">
        <v>0.9955555555555555</v>
      </c>
      <c r="O123" s="296">
        <v>0.0044444444444444444</v>
      </c>
      <c r="P123" s="296">
        <v>0.0</v>
      </c>
      <c r="Q123" s="296">
        <v>1.0</v>
      </c>
      <c r="R123" s="296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95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294">
        <v>44149.0</v>
      </c>
      <c r="U123" s="471">
        <v>0.72</v>
      </c>
      <c r="V123" s="298">
        <v>0.024444444444444446</v>
      </c>
      <c r="W123" s="298">
        <v>0.25555555555555554</v>
      </c>
      <c r="X123" s="298">
        <v>0.9666666666666667</v>
      </c>
      <c r="Y123" s="371">
        <v>44861.0</v>
      </c>
      <c r="Z123" s="300">
        <v>57.0</v>
      </c>
      <c r="AA123" s="301">
        <v>0.860354045685368</v>
      </c>
      <c r="AB123" s="299"/>
      <c r="AC123" s="300"/>
      <c r="AD123" s="301"/>
      <c r="AE123" s="305">
        <f>IFERROR(__xludf.DUMMYFUNCTION("IFERROR(INDEX(IMPORTRANGE(""https://docs.google.com/spreadsheets/d/1fpsE_0655xguD48cGK6n1ZqSLnI-tw9aHzhbPM9kZ-k/edit#gid=0"", ""Monitoring Summary!B:B""),MATCH(D123,IMPORTRANGE(""https://docs.google.com/spreadsheets/d/1fpsE_0655xguD48cGK6n1ZqSLnI-tw9aHzhb"&amp;"PM9kZ-k/edit#gid=0"", ""Monitoring Summary!C:C""),0)),""Not Monitored"")"),45265.0)</f>
        <v>45265</v>
      </c>
      <c r="AF123" s="343">
        <f>IFERROR(__xludf.DUMMYFUNCTION("IFERROR(INDEX(IMPORTRANGE(""https://docs.google.com/spreadsheets/d/1fpsE_0655xguD48cGK6n1ZqSLnI-tw9aHzhbPM9kZ-k/edit#gid=0"", ""Monitoring Summary!E:E""),MATCH(D123,IMPORTRANGE(""https://docs.google.com/spreadsheets/d/1fpsE_0655xguD48cGK6n1ZqSLnI-tw9aHzhb"&amp;"PM9kZ-k/edit#gid=0"", ""Monitoring Summary!C:C""),0)),""Not Monitored"")"),0.0)</f>
        <v>0</v>
      </c>
      <c r="AG123" s="382">
        <f t="shared" si="1"/>
        <v>0</v>
      </c>
      <c r="AH123" s="265" t="s">
        <v>530</v>
      </c>
    </row>
    <row r="124" ht="15.75" customHeight="1">
      <c r="A124" s="499">
        <v>2019.0</v>
      </c>
      <c r="B124" s="500">
        <v>43775.0</v>
      </c>
      <c r="C124" s="499" t="s">
        <v>318</v>
      </c>
      <c r="D124" s="501" t="s">
        <v>531</v>
      </c>
      <c r="E124" s="499" t="s">
        <v>170</v>
      </c>
      <c r="F124" s="499" t="s">
        <v>146</v>
      </c>
      <c r="G124" s="499" t="s">
        <v>39</v>
      </c>
      <c r="H124" s="499">
        <v>50.0</v>
      </c>
      <c r="I124" s="502" t="s">
        <v>532</v>
      </c>
      <c r="J124" s="503">
        <v>24.52646</v>
      </c>
      <c r="K124" s="503">
        <v>-81.50442</v>
      </c>
      <c r="L124" s="504"/>
      <c r="M124" s="294">
        <v>43804.0</v>
      </c>
      <c r="N124" s="295">
        <v>1.0</v>
      </c>
      <c r="O124" s="296">
        <v>0.0</v>
      </c>
      <c r="P124" s="296">
        <v>0.0</v>
      </c>
      <c r="Q124" s="296">
        <v>1.0</v>
      </c>
      <c r="R124" s="296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95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294">
        <v>44149.0</v>
      </c>
      <c r="U124" s="471">
        <v>1.0</v>
      </c>
      <c r="V124" s="298">
        <v>0.0</v>
      </c>
      <c r="W124" s="298">
        <v>0.0</v>
      </c>
      <c r="X124" s="298">
        <v>1.0</v>
      </c>
      <c r="Y124" s="371">
        <v>44861.0</v>
      </c>
      <c r="Z124" s="300">
        <v>10.0</v>
      </c>
      <c r="AA124" s="301">
        <v>9.234578087751975</v>
      </c>
      <c r="AB124" s="299"/>
      <c r="AC124" s="300"/>
      <c r="AD124" s="301"/>
      <c r="AE124" s="305">
        <f>IFERROR(__xludf.DUMMYFUNCTION("IFERROR(INDEX(IMPORTRANGE(""https://docs.google.com/spreadsheets/d/1fpsE_0655xguD48cGK6n1ZqSLnI-tw9aHzhbPM9kZ-k/edit#gid=0"", ""Monitoring Summary!B:B""),MATCH(D124,IMPORTRANGE(""https://docs.google.com/spreadsheets/d/1fpsE_0655xguD48cGK6n1ZqSLnI-tw9aHzhb"&amp;"PM9kZ-k/edit#gid=0"", ""Monitoring Summary!C:C""),0)),""Not Monitored"")"),45265.0)</f>
        <v>45265</v>
      </c>
      <c r="AF124" s="343">
        <f>IFERROR(__xludf.DUMMYFUNCTION("IFERROR(INDEX(IMPORTRANGE(""https://docs.google.com/spreadsheets/d/1fpsE_0655xguD48cGK6n1ZqSLnI-tw9aHzhbPM9kZ-k/edit#gid=0"", ""Monitoring Summary!E:E""),MATCH(D124,IMPORTRANGE(""https://docs.google.com/spreadsheets/d/1fpsE_0655xguD48cGK6n1ZqSLnI-tw9aHzhb"&amp;"PM9kZ-k/edit#gid=0"", ""Monitoring Summary!C:C""),0)),""Not Monitored"")"),0.0)</f>
        <v>0</v>
      </c>
      <c r="AG124" s="382">
        <f t="shared" si="1"/>
        <v>0</v>
      </c>
      <c r="AH124" s="265" t="s">
        <v>533</v>
      </c>
    </row>
    <row r="125" ht="15.75" customHeight="1">
      <c r="A125" s="480">
        <v>2019.0</v>
      </c>
      <c r="B125" s="481">
        <v>43782.0</v>
      </c>
      <c r="C125" s="480" t="s">
        <v>168</v>
      </c>
      <c r="D125" s="482" t="s">
        <v>534</v>
      </c>
      <c r="E125" s="482" t="str">
        <f>HYPERLINK("https://docs.google.com/spreadsheets/d/11AU_oXqRaaUJQrahv-HbvnaYMVN-yEOQFYTKChh5U04/edit#gid=1092641828&amp;range=B453","Mote")</f>
        <v>Mote</v>
      </c>
      <c r="F125" s="480" t="s">
        <v>161</v>
      </c>
      <c r="G125" s="480" t="s">
        <v>49</v>
      </c>
      <c r="H125" s="480">
        <v>500.0</v>
      </c>
      <c r="I125" s="484" t="s">
        <v>535</v>
      </c>
      <c r="J125" s="485">
        <v>24.52242</v>
      </c>
      <c r="K125" s="485">
        <v>-81.52027</v>
      </c>
      <c r="L125" s="486"/>
      <c r="M125" s="294">
        <v>43808.0</v>
      </c>
      <c r="N125" s="295">
        <v>1.0</v>
      </c>
      <c r="O125" s="296">
        <v>0.0</v>
      </c>
      <c r="P125" s="296">
        <v>0.0</v>
      </c>
      <c r="Q125" s="296">
        <v>1.0</v>
      </c>
      <c r="R125" s="296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95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294">
        <v>44151.0</v>
      </c>
      <c r="U125" s="471">
        <v>0.902</v>
      </c>
      <c r="V125" s="298">
        <v>0.032</v>
      </c>
      <c r="W125" s="298">
        <v>0.066</v>
      </c>
      <c r="X125" s="298">
        <v>0.99</v>
      </c>
      <c r="Y125" s="371">
        <v>44861.0</v>
      </c>
      <c r="Z125" s="300">
        <v>86.0</v>
      </c>
      <c r="AA125" s="301">
        <v>2.5659180469314062</v>
      </c>
      <c r="AB125" s="299"/>
      <c r="AC125" s="300"/>
      <c r="AD125" s="301"/>
      <c r="AE125" s="305">
        <f>IFERROR(__xludf.DUMMYFUNCTION("IFERROR(INDEX(IMPORTRANGE(""https://docs.google.com/spreadsheets/d/1fpsE_0655xguD48cGK6n1ZqSLnI-tw9aHzhbPM9kZ-k/edit#gid=0"", ""Monitoring Summary!B:B""),MATCH(D125,IMPORTRANGE(""https://docs.google.com/spreadsheets/d/1fpsE_0655xguD48cGK6n1ZqSLnI-tw9aHzhb"&amp;"PM9kZ-k/edit#gid=0"", ""Monitoring Summary!C:C""),0)),""Not Monitored"")"),45264.0)</f>
        <v>45264</v>
      </c>
      <c r="AF125" s="343">
        <f>IFERROR(__xludf.DUMMYFUNCTION("IFERROR(INDEX(IMPORTRANGE(""https://docs.google.com/spreadsheets/d/1fpsE_0655xguD48cGK6n1ZqSLnI-tw9aHzhbPM9kZ-k/edit#gid=0"", ""Monitoring Summary!E:E""),MATCH(D125,IMPORTRANGE(""https://docs.google.com/spreadsheets/d/1fpsE_0655xguD48cGK6n1ZqSLnI-tw9aHzhb"&amp;"PM9kZ-k/edit#gid=0"", ""Monitoring Summary!C:C""),0)),""Not Monitored"")"),0.0)</f>
        <v>0</v>
      </c>
      <c r="AG125" s="382">
        <f t="shared" si="1"/>
        <v>0</v>
      </c>
      <c r="AH125" s="265" t="s">
        <v>536</v>
      </c>
    </row>
    <row r="126" ht="14.25" customHeight="1">
      <c r="A126" s="487">
        <v>2019.0</v>
      </c>
      <c r="B126" s="488">
        <v>43791.0</v>
      </c>
      <c r="C126" s="487" t="s">
        <v>502</v>
      </c>
      <c r="D126" s="494" t="s">
        <v>537</v>
      </c>
      <c r="E126" s="494" t="s">
        <v>170</v>
      </c>
      <c r="F126" s="487" t="s">
        <v>161</v>
      </c>
      <c r="G126" s="487" t="s">
        <v>49</v>
      </c>
      <c r="H126" s="487">
        <v>500.0</v>
      </c>
      <c r="I126" s="491" t="s">
        <v>482</v>
      </c>
      <c r="J126" s="492">
        <v>24.55248</v>
      </c>
      <c r="K126" s="492">
        <v>-81.38212</v>
      </c>
      <c r="L126" s="496"/>
      <c r="M126" s="271">
        <v>43829.0</v>
      </c>
      <c r="N126" s="255">
        <v>0.978</v>
      </c>
      <c r="O126" s="256">
        <v>0.012</v>
      </c>
      <c r="P126" s="256">
        <v>0.01</v>
      </c>
      <c r="Q126" s="256">
        <v>1.0</v>
      </c>
      <c r="R126" s="256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55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271">
        <v>44151.0</v>
      </c>
      <c r="U126" s="469">
        <v>0.838</v>
      </c>
      <c r="V126" s="258">
        <v>0.078</v>
      </c>
      <c r="W126" s="258">
        <v>0.084</v>
      </c>
      <c r="X126" s="258">
        <v>0.97</v>
      </c>
      <c r="Y126" s="360">
        <v>44865.0</v>
      </c>
      <c r="Z126" s="260">
        <v>91.0</v>
      </c>
      <c r="AA126" s="261">
        <v>2.6696955269002016</v>
      </c>
      <c r="AB126" s="259"/>
      <c r="AC126" s="260"/>
      <c r="AD126" s="261"/>
      <c r="AE126" s="305" t="str">
        <f>IFERROR(__xludf.DUMMYFUNCTION("IFERROR(INDEX(IMPORTRANGE(""https://docs.google.com/spreadsheets/d/1fpsE_0655xguD48cGK6n1ZqSLnI-tw9aHzhbPM9kZ-k/edit#gid=0"", ""Monitoring Summary!B:B""),MATCH(D126,IMPORTRANGE(""https://docs.google.com/spreadsheets/d/1fpsE_0655xguD48cGK6n1ZqSLnI-tw9aHzhb"&amp;"PM9kZ-k/edit#gid=0"", ""Monitoring Summary!C:C""),0)),""Not Monitored"")"),"Not Monitored")</f>
        <v>Not Monitored</v>
      </c>
      <c r="AF126" s="343" t="str">
        <f>IFERROR(__xludf.DUMMYFUNCTION("IFERROR(INDEX(IMPORTRANGE(""https://docs.google.com/spreadsheets/d/1fpsE_0655xguD48cGK6n1ZqSLnI-tw9aHzhbPM9kZ-k/edit#gid=0"", ""Monitoring Summary!E:E""),MATCH(D126,IMPORTRANGE(""https://docs.google.com/spreadsheets/d/1fpsE_0655xguD48cGK6n1ZqSLnI-tw9aHzhb"&amp;"PM9kZ-k/edit#gid=0"", ""Monitoring Summary!C:C""),0)),""Not Monitored"")"),"Not Monitored")</f>
        <v>Not Monitored</v>
      </c>
      <c r="AG126" s="382" t="str">
        <f t="shared" si="1"/>
        <v>Not Monitored</v>
      </c>
      <c r="AH126" s="265" t="s">
        <v>538</v>
      </c>
    </row>
    <row r="127" ht="15.75" customHeight="1">
      <c r="A127" s="480">
        <v>2019.0</v>
      </c>
      <c r="B127" s="481">
        <v>43803.0</v>
      </c>
      <c r="C127" s="480" t="s">
        <v>428</v>
      </c>
      <c r="D127" s="482" t="s">
        <v>539</v>
      </c>
      <c r="E127" s="482" t="s">
        <v>170</v>
      </c>
      <c r="F127" s="480" t="s">
        <v>161</v>
      </c>
      <c r="G127" s="480" t="s">
        <v>49</v>
      </c>
      <c r="H127" s="480">
        <v>500.0</v>
      </c>
      <c r="I127" s="484" t="s">
        <v>540</v>
      </c>
      <c r="J127" s="485">
        <v>24.53061</v>
      </c>
      <c r="K127" s="485">
        <v>-81.48681</v>
      </c>
      <c r="L127" s="486"/>
      <c r="M127" s="294">
        <v>43832.0</v>
      </c>
      <c r="N127" s="295">
        <v>0.984</v>
      </c>
      <c r="O127" s="296">
        <v>0.006</v>
      </c>
      <c r="P127" s="296">
        <v>0.01</v>
      </c>
      <c r="Q127" s="296">
        <v>1.0</v>
      </c>
      <c r="R127" s="296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95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294">
        <v>44151.0</v>
      </c>
      <c r="U127" s="471">
        <v>0.84</v>
      </c>
      <c r="V127" s="298">
        <v>0.016</v>
      </c>
      <c r="W127" s="298">
        <v>0.144</v>
      </c>
      <c r="X127" s="298">
        <v>1.0</v>
      </c>
      <c r="Y127" s="371">
        <v>44901.0</v>
      </c>
      <c r="Z127" s="300">
        <v>58.0</v>
      </c>
      <c r="AA127" s="301">
        <v>1.4715007659128363</v>
      </c>
      <c r="AB127" s="299"/>
      <c r="AC127" s="300"/>
      <c r="AD127" s="301"/>
      <c r="AE127" s="262">
        <f>IFERROR(__xludf.DUMMYFUNCTION("IFERROR(INDEX(IMPORTRANGE(""https://docs.google.com/spreadsheets/d/1fpsE_0655xguD48cGK6n1ZqSLnI-tw9aHzhbPM9kZ-k/edit#gid=0"", ""Monitoring Summary!B:B""),MATCH(D127,IMPORTRANGE(""https://docs.google.com/spreadsheets/d/1fpsE_0655xguD48cGK6n1ZqSLnI-tw9aHzhb"&amp;"PM9kZ-k/edit#gid=0"", ""Monitoring Summary!C:C""),0)),""Not Monitored"")"),45258.0)</f>
        <v>45258</v>
      </c>
      <c r="AF127" s="263">
        <f>IFERROR(__xludf.DUMMYFUNCTION("IFERROR(INDEX(IMPORTRANGE(""https://docs.google.com/spreadsheets/d/1fpsE_0655xguD48cGK6n1ZqSLnI-tw9aHzhbPM9kZ-k/edit#gid=0"", ""Monitoring Summary!E:E""),MATCH(D127,IMPORTRANGE(""https://docs.google.com/spreadsheets/d/1fpsE_0655xguD48cGK6n1ZqSLnI-tw9aHzhb"&amp;"PM9kZ-k/edit#gid=0"", ""Monitoring Summary!C:C""),0)),""Not Monitored"")"),0.0)</f>
        <v>0</v>
      </c>
      <c r="AG127" s="264">
        <f t="shared" si="1"/>
        <v>0</v>
      </c>
      <c r="AH127" s="265" t="s">
        <v>541</v>
      </c>
    </row>
    <row r="128" ht="15.75" customHeight="1">
      <c r="A128" s="480">
        <v>2019.0</v>
      </c>
      <c r="B128" s="505">
        <v>43804.0</v>
      </c>
      <c r="C128" s="480" t="s">
        <v>318</v>
      </c>
      <c r="D128" s="482" t="s">
        <v>542</v>
      </c>
      <c r="E128" s="480" t="s">
        <v>170</v>
      </c>
      <c r="F128" s="480" t="s">
        <v>161</v>
      </c>
      <c r="G128" s="480" t="s">
        <v>49</v>
      </c>
      <c r="H128" s="480">
        <v>450.0</v>
      </c>
      <c r="I128" s="484" t="s">
        <v>543</v>
      </c>
      <c r="J128" s="485">
        <v>24.52619</v>
      </c>
      <c r="K128" s="485">
        <v>-81.50426</v>
      </c>
      <c r="L128" s="486"/>
      <c r="M128" s="294">
        <v>43837.0</v>
      </c>
      <c r="N128" s="295">
        <v>0.9822222222222222</v>
      </c>
      <c r="O128" s="296">
        <v>0.0</v>
      </c>
      <c r="P128" s="296">
        <v>0.017777777777777778</v>
      </c>
      <c r="Q128" s="296">
        <v>1.0</v>
      </c>
      <c r="R128" s="296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95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294">
        <v>44149.0</v>
      </c>
      <c r="U128" s="471">
        <v>0.8688888888888888</v>
      </c>
      <c r="V128" s="298">
        <v>0.028888888888888888</v>
      </c>
      <c r="W128" s="298">
        <v>0.10222222222222223</v>
      </c>
      <c r="X128" s="298">
        <v>1.0</v>
      </c>
      <c r="Y128" s="371">
        <v>44896.0</v>
      </c>
      <c r="Z128" s="300">
        <v>111.0</v>
      </c>
      <c r="AA128" s="301">
        <v>2.9779238366268093</v>
      </c>
      <c r="AB128" s="299"/>
      <c r="AC128" s="300"/>
      <c r="AD128" s="301"/>
      <c r="AE128" s="262">
        <f>IFERROR(__xludf.DUMMYFUNCTION("IFERROR(INDEX(IMPORTRANGE(""https://docs.google.com/spreadsheets/d/1fpsE_0655xguD48cGK6n1ZqSLnI-tw9aHzhbPM9kZ-k/edit#gid=0"", ""Monitoring Summary!B:B""),MATCH(D128,IMPORTRANGE(""https://docs.google.com/spreadsheets/d/1fpsE_0655xguD48cGK6n1ZqSLnI-tw9aHzhb"&amp;"PM9kZ-k/edit#gid=0"", ""Monitoring Summary!C:C""),0)),""Not Monitored"")"),45265.0)</f>
        <v>45265</v>
      </c>
      <c r="AF128" s="263">
        <f>IFERROR(__xludf.DUMMYFUNCTION("IFERROR(INDEX(IMPORTRANGE(""https://docs.google.com/spreadsheets/d/1fpsE_0655xguD48cGK6n1ZqSLnI-tw9aHzhbPM9kZ-k/edit#gid=0"", ""Monitoring Summary!E:E""),MATCH(D128,IMPORTRANGE(""https://docs.google.com/spreadsheets/d/1fpsE_0655xguD48cGK6n1ZqSLnI-tw9aHzhb"&amp;"PM9kZ-k/edit#gid=0"", ""Monitoring Summary!C:C""),0)),""Not Monitored"")"),0.0)</f>
        <v>0</v>
      </c>
      <c r="AG128" s="264">
        <f t="shared" si="1"/>
        <v>0</v>
      </c>
      <c r="AH128" s="265" t="s">
        <v>544</v>
      </c>
    </row>
    <row r="129" ht="15.75" customHeight="1">
      <c r="A129" s="499">
        <v>2019.0</v>
      </c>
      <c r="B129" s="500">
        <v>43804.0</v>
      </c>
      <c r="C129" s="499" t="s">
        <v>318</v>
      </c>
      <c r="D129" s="501" t="s">
        <v>545</v>
      </c>
      <c r="E129" s="499" t="s">
        <v>170</v>
      </c>
      <c r="F129" s="499" t="s">
        <v>146</v>
      </c>
      <c r="G129" s="499" t="s">
        <v>39</v>
      </c>
      <c r="H129" s="499">
        <v>50.0</v>
      </c>
      <c r="I129" s="502" t="s">
        <v>546</v>
      </c>
      <c r="J129" s="506">
        <v>24.52619</v>
      </c>
      <c r="K129" s="506">
        <v>-81.50426</v>
      </c>
      <c r="L129" s="504"/>
      <c r="M129" s="294">
        <v>43837.0</v>
      </c>
      <c r="N129" s="295">
        <v>1.0</v>
      </c>
      <c r="O129" s="296">
        <v>0.0</v>
      </c>
      <c r="P129" s="296">
        <v>0.0</v>
      </c>
      <c r="Q129" s="296">
        <v>1.0</v>
      </c>
      <c r="R129" s="296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95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294">
        <v>44149.0</v>
      </c>
      <c r="U129" s="471">
        <v>0.94</v>
      </c>
      <c r="V129" s="298">
        <v>0.0</v>
      </c>
      <c r="W129" s="298">
        <v>0.06</v>
      </c>
      <c r="X129" s="298">
        <v>1.0</v>
      </c>
      <c r="Y129" s="371">
        <v>44896.0</v>
      </c>
      <c r="Z129" s="300">
        <v>24.0</v>
      </c>
      <c r="AA129" s="301">
        <v>4.045052665438741</v>
      </c>
      <c r="AB129" s="299"/>
      <c r="AC129" s="300"/>
      <c r="AD129" s="301"/>
      <c r="AE129" s="262">
        <f>IFERROR(__xludf.DUMMYFUNCTION("IFERROR(INDEX(IMPORTRANGE(""https://docs.google.com/spreadsheets/d/1fpsE_0655xguD48cGK6n1ZqSLnI-tw9aHzhbPM9kZ-k/edit#gid=0"", ""Monitoring Summary!B:B""),MATCH(D129,IMPORTRANGE(""https://docs.google.com/spreadsheets/d/1fpsE_0655xguD48cGK6n1ZqSLnI-tw9aHzhb"&amp;"PM9kZ-k/edit#gid=0"", ""Monitoring Summary!C:C""),0)),""Not Monitored"")"),45265.0)</f>
        <v>45265</v>
      </c>
      <c r="AF129" s="263">
        <f>IFERROR(__xludf.DUMMYFUNCTION("IFERROR(INDEX(IMPORTRANGE(""https://docs.google.com/spreadsheets/d/1fpsE_0655xguD48cGK6n1ZqSLnI-tw9aHzhbPM9kZ-k/edit#gid=0"", ""Monitoring Summary!E:E""),MATCH(D129,IMPORTRANGE(""https://docs.google.com/spreadsheets/d/1fpsE_0655xguD48cGK6n1ZqSLnI-tw9aHzhb"&amp;"PM9kZ-k/edit#gid=0"", ""Monitoring Summary!C:C""),0)),""Not Monitored"")"),0.0)</f>
        <v>0</v>
      </c>
      <c r="AG129" s="264">
        <f t="shared" si="1"/>
        <v>0</v>
      </c>
      <c r="AH129" s="265" t="s">
        <v>547</v>
      </c>
    </row>
    <row r="130" ht="15.0" customHeight="1">
      <c r="A130" s="507">
        <v>2019.0</v>
      </c>
      <c r="B130" s="508">
        <v>43829.0</v>
      </c>
      <c r="C130" s="507" t="s">
        <v>275</v>
      </c>
      <c r="D130" s="509" t="s">
        <v>548</v>
      </c>
      <c r="E130" s="509" t="s">
        <v>170</v>
      </c>
      <c r="F130" s="507" t="s">
        <v>161</v>
      </c>
      <c r="G130" s="507" t="s">
        <v>49</v>
      </c>
      <c r="H130" s="507">
        <v>500.0</v>
      </c>
      <c r="I130" s="510" t="s">
        <v>494</v>
      </c>
      <c r="J130" s="511">
        <v>24.54123</v>
      </c>
      <c r="K130" s="511">
        <v>-81.44202</v>
      </c>
      <c r="L130" s="512"/>
      <c r="M130" s="513">
        <v>43857.0</v>
      </c>
      <c r="N130" s="514">
        <v>0.982</v>
      </c>
      <c r="O130" s="515">
        <v>0.0</v>
      </c>
      <c r="P130" s="515">
        <v>0.018</v>
      </c>
      <c r="Q130" s="515">
        <v>1.0</v>
      </c>
      <c r="R130" s="296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95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513">
        <v>44170.0</v>
      </c>
      <c r="U130" s="516">
        <v>0.91</v>
      </c>
      <c r="V130" s="517">
        <v>0.012</v>
      </c>
      <c r="W130" s="517">
        <v>0.078</v>
      </c>
      <c r="X130" s="517">
        <v>1.0</v>
      </c>
      <c r="Y130" s="518">
        <v>44887.0</v>
      </c>
      <c r="Z130" s="519">
        <v>62.0</v>
      </c>
      <c r="AA130" s="520">
        <v>2.427208783364781</v>
      </c>
      <c r="AB130" s="521"/>
      <c r="AC130" s="519"/>
      <c r="AD130" s="520"/>
      <c r="AE130" s="262">
        <f>IFERROR(__xludf.DUMMYFUNCTION("IFERROR(INDEX(IMPORTRANGE(""https://docs.google.com/spreadsheets/d/1fpsE_0655xguD48cGK6n1ZqSLnI-tw9aHzhbPM9kZ-k/edit#gid=0"", ""Monitoring Summary!B:B""),MATCH(D130,IMPORTRANGE(""https://docs.google.com/spreadsheets/d/1fpsE_0655xguD48cGK6n1ZqSLnI-tw9aHzhb"&amp;"PM9kZ-k/edit#gid=0"", ""Monitoring Summary!C:C""),0)),""Not Monitored"")"),45239.0)</f>
        <v>45239</v>
      </c>
      <c r="AF130" s="263">
        <f>IFERROR(__xludf.DUMMYFUNCTION("IFERROR(INDEX(IMPORTRANGE(""https://docs.google.com/spreadsheets/d/1fpsE_0655xguD48cGK6n1ZqSLnI-tw9aHzhbPM9kZ-k/edit#gid=0"", ""Monitoring Summary!E:E""),MATCH(D130,IMPORTRANGE(""https://docs.google.com/spreadsheets/d/1fpsE_0655xguD48cGK6n1ZqSLnI-tw9aHzhb"&amp;"PM9kZ-k/edit#gid=0"", ""Monitoring Summary!C:C""),0)),""Not Monitored"")"),0.0)</f>
        <v>0</v>
      </c>
      <c r="AG130" s="264">
        <f t="shared" si="1"/>
        <v>0</v>
      </c>
      <c r="AH130" s="265" t="s">
        <v>549</v>
      </c>
    </row>
    <row r="131" ht="15.75" customHeight="1">
      <c r="A131" s="480">
        <v>2020.0</v>
      </c>
      <c r="B131" s="481">
        <v>43857.0</v>
      </c>
      <c r="C131" s="522" t="s">
        <v>318</v>
      </c>
      <c r="D131" s="482" t="s">
        <v>550</v>
      </c>
      <c r="E131" s="482" t="s">
        <v>170</v>
      </c>
      <c r="F131" s="480" t="s">
        <v>161</v>
      </c>
      <c r="G131" s="480" t="s">
        <v>49</v>
      </c>
      <c r="H131" s="480">
        <v>600.0</v>
      </c>
      <c r="I131" s="484" t="s">
        <v>551</v>
      </c>
      <c r="J131" s="523">
        <v>24.52646</v>
      </c>
      <c r="K131" s="523">
        <v>-81.50442</v>
      </c>
      <c r="L131" s="486"/>
      <c r="M131" s="294">
        <v>43866.0</v>
      </c>
      <c r="N131" s="295">
        <v>0.9483333333333334</v>
      </c>
      <c r="O131" s="296">
        <v>0.0033333333333333335</v>
      </c>
      <c r="P131" s="296">
        <v>0.04833333333333333</v>
      </c>
      <c r="Q131" s="296">
        <v>1.0</v>
      </c>
      <c r="R131" s="296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95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294">
        <v>44207.0</v>
      </c>
      <c r="U131" s="471">
        <v>0.8166666666666667</v>
      </c>
      <c r="V131" s="298">
        <v>0.0033333333333333335</v>
      </c>
      <c r="W131" s="298">
        <v>0.18</v>
      </c>
      <c r="X131" s="298">
        <v>1.0</v>
      </c>
      <c r="Y131" s="371">
        <v>44928.0</v>
      </c>
      <c r="Z131" s="300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301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299"/>
      <c r="AC131" s="300"/>
      <c r="AD131" s="301"/>
      <c r="AE131" s="262">
        <f>IFERROR(__xludf.DUMMYFUNCTION("IFERROR(INDEX(IMPORTRANGE(""https://docs.google.com/spreadsheets/d/1fpsE_0655xguD48cGK6n1ZqSLnI-tw9aHzhbPM9kZ-k/edit#gid=0"", ""Monitoring Summary!B:B""),MATCH(D131,IMPORTRANGE(""https://docs.google.com/spreadsheets/d/1fpsE_0655xguD48cGK6n1ZqSLnI-tw9aHzhb"&amp;"PM9kZ-k/edit#gid=0"", ""Monitoring Summary!C:C""),0)),""Not Monitored"")"),45265.0)</f>
        <v>45265</v>
      </c>
      <c r="AF131" s="263">
        <f>IFERROR(__xludf.DUMMYFUNCTION("IFERROR(INDEX(IMPORTRANGE(""https://docs.google.com/spreadsheets/d/1fpsE_0655xguD48cGK6n1ZqSLnI-tw9aHzhbPM9kZ-k/edit#gid=0"", ""Monitoring Summary!E:E""),MATCH(D131,IMPORTRANGE(""https://docs.google.com/spreadsheets/d/1fpsE_0655xguD48cGK6n1ZqSLnI-tw9aHzhb"&amp;"PM9kZ-k/edit#gid=0"", ""Monitoring Summary!C:C""),0)),""Not Monitored"")"),0.0)</f>
        <v>0</v>
      </c>
      <c r="AG131" s="264">
        <f t="shared" si="1"/>
        <v>0</v>
      </c>
      <c r="AH131" s="265" t="s">
        <v>552</v>
      </c>
    </row>
    <row r="132" ht="15.75" customHeight="1">
      <c r="A132" s="524">
        <v>2020.0</v>
      </c>
      <c r="B132" s="525">
        <v>43860.0</v>
      </c>
      <c r="C132" s="524" t="s">
        <v>292</v>
      </c>
      <c r="D132" s="526" t="s">
        <v>553</v>
      </c>
      <c r="E132" s="526" t="s">
        <v>170</v>
      </c>
      <c r="F132" s="524" t="s">
        <v>161</v>
      </c>
      <c r="G132" s="524" t="s">
        <v>51</v>
      </c>
      <c r="H132" s="524">
        <v>500.0</v>
      </c>
      <c r="I132" s="527" t="s">
        <v>494</v>
      </c>
      <c r="J132" s="528">
        <v>24.45913</v>
      </c>
      <c r="K132" s="528">
        <v>-81.84534</v>
      </c>
      <c r="L132" s="529" t="s">
        <v>554</v>
      </c>
      <c r="M132" s="294">
        <v>43902.0</v>
      </c>
      <c r="N132" s="295">
        <v>0.874</v>
      </c>
      <c r="O132" s="296">
        <v>0.0</v>
      </c>
      <c r="P132" s="296">
        <v>0.126</v>
      </c>
      <c r="Q132" s="296">
        <v>1.0</v>
      </c>
      <c r="R132" s="296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95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294">
        <v>44202.0</v>
      </c>
      <c r="U132" s="471">
        <v>0.71</v>
      </c>
      <c r="V132" s="298">
        <v>0.132</v>
      </c>
      <c r="W132" s="298">
        <v>0.158</v>
      </c>
      <c r="X132" s="298">
        <v>0.96</v>
      </c>
      <c r="Y132" s="371">
        <v>44943.0</v>
      </c>
      <c r="Z132" s="300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301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71">
        <v>45293.0</v>
      </c>
      <c r="AC132" s="300"/>
      <c r="AD132" s="301"/>
      <c r="AE132" s="262">
        <f>IFERROR(__xludf.DUMMYFUNCTION("IFERROR(INDEX(IMPORTRANGE(""https://docs.google.com/spreadsheets/d/1fpsE_0655xguD48cGK6n1ZqSLnI-tw9aHzhbPM9kZ-k/edit#gid=0"", ""Monitoring Summary!B:B""),MATCH(D132,IMPORTRANGE(""https://docs.google.com/spreadsheets/d/1fpsE_0655xguD48cGK6n1ZqSLnI-tw9aHzhb"&amp;"PM9kZ-k/edit#gid=0"", ""Monitoring Summary!C:C""),0)),""Not Monitored"")"),45293.0)</f>
        <v>45293</v>
      </c>
      <c r="AF132" s="263">
        <f>IFERROR(__xludf.DUMMYFUNCTION("IFERROR(INDEX(IMPORTRANGE(""https://docs.google.com/spreadsheets/d/1fpsE_0655xguD48cGK6n1ZqSLnI-tw9aHzhbPM9kZ-k/edit#gid=0"", ""Monitoring Summary!E:E""),MATCH(D132,IMPORTRANGE(""https://docs.google.com/spreadsheets/d/1fpsE_0655xguD48cGK6n1ZqSLnI-tw9aHzhb"&amp;"PM9kZ-k/edit#gid=0"", ""Monitoring Summary!C:C""),0)),""Not Monitored"")"),0.0)</f>
        <v>0</v>
      </c>
      <c r="AG132" s="264">
        <f t="shared" si="1"/>
        <v>0</v>
      </c>
      <c r="AH132" s="265" t="s">
        <v>555</v>
      </c>
    </row>
    <row r="133" ht="15.75" customHeight="1">
      <c r="A133" s="524">
        <v>2020.0</v>
      </c>
      <c r="B133" s="525">
        <v>43861.0</v>
      </c>
      <c r="C133" s="524" t="s">
        <v>286</v>
      </c>
      <c r="D133" s="526" t="s">
        <v>556</v>
      </c>
      <c r="E133" s="526" t="s">
        <v>170</v>
      </c>
      <c r="F133" s="524" t="s">
        <v>161</v>
      </c>
      <c r="G133" s="524" t="s">
        <v>51</v>
      </c>
      <c r="H133" s="524">
        <v>500.0</v>
      </c>
      <c r="I133" s="527" t="s">
        <v>557</v>
      </c>
      <c r="J133" s="528">
        <v>24.45512</v>
      </c>
      <c r="K133" s="528">
        <v>-81.85605</v>
      </c>
      <c r="L133" s="530"/>
      <c r="M133" s="294">
        <v>43902.0</v>
      </c>
      <c r="N133" s="295">
        <v>0.948</v>
      </c>
      <c r="O133" s="296">
        <v>0.0</v>
      </c>
      <c r="P133" s="296">
        <v>0.052</v>
      </c>
      <c r="Q133" s="296">
        <v>1.0</v>
      </c>
      <c r="R133" s="296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95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294">
        <v>44202.0</v>
      </c>
      <c r="U133" s="471">
        <v>0.85</v>
      </c>
      <c r="V133" s="298">
        <v>0.03</v>
      </c>
      <c r="W133" s="298">
        <v>0.12</v>
      </c>
      <c r="X133" s="298">
        <v>1.0</v>
      </c>
      <c r="Y133" s="371">
        <v>44963.0</v>
      </c>
      <c r="Z133" s="300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301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299"/>
      <c r="AC133" s="300"/>
      <c r="AD133" s="301"/>
      <c r="AE133" s="328">
        <f>IFERROR(__xludf.DUMMYFUNCTION("IFERROR(INDEX(IMPORTRANGE(""https://docs.google.com/spreadsheets/d/1fpsE_0655xguD48cGK6n1ZqSLnI-tw9aHzhbPM9kZ-k/edit#gid=0"", ""Monitoring Summary!B:B""),MATCH(D133,IMPORTRANGE(""https://docs.google.com/spreadsheets/d/1fpsE_0655xguD48cGK6n1ZqSLnI-tw9aHzhb"&amp;"PM9kZ-k/edit#gid=0"", ""Monitoring Summary!C:C""),0)),""Not Monitored"")"),45294.0)</f>
        <v>45294</v>
      </c>
      <c r="AF133" s="329">
        <f>IFERROR(__xludf.DUMMYFUNCTION("IFERROR(INDEX(IMPORTRANGE(""https://docs.google.com/spreadsheets/d/1fpsE_0655xguD48cGK6n1ZqSLnI-tw9aHzhbPM9kZ-k/edit#gid=0"", ""Monitoring Summary!E:E""),MATCH(D133,IMPORTRANGE(""https://docs.google.com/spreadsheets/d/1fpsE_0655xguD48cGK6n1ZqSLnI-tw9aHzhb"&amp;"PM9kZ-k/edit#gid=0"", ""Monitoring Summary!C:C""),0)),""Not Monitored"")"),0.0)</f>
        <v>0</v>
      </c>
      <c r="AG133" s="330">
        <f t="shared" si="1"/>
        <v>0</v>
      </c>
      <c r="AH133" s="331" t="s">
        <v>558</v>
      </c>
    </row>
    <row r="134" ht="15.75" customHeight="1">
      <c r="A134" s="524">
        <v>2020.0</v>
      </c>
      <c r="B134" s="525">
        <v>43864.0</v>
      </c>
      <c r="C134" s="524" t="s">
        <v>268</v>
      </c>
      <c r="D134" s="526" t="s">
        <v>559</v>
      </c>
      <c r="E134" s="526" t="s">
        <v>170</v>
      </c>
      <c r="F134" s="524" t="s">
        <v>161</v>
      </c>
      <c r="G134" s="524" t="s">
        <v>51</v>
      </c>
      <c r="H134" s="524">
        <v>500.0</v>
      </c>
      <c r="I134" s="527" t="s">
        <v>557</v>
      </c>
      <c r="J134" s="528">
        <v>24.4525</v>
      </c>
      <c r="K134" s="528">
        <v>-81.87614</v>
      </c>
      <c r="L134" s="530"/>
      <c r="M134" s="294">
        <v>43902.0</v>
      </c>
      <c r="N134" s="295">
        <v>1.0</v>
      </c>
      <c r="O134" s="296">
        <v>0.0</v>
      </c>
      <c r="P134" s="296">
        <v>0.0</v>
      </c>
      <c r="Q134" s="296">
        <v>1.0</v>
      </c>
      <c r="R134" s="296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95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294">
        <v>44202.0</v>
      </c>
      <c r="U134" s="471">
        <v>0.894</v>
      </c>
      <c r="V134" s="298">
        <v>0.05</v>
      </c>
      <c r="W134" s="298">
        <v>0.056</v>
      </c>
      <c r="X134" s="298">
        <v>1.0</v>
      </c>
      <c r="Y134" s="371">
        <v>44952.0</v>
      </c>
      <c r="Z134" s="300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301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299"/>
      <c r="AC134" s="300"/>
      <c r="AD134" s="301"/>
      <c r="AE134" s="328">
        <f>IFERROR(__xludf.DUMMYFUNCTION("IFERROR(INDEX(IMPORTRANGE(""https://docs.google.com/spreadsheets/d/1fpsE_0655xguD48cGK6n1ZqSLnI-tw9aHzhbPM9kZ-k/edit#gid=0"", ""Monitoring Summary!B:B""),MATCH(D134,IMPORTRANGE(""https://docs.google.com/spreadsheets/d/1fpsE_0655xguD48cGK6n1ZqSLnI-tw9aHzhb"&amp;"PM9kZ-k/edit#gid=0"", ""Monitoring Summary!C:C""),0)),""Not Monitored"")"),45294.0)</f>
        <v>45294</v>
      </c>
      <c r="AF134" s="329">
        <f>IFERROR(__xludf.DUMMYFUNCTION("IFERROR(INDEX(IMPORTRANGE(""https://docs.google.com/spreadsheets/d/1fpsE_0655xguD48cGK6n1ZqSLnI-tw9aHzhbPM9kZ-k/edit#gid=0"", ""Monitoring Summary!E:E""),MATCH(D134,IMPORTRANGE(""https://docs.google.com/spreadsheets/d/1fpsE_0655xguD48cGK6n1ZqSLnI-tw9aHzhb"&amp;"PM9kZ-k/edit#gid=0"", ""Monitoring Summary!C:C""),0)),""Not Monitored"")"),0.0)</f>
        <v>0</v>
      </c>
      <c r="AG134" s="330">
        <f t="shared" si="1"/>
        <v>0</v>
      </c>
      <c r="AH134" s="331" t="s">
        <v>560</v>
      </c>
    </row>
    <row r="135" ht="15.75" customHeight="1">
      <c r="A135" s="531">
        <v>2020.0</v>
      </c>
      <c r="B135" s="532">
        <v>43894.0</v>
      </c>
      <c r="C135" s="531" t="s">
        <v>327</v>
      </c>
      <c r="D135" s="533" t="s">
        <v>561</v>
      </c>
      <c r="E135" s="533" t="s">
        <v>170</v>
      </c>
      <c r="F135" s="531" t="s">
        <v>161</v>
      </c>
      <c r="G135" s="531" t="s">
        <v>65</v>
      </c>
      <c r="H135" s="531">
        <v>500.0</v>
      </c>
      <c r="I135" s="534" t="s">
        <v>423</v>
      </c>
      <c r="J135" s="535">
        <v>24.54648</v>
      </c>
      <c r="K135" s="535">
        <v>-81.40214</v>
      </c>
      <c r="L135" s="536"/>
      <c r="M135" s="294">
        <v>43928.0</v>
      </c>
      <c r="N135" s="295">
        <v>0.998</v>
      </c>
      <c r="O135" s="296">
        <v>0.002</v>
      </c>
      <c r="P135" s="296">
        <v>0.0</v>
      </c>
      <c r="Q135" s="296">
        <v>1.0</v>
      </c>
      <c r="R135" s="296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95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294">
        <v>44244.0</v>
      </c>
      <c r="U135" s="471">
        <v>0.5680000000000001</v>
      </c>
      <c r="V135" s="298">
        <v>0.38</v>
      </c>
      <c r="W135" s="298">
        <v>0.052</v>
      </c>
      <c r="X135" s="298">
        <v>0.89</v>
      </c>
      <c r="Y135" s="371">
        <v>44979.0</v>
      </c>
      <c r="Z135" s="300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301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299"/>
      <c r="AC135" s="300"/>
      <c r="AD135" s="301"/>
      <c r="AE135" s="262">
        <f>IFERROR(__xludf.DUMMYFUNCTION("IFERROR(INDEX(IMPORTRANGE(""https://docs.google.com/spreadsheets/d/1fpsE_0655xguD48cGK6n1ZqSLnI-tw9aHzhbPM9kZ-k/edit#gid=0"", ""Monitoring Summary!B:B""),MATCH(D135,IMPORTRANGE(""https://docs.google.com/spreadsheets/d/1fpsE_0655xguD48cGK6n1ZqSLnI-tw9aHzhb"&amp;"PM9kZ-k/edit#gid=0"", ""Monitoring Summary!C:C""),0)),""Not Monitored"")"),45238.0)</f>
        <v>45238</v>
      </c>
      <c r="AF135" s="263">
        <f>IFERROR(__xludf.DUMMYFUNCTION("IFERROR(INDEX(IMPORTRANGE(""https://docs.google.com/spreadsheets/d/1fpsE_0655xguD48cGK6n1ZqSLnI-tw9aHzhbPM9kZ-k/edit#gid=0"", ""Monitoring Summary!E:E""),MATCH(D135,IMPORTRANGE(""https://docs.google.com/spreadsheets/d/1fpsE_0655xguD48cGK6n1ZqSLnI-tw9aHzhb"&amp;"PM9kZ-k/edit#gid=0"", ""Monitoring Summary!C:C""),0)),""Not Monitored"")"),0.0)</f>
        <v>0</v>
      </c>
      <c r="AG135" s="264">
        <f t="shared" si="1"/>
        <v>0</v>
      </c>
      <c r="AH135" s="265" t="s">
        <v>562</v>
      </c>
    </row>
    <row r="136" ht="15.75" customHeight="1">
      <c r="A136" s="531">
        <v>2020.0</v>
      </c>
      <c r="B136" s="532">
        <v>43895.0</v>
      </c>
      <c r="C136" s="531" t="s">
        <v>428</v>
      </c>
      <c r="D136" s="533" t="s">
        <v>563</v>
      </c>
      <c r="E136" s="533" t="s">
        <v>170</v>
      </c>
      <c r="F136" s="531" t="s">
        <v>161</v>
      </c>
      <c r="G136" s="531" t="s">
        <v>65</v>
      </c>
      <c r="H136" s="531">
        <v>500.0</v>
      </c>
      <c r="I136" s="534" t="s">
        <v>388</v>
      </c>
      <c r="J136" s="535">
        <v>24.53077</v>
      </c>
      <c r="K136" s="535">
        <v>-81.48659</v>
      </c>
      <c r="L136" s="536"/>
      <c r="M136" s="294">
        <v>43928.0</v>
      </c>
      <c r="N136" s="295">
        <v>0.984</v>
      </c>
      <c r="O136" s="296">
        <v>0.002</v>
      </c>
      <c r="P136" s="296">
        <v>0.014</v>
      </c>
      <c r="Q136" s="296">
        <v>1.0</v>
      </c>
      <c r="R136" s="296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95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294">
        <v>44244.0</v>
      </c>
      <c r="U136" s="471">
        <v>0.84</v>
      </c>
      <c r="V136" s="298">
        <v>0.064</v>
      </c>
      <c r="W136" s="298">
        <v>0.096</v>
      </c>
      <c r="X136" s="298">
        <v>0.96</v>
      </c>
      <c r="Y136" s="371">
        <v>44995.0</v>
      </c>
      <c r="Z136" s="300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301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299"/>
      <c r="AC136" s="300"/>
      <c r="AD136" s="301"/>
      <c r="AE136" s="262">
        <f>IFERROR(__xludf.DUMMYFUNCTION("IFERROR(INDEX(IMPORTRANGE(""https://docs.google.com/spreadsheets/d/1fpsE_0655xguD48cGK6n1ZqSLnI-tw9aHzhbPM9kZ-k/edit#gid=0"", ""Monitoring Summary!B:B""),MATCH(D136,IMPORTRANGE(""https://docs.google.com/spreadsheets/d/1fpsE_0655xguD48cGK6n1ZqSLnI-tw9aHzhb"&amp;"PM9kZ-k/edit#gid=0"", ""Monitoring Summary!C:C""),0)),""Not Monitored"")"),45258.0)</f>
        <v>45258</v>
      </c>
      <c r="AF136" s="263">
        <f>IFERROR(__xludf.DUMMYFUNCTION("IFERROR(INDEX(IMPORTRANGE(""https://docs.google.com/spreadsheets/d/1fpsE_0655xguD48cGK6n1ZqSLnI-tw9aHzhbPM9kZ-k/edit#gid=0"", ""Monitoring Summary!E:E""),MATCH(D136,IMPORTRANGE(""https://docs.google.com/spreadsheets/d/1fpsE_0655xguD48cGK6n1ZqSLnI-tw9aHzhb"&amp;"PM9kZ-k/edit#gid=0"", ""Monitoring Summary!C:C""),0)),""Not Monitored"")"),0.0)</f>
        <v>0</v>
      </c>
      <c r="AG136" s="264">
        <f t="shared" si="1"/>
        <v>0</v>
      </c>
      <c r="AH136" s="265" t="s">
        <v>564</v>
      </c>
    </row>
    <row r="137" ht="15.75" customHeight="1">
      <c r="A137" s="537">
        <v>2020.0</v>
      </c>
      <c r="B137" s="538">
        <v>43903.0</v>
      </c>
      <c r="C137" s="537" t="s">
        <v>502</v>
      </c>
      <c r="D137" s="539" t="s">
        <v>565</v>
      </c>
      <c r="E137" s="539" t="s">
        <v>170</v>
      </c>
      <c r="F137" s="537" t="s">
        <v>161</v>
      </c>
      <c r="G137" s="537" t="s">
        <v>65</v>
      </c>
      <c r="H137" s="537">
        <v>500.0</v>
      </c>
      <c r="I137" s="540" t="s">
        <v>500</v>
      </c>
      <c r="J137" s="541">
        <v>24.55234</v>
      </c>
      <c r="K137" s="541">
        <v>-81.38205</v>
      </c>
      <c r="L137" s="542"/>
      <c r="M137" s="271">
        <v>43928.0</v>
      </c>
      <c r="N137" s="255">
        <v>0.988</v>
      </c>
      <c r="O137" s="256">
        <v>0.01</v>
      </c>
      <c r="P137" s="256">
        <v>0.002</v>
      </c>
      <c r="Q137" s="256">
        <v>1.0</v>
      </c>
      <c r="R137" s="256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55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271">
        <v>44246.0</v>
      </c>
      <c r="U137" s="469">
        <v>0.768</v>
      </c>
      <c r="V137" s="258">
        <v>0.122</v>
      </c>
      <c r="W137" s="258">
        <v>0.11</v>
      </c>
      <c r="X137" s="258">
        <v>0.97</v>
      </c>
      <c r="Y137" s="360">
        <v>44995.0</v>
      </c>
      <c r="Z137" s="260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261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259"/>
      <c r="AC137" s="260"/>
      <c r="AD137" s="261"/>
      <c r="AE137" s="305" t="str">
        <f>IFERROR(__xludf.DUMMYFUNCTION("IFERROR(INDEX(IMPORTRANGE(""https://docs.google.com/spreadsheets/d/1fpsE_0655xguD48cGK6n1ZqSLnI-tw9aHzhbPM9kZ-k/edit#gid=0"", ""Monitoring Summary!B:B""),MATCH(D137,IMPORTRANGE(""https://docs.google.com/spreadsheets/d/1fpsE_0655xguD48cGK6n1ZqSLnI-tw9aHzhb"&amp;"PM9kZ-k/edit#gid=0"", ""Monitoring Summary!C:C""),0)),""Not Monitored"")"),"Not Monitored")</f>
        <v>Not Monitored</v>
      </c>
      <c r="AF137" s="343" t="str">
        <f>IFERROR(__xludf.DUMMYFUNCTION("IFERROR(INDEX(IMPORTRANGE(""https://docs.google.com/spreadsheets/d/1fpsE_0655xguD48cGK6n1ZqSLnI-tw9aHzhbPM9kZ-k/edit#gid=0"", ""Monitoring Summary!E:E""),MATCH(D137,IMPORTRANGE(""https://docs.google.com/spreadsheets/d/1fpsE_0655xguD48cGK6n1ZqSLnI-tw9aHzhb"&amp;"PM9kZ-k/edit#gid=0"", ""Monitoring Summary!C:C""),0)),""Not Monitored"")"),"Not Monitored")</f>
        <v>Not Monitored</v>
      </c>
      <c r="AG137" s="382" t="str">
        <f t="shared" si="1"/>
        <v>Not Monitored</v>
      </c>
      <c r="AH137" s="265" t="s">
        <v>566</v>
      </c>
    </row>
    <row r="138" ht="15.75" customHeight="1">
      <c r="A138" s="524">
        <v>2020.0</v>
      </c>
      <c r="B138" s="543">
        <v>43906.0</v>
      </c>
      <c r="C138" s="524" t="s">
        <v>172</v>
      </c>
      <c r="D138" s="526" t="s">
        <v>567</v>
      </c>
      <c r="E138" s="526" t="s">
        <v>170</v>
      </c>
      <c r="F138" s="524" t="s">
        <v>161</v>
      </c>
      <c r="G138" s="524" t="s">
        <v>51</v>
      </c>
      <c r="H138" s="524">
        <v>500.0</v>
      </c>
      <c r="I138" s="527" t="s">
        <v>568</v>
      </c>
      <c r="J138" s="528">
        <v>24.55282</v>
      </c>
      <c r="K138" s="528">
        <v>-81.38042</v>
      </c>
      <c r="L138" s="530"/>
      <c r="M138" s="294">
        <v>43928.0</v>
      </c>
      <c r="N138" s="295">
        <v>1.0</v>
      </c>
      <c r="O138" s="296">
        <v>0.0</v>
      </c>
      <c r="P138" s="296">
        <v>0.0</v>
      </c>
      <c r="Q138" s="296">
        <v>1.0</v>
      </c>
      <c r="R138" s="296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95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294">
        <v>44246.0</v>
      </c>
      <c r="U138" s="471">
        <v>0.45599999999999996</v>
      </c>
      <c r="V138" s="298">
        <v>0.45</v>
      </c>
      <c r="W138" s="298">
        <v>0.094</v>
      </c>
      <c r="X138" s="298">
        <v>0.69</v>
      </c>
      <c r="Y138" s="371">
        <v>44995.0</v>
      </c>
      <c r="Z138" s="300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301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299"/>
      <c r="AC138" s="300"/>
      <c r="AD138" s="301"/>
      <c r="AE138" s="262">
        <f>IFERROR(__xludf.DUMMYFUNCTION("IFERROR(INDEX(IMPORTRANGE(""https://docs.google.com/spreadsheets/d/1fpsE_0655xguD48cGK6n1ZqSLnI-tw9aHzhbPM9kZ-k/edit#gid=0"", ""Monitoring Summary!B:B""),MATCH(D138,IMPORTRANGE(""https://docs.google.com/spreadsheets/d/1fpsE_0655xguD48cGK6n1ZqSLnI-tw9aHzhb"&amp;"PM9kZ-k/edit#gid=0"", ""Monitoring Summary!C:C""),0)),""Not Monitored"")"),45239.0)</f>
        <v>45239</v>
      </c>
      <c r="AF138" s="263">
        <f>IFERROR(__xludf.DUMMYFUNCTION("IFERROR(INDEX(IMPORTRANGE(""https://docs.google.com/spreadsheets/d/1fpsE_0655xguD48cGK6n1ZqSLnI-tw9aHzhbPM9kZ-k/edit#gid=0"", ""Monitoring Summary!E:E""),MATCH(D138,IMPORTRANGE(""https://docs.google.com/spreadsheets/d/1fpsE_0655xguD48cGK6n1ZqSLnI-tw9aHzhb"&amp;"PM9kZ-k/edit#gid=0"", ""Monitoring Summary!C:C""),0)),""Not Monitored"")"),0.0)</f>
        <v>0</v>
      </c>
      <c r="AG138" s="264">
        <f t="shared" si="1"/>
        <v>0</v>
      </c>
      <c r="AH138" s="265" t="s">
        <v>569</v>
      </c>
    </row>
    <row r="139" ht="15.75" customHeight="1">
      <c r="A139" s="460">
        <v>2020.0</v>
      </c>
      <c r="B139" s="472">
        <v>43955.0</v>
      </c>
      <c r="C139" s="460" t="s">
        <v>520</v>
      </c>
      <c r="D139" s="473" t="s">
        <v>570</v>
      </c>
      <c r="E139" s="473" t="s">
        <v>170</v>
      </c>
      <c r="F139" s="460" t="s">
        <v>161</v>
      </c>
      <c r="G139" s="460" t="s">
        <v>47</v>
      </c>
      <c r="H139" s="460">
        <v>500.0</v>
      </c>
      <c r="I139" s="474" t="s">
        <v>290</v>
      </c>
      <c r="J139" s="475">
        <v>24.47722</v>
      </c>
      <c r="K139" s="475">
        <v>-81.73138</v>
      </c>
      <c r="L139" s="467"/>
      <c r="M139" s="294">
        <v>43991.0</v>
      </c>
      <c r="N139" s="295">
        <v>0.994</v>
      </c>
      <c r="O139" s="296">
        <v>0.002</v>
      </c>
      <c r="P139" s="296">
        <v>0.004</v>
      </c>
      <c r="Q139" s="296">
        <v>1.0</v>
      </c>
      <c r="R139" s="296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95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294">
        <v>44292.0</v>
      </c>
      <c r="U139" s="471">
        <v>0.836</v>
      </c>
      <c r="V139" s="298">
        <v>0.076</v>
      </c>
      <c r="W139" s="298">
        <v>0.088</v>
      </c>
      <c r="X139" s="298">
        <v>1.0</v>
      </c>
      <c r="Y139" s="371">
        <v>45042.0</v>
      </c>
      <c r="Z139" s="300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301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299"/>
      <c r="AC139" s="300"/>
      <c r="AD139" s="301"/>
      <c r="AE139" s="262">
        <f>IFERROR(__xludf.DUMMYFUNCTION("IFERROR(INDEX(IMPORTRANGE(""https://docs.google.com/spreadsheets/d/1fpsE_0655xguD48cGK6n1ZqSLnI-tw9aHzhbPM9kZ-k/edit#gid=0"", ""Monitoring Summary!B:B""),MATCH(D139,IMPORTRANGE(""https://docs.google.com/spreadsheets/d/1fpsE_0655xguD48cGK6n1ZqSLnI-tw9aHzhb"&amp;"PM9kZ-k/edit#gid=0"", ""Monitoring Summary!C:C""),0)),""Not Monitored"")"),45240.0)</f>
        <v>45240</v>
      </c>
      <c r="AF139" s="263">
        <f>IFERROR(__xludf.DUMMYFUNCTION("IFERROR(INDEX(IMPORTRANGE(""https://docs.google.com/spreadsheets/d/1fpsE_0655xguD48cGK6n1ZqSLnI-tw9aHzhbPM9kZ-k/edit#gid=0"", ""Monitoring Summary!E:E""),MATCH(D139,IMPORTRANGE(""https://docs.google.com/spreadsheets/d/1fpsE_0655xguD48cGK6n1ZqSLnI-tw9aHzhb"&amp;"PM9kZ-k/edit#gid=0"", ""Monitoring Summary!C:C""),0)),""Not Monitored"")"),0.0)</f>
        <v>0</v>
      </c>
      <c r="AG139" s="264">
        <f t="shared" si="1"/>
        <v>0</v>
      </c>
      <c r="AH139" s="265" t="s">
        <v>571</v>
      </c>
    </row>
    <row r="140" ht="15.75" customHeight="1">
      <c r="A140" s="531">
        <v>2020.0</v>
      </c>
      <c r="B140" s="532">
        <v>43956.0</v>
      </c>
      <c r="C140" s="531" t="s">
        <v>292</v>
      </c>
      <c r="D140" s="533" t="s">
        <v>572</v>
      </c>
      <c r="E140" s="533" t="s">
        <v>160</v>
      </c>
      <c r="F140" s="531" t="s">
        <v>161</v>
      </c>
      <c r="G140" s="531" t="s">
        <v>65</v>
      </c>
      <c r="H140" s="531">
        <v>500.0</v>
      </c>
      <c r="I140" s="534" t="s">
        <v>557</v>
      </c>
      <c r="J140" s="535">
        <v>24.45913</v>
      </c>
      <c r="K140" s="535">
        <v>-81.84583</v>
      </c>
      <c r="L140" s="536"/>
      <c r="M140" s="294">
        <v>43991.0</v>
      </c>
      <c r="N140" s="295">
        <v>0.998</v>
      </c>
      <c r="O140" s="296">
        <v>0.0</v>
      </c>
      <c r="P140" s="296">
        <v>0.002</v>
      </c>
      <c r="Q140" s="296">
        <v>1.0</v>
      </c>
      <c r="R140" s="296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95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294">
        <v>44292.0</v>
      </c>
      <c r="U140" s="471">
        <v>0.878</v>
      </c>
      <c r="V140" s="298">
        <v>0.076</v>
      </c>
      <c r="W140" s="298">
        <v>0.046</v>
      </c>
      <c r="X140" s="298">
        <v>1.0</v>
      </c>
      <c r="Y140" s="371">
        <v>45030.0</v>
      </c>
      <c r="Z140" s="300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301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71">
        <v>45293.0</v>
      </c>
      <c r="AC140" s="300"/>
      <c r="AD140" s="301"/>
      <c r="AE140" s="262">
        <f>IFERROR(__xludf.DUMMYFUNCTION("IFERROR(INDEX(IMPORTRANGE(""https://docs.google.com/spreadsheets/d/1fpsE_0655xguD48cGK6n1ZqSLnI-tw9aHzhbPM9kZ-k/edit#gid=0"", ""Monitoring Summary!B:B""),MATCH(D140,IMPORTRANGE(""https://docs.google.com/spreadsheets/d/1fpsE_0655xguD48cGK6n1ZqSLnI-tw9aHzhb"&amp;"PM9kZ-k/edit#gid=0"", ""Monitoring Summary!C:C""),0)),""Not Monitored"")"),45293.0)</f>
        <v>45293</v>
      </c>
      <c r="AF140" s="263">
        <f>IFERROR(__xludf.DUMMYFUNCTION("IFERROR(INDEX(IMPORTRANGE(""https://docs.google.com/spreadsheets/d/1fpsE_0655xguD48cGK6n1ZqSLnI-tw9aHzhbPM9kZ-k/edit#gid=0"", ""Monitoring Summary!E:E""),MATCH(D140,IMPORTRANGE(""https://docs.google.com/spreadsheets/d/1fpsE_0655xguD48cGK6n1ZqSLnI-tw9aHzhb"&amp;"PM9kZ-k/edit#gid=0"", ""Monitoring Summary!C:C""),0)),""Not Monitored"")"),0.0)</f>
        <v>0</v>
      </c>
      <c r="AG140" s="264">
        <f t="shared" si="1"/>
        <v>0</v>
      </c>
      <c r="AH140" s="265" t="s">
        <v>573</v>
      </c>
    </row>
    <row r="141" ht="15.75" customHeight="1">
      <c r="A141" s="460">
        <v>2020.0</v>
      </c>
      <c r="B141" s="472">
        <v>43957.0</v>
      </c>
      <c r="C141" s="460" t="s">
        <v>350</v>
      </c>
      <c r="D141" s="473" t="s">
        <v>574</v>
      </c>
      <c r="E141" s="473" t="s">
        <v>170</v>
      </c>
      <c r="F141" s="460" t="s">
        <v>161</v>
      </c>
      <c r="G141" s="460" t="s">
        <v>47</v>
      </c>
      <c r="H141" s="460">
        <v>400.0</v>
      </c>
      <c r="I141" s="474" t="s">
        <v>575</v>
      </c>
      <c r="J141" s="475">
        <v>24.47404</v>
      </c>
      <c r="K141" s="475">
        <v>-81.74234</v>
      </c>
      <c r="L141" s="467"/>
      <c r="M141" s="294">
        <v>43991.0</v>
      </c>
      <c r="N141" s="295">
        <v>0.995</v>
      </c>
      <c r="O141" s="296">
        <v>0.0</v>
      </c>
      <c r="P141" s="296">
        <v>0.005</v>
      </c>
      <c r="Q141" s="296">
        <v>1.0</v>
      </c>
      <c r="R141" s="296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95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294">
        <v>44292.0</v>
      </c>
      <c r="U141" s="471">
        <v>0.85</v>
      </c>
      <c r="V141" s="298">
        <v>0.025</v>
      </c>
      <c r="W141" s="298">
        <v>0.125</v>
      </c>
      <c r="X141" s="298">
        <v>0.9875</v>
      </c>
      <c r="Y141" s="371">
        <v>45030.0</v>
      </c>
      <c r="Z141" s="300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301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299"/>
      <c r="AC141" s="300"/>
      <c r="AD141" s="301"/>
      <c r="AE141" s="262">
        <f>IFERROR(__xludf.DUMMYFUNCTION("IFERROR(INDEX(IMPORTRANGE(""https://docs.google.com/spreadsheets/d/1fpsE_0655xguD48cGK6n1ZqSLnI-tw9aHzhbPM9kZ-k/edit#gid=0"", ""Monitoring Summary!B:B""),MATCH(D141,IMPORTRANGE(""https://docs.google.com/spreadsheets/d/1fpsE_0655xguD48cGK6n1ZqSLnI-tw9aHzhb"&amp;"PM9kZ-k/edit#gid=0"", ""Monitoring Summary!C:C""),0)),""Not Monitored"")"),45240.0)</f>
        <v>45240</v>
      </c>
      <c r="AF141" s="263">
        <f>IFERROR(__xludf.DUMMYFUNCTION("IFERROR(INDEX(IMPORTRANGE(""https://docs.google.com/spreadsheets/d/1fpsE_0655xguD48cGK6n1ZqSLnI-tw9aHzhbPM9kZ-k/edit#gid=0"", ""Monitoring Summary!E:E""),MATCH(D141,IMPORTRANGE(""https://docs.google.com/spreadsheets/d/1fpsE_0655xguD48cGK6n1ZqSLnI-tw9aHzhb"&amp;"PM9kZ-k/edit#gid=0"", ""Monitoring Summary!C:C""),0)),""Not Monitored"")"),0.0)</f>
        <v>0</v>
      </c>
      <c r="AG141" s="264">
        <f t="shared" si="1"/>
        <v>0</v>
      </c>
      <c r="AH141" s="265" t="s">
        <v>576</v>
      </c>
    </row>
    <row r="142" ht="15.75" customHeight="1">
      <c r="A142" s="524">
        <v>2020.0</v>
      </c>
      <c r="B142" s="525">
        <v>43962.0</v>
      </c>
      <c r="C142" s="524" t="s">
        <v>577</v>
      </c>
      <c r="D142" s="526" t="s">
        <v>578</v>
      </c>
      <c r="E142" s="526" t="s">
        <v>170</v>
      </c>
      <c r="F142" s="524" t="s">
        <v>161</v>
      </c>
      <c r="G142" s="524" t="s">
        <v>51</v>
      </c>
      <c r="H142" s="524">
        <v>500.0</v>
      </c>
      <c r="I142" s="527" t="s">
        <v>517</v>
      </c>
      <c r="J142" s="528">
        <v>24.52649</v>
      </c>
      <c r="K142" s="528">
        <v>-81.50127</v>
      </c>
      <c r="L142" s="530"/>
      <c r="M142" s="294">
        <v>43990.0</v>
      </c>
      <c r="N142" s="295">
        <v>1.0</v>
      </c>
      <c r="O142" s="296">
        <v>0.0</v>
      </c>
      <c r="P142" s="296">
        <v>0.0</v>
      </c>
      <c r="Q142" s="296">
        <v>1.0</v>
      </c>
      <c r="R142" s="296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95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294">
        <v>44293.0</v>
      </c>
      <c r="U142" s="471">
        <v>0.896</v>
      </c>
      <c r="V142" s="298">
        <v>0.014</v>
      </c>
      <c r="W142" s="298">
        <v>0.09</v>
      </c>
      <c r="X142" s="298">
        <v>1.0</v>
      </c>
      <c r="Y142" s="371">
        <v>45037.0</v>
      </c>
      <c r="Z142" s="300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301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299"/>
      <c r="AC142" s="300"/>
      <c r="AD142" s="301"/>
      <c r="AE142" s="262">
        <f>IFERROR(__xludf.DUMMYFUNCTION("IFERROR(INDEX(IMPORTRANGE(""https://docs.google.com/spreadsheets/d/1fpsE_0655xguD48cGK6n1ZqSLnI-tw9aHzhbPM9kZ-k/edit#gid=0"", ""Monitoring Summary!B:B""),MATCH(D142,IMPORTRANGE(""https://docs.google.com/spreadsheets/d/1fpsE_0655xguD48cGK6n1ZqSLnI-tw9aHzhb"&amp;"PM9kZ-k/edit#gid=0"", ""Monitoring Summary!C:C""),0)),""Not Monitored"")"),45264.0)</f>
        <v>45264</v>
      </c>
      <c r="AF142" s="263">
        <f>IFERROR(__xludf.DUMMYFUNCTION("IFERROR(INDEX(IMPORTRANGE(""https://docs.google.com/spreadsheets/d/1fpsE_0655xguD48cGK6n1ZqSLnI-tw9aHzhbPM9kZ-k/edit#gid=0"", ""Monitoring Summary!E:E""),MATCH(D142,IMPORTRANGE(""https://docs.google.com/spreadsheets/d/1fpsE_0655xguD48cGK6n1ZqSLnI-tw9aHzhb"&amp;"PM9kZ-k/edit#gid=0"", ""Monitoring Summary!C:C""),0)),""Not Monitored"")"),0.0)</f>
        <v>0</v>
      </c>
      <c r="AG142" s="264">
        <f t="shared" si="1"/>
        <v>0</v>
      </c>
      <c r="AH142" s="265" t="s">
        <v>579</v>
      </c>
    </row>
    <row r="143" ht="15.75" customHeight="1">
      <c r="A143" s="460">
        <v>2020.0</v>
      </c>
      <c r="B143" s="472">
        <v>43970.0</v>
      </c>
      <c r="C143" s="460" t="s">
        <v>268</v>
      </c>
      <c r="D143" s="473" t="s">
        <v>580</v>
      </c>
      <c r="E143" s="473" t="s">
        <v>170</v>
      </c>
      <c r="F143" s="460" t="s">
        <v>161</v>
      </c>
      <c r="G143" s="460" t="s">
        <v>47</v>
      </c>
      <c r="H143" s="460">
        <v>500.0</v>
      </c>
      <c r="I143" s="474" t="s">
        <v>581</v>
      </c>
      <c r="J143" s="475">
        <v>24.45257</v>
      </c>
      <c r="K143" s="475">
        <v>-81.87534</v>
      </c>
      <c r="L143" s="462" t="s">
        <v>582</v>
      </c>
      <c r="M143" s="294">
        <v>44011.0</v>
      </c>
      <c r="N143" s="295">
        <v>1.0</v>
      </c>
      <c r="O143" s="296">
        <v>0.0</v>
      </c>
      <c r="P143" s="296">
        <v>0.0</v>
      </c>
      <c r="Q143" s="296">
        <v>1.0</v>
      </c>
      <c r="R143" s="296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95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294">
        <v>44306.0</v>
      </c>
      <c r="U143" s="471">
        <v>0.846</v>
      </c>
      <c r="V143" s="298">
        <v>0.026</v>
      </c>
      <c r="W143" s="298">
        <v>0.128</v>
      </c>
      <c r="X143" s="298">
        <v>0.99</v>
      </c>
      <c r="Y143" s="371">
        <v>45042.0</v>
      </c>
      <c r="Z143" s="300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301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299"/>
      <c r="AC143" s="300"/>
      <c r="AD143" s="301"/>
      <c r="AE143" s="328">
        <f>IFERROR(__xludf.DUMMYFUNCTION("IFERROR(INDEX(IMPORTRANGE(""https://docs.google.com/spreadsheets/d/1fpsE_0655xguD48cGK6n1ZqSLnI-tw9aHzhbPM9kZ-k/edit#gid=0"", ""Monitoring Summary!B:B""),MATCH(D143,IMPORTRANGE(""https://docs.google.com/spreadsheets/d/1fpsE_0655xguD48cGK6n1ZqSLnI-tw9aHzhb"&amp;"PM9kZ-k/edit#gid=0"", ""Monitoring Summary!C:C""),0)),""Not Monitored"")"),45294.0)</f>
        <v>45294</v>
      </c>
      <c r="AF143" s="329">
        <f>IFERROR(__xludf.DUMMYFUNCTION("IFERROR(INDEX(IMPORTRANGE(""https://docs.google.com/spreadsheets/d/1fpsE_0655xguD48cGK6n1ZqSLnI-tw9aHzhbPM9kZ-k/edit#gid=0"", ""Monitoring Summary!E:E""),MATCH(D143,IMPORTRANGE(""https://docs.google.com/spreadsheets/d/1fpsE_0655xguD48cGK6n1ZqSLnI-tw9aHzhb"&amp;"PM9kZ-k/edit#gid=0"", ""Monitoring Summary!C:C""),0)),""Not Monitored"")"),0.0)</f>
        <v>0</v>
      </c>
      <c r="AG143" s="330">
        <f t="shared" si="1"/>
        <v>0</v>
      </c>
      <c r="AH143" s="331" t="s">
        <v>583</v>
      </c>
    </row>
    <row r="144" ht="15.75" customHeight="1">
      <c r="A144" s="524">
        <v>2020.0</v>
      </c>
      <c r="B144" s="525">
        <v>43973.0</v>
      </c>
      <c r="C144" s="524" t="s">
        <v>275</v>
      </c>
      <c r="D144" s="526" t="s">
        <v>584</v>
      </c>
      <c r="E144" s="526" t="s">
        <v>170</v>
      </c>
      <c r="F144" s="524" t="s">
        <v>161</v>
      </c>
      <c r="G144" s="524" t="s">
        <v>51</v>
      </c>
      <c r="H144" s="524">
        <v>500.0</v>
      </c>
      <c r="I144" s="527" t="s">
        <v>557</v>
      </c>
      <c r="J144" s="528">
        <v>24.53979</v>
      </c>
      <c r="K144" s="528">
        <v>-81.4493</v>
      </c>
      <c r="L144" s="530"/>
      <c r="M144" s="294">
        <v>44007.0</v>
      </c>
      <c r="N144" s="295">
        <v>0.996</v>
      </c>
      <c r="O144" s="296">
        <v>0.0</v>
      </c>
      <c r="P144" s="296">
        <v>0.004</v>
      </c>
      <c r="Q144" s="296">
        <v>1.0</v>
      </c>
      <c r="R144" s="296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95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294">
        <v>44323.0</v>
      </c>
      <c r="U144" s="471">
        <v>0.85</v>
      </c>
      <c r="V144" s="298">
        <v>0.022</v>
      </c>
      <c r="W144" s="298">
        <v>0.128</v>
      </c>
      <c r="X144" s="298">
        <v>1.0</v>
      </c>
      <c r="Y144" s="371">
        <v>45079.0</v>
      </c>
      <c r="Z144" s="300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301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299"/>
      <c r="AC144" s="300"/>
      <c r="AD144" s="301"/>
      <c r="AE144" s="262">
        <f>IFERROR(__xludf.DUMMYFUNCTION("IFERROR(INDEX(IMPORTRANGE(""https://docs.google.com/spreadsheets/d/1fpsE_0655xguD48cGK6n1ZqSLnI-tw9aHzhbPM9kZ-k/edit#gid=0"", ""Monitoring Summary!B:B""),MATCH(D144,IMPORTRANGE(""https://docs.google.com/spreadsheets/d/1fpsE_0655xguD48cGK6n1ZqSLnI-tw9aHzhb"&amp;"PM9kZ-k/edit#gid=0"", ""Monitoring Summary!C:C""),0)),""Not Monitored"")"),45247.0)</f>
        <v>45247</v>
      </c>
      <c r="AF144" s="263">
        <f>IFERROR(__xludf.DUMMYFUNCTION("IFERROR(INDEX(IMPORTRANGE(""https://docs.google.com/spreadsheets/d/1fpsE_0655xguD48cGK6n1ZqSLnI-tw9aHzhbPM9kZ-k/edit#gid=0"", ""Monitoring Summary!E:E""),MATCH(D144,IMPORTRANGE(""https://docs.google.com/spreadsheets/d/1fpsE_0655xguD48cGK6n1ZqSLnI-tw9aHzhb"&amp;"PM9kZ-k/edit#gid=0"", ""Monitoring Summary!C:C""),0)),""Not Monitored"")"),0.0)</f>
        <v>0</v>
      </c>
      <c r="AG144" s="264">
        <f t="shared" si="1"/>
        <v>0</v>
      </c>
      <c r="AH144" s="265" t="s">
        <v>585</v>
      </c>
    </row>
    <row r="145" ht="15.75" customHeight="1">
      <c r="A145" s="460">
        <v>2020.0</v>
      </c>
      <c r="B145" s="472">
        <v>43983.0</v>
      </c>
      <c r="C145" s="460" t="s">
        <v>586</v>
      </c>
      <c r="D145" s="473" t="s">
        <v>587</v>
      </c>
      <c r="E145" s="473" t="s">
        <v>170</v>
      </c>
      <c r="F145" s="460" t="s">
        <v>161</v>
      </c>
      <c r="G145" s="460" t="s">
        <v>47</v>
      </c>
      <c r="H145" s="460">
        <v>500.0</v>
      </c>
      <c r="I145" s="474" t="s">
        <v>517</v>
      </c>
      <c r="J145" s="475">
        <v>24.5333</v>
      </c>
      <c r="K145" s="475">
        <v>-81.47009</v>
      </c>
      <c r="L145" s="467"/>
      <c r="M145" s="294">
        <v>44014.0</v>
      </c>
      <c r="N145" s="295">
        <v>0.998</v>
      </c>
      <c r="O145" s="296">
        <v>0.002</v>
      </c>
      <c r="P145" s="296">
        <v>0.0</v>
      </c>
      <c r="Q145" s="296">
        <v>1.0</v>
      </c>
      <c r="R145" s="296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95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294">
        <v>44322.0</v>
      </c>
      <c r="U145" s="471">
        <v>0.746</v>
      </c>
      <c r="V145" s="298">
        <v>0.074</v>
      </c>
      <c r="W145" s="298">
        <v>0.18</v>
      </c>
      <c r="X145" s="298">
        <v>0.95</v>
      </c>
      <c r="Y145" s="371">
        <v>45069.0</v>
      </c>
      <c r="Z145" s="300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301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299"/>
      <c r="AC145" s="300"/>
      <c r="AD145" s="301"/>
      <c r="AE145" s="262">
        <f>IFERROR(__xludf.DUMMYFUNCTION("IFERROR(INDEX(IMPORTRANGE(""https://docs.google.com/spreadsheets/d/1fpsE_0655xguD48cGK6n1ZqSLnI-tw9aHzhbPM9kZ-k/edit#gid=0"", ""Monitoring Summary!B:B""),MATCH(D145,IMPORTRANGE(""https://docs.google.com/spreadsheets/d/1fpsE_0655xguD48cGK6n1ZqSLnI-tw9aHzhb"&amp;"PM9kZ-k/edit#gid=0"", ""Monitoring Summary!C:C""),0)),""Not Monitored"")"),45247.0)</f>
        <v>45247</v>
      </c>
      <c r="AF145" s="263">
        <f>IFERROR(__xludf.DUMMYFUNCTION("IFERROR(INDEX(IMPORTRANGE(""https://docs.google.com/spreadsheets/d/1fpsE_0655xguD48cGK6n1ZqSLnI-tw9aHzhbPM9kZ-k/edit#gid=0"", ""Monitoring Summary!E:E""),MATCH(D145,IMPORTRANGE(""https://docs.google.com/spreadsheets/d/1fpsE_0655xguD48cGK6n1ZqSLnI-tw9aHzhb"&amp;"PM9kZ-k/edit#gid=0"", ""Monitoring Summary!C:C""),0)),""Not Monitored"")"),0.0)</f>
        <v>0</v>
      </c>
      <c r="AG145" s="264">
        <f t="shared" si="1"/>
        <v>0</v>
      </c>
      <c r="AH145" s="265" t="s">
        <v>588</v>
      </c>
    </row>
    <row r="146" ht="15.75" customHeight="1">
      <c r="A146" s="531">
        <v>2020.0</v>
      </c>
      <c r="B146" s="532">
        <v>43992.0</v>
      </c>
      <c r="C146" s="531" t="s">
        <v>286</v>
      </c>
      <c r="D146" s="533" t="s">
        <v>589</v>
      </c>
      <c r="E146" s="533" t="s">
        <v>170</v>
      </c>
      <c r="F146" s="531" t="s">
        <v>161</v>
      </c>
      <c r="G146" s="531" t="s">
        <v>65</v>
      </c>
      <c r="H146" s="531">
        <v>500.0</v>
      </c>
      <c r="I146" s="534" t="s">
        <v>581</v>
      </c>
      <c r="J146" s="535">
        <v>24.45494</v>
      </c>
      <c r="K146" s="535">
        <v>-81.85585</v>
      </c>
      <c r="L146" s="536"/>
      <c r="M146" s="294">
        <v>44022.0</v>
      </c>
      <c r="N146" s="295">
        <v>1.0</v>
      </c>
      <c r="O146" s="296">
        <v>0.0</v>
      </c>
      <c r="P146" s="296">
        <v>0.0</v>
      </c>
      <c r="Q146" s="296">
        <v>1.0</v>
      </c>
      <c r="R146" s="296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95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294">
        <v>44343.0</v>
      </c>
      <c r="U146" s="471">
        <v>0.892</v>
      </c>
      <c r="V146" s="298">
        <v>0.027999999999999997</v>
      </c>
      <c r="W146" s="298">
        <v>0.08</v>
      </c>
      <c r="X146" s="298">
        <v>1.0</v>
      </c>
      <c r="Y146" s="371">
        <v>45085.0</v>
      </c>
      <c r="Z146" s="300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301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299"/>
      <c r="AC146" s="300"/>
      <c r="AD146" s="301"/>
      <c r="AE146" s="328">
        <f>IFERROR(__xludf.DUMMYFUNCTION("IFERROR(INDEX(IMPORTRANGE(""https://docs.google.com/spreadsheets/d/1fpsE_0655xguD48cGK6n1ZqSLnI-tw9aHzhbPM9kZ-k/edit#gid=0"", ""Monitoring Summary!B:B""),MATCH(D146,IMPORTRANGE(""https://docs.google.com/spreadsheets/d/1fpsE_0655xguD48cGK6n1ZqSLnI-tw9aHzhb"&amp;"PM9kZ-k/edit#gid=0"", ""Monitoring Summary!C:C""),0)),""Not Monitored"")"),45294.0)</f>
        <v>45294</v>
      </c>
      <c r="AF146" s="329">
        <f>IFERROR(__xludf.DUMMYFUNCTION("IFERROR(INDEX(IMPORTRANGE(""https://docs.google.com/spreadsheets/d/1fpsE_0655xguD48cGK6n1ZqSLnI-tw9aHzhbPM9kZ-k/edit#gid=0"", ""Monitoring Summary!E:E""),MATCH(D146,IMPORTRANGE(""https://docs.google.com/spreadsheets/d/1fpsE_0655xguD48cGK6n1ZqSLnI-tw9aHzhb"&amp;"PM9kZ-k/edit#gid=0"", ""Monitoring Summary!C:C""),0)),""Not Monitored"")"),0.0)</f>
        <v>0</v>
      </c>
      <c r="AG146" s="330">
        <f t="shared" si="1"/>
        <v>0</v>
      </c>
      <c r="AH146" s="331" t="s">
        <v>590</v>
      </c>
    </row>
    <row r="147" ht="15.75" customHeight="1">
      <c r="A147" s="460">
        <v>2020.0</v>
      </c>
      <c r="B147" s="472">
        <v>43997.0</v>
      </c>
      <c r="C147" s="460" t="s">
        <v>591</v>
      </c>
      <c r="D147" s="473" t="s">
        <v>592</v>
      </c>
      <c r="E147" s="473" t="s">
        <v>170</v>
      </c>
      <c r="F147" s="460" t="s">
        <v>161</v>
      </c>
      <c r="G147" s="460" t="s">
        <v>47</v>
      </c>
      <c r="H147" s="460">
        <v>500.0</v>
      </c>
      <c r="I147" s="474" t="s">
        <v>517</v>
      </c>
      <c r="J147" s="475">
        <v>24.47149</v>
      </c>
      <c r="K147" s="475">
        <v>-81.76455</v>
      </c>
      <c r="L147" s="467"/>
      <c r="M147" s="294">
        <v>44022.0</v>
      </c>
      <c r="N147" s="295">
        <v>0.996</v>
      </c>
      <c r="O147" s="296">
        <v>0.004</v>
      </c>
      <c r="P147" s="296">
        <v>0.0</v>
      </c>
      <c r="Q147" s="296">
        <v>1.0</v>
      </c>
      <c r="R147" s="296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95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294">
        <v>44348.0</v>
      </c>
      <c r="U147" s="471">
        <v>0.836</v>
      </c>
      <c r="V147" s="298">
        <v>0.018</v>
      </c>
      <c r="W147" s="298">
        <v>0.146</v>
      </c>
      <c r="X147" s="298">
        <v>0.99</v>
      </c>
      <c r="Y147" s="371">
        <v>45078.0</v>
      </c>
      <c r="Z147" s="300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301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299"/>
      <c r="AC147" s="300"/>
      <c r="AD147" s="301"/>
      <c r="AE147" s="262">
        <f>IFERROR(__xludf.DUMMYFUNCTION("IFERROR(INDEX(IMPORTRANGE(""https://docs.google.com/spreadsheets/d/1fpsE_0655xguD48cGK6n1ZqSLnI-tw9aHzhbPM9kZ-k/edit#gid=0"", ""Monitoring Summary!B:B""),MATCH(D147,IMPORTRANGE(""https://docs.google.com/spreadsheets/d/1fpsE_0655xguD48cGK6n1ZqSLnI-tw9aHzhb"&amp;"PM9kZ-k/edit#gid=0"", ""Monitoring Summary!C:C""),0)),""Not Monitored"")"),45240.0)</f>
        <v>45240</v>
      </c>
      <c r="AF147" s="263">
        <f>IFERROR(__xludf.DUMMYFUNCTION("IFERROR(INDEX(IMPORTRANGE(""https://docs.google.com/spreadsheets/d/1fpsE_0655xguD48cGK6n1ZqSLnI-tw9aHzhbPM9kZ-k/edit#gid=0"", ""Monitoring Summary!E:E""),MATCH(D147,IMPORTRANGE(""https://docs.google.com/spreadsheets/d/1fpsE_0655xguD48cGK6n1ZqSLnI-tw9aHzhb"&amp;"PM9kZ-k/edit#gid=0"", ""Monitoring Summary!C:C""),0)),""Not Monitored"")"),0.0)</f>
        <v>0</v>
      </c>
      <c r="AG147" s="264">
        <f t="shared" si="1"/>
        <v>0</v>
      </c>
      <c r="AH147" s="265" t="s">
        <v>593</v>
      </c>
    </row>
    <row r="148" ht="15.75" customHeight="1">
      <c r="A148" s="460">
        <v>2020.0</v>
      </c>
      <c r="B148" s="472">
        <v>44000.0</v>
      </c>
      <c r="C148" s="460" t="s">
        <v>577</v>
      </c>
      <c r="D148" s="473" t="s">
        <v>594</v>
      </c>
      <c r="E148" s="473" t="s">
        <v>170</v>
      </c>
      <c r="F148" s="460" t="s">
        <v>161</v>
      </c>
      <c r="G148" s="460" t="s">
        <v>47</v>
      </c>
      <c r="H148" s="460">
        <v>500.0</v>
      </c>
      <c r="I148" s="474" t="s">
        <v>290</v>
      </c>
      <c r="J148" s="475">
        <v>24.52659</v>
      </c>
      <c r="K148" s="475">
        <v>-81.50105</v>
      </c>
      <c r="L148" s="467"/>
      <c r="M148" s="294">
        <v>44028.0</v>
      </c>
      <c r="N148" s="295">
        <v>1.0</v>
      </c>
      <c r="O148" s="296">
        <v>0.0</v>
      </c>
      <c r="P148" s="296">
        <v>0.0</v>
      </c>
      <c r="Q148" s="296">
        <v>1.0</v>
      </c>
      <c r="R148" s="296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95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294">
        <v>44376.0</v>
      </c>
      <c r="U148" s="471">
        <v>0.848</v>
      </c>
      <c r="V148" s="298">
        <v>0.068</v>
      </c>
      <c r="W148" s="298">
        <v>0.084</v>
      </c>
      <c r="X148" s="298">
        <v>0.99</v>
      </c>
      <c r="Y148" s="371">
        <v>45072.0</v>
      </c>
      <c r="Z148" s="300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301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299"/>
      <c r="AC148" s="300"/>
      <c r="AD148" s="301"/>
      <c r="AE148" s="262">
        <f>IFERROR(__xludf.DUMMYFUNCTION("IFERROR(INDEX(IMPORTRANGE(""https://docs.google.com/spreadsheets/d/1fpsE_0655xguD48cGK6n1ZqSLnI-tw9aHzhbPM9kZ-k/edit#gid=0"", ""Monitoring Summary!B:B""),MATCH(D148,IMPORTRANGE(""https://docs.google.com/spreadsheets/d/1fpsE_0655xguD48cGK6n1ZqSLnI-tw9aHzhb"&amp;"PM9kZ-k/edit#gid=0"", ""Monitoring Summary!C:C""),0)),""Not Monitored"")"),45264.0)</f>
        <v>45264</v>
      </c>
      <c r="AF148" s="263">
        <f>IFERROR(__xludf.DUMMYFUNCTION("IFERROR(INDEX(IMPORTRANGE(""https://docs.google.com/spreadsheets/d/1fpsE_0655xguD48cGK6n1ZqSLnI-tw9aHzhbPM9kZ-k/edit#gid=0"", ""Monitoring Summary!E:E""),MATCH(D148,IMPORTRANGE(""https://docs.google.com/spreadsheets/d/1fpsE_0655xguD48cGK6n1ZqSLnI-tw9aHzhb"&amp;"PM9kZ-k/edit#gid=0"", ""Monitoring Summary!C:C""),0)),""Not Monitored"")"),0.0)</f>
        <v>0</v>
      </c>
      <c r="AG148" s="264">
        <f t="shared" si="1"/>
        <v>0</v>
      </c>
      <c r="AH148" s="265" t="s">
        <v>595</v>
      </c>
    </row>
    <row r="149" ht="15.75" customHeight="1">
      <c r="A149" s="460">
        <v>2020.0</v>
      </c>
      <c r="B149" s="472">
        <v>44006.0</v>
      </c>
      <c r="C149" s="460" t="s">
        <v>596</v>
      </c>
      <c r="D149" s="473" t="s">
        <v>597</v>
      </c>
      <c r="E149" s="473" t="s">
        <v>170</v>
      </c>
      <c r="F149" s="460" t="s">
        <v>186</v>
      </c>
      <c r="G149" s="460" t="s">
        <v>47</v>
      </c>
      <c r="H149" s="460">
        <v>720.0</v>
      </c>
      <c r="I149" s="474" t="s">
        <v>598</v>
      </c>
      <c r="J149" s="475">
        <v>24.55128</v>
      </c>
      <c r="K149" s="475">
        <v>-81.38992</v>
      </c>
      <c r="L149" s="467"/>
      <c r="M149" s="294">
        <v>44042.0</v>
      </c>
      <c r="N149" s="295">
        <v>0.9111111111111111</v>
      </c>
      <c r="O149" s="296">
        <v>0.08055555555555556</v>
      </c>
      <c r="P149" s="296">
        <v>0.008333333333333333</v>
      </c>
      <c r="Q149" s="296">
        <v>0.9722222222222222</v>
      </c>
      <c r="R149" s="296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95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294">
        <v>44378.0</v>
      </c>
      <c r="U149" s="471">
        <v>0.7069444444444444</v>
      </c>
      <c r="V149" s="298">
        <v>0.17777777777777778</v>
      </c>
      <c r="W149" s="298">
        <v>0.11527777777777778</v>
      </c>
      <c r="X149" s="298">
        <v>0.8819444444444444</v>
      </c>
      <c r="Y149" s="371">
        <v>45092.0</v>
      </c>
      <c r="Z149" s="300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301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299"/>
      <c r="AC149" s="300"/>
      <c r="AD149" s="301"/>
      <c r="AE149" s="305">
        <f>IFERROR(__xludf.DUMMYFUNCTION("IFERROR(INDEX(IMPORTRANGE(""https://docs.google.com/spreadsheets/d/1fpsE_0655xguD48cGK6n1ZqSLnI-tw9aHzhbPM9kZ-k/edit#gid=0"", ""Monitoring Summary!B:B""),MATCH(D149,IMPORTRANGE(""https://docs.google.com/spreadsheets/d/1fpsE_0655xguD48cGK6n1ZqSLnI-tw9aHzhb"&amp;"PM9kZ-k/edit#gid=0"", ""Monitoring Summary!C:C""),0)),""Not Monitored"")"),45309.0)</f>
        <v>45309</v>
      </c>
      <c r="AF149" s="343">
        <f>IFERROR(__xludf.DUMMYFUNCTION("IFERROR(INDEX(IMPORTRANGE(""https://docs.google.com/spreadsheets/d/1fpsE_0655xguD48cGK6n1ZqSLnI-tw9aHzhbPM9kZ-k/edit#gid=0"", ""Monitoring Summary!E:E""),MATCH(D149,IMPORTRANGE(""https://docs.google.com/spreadsheets/d/1fpsE_0655xguD48cGK6n1ZqSLnI-tw9aHzhb"&amp;"PM9kZ-k/edit#gid=0"", ""Monitoring Summary!C:C""),0)),""Not Monitored"")"),0.0)</f>
        <v>0</v>
      </c>
      <c r="AG149" s="382">
        <f t="shared" si="1"/>
        <v>0</v>
      </c>
      <c r="AH149" s="265" t="s">
        <v>599</v>
      </c>
    </row>
    <row r="150" ht="15.75" customHeight="1">
      <c r="A150" s="531">
        <v>2020.0</v>
      </c>
      <c r="B150" s="532">
        <v>44011.0</v>
      </c>
      <c r="C150" s="531" t="s">
        <v>520</v>
      </c>
      <c r="D150" s="533" t="s">
        <v>600</v>
      </c>
      <c r="E150" s="533" t="s">
        <v>170</v>
      </c>
      <c r="F150" s="531" t="s">
        <v>161</v>
      </c>
      <c r="G150" s="531" t="s">
        <v>65</v>
      </c>
      <c r="H150" s="531">
        <v>500.0</v>
      </c>
      <c r="I150" s="534" t="s">
        <v>299</v>
      </c>
      <c r="J150" s="535">
        <v>24.47759</v>
      </c>
      <c r="K150" s="535">
        <v>-81.73165</v>
      </c>
      <c r="L150" s="536"/>
      <c r="M150" s="294">
        <v>44047.0</v>
      </c>
      <c r="N150" s="295">
        <v>0.994</v>
      </c>
      <c r="O150" s="296">
        <v>0.004</v>
      </c>
      <c r="P150" s="296">
        <v>0.002</v>
      </c>
      <c r="Q150" s="296">
        <v>1.0</v>
      </c>
      <c r="R150" s="296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95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294">
        <v>44362.0</v>
      </c>
      <c r="U150" s="471">
        <v>0.83</v>
      </c>
      <c r="V150" s="298">
        <v>0.01</v>
      </c>
      <c r="W150" s="298">
        <v>0.16</v>
      </c>
      <c r="X150" s="298">
        <v>0.99</v>
      </c>
      <c r="Y150" s="371">
        <v>45085.0</v>
      </c>
      <c r="Z150" s="300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301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299"/>
      <c r="AC150" s="300"/>
      <c r="AD150" s="301"/>
      <c r="AE150" s="262">
        <f>IFERROR(__xludf.DUMMYFUNCTION("IFERROR(INDEX(IMPORTRANGE(""https://docs.google.com/spreadsheets/d/1fpsE_0655xguD48cGK6n1ZqSLnI-tw9aHzhbPM9kZ-k/edit#gid=0"", ""Monitoring Summary!B:B""),MATCH(D150,IMPORTRANGE(""https://docs.google.com/spreadsheets/d/1fpsE_0655xguD48cGK6n1ZqSLnI-tw9aHzhb"&amp;"PM9kZ-k/edit#gid=0"", ""Monitoring Summary!C:C""),0)),""Not Monitored"")"),45240.0)</f>
        <v>45240</v>
      </c>
      <c r="AF150" s="263">
        <f>IFERROR(__xludf.DUMMYFUNCTION("IFERROR(INDEX(IMPORTRANGE(""https://docs.google.com/spreadsheets/d/1fpsE_0655xguD48cGK6n1ZqSLnI-tw9aHzhbPM9kZ-k/edit#gid=0"", ""Monitoring Summary!E:E""),MATCH(D150,IMPORTRANGE(""https://docs.google.com/spreadsheets/d/1fpsE_0655xguD48cGK6n1ZqSLnI-tw9aHzhb"&amp;"PM9kZ-k/edit#gid=0"", ""Monitoring Summary!C:C""),0)),""Not Monitored"")"),0.0)</f>
        <v>0</v>
      </c>
      <c r="AG150" s="264">
        <f t="shared" si="1"/>
        <v>0</v>
      </c>
      <c r="AH150" s="265" t="s">
        <v>601</v>
      </c>
    </row>
    <row r="151" ht="15.75" customHeight="1">
      <c r="A151" s="544">
        <v>2020.0</v>
      </c>
      <c r="B151" s="545">
        <v>44018.0</v>
      </c>
      <c r="C151" s="544" t="s">
        <v>586</v>
      </c>
      <c r="D151" s="546" t="s">
        <v>602</v>
      </c>
      <c r="E151" s="544" t="s">
        <v>170</v>
      </c>
      <c r="F151" s="544" t="s">
        <v>161</v>
      </c>
      <c r="G151" s="544" t="s">
        <v>47</v>
      </c>
      <c r="H151" s="544">
        <v>500.0</v>
      </c>
      <c r="I151" s="547" t="s">
        <v>290</v>
      </c>
      <c r="J151" s="548">
        <v>24.53327</v>
      </c>
      <c r="K151" s="548">
        <v>-81.46967</v>
      </c>
      <c r="L151" s="549"/>
      <c r="M151" s="294">
        <v>44050.0</v>
      </c>
      <c r="N151" s="295">
        <v>0.988</v>
      </c>
      <c r="O151" s="296">
        <v>0.008</v>
      </c>
      <c r="P151" s="296">
        <v>0.004</v>
      </c>
      <c r="Q151" s="296">
        <v>1.0</v>
      </c>
      <c r="R151" s="296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95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50">
        <v>44357.0</v>
      </c>
      <c r="U151" s="471">
        <v>0.79</v>
      </c>
      <c r="V151" s="298">
        <v>0.03</v>
      </c>
      <c r="W151" s="298">
        <v>0.18</v>
      </c>
      <c r="X151" s="298">
        <v>0.98</v>
      </c>
      <c r="Y151" s="371">
        <v>45100.0</v>
      </c>
      <c r="Z151" s="300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301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299"/>
      <c r="AC151" s="300"/>
      <c r="AD151" s="301"/>
      <c r="AE151" s="262">
        <f>IFERROR(__xludf.DUMMYFUNCTION("IFERROR(INDEX(IMPORTRANGE(""https://docs.google.com/spreadsheets/d/1fpsE_0655xguD48cGK6n1ZqSLnI-tw9aHzhbPM9kZ-k/edit#gid=0"", ""Monitoring Summary!B:B""),MATCH(D151,IMPORTRANGE(""https://docs.google.com/spreadsheets/d/1fpsE_0655xguD48cGK6n1ZqSLnI-tw9aHzhb"&amp;"PM9kZ-k/edit#gid=0"", ""Monitoring Summary!C:C""),0)),""Not Monitored"")"),45247.0)</f>
        <v>45247</v>
      </c>
      <c r="AF151" s="263">
        <f>IFERROR(__xludf.DUMMYFUNCTION("IFERROR(INDEX(IMPORTRANGE(""https://docs.google.com/spreadsheets/d/1fpsE_0655xguD48cGK6n1ZqSLnI-tw9aHzhbPM9kZ-k/edit#gid=0"", ""Monitoring Summary!E:E""),MATCH(D151,IMPORTRANGE(""https://docs.google.com/spreadsheets/d/1fpsE_0655xguD48cGK6n1ZqSLnI-tw9aHzhb"&amp;"PM9kZ-k/edit#gid=0"", ""Monitoring Summary!C:C""),0)),""Not Monitored"")"),0.0)</f>
        <v>0</v>
      </c>
      <c r="AG151" s="264">
        <f t="shared" si="1"/>
        <v>0</v>
      </c>
      <c r="AH151" s="265" t="s">
        <v>603</v>
      </c>
    </row>
    <row r="152" ht="15.75" customHeight="1">
      <c r="A152" s="524">
        <v>2020.0</v>
      </c>
      <c r="B152" s="525">
        <v>44040.0</v>
      </c>
      <c r="C152" s="524" t="s">
        <v>168</v>
      </c>
      <c r="D152" s="526" t="s">
        <v>604</v>
      </c>
      <c r="E152" s="526" t="s">
        <v>170</v>
      </c>
      <c r="F152" s="524" t="s">
        <v>161</v>
      </c>
      <c r="G152" s="524" t="s">
        <v>51</v>
      </c>
      <c r="H152" s="524">
        <v>500.0</v>
      </c>
      <c r="I152" s="527" t="s">
        <v>605</v>
      </c>
      <c r="J152" s="528">
        <v>24.52275</v>
      </c>
      <c r="K152" s="528">
        <v>-81.52003</v>
      </c>
      <c r="L152" s="529" t="s">
        <v>606</v>
      </c>
      <c r="M152" s="294">
        <v>44082.0</v>
      </c>
      <c r="N152" s="295">
        <v>0.722</v>
      </c>
      <c r="O152" s="296">
        <v>0.03</v>
      </c>
      <c r="P152" s="296">
        <v>0.248</v>
      </c>
      <c r="Q152" s="296">
        <v>0.99</v>
      </c>
      <c r="R152" s="296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95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294">
        <v>44378.0</v>
      </c>
      <c r="U152" s="471">
        <v>0.8</v>
      </c>
      <c r="V152" s="298">
        <v>0.02</v>
      </c>
      <c r="W152" s="298">
        <v>0.18</v>
      </c>
      <c r="X152" s="298">
        <v>0.97</v>
      </c>
      <c r="Y152" s="371">
        <v>45100.0</v>
      </c>
      <c r="Z152" s="300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301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299"/>
      <c r="AC152" s="300"/>
      <c r="AD152" s="301"/>
      <c r="AE152" s="262">
        <f>IFERROR(__xludf.DUMMYFUNCTION("IFERROR(INDEX(IMPORTRANGE(""https://docs.google.com/spreadsheets/d/1fpsE_0655xguD48cGK6n1ZqSLnI-tw9aHzhbPM9kZ-k/edit#gid=0"", ""Monitoring Summary!B:B""),MATCH(D152,IMPORTRANGE(""https://docs.google.com/spreadsheets/d/1fpsE_0655xguD48cGK6n1ZqSLnI-tw9aHzhb"&amp;"PM9kZ-k/edit#gid=0"", ""Monitoring Summary!C:C""),0)),""Not Monitored"")"),45264.0)</f>
        <v>45264</v>
      </c>
      <c r="AF152" s="263">
        <f>IFERROR(__xludf.DUMMYFUNCTION("IFERROR(INDEX(IMPORTRANGE(""https://docs.google.com/spreadsheets/d/1fpsE_0655xguD48cGK6n1ZqSLnI-tw9aHzhbPM9kZ-k/edit#gid=0"", ""Monitoring Summary!E:E""),MATCH(D152,IMPORTRANGE(""https://docs.google.com/spreadsheets/d/1fpsE_0655xguD48cGK6n1ZqSLnI-tw9aHzhb"&amp;"PM9kZ-k/edit#gid=0"", ""Monitoring Summary!C:C""),0)),""Not Monitored"")"),0.0)</f>
        <v>0</v>
      </c>
      <c r="AG152" s="264">
        <f t="shared" si="1"/>
        <v>0</v>
      </c>
      <c r="AH152" s="265" t="s">
        <v>607</v>
      </c>
    </row>
    <row r="153" ht="15.75" customHeight="1">
      <c r="A153" s="537">
        <v>2020.0</v>
      </c>
      <c r="B153" s="538">
        <v>44046.0</v>
      </c>
      <c r="C153" s="537" t="s">
        <v>608</v>
      </c>
      <c r="D153" s="551" t="s">
        <v>609</v>
      </c>
      <c r="E153" s="539" t="s">
        <v>170</v>
      </c>
      <c r="F153" s="537" t="s">
        <v>161</v>
      </c>
      <c r="G153" s="537" t="s">
        <v>65</v>
      </c>
      <c r="H153" s="537">
        <v>500.0</v>
      </c>
      <c r="I153" s="552" t="s">
        <v>517</v>
      </c>
      <c r="J153" s="541">
        <v>24.45168</v>
      </c>
      <c r="K153" s="541">
        <v>-81.88617</v>
      </c>
      <c r="L153" s="542" t="s">
        <v>606</v>
      </c>
      <c r="M153" s="271">
        <v>44075.0</v>
      </c>
      <c r="N153" s="255">
        <v>0.894</v>
      </c>
      <c r="O153" s="256">
        <v>0.008</v>
      </c>
      <c r="P153" s="256">
        <v>0.098</v>
      </c>
      <c r="Q153" s="256">
        <v>1.0</v>
      </c>
      <c r="R153" s="256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55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271">
        <v>44398.0</v>
      </c>
      <c r="U153" s="469">
        <v>0.8200000000000001</v>
      </c>
      <c r="V153" s="258">
        <v>0.008</v>
      </c>
      <c r="W153" s="258">
        <v>0.172</v>
      </c>
      <c r="X153" s="258">
        <v>0.99</v>
      </c>
      <c r="Y153" s="360">
        <v>45112.0</v>
      </c>
      <c r="Z153" s="260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261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259"/>
      <c r="AC153" s="260"/>
      <c r="AD153" s="261"/>
      <c r="AE153" s="262">
        <f>IFERROR(__xludf.DUMMYFUNCTION("IFERROR(INDEX(IMPORTRANGE(""https://docs.google.com/spreadsheets/d/1fpsE_0655xguD48cGK6n1ZqSLnI-tw9aHzhbPM9kZ-k/edit#gid=0"", ""Monitoring Summary!B:B""),MATCH(D153,IMPORTRANGE(""https://docs.google.com/spreadsheets/d/1fpsE_0655xguD48cGK6n1ZqSLnI-tw9aHzhb"&amp;"PM9kZ-k/edit#gid=0"", ""Monitoring Summary!C:C""),0)),""Not Monitored"")"),45307.0)</f>
        <v>45307</v>
      </c>
      <c r="AF153" s="263">
        <f>IFERROR(__xludf.DUMMYFUNCTION("IFERROR(INDEX(IMPORTRANGE(""https://docs.google.com/spreadsheets/d/1fpsE_0655xguD48cGK6n1ZqSLnI-tw9aHzhbPM9kZ-k/edit#gid=0"", ""Monitoring Summary!E:E""),MATCH(D153,IMPORTRANGE(""https://docs.google.com/spreadsheets/d/1fpsE_0655xguD48cGK6n1ZqSLnI-tw9aHzhb"&amp;"PM9kZ-k/edit#gid=0"", ""Monitoring Summary!C:C""),0)),""Not Monitored"")"),1.0)</f>
        <v>1</v>
      </c>
      <c r="AG153" s="264">
        <f t="shared" si="1"/>
        <v>0.002</v>
      </c>
      <c r="AH153" s="265" t="s">
        <v>610</v>
      </c>
    </row>
    <row r="154" ht="15.75" customHeight="1">
      <c r="A154" s="544">
        <v>2020.0</v>
      </c>
      <c r="B154" s="545">
        <v>44047.0</v>
      </c>
      <c r="C154" s="544" t="s">
        <v>268</v>
      </c>
      <c r="D154" s="546" t="s">
        <v>611</v>
      </c>
      <c r="E154" s="544" t="s">
        <v>170</v>
      </c>
      <c r="F154" s="544" t="s">
        <v>161</v>
      </c>
      <c r="G154" s="544" t="s">
        <v>47</v>
      </c>
      <c r="H154" s="544">
        <v>500.0</v>
      </c>
      <c r="I154" s="547" t="s">
        <v>612</v>
      </c>
      <c r="J154" s="548">
        <v>24.45255</v>
      </c>
      <c r="K154" s="548">
        <v>-81.87556</v>
      </c>
      <c r="L154" s="549" t="s">
        <v>606</v>
      </c>
      <c r="M154" s="294">
        <v>44075.0</v>
      </c>
      <c r="N154" s="295">
        <v>0.8180000000000001</v>
      </c>
      <c r="O154" s="296">
        <v>0.002</v>
      </c>
      <c r="P154" s="296">
        <v>0.18</v>
      </c>
      <c r="Q154" s="296">
        <v>1.0</v>
      </c>
      <c r="R154" s="296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95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50">
        <v>44403.0</v>
      </c>
      <c r="U154" s="471">
        <v>0.804</v>
      </c>
      <c r="V154" s="298">
        <v>0.034</v>
      </c>
      <c r="W154" s="298">
        <v>0.162</v>
      </c>
      <c r="X154" s="298">
        <v>0.97</v>
      </c>
      <c r="Y154" s="371">
        <v>45127.0</v>
      </c>
      <c r="Z154" s="300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301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299"/>
      <c r="AC154" s="300"/>
      <c r="AD154" s="301"/>
      <c r="AE154" s="328">
        <f>IFERROR(__xludf.DUMMYFUNCTION("IFERROR(INDEX(IMPORTRANGE(""https://docs.google.com/spreadsheets/d/1fpsE_0655xguD48cGK6n1ZqSLnI-tw9aHzhbPM9kZ-k/edit#gid=0"", ""Monitoring Summary!B:B""),MATCH(D154,IMPORTRANGE(""https://docs.google.com/spreadsheets/d/1fpsE_0655xguD48cGK6n1ZqSLnI-tw9aHzhb"&amp;"PM9kZ-k/edit#gid=0"", ""Monitoring Summary!C:C""),0)),""Not Monitored"")"),45294.0)</f>
        <v>45294</v>
      </c>
      <c r="AF154" s="329">
        <f>IFERROR(__xludf.DUMMYFUNCTION("IFERROR(INDEX(IMPORTRANGE(""https://docs.google.com/spreadsheets/d/1fpsE_0655xguD48cGK6n1ZqSLnI-tw9aHzhbPM9kZ-k/edit#gid=0"", ""Monitoring Summary!E:E""),MATCH(D154,IMPORTRANGE(""https://docs.google.com/spreadsheets/d/1fpsE_0655xguD48cGK6n1ZqSLnI-tw9aHzhb"&amp;"PM9kZ-k/edit#gid=0"", ""Monitoring Summary!C:C""),0)),""Not Monitored"")"),0.0)</f>
        <v>0</v>
      </c>
      <c r="AG154" s="330">
        <f t="shared" si="1"/>
        <v>0</v>
      </c>
      <c r="AH154" s="331" t="s">
        <v>613</v>
      </c>
    </row>
    <row r="155" ht="15.75" customHeight="1">
      <c r="A155" s="531">
        <v>2020.0</v>
      </c>
      <c r="B155" s="532">
        <v>44049.0</v>
      </c>
      <c r="C155" s="531" t="s">
        <v>614</v>
      </c>
      <c r="D155" s="533" t="s">
        <v>615</v>
      </c>
      <c r="E155" s="533" t="s">
        <v>170</v>
      </c>
      <c r="F155" s="531" t="s">
        <v>161</v>
      </c>
      <c r="G155" s="531" t="s">
        <v>65</v>
      </c>
      <c r="H155" s="531">
        <v>500.0</v>
      </c>
      <c r="I155" s="534" t="s">
        <v>517</v>
      </c>
      <c r="J155" s="535">
        <v>24.51854</v>
      </c>
      <c r="K155" s="535">
        <v>-81.54061</v>
      </c>
      <c r="L155" s="536" t="s">
        <v>606</v>
      </c>
      <c r="M155" s="294">
        <v>44082.0</v>
      </c>
      <c r="N155" s="295">
        <v>0.738</v>
      </c>
      <c r="O155" s="296">
        <v>0.014</v>
      </c>
      <c r="P155" s="296">
        <v>0.248</v>
      </c>
      <c r="Q155" s="296">
        <v>0.99</v>
      </c>
      <c r="R155" s="296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95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294">
        <v>44404.0</v>
      </c>
      <c r="U155" s="471">
        <v>0.864</v>
      </c>
      <c r="V155" s="298">
        <v>0.006</v>
      </c>
      <c r="W155" s="298">
        <v>0.13</v>
      </c>
      <c r="X155" s="298">
        <v>0.99</v>
      </c>
      <c r="Y155" s="371">
        <v>45128.0</v>
      </c>
      <c r="Z155" s="300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301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299"/>
      <c r="AC155" s="300"/>
      <c r="AD155" s="301"/>
      <c r="AE155" s="262">
        <f>IFERROR(__xludf.DUMMYFUNCTION("IFERROR(INDEX(IMPORTRANGE(""https://docs.google.com/spreadsheets/d/1fpsE_0655xguD48cGK6n1ZqSLnI-tw9aHzhbPM9kZ-k/edit#gid=0"", ""Monitoring Summary!B:B""),MATCH(D155,IMPORTRANGE(""https://docs.google.com/spreadsheets/d/1fpsE_0655xguD48cGK6n1ZqSLnI-tw9aHzhb"&amp;"PM9kZ-k/edit#gid=0"", ""Monitoring Summary!C:C""),0)),""Not Monitored"")"),45264.0)</f>
        <v>45264</v>
      </c>
      <c r="AF155" s="263">
        <f>IFERROR(__xludf.DUMMYFUNCTION("IFERROR(INDEX(IMPORTRANGE(""https://docs.google.com/spreadsheets/d/1fpsE_0655xguD48cGK6n1ZqSLnI-tw9aHzhbPM9kZ-k/edit#gid=0"", ""Monitoring Summary!E:E""),MATCH(D155,IMPORTRANGE(""https://docs.google.com/spreadsheets/d/1fpsE_0655xguD48cGK6n1ZqSLnI-tw9aHzhb"&amp;"PM9kZ-k/edit#gid=0"", ""Monitoring Summary!C:C""),0)),""Not Monitored"")"),0.0)</f>
        <v>0</v>
      </c>
      <c r="AG155" s="264">
        <f t="shared" si="1"/>
        <v>0</v>
      </c>
      <c r="AH155" s="265" t="s">
        <v>616</v>
      </c>
    </row>
    <row r="156" ht="15.75" customHeight="1">
      <c r="A156" s="524">
        <v>2020.0</v>
      </c>
      <c r="B156" s="525">
        <v>44054.0</v>
      </c>
      <c r="C156" s="524" t="s">
        <v>292</v>
      </c>
      <c r="D156" s="526" t="s">
        <v>617</v>
      </c>
      <c r="E156" s="526" t="s">
        <v>170</v>
      </c>
      <c r="F156" s="524" t="s">
        <v>161</v>
      </c>
      <c r="G156" s="524" t="s">
        <v>51</v>
      </c>
      <c r="H156" s="524">
        <v>500.0</v>
      </c>
      <c r="I156" s="527" t="s">
        <v>581</v>
      </c>
      <c r="J156" s="528">
        <v>24.45889</v>
      </c>
      <c r="K156" s="528">
        <v>-81.84602</v>
      </c>
      <c r="L156" s="529" t="s">
        <v>618</v>
      </c>
      <c r="M156" s="294">
        <v>44083.0</v>
      </c>
      <c r="N156" s="295">
        <v>0.778</v>
      </c>
      <c r="O156" s="296">
        <v>0.002</v>
      </c>
      <c r="P156" s="296">
        <v>0.22</v>
      </c>
      <c r="Q156" s="296">
        <v>0.99</v>
      </c>
      <c r="R156" s="296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95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294">
        <v>44398.0</v>
      </c>
      <c r="U156" s="471">
        <v>0.65</v>
      </c>
      <c r="V156" s="298">
        <v>0.036000000000000004</v>
      </c>
      <c r="W156" s="298">
        <v>0.314</v>
      </c>
      <c r="X156" s="298">
        <v>0.95</v>
      </c>
      <c r="Y156" s="371">
        <v>45127.0</v>
      </c>
      <c r="Z156" s="300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301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53">
        <v>45655.0</v>
      </c>
      <c r="AC156" s="300"/>
      <c r="AD156" s="301"/>
      <c r="AE156" s="262">
        <f>IFERROR(__xludf.DUMMYFUNCTION("IFERROR(INDEX(IMPORTRANGE(""https://docs.google.com/spreadsheets/d/1fpsE_0655xguD48cGK6n1ZqSLnI-tw9aHzhbPM9kZ-k/edit#gid=0"", ""Monitoring Summary!B:B""),MATCH(D156,IMPORTRANGE(""https://docs.google.com/spreadsheets/d/1fpsE_0655xguD48cGK6n1ZqSLnI-tw9aHzhb"&amp;"PM9kZ-k/edit#gid=0"", ""Monitoring Summary!C:C""),0)),""Not Monitored"")"),45293.0)</f>
        <v>45293</v>
      </c>
      <c r="AF156" s="263">
        <f>IFERROR(__xludf.DUMMYFUNCTION("IFERROR(INDEX(IMPORTRANGE(""https://docs.google.com/spreadsheets/d/1fpsE_0655xguD48cGK6n1ZqSLnI-tw9aHzhbPM9kZ-k/edit#gid=0"", ""Monitoring Summary!E:E""),MATCH(D156,IMPORTRANGE(""https://docs.google.com/spreadsheets/d/1fpsE_0655xguD48cGK6n1ZqSLnI-tw9aHzhb"&amp;"PM9kZ-k/edit#gid=0"", ""Monitoring Summary!C:C""),0)),""Not Monitored"")"),0.0)</f>
        <v>0</v>
      </c>
      <c r="AG156" s="264">
        <f t="shared" si="1"/>
        <v>0</v>
      </c>
      <c r="AH156" s="265" t="s">
        <v>619</v>
      </c>
    </row>
    <row r="157" ht="15.75" customHeight="1">
      <c r="A157" s="544">
        <v>2020.0</v>
      </c>
      <c r="B157" s="545">
        <v>44055.0</v>
      </c>
      <c r="C157" s="544" t="s">
        <v>428</v>
      </c>
      <c r="D157" s="546" t="s">
        <v>620</v>
      </c>
      <c r="E157" s="544" t="s">
        <v>170</v>
      </c>
      <c r="F157" s="544" t="s">
        <v>161</v>
      </c>
      <c r="G157" s="544" t="s">
        <v>47</v>
      </c>
      <c r="H157" s="544">
        <v>500.0</v>
      </c>
      <c r="I157" s="547" t="s">
        <v>409</v>
      </c>
      <c r="J157" s="548">
        <v>24.53021</v>
      </c>
      <c r="K157" s="548">
        <v>-81.48864</v>
      </c>
      <c r="L157" s="549" t="s">
        <v>606</v>
      </c>
      <c r="M157" s="294">
        <v>44082.0</v>
      </c>
      <c r="N157" s="295">
        <v>0.844</v>
      </c>
      <c r="O157" s="296">
        <v>0.002</v>
      </c>
      <c r="P157" s="296">
        <v>0.154</v>
      </c>
      <c r="Q157" s="296">
        <v>0.98</v>
      </c>
      <c r="R157" s="296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95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50">
        <v>44404.0</v>
      </c>
      <c r="U157" s="471">
        <v>0.908</v>
      </c>
      <c r="V157" s="298">
        <v>0.004</v>
      </c>
      <c r="W157" s="298">
        <v>0.088</v>
      </c>
      <c r="X157" s="298">
        <v>0.96</v>
      </c>
      <c r="Y157" s="371">
        <v>45117.0</v>
      </c>
      <c r="Z157" s="300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301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299"/>
      <c r="AC157" s="300"/>
      <c r="AD157" s="301"/>
      <c r="AE157" s="262">
        <f>IFERROR(__xludf.DUMMYFUNCTION("IFERROR(INDEX(IMPORTRANGE(""https://docs.google.com/spreadsheets/d/1fpsE_0655xguD48cGK6n1ZqSLnI-tw9aHzhbPM9kZ-k/edit#gid=0"", ""Monitoring Summary!B:B""),MATCH(D157,IMPORTRANGE(""https://docs.google.com/spreadsheets/d/1fpsE_0655xguD48cGK6n1ZqSLnI-tw9aHzhb"&amp;"PM9kZ-k/edit#gid=0"", ""Monitoring Summary!C:C""),0)),""Not Monitored"")"),45258.0)</f>
        <v>45258</v>
      </c>
      <c r="AF157" s="263">
        <f>IFERROR(__xludf.DUMMYFUNCTION("IFERROR(INDEX(IMPORTRANGE(""https://docs.google.com/spreadsheets/d/1fpsE_0655xguD48cGK6n1ZqSLnI-tw9aHzhbPM9kZ-k/edit#gid=0"", ""Monitoring Summary!E:E""),MATCH(D157,IMPORTRANGE(""https://docs.google.com/spreadsheets/d/1fpsE_0655xguD48cGK6n1ZqSLnI-tw9aHzhb"&amp;"PM9kZ-k/edit#gid=0"", ""Monitoring Summary!C:C""),0)),""Not Monitored"")"),0.0)</f>
        <v>0</v>
      </c>
      <c r="AG157" s="264">
        <f t="shared" si="1"/>
        <v>0</v>
      </c>
      <c r="AH157" s="265" t="s">
        <v>621</v>
      </c>
    </row>
    <row r="158" ht="15.75" customHeight="1">
      <c r="A158" s="554">
        <v>2020.0</v>
      </c>
      <c r="B158" s="555">
        <v>44060.0</v>
      </c>
      <c r="C158" s="554" t="s">
        <v>275</v>
      </c>
      <c r="D158" s="556" t="s">
        <v>622</v>
      </c>
      <c r="E158" s="556" t="s">
        <v>170</v>
      </c>
      <c r="F158" s="554" t="s">
        <v>146</v>
      </c>
      <c r="G158" s="554" t="s">
        <v>54</v>
      </c>
      <c r="H158" s="554">
        <v>75.0</v>
      </c>
      <c r="I158" s="557" t="s">
        <v>623</v>
      </c>
      <c r="J158" s="558">
        <v>24.53918</v>
      </c>
      <c r="K158" s="558">
        <v>-81.45049</v>
      </c>
      <c r="L158" s="559" t="s">
        <v>624</v>
      </c>
      <c r="M158" s="294">
        <v>44102.0</v>
      </c>
      <c r="N158" s="295">
        <v>0.8133333333333334</v>
      </c>
      <c r="O158" s="296">
        <v>0.0</v>
      </c>
      <c r="P158" s="296">
        <v>0.18666666666666668</v>
      </c>
      <c r="Q158" s="296">
        <v>1.0</v>
      </c>
      <c r="R158" s="296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95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294">
        <v>44407.0</v>
      </c>
      <c r="U158" s="471">
        <v>0.9333333333333333</v>
      </c>
      <c r="V158" s="298">
        <v>0.0</v>
      </c>
      <c r="W158" s="298">
        <v>0.06666666666666667</v>
      </c>
      <c r="X158" s="298">
        <v>1.0</v>
      </c>
      <c r="Y158" s="299"/>
      <c r="Z158" s="300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301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299"/>
      <c r="AC158" s="300"/>
      <c r="AD158" s="301"/>
      <c r="AE158" s="305">
        <f>IFERROR(__xludf.DUMMYFUNCTION("IFERROR(INDEX(IMPORTRANGE(""https://docs.google.com/spreadsheets/d/1fpsE_0655xguD48cGK6n1ZqSLnI-tw9aHzhbPM9kZ-k/edit#gid=0"", ""Monitoring Summary!B:B""),MATCH(D158,IMPORTRANGE(""https://docs.google.com/spreadsheets/d/1fpsE_0655xguD48cGK6n1ZqSLnI-tw9aHzhb"&amp;"PM9kZ-k/edit#gid=0"", ""Monitoring Summary!C:C""),0)),""Not Monitored"")"),45247.0)</f>
        <v>45247</v>
      </c>
      <c r="AF158" s="343">
        <f>IFERROR(__xludf.DUMMYFUNCTION("IFERROR(INDEX(IMPORTRANGE(""https://docs.google.com/spreadsheets/d/1fpsE_0655xguD48cGK6n1ZqSLnI-tw9aHzhbPM9kZ-k/edit#gid=0"", ""Monitoring Summary!E:E""),MATCH(D158,IMPORTRANGE(""https://docs.google.com/spreadsheets/d/1fpsE_0655xguD48cGK6n1ZqSLnI-tw9aHzhb"&amp;"PM9kZ-k/edit#gid=0"", ""Monitoring Summary!C:C""),0)),""Not Monitored"")"),0.0)</f>
        <v>0</v>
      </c>
      <c r="AG158" s="382">
        <f t="shared" si="1"/>
        <v>0</v>
      </c>
      <c r="AH158" s="265" t="s">
        <v>533</v>
      </c>
    </row>
    <row r="159" ht="15.75" customHeight="1">
      <c r="A159" s="554">
        <v>2020.0</v>
      </c>
      <c r="B159" s="555">
        <v>44061.0</v>
      </c>
      <c r="C159" s="554" t="s">
        <v>350</v>
      </c>
      <c r="D159" s="556" t="s">
        <v>625</v>
      </c>
      <c r="E159" s="556" t="s">
        <v>170</v>
      </c>
      <c r="F159" s="554" t="s">
        <v>146</v>
      </c>
      <c r="G159" s="554" t="s">
        <v>54</v>
      </c>
      <c r="H159" s="554">
        <v>75.0</v>
      </c>
      <c r="I159" s="557" t="s">
        <v>623</v>
      </c>
      <c r="J159" s="558">
        <v>24.47305</v>
      </c>
      <c r="K159" s="558">
        <v>-81.74553</v>
      </c>
      <c r="L159" s="559" t="s">
        <v>624</v>
      </c>
      <c r="M159" s="459">
        <v>44102.0</v>
      </c>
      <c r="N159" s="295">
        <v>0.6933333333333334</v>
      </c>
      <c r="O159" s="296">
        <v>0.0</v>
      </c>
      <c r="P159" s="296">
        <v>0.30666666666666664</v>
      </c>
      <c r="Q159" s="296">
        <v>1.0</v>
      </c>
      <c r="R159" s="296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95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294">
        <v>44412.0</v>
      </c>
      <c r="U159" s="471">
        <v>0.9066666666666666</v>
      </c>
      <c r="V159" s="298">
        <v>0.013333333333333334</v>
      </c>
      <c r="W159" s="298">
        <v>0.08</v>
      </c>
      <c r="X159" s="298">
        <v>1.0</v>
      </c>
      <c r="Y159" s="371">
        <v>45127.0</v>
      </c>
      <c r="Z159" s="300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301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299"/>
      <c r="AC159" s="300"/>
      <c r="AD159" s="301"/>
      <c r="AE159" s="305">
        <f>IFERROR(__xludf.DUMMYFUNCTION("IFERROR(INDEX(IMPORTRANGE(""https://docs.google.com/spreadsheets/d/1fpsE_0655xguD48cGK6n1ZqSLnI-tw9aHzhbPM9kZ-k/edit#gid=0"", ""Monitoring Summary!B:B""),MATCH(D159,IMPORTRANGE(""https://docs.google.com/spreadsheets/d/1fpsE_0655xguD48cGK6n1ZqSLnI-tw9aHzhb"&amp;"PM9kZ-k/edit#gid=0"", ""Monitoring Summary!C:C""),0)),""Not Monitored"")"),45240.0)</f>
        <v>45240</v>
      </c>
      <c r="AF159" s="343">
        <f>IFERROR(__xludf.DUMMYFUNCTION("IFERROR(INDEX(IMPORTRANGE(""https://docs.google.com/spreadsheets/d/1fpsE_0655xguD48cGK6n1ZqSLnI-tw9aHzhbPM9kZ-k/edit#gid=0"", ""Monitoring Summary!E:E""),MATCH(D159,IMPORTRANGE(""https://docs.google.com/spreadsheets/d/1fpsE_0655xguD48cGK6n1ZqSLnI-tw9aHzhb"&amp;"PM9kZ-k/edit#gid=0"", ""Monitoring Summary!C:C""),0)),""Not Monitored"")"),0.0)</f>
        <v>0</v>
      </c>
      <c r="AG159" s="382">
        <f t="shared" si="1"/>
        <v>0</v>
      </c>
      <c r="AH159" s="265" t="s">
        <v>533</v>
      </c>
    </row>
    <row r="160" ht="15.75" customHeight="1">
      <c r="A160" s="560">
        <v>2020.0</v>
      </c>
      <c r="B160" s="561">
        <v>44071.0</v>
      </c>
      <c r="C160" s="560" t="s">
        <v>596</v>
      </c>
      <c r="D160" s="562" t="s">
        <v>626</v>
      </c>
      <c r="E160" s="560" t="s">
        <v>170</v>
      </c>
      <c r="F160" s="560" t="s">
        <v>146</v>
      </c>
      <c r="G160" s="560" t="s">
        <v>47</v>
      </c>
      <c r="H160" s="563">
        <v>54.0</v>
      </c>
      <c r="I160" s="564" t="s">
        <v>627</v>
      </c>
      <c r="J160" s="565">
        <v>24.55087</v>
      </c>
      <c r="K160" s="565">
        <v>-81.38962</v>
      </c>
      <c r="L160" s="566" t="s">
        <v>628</v>
      </c>
      <c r="M160" s="550">
        <v>44103.0</v>
      </c>
      <c r="N160" s="567">
        <v>0.962962962962963</v>
      </c>
      <c r="O160" s="296">
        <v>0.0</v>
      </c>
      <c r="P160" s="296">
        <v>0.037037037037037035</v>
      </c>
      <c r="Q160" s="296">
        <v>0.9629629629629629</v>
      </c>
      <c r="R160" s="296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95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68" t="s">
        <v>149</v>
      </c>
      <c r="U160" s="569" t="s">
        <v>149</v>
      </c>
      <c r="V160" s="298" t="s">
        <v>149</v>
      </c>
      <c r="W160" s="298" t="s">
        <v>149</v>
      </c>
      <c r="X160" s="298" t="s">
        <v>149</v>
      </c>
      <c r="Y160" s="299" t="s">
        <v>149</v>
      </c>
      <c r="Z160" s="300" t="s">
        <v>149</v>
      </c>
      <c r="AA160" s="290" t="s">
        <v>149</v>
      </c>
      <c r="AB160" s="299"/>
      <c r="AC160" s="300"/>
      <c r="AD160" s="301"/>
      <c r="AE160" s="305">
        <f>IFERROR(__xludf.DUMMYFUNCTION("IFERROR(INDEX(IMPORTRANGE(""https://docs.google.com/spreadsheets/d/1fpsE_0655xguD48cGK6n1ZqSLnI-tw9aHzhbPM9kZ-k/edit#gid=0"", ""Monitoring Summary!B:B""),MATCH(D160,IMPORTRANGE(""https://docs.google.com/spreadsheets/d/1fpsE_0655xguD48cGK6n1ZqSLnI-tw9aHzhb"&amp;"PM9kZ-k/edit#gid=0"", ""Monitoring Summary!C:C""),0)),""Not Monitored"")"),45309.0)</f>
        <v>45309</v>
      </c>
      <c r="AF160" s="343">
        <f>IFERROR(__xludf.DUMMYFUNCTION("IFERROR(INDEX(IMPORTRANGE(""https://docs.google.com/spreadsheets/d/1fpsE_0655xguD48cGK6n1ZqSLnI-tw9aHzhbPM9kZ-k/edit#gid=0"", ""Monitoring Summary!E:E""),MATCH(D160,IMPORTRANGE(""https://docs.google.com/spreadsheets/d/1fpsE_0655xguD48cGK6n1ZqSLnI-tw9aHzhb"&amp;"PM9kZ-k/edit#gid=0"", ""Monitoring Summary!C:C""),0)),""Not Monitored"")"),0.0)</f>
        <v>0</v>
      </c>
      <c r="AG160" s="382">
        <f t="shared" si="1"/>
        <v>0</v>
      </c>
      <c r="AH160" s="265" t="s">
        <v>629</v>
      </c>
    </row>
    <row r="161" ht="15.75" customHeight="1">
      <c r="A161" s="524">
        <v>2020.0</v>
      </c>
      <c r="B161" s="525">
        <v>44091.0</v>
      </c>
      <c r="C161" s="524" t="s">
        <v>577</v>
      </c>
      <c r="D161" s="526" t="s">
        <v>630</v>
      </c>
      <c r="E161" s="526" t="s">
        <v>170</v>
      </c>
      <c r="F161" s="524" t="s">
        <v>161</v>
      </c>
      <c r="G161" s="524" t="s">
        <v>51</v>
      </c>
      <c r="H161" s="524">
        <v>500.0</v>
      </c>
      <c r="I161" s="527" t="s">
        <v>299</v>
      </c>
      <c r="J161" s="528">
        <v>24.52651</v>
      </c>
      <c r="K161" s="528">
        <v>-81.50018</v>
      </c>
      <c r="L161" s="530"/>
      <c r="M161" s="294">
        <v>11260.0</v>
      </c>
      <c r="N161" s="295">
        <v>0.978</v>
      </c>
      <c r="O161" s="296">
        <v>0.014</v>
      </c>
      <c r="P161" s="296">
        <v>0.008</v>
      </c>
      <c r="Q161" s="296">
        <v>1.0</v>
      </c>
      <c r="R161" s="296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95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294">
        <v>44459.0</v>
      </c>
      <c r="U161" s="471">
        <v>0.8180000000000001</v>
      </c>
      <c r="V161" s="298">
        <v>0.016</v>
      </c>
      <c r="W161" s="298">
        <v>0.166</v>
      </c>
      <c r="X161" s="298">
        <v>1.0</v>
      </c>
      <c r="Y161" s="371">
        <v>45180.0</v>
      </c>
      <c r="Z161" s="300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301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299"/>
      <c r="AC161" s="300"/>
      <c r="AD161" s="301"/>
      <c r="AE161" s="262">
        <f>IFERROR(__xludf.DUMMYFUNCTION("IFERROR(INDEX(IMPORTRANGE(""https://docs.google.com/spreadsheets/d/1fpsE_0655xguD48cGK6n1ZqSLnI-tw9aHzhbPM9kZ-k/edit#gid=0"", ""Monitoring Summary!B:B""),MATCH(D161,IMPORTRANGE(""https://docs.google.com/spreadsheets/d/1fpsE_0655xguD48cGK6n1ZqSLnI-tw9aHzhb"&amp;"PM9kZ-k/edit#gid=0"", ""Monitoring Summary!C:C""),0)),""Not Monitored"")"),45264.0)</f>
        <v>45264</v>
      </c>
      <c r="AF161" s="263">
        <f>IFERROR(__xludf.DUMMYFUNCTION("IFERROR(INDEX(IMPORTRANGE(""https://docs.google.com/spreadsheets/d/1fpsE_0655xguD48cGK6n1ZqSLnI-tw9aHzhbPM9kZ-k/edit#gid=0"", ""Monitoring Summary!E:E""),MATCH(D161,IMPORTRANGE(""https://docs.google.com/spreadsheets/d/1fpsE_0655xguD48cGK6n1ZqSLnI-tw9aHzhb"&amp;"PM9kZ-k/edit#gid=0"", ""Monitoring Summary!C:C""),0)),""Not Monitored"")"),0.0)</f>
        <v>0</v>
      </c>
      <c r="AG161" s="264">
        <f t="shared" si="1"/>
        <v>0</v>
      </c>
      <c r="AH161" s="265" t="s">
        <v>631</v>
      </c>
    </row>
    <row r="162" ht="15.75" customHeight="1">
      <c r="A162" s="544">
        <v>2020.0</v>
      </c>
      <c r="B162" s="545">
        <v>44095.0</v>
      </c>
      <c r="C162" s="544" t="s">
        <v>318</v>
      </c>
      <c r="D162" s="546" t="s">
        <v>632</v>
      </c>
      <c r="E162" s="544" t="s">
        <v>170</v>
      </c>
      <c r="F162" s="544" t="s">
        <v>161</v>
      </c>
      <c r="G162" s="544" t="s">
        <v>47</v>
      </c>
      <c r="H162" s="544">
        <v>500.0</v>
      </c>
      <c r="I162" s="547" t="s">
        <v>633</v>
      </c>
      <c r="J162" s="548">
        <v>24.52607</v>
      </c>
      <c r="K162" s="548">
        <v>-81.50294</v>
      </c>
      <c r="L162" s="549"/>
      <c r="M162" s="294">
        <v>44133.0</v>
      </c>
      <c r="N162" s="295">
        <v>0.982</v>
      </c>
      <c r="O162" s="296">
        <v>0.002</v>
      </c>
      <c r="P162" s="296">
        <v>0.016</v>
      </c>
      <c r="Q162" s="296">
        <v>1.0</v>
      </c>
      <c r="R162" s="296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95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50">
        <v>44449.0</v>
      </c>
      <c r="U162" s="471">
        <v>0.898</v>
      </c>
      <c r="V162" s="298">
        <v>0.002</v>
      </c>
      <c r="W162" s="298">
        <v>0.1</v>
      </c>
      <c r="X162" s="298">
        <v>0.99</v>
      </c>
      <c r="Y162" s="371">
        <v>45180.0</v>
      </c>
      <c r="Z162" s="300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301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299"/>
      <c r="AC162" s="300"/>
      <c r="AD162" s="301"/>
      <c r="AE162" s="262">
        <f>IFERROR(__xludf.DUMMYFUNCTION("IFERROR(INDEX(IMPORTRANGE(""https://docs.google.com/spreadsheets/d/1fpsE_0655xguD48cGK6n1ZqSLnI-tw9aHzhbPM9kZ-k/edit#gid=0"", ""Monitoring Summary!B:B""),MATCH(D162,IMPORTRANGE(""https://docs.google.com/spreadsheets/d/1fpsE_0655xguD48cGK6n1ZqSLnI-tw9aHzhb"&amp;"PM9kZ-k/edit#gid=0"", ""Monitoring Summary!C:C""),0)),""Not Monitored"")"),45264.0)</f>
        <v>45264</v>
      </c>
      <c r="AF162" s="263">
        <f>IFERROR(__xludf.DUMMYFUNCTION("IFERROR(INDEX(IMPORTRANGE(""https://docs.google.com/spreadsheets/d/1fpsE_0655xguD48cGK6n1ZqSLnI-tw9aHzhbPM9kZ-k/edit#gid=0"", ""Monitoring Summary!E:E""),MATCH(D162,IMPORTRANGE(""https://docs.google.com/spreadsheets/d/1fpsE_0655xguD48cGK6n1ZqSLnI-tw9aHzhb"&amp;"PM9kZ-k/edit#gid=0"", ""Monitoring Summary!C:C""),0)),""Not Monitored"")"),0.0)</f>
        <v>0</v>
      </c>
      <c r="AG162" s="264">
        <f t="shared" si="1"/>
        <v>0</v>
      </c>
      <c r="AH162" s="265" t="s">
        <v>634</v>
      </c>
    </row>
    <row r="163" ht="15.75" customHeight="1">
      <c r="A163" s="544">
        <v>2020.0</v>
      </c>
      <c r="B163" s="545">
        <v>44104.0</v>
      </c>
      <c r="C163" s="570" t="s">
        <v>520</v>
      </c>
      <c r="D163" s="546" t="s">
        <v>635</v>
      </c>
      <c r="E163" s="544" t="s">
        <v>170</v>
      </c>
      <c r="F163" s="544" t="s">
        <v>161</v>
      </c>
      <c r="G163" s="544" t="s">
        <v>47</v>
      </c>
      <c r="H163" s="544">
        <v>500.0</v>
      </c>
      <c r="I163" s="547" t="s">
        <v>423</v>
      </c>
      <c r="J163" s="548">
        <v>24.47732</v>
      </c>
      <c r="K163" s="548">
        <v>-81.731</v>
      </c>
      <c r="L163" s="549"/>
      <c r="M163" s="294">
        <v>44134.0</v>
      </c>
      <c r="N163" s="295">
        <v>1.0</v>
      </c>
      <c r="O163" s="296">
        <v>0.0</v>
      </c>
      <c r="P163" s="296">
        <v>0.0</v>
      </c>
      <c r="Q163" s="296">
        <v>1.0</v>
      </c>
      <c r="R163" s="296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95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50">
        <v>44440.0</v>
      </c>
      <c r="U163" s="471">
        <v>0.804</v>
      </c>
      <c r="V163" s="298">
        <v>0.07200000000000001</v>
      </c>
      <c r="W163" s="298">
        <v>0.124</v>
      </c>
      <c r="X163" s="298">
        <v>0.97</v>
      </c>
      <c r="Y163" s="371">
        <v>45183.0</v>
      </c>
      <c r="Z163" s="300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301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299"/>
      <c r="AC163" s="300"/>
      <c r="AD163" s="301"/>
      <c r="AE163" s="262">
        <f>IFERROR(__xludf.DUMMYFUNCTION("IFERROR(INDEX(IMPORTRANGE(""https://docs.google.com/spreadsheets/d/1fpsE_0655xguD48cGK6n1ZqSLnI-tw9aHzhbPM9kZ-k/edit#gid=0"", ""Monitoring Summary!B:B""),MATCH(D163,IMPORTRANGE(""https://docs.google.com/spreadsheets/d/1fpsE_0655xguD48cGK6n1ZqSLnI-tw9aHzhb"&amp;"PM9kZ-k/edit#gid=0"", ""Monitoring Summary!C:C""),0)),""Not Monitored"")"),45240.0)</f>
        <v>45240</v>
      </c>
      <c r="AF163" s="263">
        <f>IFERROR(__xludf.DUMMYFUNCTION("IFERROR(INDEX(IMPORTRANGE(""https://docs.google.com/spreadsheets/d/1fpsE_0655xguD48cGK6n1ZqSLnI-tw9aHzhbPM9kZ-k/edit#gid=0"", ""Monitoring Summary!E:E""),MATCH(D163,IMPORTRANGE(""https://docs.google.com/spreadsheets/d/1fpsE_0655xguD48cGK6n1ZqSLnI-tw9aHzhb"&amp;"PM9kZ-k/edit#gid=0"", ""Monitoring Summary!C:C""),0)),""Not Monitored"")"),0.0)</f>
        <v>0</v>
      </c>
      <c r="AG163" s="264">
        <f t="shared" si="1"/>
        <v>0</v>
      </c>
      <c r="AH163" s="265" t="s">
        <v>636</v>
      </c>
    </row>
    <row r="164" ht="15.75" customHeight="1">
      <c r="A164" s="560">
        <v>2020.0</v>
      </c>
      <c r="B164" s="561">
        <v>44105.0</v>
      </c>
      <c r="C164" s="560" t="s">
        <v>586</v>
      </c>
      <c r="D164" s="562" t="s">
        <v>637</v>
      </c>
      <c r="E164" s="560" t="s">
        <v>170</v>
      </c>
      <c r="F164" s="560" t="s">
        <v>161</v>
      </c>
      <c r="G164" s="560" t="s">
        <v>47</v>
      </c>
      <c r="H164" s="560">
        <v>500.0</v>
      </c>
      <c r="I164" s="564" t="s">
        <v>299</v>
      </c>
      <c r="J164" s="565">
        <v>24.53332</v>
      </c>
      <c r="K164" s="565">
        <v>-81.46913</v>
      </c>
      <c r="L164" s="571"/>
      <c r="M164" s="550">
        <v>44134.0</v>
      </c>
      <c r="N164" s="567">
        <v>0.996</v>
      </c>
      <c r="O164" s="296">
        <v>0.002</v>
      </c>
      <c r="P164" s="296">
        <v>0.002</v>
      </c>
      <c r="Q164" s="296">
        <v>1.0</v>
      </c>
      <c r="R164" s="296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95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572">
        <v>44466.0</v>
      </c>
      <c r="U164" s="569">
        <v>0.85</v>
      </c>
      <c r="V164" s="298">
        <v>0.014</v>
      </c>
      <c r="W164" s="298">
        <v>0.136</v>
      </c>
      <c r="X164" s="298">
        <v>1.0</v>
      </c>
      <c r="Y164" s="371"/>
      <c r="Z164" s="300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301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299"/>
      <c r="AC164" s="300"/>
      <c r="AD164" s="301"/>
      <c r="AE164" s="262">
        <f>IFERROR(__xludf.DUMMYFUNCTION("IFERROR(INDEX(IMPORTRANGE(""https://docs.google.com/spreadsheets/d/1fpsE_0655xguD48cGK6n1ZqSLnI-tw9aHzhbPM9kZ-k/edit#gid=0"", ""Monitoring Summary!B:B""),MATCH(D164,IMPORTRANGE(""https://docs.google.com/spreadsheets/d/1fpsE_0655xguD48cGK6n1ZqSLnI-tw9aHzhb"&amp;"PM9kZ-k/edit#gid=0"", ""Monitoring Summary!C:C""),0)),""Not Monitored"")"),45238.0)</f>
        <v>45238</v>
      </c>
      <c r="AF164" s="263">
        <f>IFERROR(__xludf.DUMMYFUNCTION("IFERROR(INDEX(IMPORTRANGE(""https://docs.google.com/spreadsheets/d/1fpsE_0655xguD48cGK6n1ZqSLnI-tw9aHzhbPM9kZ-k/edit#gid=0"", ""Monitoring Summary!E:E""),MATCH(D164,IMPORTRANGE(""https://docs.google.com/spreadsheets/d/1fpsE_0655xguD48cGK6n1ZqSLnI-tw9aHzhb"&amp;"PM9kZ-k/edit#gid=0"", ""Monitoring Summary!C:C""),0)),""Not Monitored"")"),0.0)</f>
        <v>0</v>
      </c>
      <c r="AG164" s="264">
        <f t="shared" si="1"/>
        <v>0</v>
      </c>
      <c r="AH164" s="265" t="s">
        <v>638</v>
      </c>
    </row>
    <row r="165" ht="15.75" customHeight="1">
      <c r="A165" s="531">
        <v>2020.0</v>
      </c>
      <c r="B165" s="532">
        <v>44117.0</v>
      </c>
      <c r="C165" s="531" t="s">
        <v>608</v>
      </c>
      <c r="D165" s="533" t="s">
        <v>639</v>
      </c>
      <c r="E165" s="533" t="s">
        <v>170</v>
      </c>
      <c r="F165" s="531" t="s">
        <v>161</v>
      </c>
      <c r="G165" s="531" t="s">
        <v>65</v>
      </c>
      <c r="H165" s="531">
        <v>500.0</v>
      </c>
      <c r="I165" s="534" t="s">
        <v>290</v>
      </c>
      <c r="J165" s="535">
        <v>24.45158</v>
      </c>
      <c r="K165" s="535">
        <v>-81.88577</v>
      </c>
      <c r="L165" s="573" t="s">
        <v>640</v>
      </c>
      <c r="M165" s="459">
        <v>44163.0</v>
      </c>
      <c r="N165" s="567">
        <v>0.916</v>
      </c>
      <c r="O165" s="296">
        <v>0.002</v>
      </c>
      <c r="P165" s="296">
        <v>0.082</v>
      </c>
      <c r="Q165" s="296">
        <v>1.0</v>
      </c>
      <c r="R165" s="296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95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294">
        <v>44477.0</v>
      </c>
      <c r="U165" s="569">
        <v>0.848</v>
      </c>
      <c r="V165" s="298">
        <v>0.034</v>
      </c>
      <c r="W165" s="298">
        <v>0.118</v>
      </c>
      <c r="X165" s="298">
        <v>1.0</v>
      </c>
      <c r="Y165" s="371">
        <v>45209.0</v>
      </c>
      <c r="Z165" s="300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301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299"/>
      <c r="AC165" s="300"/>
      <c r="AD165" s="301"/>
      <c r="AE165" s="328">
        <f>IFERROR(__xludf.DUMMYFUNCTION("IFERROR(INDEX(IMPORTRANGE(""https://docs.google.com/spreadsheets/d/1fpsE_0655xguD48cGK6n1ZqSLnI-tw9aHzhbPM9kZ-k/edit#gid=0"", ""Monitoring Summary!B:B""),MATCH(D165,IMPORTRANGE(""https://docs.google.com/spreadsheets/d/1fpsE_0655xguD48cGK6n1ZqSLnI-tw9aHzhb"&amp;"PM9kZ-k/edit#gid=0"", ""Monitoring Summary!C:C""),0)),""Not Monitored"")"),45307.0)</f>
        <v>45307</v>
      </c>
      <c r="AF165" s="329">
        <f>IFERROR(__xludf.DUMMYFUNCTION("IFERROR(INDEX(IMPORTRANGE(""https://docs.google.com/spreadsheets/d/1fpsE_0655xguD48cGK6n1ZqSLnI-tw9aHzhbPM9kZ-k/edit#gid=0"", ""Monitoring Summary!E:E""),MATCH(D165,IMPORTRANGE(""https://docs.google.com/spreadsheets/d/1fpsE_0655xguD48cGK6n1ZqSLnI-tw9aHzhb"&amp;"PM9kZ-k/edit#gid=0"", ""Monitoring Summary!C:C""),0)),""Not Monitored"")"),0.0)</f>
        <v>0</v>
      </c>
      <c r="AG165" s="330">
        <f t="shared" si="1"/>
        <v>0</v>
      </c>
      <c r="AH165" s="331" t="s">
        <v>641</v>
      </c>
    </row>
    <row r="166" ht="15.75" customHeight="1">
      <c r="A166" s="537">
        <v>2020.0</v>
      </c>
      <c r="B166" s="538">
        <v>44119.0</v>
      </c>
      <c r="C166" s="537" t="s">
        <v>642</v>
      </c>
      <c r="D166" s="551" t="s">
        <v>643</v>
      </c>
      <c r="E166" s="539" t="s">
        <v>170</v>
      </c>
      <c r="F166" s="537" t="s">
        <v>161</v>
      </c>
      <c r="G166" s="537" t="s">
        <v>65</v>
      </c>
      <c r="H166" s="537">
        <v>500.0</v>
      </c>
      <c r="I166" s="552" t="s">
        <v>517</v>
      </c>
      <c r="J166" s="541">
        <v>24.44458</v>
      </c>
      <c r="K166" s="541">
        <v>-81.92815</v>
      </c>
      <c r="L166" s="574" t="s">
        <v>640</v>
      </c>
      <c r="M166" s="350">
        <v>44164.0</v>
      </c>
      <c r="N166" s="575">
        <v>0.914</v>
      </c>
      <c r="O166" s="256">
        <v>0.002</v>
      </c>
      <c r="P166" s="256">
        <v>0.084</v>
      </c>
      <c r="Q166" s="256">
        <v>1.0</v>
      </c>
      <c r="R166" s="256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55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71">
        <v>44477.0</v>
      </c>
      <c r="U166" s="576">
        <v>0.9</v>
      </c>
      <c r="V166" s="258">
        <v>0.004</v>
      </c>
      <c r="W166" s="258">
        <v>0.096</v>
      </c>
      <c r="X166" s="258">
        <v>0.99</v>
      </c>
      <c r="Y166" s="360">
        <v>45204.0</v>
      </c>
      <c r="Z166" s="260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261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259"/>
      <c r="AC166" s="260"/>
      <c r="AD166" s="261"/>
      <c r="AE166" s="262">
        <f>IFERROR(__xludf.DUMMYFUNCTION("IFERROR(INDEX(IMPORTRANGE(""https://docs.google.com/spreadsheets/d/1fpsE_0655xguD48cGK6n1ZqSLnI-tw9aHzhbPM9kZ-k/edit#gid=0"", ""Monitoring Summary!B:B""),MATCH(D166,IMPORTRANGE(""https://docs.google.com/spreadsheets/d/1fpsE_0655xguD48cGK6n1ZqSLnI-tw9aHzhb"&amp;"PM9kZ-k/edit#gid=0"", ""Monitoring Summary!C:C""),0)),""Not Monitored"")"),45204.0)</f>
        <v>45204</v>
      </c>
      <c r="AF166" s="263">
        <f>IFERROR(__xludf.DUMMYFUNCTION("IFERROR(INDEX(IMPORTRANGE(""https://docs.google.com/spreadsheets/d/1fpsE_0655xguD48cGK6n1ZqSLnI-tw9aHzhbPM9kZ-k/edit#gid=0"", ""Monitoring Summary!E:E""),MATCH(D166,IMPORTRANGE(""https://docs.google.com/spreadsheets/d/1fpsE_0655xguD48cGK6n1ZqSLnI-tw9aHzhb"&amp;"PM9kZ-k/edit#gid=0"", ""Monitoring Summary!C:C""),0)),""Not Monitored"")"),36.0)</f>
        <v>36</v>
      </c>
      <c r="AG166" s="264">
        <f t="shared" si="1"/>
        <v>0.072</v>
      </c>
      <c r="AH166" s="265" t="s">
        <v>644</v>
      </c>
    </row>
    <row r="167" ht="15.75" customHeight="1">
      <c r="A167" s="577">
        <v>2020.0</v>
      </c>
      <c r="B167" s="578">
        <v>44175.0</v>
      </c>
      <c r="C167" s="577" t="s">
        <v>577</v>
      </c>
      <c r="D167" s="579" t="s">
        <v>645</v>
      </c>
      <c r="E167" s="579" t="s">
        <v>170</v>
      </c>
      <c r="F167" s="577" t="s">
        <v>146</v>
      </c>
      <c r="G167" s="577" t="s">
        <v>51</v>
      </c>
      <c r="H167" s="577">
        <v>250.0</v>
      </c>
      <c r="I167" s="580" t="s">
        <v>249</v>
      </c>
      <c r="J167" s="581">
        <v>24.5274</v>
      </c>
      <c r="K167" s="581">
        <v>-81.49897</v>
      </c>
      <c r="L167" s="582"/>
      <c r="M167" s="350">
        <v>44214.0</v>
      </c>
      <c r="N167" s="575">
        <v>0.976</v>
      </c>
      <c r="O167" s="256">
        <v>0.0</v>
      </c>
      <c r="P167" s="256">
        <v>0.024</v>
      </c>
      <c r="Q167" s="256">
        <v>1.0</v>
      </c>
      <c r="R167" s="256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55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271">
        <v>44530.0</v>
      </c>
      <c r="U167" s="576">
        <v>0.9</v>
      </c>
      <c r="V167" s="258">
        <v>0.004</v>
      </c>
      <c r="W167" s="258">
        <v>0.096</v>
      </c>
      <c r="X167" s="258">
        <v>1.0</v>
      </c>
      <c r="Y167" s="259" t="s">
        <v>430</v>
      </c>
      <c r="Z167" s="260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261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259"/>
      <c r="AC167" s="260"/>
      <c r="AD167" s="261"/>
      <c r="AE167" s="262" t="str">
        <f>IFERROR(__xludf.DUMMYFUNCTION("IFERROR(INDEX(IMPORTRANGE(""https://docs.google.com/spreadsheets/d/1fpsE_0655xguD48cGK6n1ZqSLnI-tw9aHzhbPM9kZ-k/edit#gid=0"", ""Monitoring Summary!B:B""),MATCH(D167,IMPORTRANGE(""https://docs.google.com/spreadsheets/d/1fpsE_0655xguD48cGK6n1ZqSLnI-tw9aHzhb"&amp;"PM9kZ-k/edit#gid=0"", ""Monitoring Summary!C:C""),0)),""Not Monitored"")"),"Not Monitored")</f>
        <v>Not Monitored</v>
      </c>
      <c r="AF167" s="263" t="str">
        <f>IFERROR(__xludf.DUMMYFUNCTION("IFERROR(INDEX(IMPORTRANGE(""https://docs.google.com/spreadsheets/d/1fpsE_0655xguD48cGK6n1ZqSLnI-tw9aHzhbPM9kZ-k/edit#gid=0"", ""Monitoring Summary!E:E""),MATCH(D167,IMPORTRANGE(""https://docs.google.com/spreadsheets/d/1fpsE_0655xguD48cGK6n1ZqSLnI-tw9aHzhb"&amp;"PM9kZ-k/edit#gid=0"", ""Monitoring Summary!C:C""),0)),""Not Monitored"")"),"Not Monitored")</f>
        <v>Not Monitored</v>
      </c>
      <c r="AG167" s="264" t="str">
        <f t="shared" si="1"/>
        <v>Not Monitored</v>
      </c>
      <c r="AH167" s="265" t="s">
        <v>646</v>
      </c>
    </row>
    <row r="168" ht="15.75" customHeight="1">
      <c r="A168" s="577">
        <v>2020.0</v>
      </c>
      <c r="B168" s="578">
        <v>44175.0</v>
      </c>
      <c r="C168" s="577" t="s">
        <v>428</v>
      </c>
      <c r="D168" s="583" t="s">
        <v>647</v>
      </c>
      <c r="E168" s="579" t="s">
        <v>170</v>
      </c>
      <c r="F168" s="577" t="s">
        <v>146</v>
      </c>
      <c r="G168" s="577" t="s">
        <v>51</v>
      </c>
      <c r="H168" s="577">
        <v>250.0</v>
      </c>
      <c r="I168" s="580" t="s">
        <v>249</v>
      </c>
      <c r="J168" s="581">
        <v>24.53116</v>
      </c>
      <c r="K168" s="581">
        <v>-81.48455</v>
      </c>
      <c r="L168" s="582"/>
      <c r="M168" s="350">
        <v>44208.0</v>
      </c>
      <c r="N168" s="575">
        <v>0.948</v>
      </c>
      <c r="O168" s="256">
        <v>0.012</v>
      </c>
      <c r="P168" s="256">
        <v>0.04</v>
      </c>
      <c r="Q168" s="256">
        <v>1.0</v>
      </c>
      <c r="R168" s="256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55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271">
        <v>44530.0</v>
      </c>
      <c r="U168" s="576">
        <v>0.888</v>
      </c>
      <c r="V168" s="258">
        <v>0.024</v>
      </c>
      <c r="W168" s="258">
        <v>0.088</v>
      </c>
      <c r="X168" s="258">
        <v>1.0</v>
      </c>
      <c r="Y168" s="259" t="s">
        <v>430</v>
      </c>
      <c r="Z168" s="260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261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259"/>
      <c r="AC168" s="260"/>
      <c r="AD168" s="261"/>
      <c r="AE168" s="262" t="str">
        <f>IFERROR(__xludf.DUMMYFUNCTION("IFERROR(INDEX(IMPORTRANGE(""https://docs.google.com/spreadsheets/d/1fpsE_0655xguD48cGK6n1ZqSLnI-tw9aHzhbPM9kZ-k/edit#gid=0"", ""Monitoring Summary!B:B""),MATCH(D168,IMPORTRANGE(""https://docs.google.com/spreadsheets/d/1fpsE_0655xguD48cGK6n1ZqSLnI-tw9aHzhb"&amp;"PM9kZ-k/edit#gid=0"", ""Monitoring Summary!C:C""),0)),""Not Monitored"")"),"Not Monitored")</f>
        <v>Not Monitored</v>
      </c>
      <c r="AF168" s="263" t="str">
        <f>IFERROR(__xludf.DUMMYFUNCTION("IFERROR(INDEX(IMPORTRANGE(""https://docs.google.com/spreadsheets/d/1fpsE_0655xguD48cGK6n1ZqSLnI-tw9aHzhbPM9kZ-k/edit#gid=0"", ""Monitoring Summary!E:E""),MATCH(D168,IMPORTRANGE(""https://docs.google.com/spreadsheets/d/1fpsE_0655xguD48cGK6n1ZqSLnI-tw9aHzhb"&amp;"PM9kZ-k/edit#gid=0"", ""Monitoring Summary!C:C""),0)),""Not Monitored"")"),"Not Monitored")</f>
        <v>Not Monitored</v>
      </c>
      <c r="AG168" s="264" t="str">
        <f t="shared" si="1"/>
        <v>Not Monitored</v>
      </c>
      <c r="AH168" s="265" t="s">
        <v>648</v>
      </c>
    </row>
    <row r="169" ht="15.75" customHeight="1">
      <c r="A169" s="524">
        <v>2020.0</v>
      </c>
      <c r="B169" s="525">
        <v>44175.0</v>
      </c>
      <c r="C169" s="524" t="s">
        <v>275</v>
      </c>
      <c r="D169" s="526" t="s">
        <v>649</v>
      </c>
      <c r="E169" s="526" t="s">
        <v>170</v>
      </c>
      <c r="F169" s="524" t="s">
        <v>146</v>
      </c>
      <c r="G169" s="524" t="s">
        <v>51</v>
      </c>
      <c r="H169" s="524">
        <v>250.0</v>
      </c>
      <c r="I169" s="527" t="s">
        <v>249</v>
      </c>
      <c r="J169" s="528">
        <v>24.54045</v>
      </c>
      <c r="K169" s="528">
        <v>-81.44542</v>
      </c>
      <c r="L169" s="530"/>
      <c r="M169" s="459">
        <v>44208.0</v>
      </c>
      <c r="N169" s="567">
        <v>0.9319999999999999</v>
      </c>
      <c r="O169" s="296">
        <v>0.064</v>
      </c>
      <c r="P169" s="296">
        <v>0.004</v>
      </c>
      <c r="Q169" s="296">
        <v>1.0</v>
      </c>
      <c r="R169" s="296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95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294">
        <v>44530.0</v>
      </c>
      <c r="U169" s="569">
        <v>0.848</v>
      </c>
      <c r="V169" s="298">
        <v>0.0</v>
      </c>
      <c r="W169" s="298">
        <v>0.152</v>
      </c>
      <c r="X169" s="298">
        <v>1.0</v>
      </c>
      <c r="Y169" s="299"/>
      <c r="Z169" s="300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301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299"/>
      <c r="AC169" s="300"/>
      <c r="AD169" s="301"/>
      <c r="AE169" s="262">
        <f>IFERROR(__xludf.DUMMYFUNCTION("IFERROR(INDEX(IMPORTRANGE(""https://docs.google.com/spreadsheets/d/1fpsE_0655xguD48cGK6n1ZqSLnI-tw9aHzhbPM9kZ-k/edit#gid=0"", ""Monitoring Summary!B:B""),MATCH(D169,IMPORTRANGE(""https://docs.google.com/spreadsheets/d/1fpsE_0655xguD48cGK6n1ZqSLnI-tw9aHzhb"&amp;"PM9kZ-k/edit#gid=0"", ""Monitoring Summary!C:C""),0)),""Not Monitored"")"),45198.0)</f>
        <v>45198</v>
      </c>
      <c r="AF169" s="263">
        <f>IFERROR(__xludf.DUMMYFUNCTION("IFERROR(INDEX(IMPORTRANGE(""https://docs.google.com/spreadsheets/d/1fpsE_0655xguD48cGK6n1ZqSLnI-tw9aHzhbPM9kZ-k/edit#gid=0"", ""Monitoring Summary!E:E""),MATCH(D169,IMPORTRANGE(""https://docs.google.com/spreadsheets/d/1fpsE_0655xguD48cGK6n1ZqSLnI-tw9aHzhb"&amp;"PM9kZ-k/edit#gid=0"", ""Monitoring Summary!C:C""),0)),""Not Monitored"")"),0.0)</f>
        <v>0</v>
      </c>
      <c r="AG169" s="264">
        <f t="shared" si="1"/>
        <v>0</v>
      </c>
      <c r="AH169" s="265" t="s">
        <v>650</v>
      </c>
    </row>
    <row r="170" ht="15.75" customHeight="1">
      <c r="A170" s="524">
        <v>2020.0</v>
      </c>
      <c r="B170" s="525">
        <v>44176.0</v>
      </c>
      <c r="C170" s="524" t="s">
        <v>172</v>
      </c>
      <c r="D170" s="526" t="s">
        <v>651</v>
      </c>
      <c r="E170" s="526" t="s">
        <v>244</v>
      </c>
      <c r="F170" s="524" t="s">
        <v>186</v>
      </c>
      <c r="G170" s="524" t="s">
        <v>51</v>
      </c>
      <c r="H170" s="524">
        <v>500.0</v>
      </c>
      <c r="I170" s="527" t="s">
        <v>652</v>
      </c>
      <c r="J170" s="528">
        <v>24.55321</v>
      </c>
      <c r="K170" s="528">
        <v>-81.37908</v>
      </c>
      <c r="L170" s="530"/>
      <c r="M170" s="459">
        <v>44208.0</v>
      </c>
      <c r="N170" s="567">
        <v>0.852</v>
      </c>
      <c r="O170" s="296">
        <v>0.006</v>
      </c>
      <c r="P170" s="296">
        <v>0.142</v>
      </c>
      <c r="Q170" s="296">
        <v>1.0</v>
      </c>
      <c r="R170" s="296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95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294">
        <v>44519.0</v>
      </c>
      <c r="U170" s="569">
        <v>0.622</v>
      </c>
      <c r="V170" s="298">
        <v>0.16</v>
      </c>
      <c r="W170" s="298">
        <v>0.218</v>
      </c>
      <c r="X170" s="298">
        <v>0.86</v>
      </c>
      <c r="Y170" s="299"/>
      <c r="Z170" s="300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301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299"/>
      <c r="AC170" s="300"/>
      <c r="AD170" s="301"/>
      <c r="AE170" s="262">
        <f>IFERROR(__xludf.DUMMYFUNCTION("IFERROR(INDEX(IMPORTRANGE(""https://docs.google.com/spreadsheets/d/1fpsE_0655xguD48cGK6n1ZqSLnI-tw9aHzhbPM9kZ-k/edit#gid=0"", ""Monitoring Summary!B:B""),MATCH(D170,IMPORTRANGE(""https://docs.google.com/spreadsheets/d/1fpsE_0655xguD48cGK6n1ZqSLnI-tw9aHzhb"&amp;"PM9kZ-k/edit#gid=0"", ""Monitoring Summary!C:C""),0)),""Not Monitored"")"),45239.0)</f>
        <v>45239</v>
      </c>
      <c r="AF170" s="263">
        <f>IFERROR(__xludf.DUMMYFUNCTION("IFERROR(INDEX(IMPORTRANGE(""https://docs.google.com/spreadsheets/d/1fpsE_0655xguD48cGK6n1ZqSLnI-tw9aHzhbPM9kZ-k/edit#gid=0"", ""Monitoring Summary!E:E""),MATCH(D170,IMPORTRANGE(""https://docs.google.com/spreadsheets/d/1fpsE_0655xguD48cGK6n1ZqSLnI-tw9aHzhb"&amp;"PM9kZ-k/edit#gid=0"", ""Monitoring Summary!C:C""),0)),""Not Monitored"")"),0.0)</f>
        <v>0</v>
      </c>
      <c r="AG170" s="264">
        <f t="shared" si="1"/>
        <v>0</v>
      </c>
      <c r="AH170" s="265" t="s">
        <v>653</v>
      </c>
    </row>
    <row r="171" ht="15.75" customHeight="1">
      <c r="A171" s="531">
        <v>2020.0</v>
      </c>
      <c r="B171" s="532">
        <v>44176.0</v>
      </c>
      <c r="C171" s="531" t="s">
        <v>586</v>
      </c>
      <c r="D171" s="533" t="s">
        <v>654</v>
      </c>
      <c r="E171" s="533" t="s">
        <v>170</v>
      </c>
      <c r="F171" s="531" t="s">
        <v>161</v>
      </c>
      <c r="G171" s="531" t="s">
        <v>65</v>
      </c>
      <c r="H171" s="531">
        <v>500.0</v>
      </c>
      <c r="I171" s="534" t="s">
        <v>423</v>
      </c>
      <c r="J171" s="535">
        <v>24.53398</v>
      </c>
      <c r="K171" s="535">
        <v>-81.47801</v>
      </c>
      <c r="L171" s="536"/>
      <c r="M171" s="459">
        <v>43841.0</v>
      </c>
      <c r="N171" s="567">
        <v>0.888</v>
      </c>
      <c r="O171" s="296">
        <v>0.002</v>
      </c>
      <c r="P171" s="296">
        <v>0.11</v>
      </c>
      <c r="Q171" s="296">
        <v>0.99</v>
      </c>
      <c r="R171" s="296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95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294">
        <v>44509.0</v>
      </c>
      <c r="U171" s="569">
        <v>0.748</v>
      </c>
      <c r="V171" s="298">
        <v>0.028</v>
      </c>
      <c r="W171" s="298">
        <v>0.224</v>
      </c>
      <c r="X171" s="298">
        <v>0.99</v>
      </c>
      <c r="Y171" s="299"/>
      <c r="Z171" s="300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301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299"/>
      <c r="AC171" s="300"/>
      <c r="AD171" s="301"/>
      <c r="AE171" s="262">
        <f>IFERROR(__xludf.DUMMYFUNCTION("IFERROR(INDEX(IMPORTRANGE(""https://docs.google.com/spreadsheets/d/1fpsE_0655xguD48cGK6n1ZqSLnI-tw9aHzhbPM9kZ-k/edit#gid=0"", ""Monitoring Summary!B:B""),MATCH(D171,IMPORTRANGE(""https://docs.google.com/spreadsheets/d/1fpsE_0655xguD48cGK6n1ZqSLnI-tw9aHzhb"&amp;"PM9kZ-k/edit#gid=0"", ""Monitoring Summary!C:C""),0)),""Not Monitored"")"),45238.0)</f>
        <v>45238</v>
      </c>
      <c r="AF171" s="263">
        <f>IFERROR(__xludf.DUMMYFUNCTION("IFERROR(INDEX(IMPORTRANGE(""https://docs.google.com/spreadsheets/d/1fpsE_0655xguD48cGK6n1ZqSLnI-tw9aHzhbPM9kZ-k/edit#gid=0"", ""Monitoring Summary!E:E""),MATCH(D171,IMPORTRANGE(""https://docs.google.com/spreadsheets/d/1fpsE_0655xguD48cGK6n1ZqSLnI-tw9aHzhb"&amp;"PM9kZ-k/edit#gid=0"", ""Monitoring Summary!C:C""),0)),""Not Monitored"")"),0.0)</f>
        <v>0</v>
      </c>
      <c r="AG171" s="264">
        <f t="shared" si="1"/>
        <v>0</v>
      </c>
      <c r="AH171" s="265" t="s">
        <v>655</v>
      </c>
    </row>
    <row r="172" ht="15.75" customHeight="1">
      <c r="A172" s="531">
        <v>2020.0</v>
      </c>
      <c r="B172" s="532">
        <v>44179.0</v>
      </c>
      <c r="C172" s="531" t="s">
        <v>608</v>
      </c>
      <c r="D172" s="533" t="s">
        <v>656</v>
      </c>
      <c r="E172" s="533" t="s">
        <v>170</v>
      </c>
      <c r="F172" s="531" t="s">
        <v>161</v>
      </c>
      <c r="G172" s="531" t="s">
        <v>65</v>
      </c>
      <c r="H172" s="531">
        <v>500.0</v>
      </c>
      <c r="I172" s="534" t="s">
        <v>299</v>
      </c>
      <c r="J172" s="535">
        <v>24.45157</v>
      </c>
      <c r="K172" s="535">
        <v>-81.88548</v>
      </c>
      <c r="L172" s="536"/>
      <c r="M172" s="459">
        <v>44202.0</v>
      </c>
      <c r="N172" s="567">
        <v>0.982</v>
      </c>
      <c r="O172" s="296">
        <v>0.002</v>
      </c>
      <c r="P172" s="296">
        <v>0.016</v>
      </c>
      <c r="Q172" s="296">
        <v>1.0</v>
      </c>
      <c r="R172" s="296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95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294">
        <v>44522.0</v>
      </c>
      <c r="U172" s="569">
        <v>0.646</v>
      </c>
      <c r="V172" s="298">
        <v>0.276</v>
      </c>
      <c r="W172" s="298">
        <v>0.078</v>
      </c>
      <c r="X172" s="298">
        <v>0.85</v>
      </c>
      <c r="Y172" s="299"/>
      <c r="Z172" s="300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301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299"/>
      <c r="AC172" s="300"/>
      <c r="AD172" s="301"/>
      <c r="AE172" s="328">
        <f>IFERROR(__xludf.DUMMYFUNCTION("IFERROR(INDEX(IMPORTRANGE(""https://docs.google.com/spreadsheets/d/1fpsE_0655xguD48cGK6n1ZqSLnI-tw9aHzhbPM9kZ-k/edit#gid=0"", ""Monitoring Summary!B:B""),MATCH(D172,IMPORTRANGE(""https://docs.google.com/spreadsheets/d/1fpsE_0655xguD48cGK6n1ZqSLnI-tw9aHzhb"&amp;"PM9kZ-k/edit#gid=0"", ""Monitoring Summary!C:C""),0)),""Not Monitored"")"),45307.0)</f>
        <v>45307</v>
      </c>
      <c r="AF172" s="329">
        <f>IFERROR(__xludf.DUMMYFUNCTION("IFERROR(INDEX(IMPORTRANGE(""https://docs.google.com/spreadsheets/d/1fpsE_0655xguD48cGK6n1ZqSLnI-tw9aHzhbPM9kZ-k/edit#gid=0"", ""Monitoring Summary!E:E""),MATCH(D172,IMPORTRANGE(""https://docs.google.com/spreadsheets/d/1fpsE_0655xguD48cGK6n1ZqSLnI-tw9aHzhb"&amp;"PM9kZ-k/edit#gid=0"", ""Monitoring Summary!C:C""),0)),""Not Monitored"")"),0.0)</f>
        <v>0</v>
      </c>
      <c r="AG172" s="330">
        <f t="shared" si="1"/>
        <v>0</v>
      </c>
      <c r="AH172" s="331" t="s">
        <v>657</v>
      </c>
    </row>
    <row r="173" ht="15.75" customHeight="1">
      <c r="A173" s="531">
        <v>2020.0</v>
      </c>
      <c r="B173" s="532">
        <v>44180.0</v>
      </c>
      <c r="C173" s="531" t="s">
        <v>642</v>
      </c>
      <c r="D173" s="533" t="s">
        <v>658</v>
      </c>
      <c r="E173" s="533" t="s">
        <v>170</v>
      </c>
      <c r="F173" s="531" t="s">
        <v>161</v>
      </c>
      <c r="G173" s="531" t="s">
        <v>65</v>
      </c>
      <c r="H173" s="531">
        <v>500.0</v>
      </c>
      <c r="I173" s="534" t="s">
        <v>290</v>
      </c>
      <c r="J173" s="535">
        <v>24.44467</v>
      </c>
      <c r="K173" s="535">
        <v>-81.92691</v>
      </c>
      <c r="L173" s="542"/>
      <c r="M173" s="350">
        <v>44202.0</v>
      </c>
      <c r="N173" s="575">
        <v>0.99</v>
      </c>
      <c r="O173" s="256">
        <v>0.004</v>
      </c>
      <c r="P173" s="256">
        <v>0.006</v>
      </c>
      <c r="Q173" s="256">
        <v>1.0</v>
      </c>
      <c r="R173" s="256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55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71">
        <v>44522.0</v>
      </c>
      <c r="U173" s="576">
        <v>0.8260000000000001</v>
      </c>
      <c r="V173" s="258">
        <v>0.146</v>
      </c>
      <c r="W173" s="258">
        <v>0.028</v>
      </c>
      <c r="X173" s="258">
        <v>0.99</v>
      </c>
      <c r="Y173" s="259" t="s">
        <v>430</v>
      </c>
      <c r="Z173" s="260" t="s">
        <v>430</v>
      </c>
      <c r="AA173" s="250" t="s">
        <v>430</v>
      </c>
      <c r="AB173" s="259" t="s">
        <v>430</v>
      </c>
      <c r="AC173" s="260"/>
      <c r="AD173" s="261"/>
      <c r="AE173" s="305">
        <f>IFERROR(__xludf.DUMMYFUNCTION("IFERROR(INDEX(IMPORTRANGE(""https://docs.google.com/spreadsheets/d/1fpsE_0655xguD48cGK6n1ZqSLnI-tw9aHzhbPM9kZ-k/edit#gid=0"", ""Monitoring Summary!B:B""),MATCH(D173,IMPORTRANGE(""https://docs.google.com/spreadsheets/d/1fpsE_0655xguD48cGK6n1ZqSLnI-tw9aHzhb"&amp;"PM9kZ-k/edit#gid=0"", ""Monitoring Summary!C:C""),0)),""Not Monitored"")"),45204.0)</f>
        <v>45204</v>
      </c>
      <c r="AF173" s="343">
        <f>IFERROR(__xludf.DUMMYFUNCTION("IFERROR(INDEX(IMPORTRANGE(""https://docs.google.com/spreadsheets/d/1fpsE_0655xguD48cGK6n1ZqSLnI-tw9aHzhbPM9kZ-k/edit#gid=0"", ""Monitoring Summary!E:E""),MATCH(D173,IMPORTRANGE(""https://docs.google.com/spreadsheets/d/1fpsE_0655xguD48cGK6n1ZqSLnI-tw9aHzhb"&amp;"PM9kZ-k/edit#gid=0"", ""Monitoring Summary!C:C""),0)),""Not Monitored"")"),0.0)</f>
        <v>0</v>
      </c>
      <c r="AG173" s="382">
        <f t="shared" si="1"/>
        <v>0</v>
      </c>
      <c r="AH173" s="265" t="s">
        <v>659</v>
      </c>
    </row>
    <row r="174" ht="15.75" customHeight="1">
      <c r="A174" s="554">
        <v>2020.0</v>
      </c>
      <c r="B174" s="555">
        <v>44182.0</v>
      </c>
      <c r="C174" s="554" t="s">
        <v>275</v>
      </c>
      <c r="D174" s="556" t="s">
        <v>660</v>
      </c>
      <c r="E174" s="556" t="s">
        <v>170</v>
      </c>
      <c r="F174" s="554" t="s">
        <v>146</v>
      </c>
      <c r="G174" s="554" t="s">
        <v>54</v>
      </c>
      <c r="H174" s="554">
        <v>45.0</v>
      </c>
      <c r="I174" s="557" t="s">
        <v>661</v>
      </c>
      <c r="J174" s="558">
        <v>24.54107</v>
      </c>
      <c r="K174" s="558">
        <v>-81.43526</v>
      </c>
      <c r="L174" s="559" t="s">
        <v>662</v>
      </c>
      <c r="M174" s="459">
        <v>44217.0</v>
      </c>
      <c r="N174" s="567">
        <v>0.7111111111111111</v>
      </c>
      <c r="O174" s="296">
        <v>0.0</v>
      </c>
      <c r="P174" s="296">
        <v>0.28888888888888886</v>
      </c>
      <c r="Q174" s="296">
        <v>0.7111111111111111</v>
      </c>
      <c r="R174" s="296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95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327" t="s">
        <v>149</v>
      </c>
      <c r="U174" s="569" t="s">
        <v>149</v>
      </c>
      <c r="V174" s="298" t="s">
        <v>149</v>
      </c>
      <c r="W174" s="298" t="s">
        <v>149</v>
      </c>
      <c r="X174" s="298" t="s">
        <v>149</v>
      </c>
      <c r="Y174" s="299"/>
      <c r="Z174" s="300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301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299"/>
      <c r="AC174" s="300"/>
      <c r="AD174" s="301"/>
      <c r="AE174" s="262">
        <f>IFERROR(__xludf.DUMMYFUNCTION("IFERROR(INDEX(IMPORTRANGE(""https://docs.google.com/spreadsheets/d/1fpsE_0655xguD48cGK6n1ZqSLnI-tw9aHzhbPM9kZ-k/edit#gid=0"", ""Monitoring Summary!B:B""),MATCH(D174,IMPORTRANGE(""https://docs.google.com/spreadsheets/d/1fpsE_0655xguD48cGK6n1ZqSLnI-tw9aHzhb"&amp;"PM9kZ-k/edit#gid=0"", ""Monitoring Summary!C:C""),0)),""Not Monitored"")"),45239.0)</f>
        <v>45239</v>
      </c>
      <c r="AF174" s="263">
        <f>IFERROR(__xludf.DUMMYFUNCTION("IFERROR(INDEX(IMPORTRANGE(""https://docs.google.com/spreadsheets/d/1fpsE_0655xguD48cGK6n1ZqSLnI-tw9aHzhbPM9kZ-k/edit#gid=0"", ""Monitoring Summary!E:E""),MATCH(D174,IMPORTRANGE(""https://docs.google.com/spreadsheets/d/1fpsE_0655xguD48cGK6n1ZqSLnI-tw9aHzhb"&amp;"PM9kZ-k/edit#gid=0"", ""Monitoring Summary!C:C""),0)),""Not Monitored"")"),0.0)</f>
        <v>0</v>
      </c>
      <c r="AG174" s="264">
        <f t="shared" si="1"/>
        <v>0</v>
      </c>
      <c r="AH174" s="265" t="s">
        <v>663</v>
      </c>
    </row>
    <row r="175" ht="15.75" customHeight="1">
      <c r="A175" s="584">
        <v>2020.0</v>
      </c>
      <c r="B175" s="585">
        <v>44186.0</v>
      </c>
      <c r="C175" s="584" t="s">
        <v>275</v>
      </c>
      <c r="D175" s="586" t="s">
        <v>664</v>
      </c>
      <c r="E175" s="586" t="s">
        <v>160</v>
      </c>
      <c r="F175" s="584" t="s">
        <v>161</v>
      </c>
      <c r="G175" s="584" t="s">
        <v>51</v>
      </c>
      <c r="H175" s="584">
        <v>275.0</v>
      </c>
      <c r="I175" s="587" t="s">
        <v>665</v>
      </c>
      <c r="J175" s="588">
        <v>24.54093</v>
      </c>
      <c r="K175" s="588">
        <v>-81.43539</v>
      </c>
      <c r="L175" s="589"/>
      <c r="M175" s="590">
        <v>44217.0</v>
      </c>
      <c r="N175" s="591">
        <v>0.9527272727272728</v>
      </c>
      <c r="O175" s="515">
        <v>0.0</v>
      </c>
      <c r="P175" s="515">
        <v>0.04727272727272727</v>
      </c>
      <c r="Q175" s="515">
        <v>1.0</v>
      </c>
      <c r="R175" s="296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95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513">
        <v>44540.0</v>
      </c>
      <c r="U175" s="592">
        <v>0.6072727272727273</v>
      </c>
      <c r="V175" s="517">
        <v>0.22181818181818183</v>
      </c>
      <c r="W175" s="517">
        <v>0.1709090909090909</v>
      </c>
      <c r="X175" s="517">
        <v>0.9090909090909091</v>
      </c>
      <c r="Y175" s="521"/>
      <c r="Z175" s="300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301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521"/>
      <c r="AC175" s="519"/>
      <c r="AD175" s="520"/>
      <c r="AE175" s="262">
        <f>IFERROR(__xludf.DUMMYFUNCTION("IFERROR(INDEX(IMPORTRANGE(""https://docs.google.com/spreadsheets/d/1fpsE_0655xguD48cGK6n1ZqSLnI-tw9aHzhbPM9kZ-k/edit#gid=0"", ""Monitoring Summary!B:B""),MATCH(D175,IMPORTRANGE(""https://docs.google.com/spreadsheets/d/1fpsE_0655xguD48cGK6n1ZqSLnI-tw9aHzhb"&amp;"PM9kZ-k/edit#gid=0"", ""Monitoring Summary!C:C""),0)),""Not Monitored"")"),45239.0)</f>
        <v>45239</v>
      </c>
      <c r="AF175" s="263">
        <f>IFERROR(__xludf.DUMMYFUNCTION("IFERROR(INDEX(IMPORTRANGE(""https://docs.google.com/spreadsheets/d/1fpsE_0655xguD48cGK6n1ZqSLnI-tw9aHzhbPM9kZ-k/edit#gid=0"", ""Monitoring Summary!E:E""),MATCH(D175,IMPORTRANGE(""https://docs.google.com/spreadsheets/d/1fpsE_0655xguD48cGK6n1ZqSLnI-tw9aHzhb"&amp;"PM9kZ-k/edit#gid=0"", ""Monitoring Summary!C:C""),0)),""Not Monitored"")"),0.0)</f>
        <v>0</v>
      </c>
      <c r="AG175" s="264">
        <f t="shared" si="1"/>
        <v>0</v>
      </c>
      <c r="AH175" s="265" t="s">
        <v>666</v>
      </c>
    </row>
    <row r="176" ht="15.75" customHeight="1">
      <c r="A176" s="531">
        <v>2021.0</v>
      </c>
      <c r="B176" s="532">
        <v>44208.0</v>
      </c>
      <c r="C176" s="531" t="s">
        <v>275</v>
      </c>
      <c r="D176" s="533" t="s">
        <v>667</v>
      </c>
      <c r="E176" s="533" t="s">
        <v>170</v>
      </c>
      <c r="F176" s="531" t="s">
        <v>161</v>
      </c>
      <c r="G176" s="531" t="s">
        <v>65</v>
      </c>
      <c r="H176" s="531">
        <v>500.0</v>
      </c>
      <c r="I176" s="534" t="s">
        <v>612</v>
      </c>
      <c r="J176" s="535">
        <v>24.54112</v>
      </c>
      <c r="K176" s="535">
        <v>-81.43484</v>
      </c>
      <c r="L176" s="573"/>
      <c r="M176" s="459">
        <v>44244.0</v>
      </c>
      <c r="N176" s="567">
        <v>0.992</v>
      </c>
      <c r="O176" s="296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96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96">
        <v>1.0</v>
      </c>
      <c r="R176" s="296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95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294">
        <v>44540.0</v>
      </c>
      <c r="U176" s="569">
        <v>0.838</v>
      </c>
      <c r="V176" s="298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298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298">
        <v>0.99</v>
      </c>
      <c r="Y176" s="299"/>
      <c r="Z176" s="300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301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299"/>
      <c r="AC176" s="300"/>
      <c r="AD176" s="301"/>
      <c r="AE176" s="262">
        <f>IFERROR(__xludf.DUMMYFUNCTION("IFERROR(INDEX(IMPORTRANGE(""https://docs.google.com/spreadsheets/d/1fpsE_0655xguD48cGK6n1ZqSLnI-tw9aHzhbPM9kZ-k/edit#gid=0"", ""Monitoring Summary!B:B""),MATCH(D176,IMPORTRANGE(""https://docs.google.com/spreadsheets/d/1fpsE_0655xguD48cGK6n1ZqSLnI-tw9aHzhb"&amp;"PM9kZ-k/edit#gid=0"", ""Monitoring Summary!C:C""),0)),""Not Monitored"")"),45239.0)</f>
        <v>45239</v>
      </c>
      <c r="AF176" s="263">
        <f>IFERROR(__xludf.DUMMYFUNCTION("IFERROR(INDEX(IMPORTRANGE(""https://docs.google.com/spreadsheets/d/1fpsE_0655xguD48cGK6n1ZqSLnI-tw9aHzhbPM9kZ-k/edit#gid=0"", ""Monitoring Summary!E:E""),MATCH(D176,IMPORTRANGE(""https://docs.google.com/spreadsheets/d/1fpsE_0655xguD48cGK6n1ZqSLnI-tw9aHzhb"&amp;"PM9kZ-k/edit#gid=0"", ""Monitoring Summary!C:C""),0)),""Not Monitored"")"),0.0)</f>
        <v>0</v>
      </c>
      <c r="AG176" s="264">
        <f t="shared" si="1"/>
        <v>0</v>
      </c>
      <c r="AH176" s="265" t="s">
        <v>668</v>
      </c>
    </row>
    <row r="177" ht="15.75" customHeight="1">
      <c r="A177" s="531">
        <v>2021.0</v>
      </c>
      <c r="B177" s="532">
        <v>44218.0</v>
      </c>
      <c r="C177" s="531" t="s">
        <v>614</v>
      </c>
      <c r="D177" s="533" t="s">
        <v>669</v>
      </c>
      <c r="E177" s="533" t="s">
        <v>170</v>
      </c>
      <c r="F177" s="531" t="s">
        <v>161</v>
      </c>
      <c r="G177" s="531" t="s">
        <v>65</v>
      </c>
      <c r="H177" s="531">
        <v>500.0</v>
      </c>
      <c r="I177" s="534" t="s">
        <v>290</v>
      </c>
      <c r="J177" s="535">
        <v>24.51796</v>
      </c>
      <c r="K177" s="535">
        <v>-81.54226</v>
      </c>
      <c r="L177" s="573" t="s">
        <v>670</v>
      </c>
      <c r="M177" s="459">
        <v>44244.0</v>
      </c>
      <c r="N177" s="567">
        <v>0.99</v>
      </c>
      <c r="O177" s="296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96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96">
        <v>1.0</v>
      </c>
      <c r="R177" s="296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95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294">
        <v>44567.0</v>
      </c>
      <c r="U177" s="569">
        <v>0.866</v>
      </c>
      <c r="V177" s="298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298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298">
        <v>0.99</v>
      </c>
      <c r="Y177" s="299"/>
      <c r="Z177" s="300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301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299"/>
      <c r="AC177" s="300"/>
      <c r="AD177" s="301"/>
      <c r="AE177" s="262">
        <f>IFERROR(__xludf.DUMMYFUNCTION("IFERROR(INDEX(IMPORTRANGE(""https://docs.google.com/spreadsheets/d/1fpsE_0655xguD48cGK6n1ZqSLnI-tw9aHzhbPM9kZ-k/edit#gid=0"", ""Monitoring Summary!B:B""),MATCH(D177,IMPORTRANGE(""https://docs.google.com/spreadsheets/d/1fpsE_0655xguD48cGK6n1ZqSLnI-tw9aHzhb"&amp;"PM9kZ-k/edit#gid=0"", ""Monitoring Summary!C:C""),0)),""Not Monitored"")"),45264.0)</f>
        <v>45264</v>
      </c>
      <c r="AF177" s="263">
        <f>IFERROR(__xludf.DUMMYFUNCTION("IFERROR(INDEX(IMPORTRANGE(""https://docs.google.com/spreadsheets/d/1fpsE_0655xguD48cGK6n1ZqSLnI-tw9aHzhbPM9kZ-k/edit#gid=0"", ""Monitoring Summary!E:E""),MATCH(D177,IMPORTRANGE(""https://docs.google.com/spreadsheets/d/1fpsE_0655xguD48cGK6n1ZqSLnI-tw9aHzhb"&amp;"PM9kZ-k/edit#gid=0"", ""Monitoring Summary!C:C""),0)),""Not Monitored"")"),0.0)</f>
        <v>0</v>
      </c>
      <c r="AG177" s="264">
        <f t="shared" si="1"/>
        <v>0</v>
      </c>
      <c r="AH177" s="265" t="s">
        <v>671</v>
      </c>
    </row>
    <row r="178" ht="15.75" customHeight="1">
      <c r="A178" s="524">
        <v>2021.0</v>
      </c>
      <c r="B178" s="525">
        <v>44223.0</v>
      </c>
      <c r="C178" s="524" t="s">
        <v>268</v>
      </c>
      <c r="D178" s="526" t="s">
        <v>672</v>
      </c>
      <c r="E178" s="526" t="s">
        <v>170</v>
      </c>
      <c r="F178" s="524" t="s">
        <v>161</v>
      </c>
      <c r="G178" s="524" t="s">
        <v>53</v>
      </c>
      <c r="H178" s="524">
        <v>500.0</v>
      </c>
      <c r="I178" s="527" t="s">
        <v>673</v>
      </c>
      <c r="J178" s="528">
        <v>24.45236</v>
      </c>
      <c r="K178" s="528">
        <v>-81.87511</v>
      </c>
      <c r="L178" s="529"/>
      <c r="M178" s="459">
        <v>44251.0</v>
      </c>
      <c r="N178" s="567">
        <v>0.998</v>
      </c>
      <c r="O178" s="296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96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96">
        <v>1.0</v>
      </c>
      <c r="R178" s="296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95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294">
        <v>44560.0</v>
      </c>
      <c r="U178" s="569">
        <v>0.786</v>
      </c>
      <c r="V178" s="298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298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298">
        <v>0.93</v>
      </c>
      <c r="Y178" s="299"/>
      <c r="Z178" s="300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301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299"/>
      <c r="AC178" s="300"/>
      <c r="AD178" s="301"/>
      <c r="AE178" s="328">
        <f>IFERROR(__xludf.DUMMYFUNCTION("IFERROR(INDEX(IMPORTRANGE(""https://docs.google.com/spreadsheets/d/1fpsE_0655xguD48cGK6n1ZqSLnI-tw9aHzhbPM9kZ-k/edit#gid=0"", ""Monitoring Summary!B:B""),MATCH(D178,IMPORTRANGE(""https://docs.google.com/spreadsheets/d/1fpsE_0655xguD48cGK6n1ZqSLnI-tw9aHzhb"&amp;"PM9kZ-k/edit#gid=0"", ""Monitoring Summary!C:C""),0)),""Not Monitored"")"),45294.0)</f>
        <v>45294</v>
      </c>
      <c r="AF178" s="329">
        <f>IFERROR(__xludf.DUMMYFUNCTION("IFERROR(INDEX(IMPORTRANGE(""https://docs.google.com/spreadsheets/d/1fpsE_0655xguD48cGK6n1ZqSLnI-tw9aHzhbPM9kZ-k/edit#gid=0"", ""Monitoring Summary!E:E""),MATCH(D178,IMPORTRANGE(""https://docs.google.com/spreadsheets/d/1fpsE_0655xguD48cGK6n1ZqSLnI-tw9aHzhb"&amp;"PM9kZ-k/edit#gid=0"", ""Monitoring Summary!C:C""),0)),""Not Monitored"")"),0.0)</f>
        <v>0</v>
      </c>
      <c r="AG178" s="330">
        <f t="shared" si="1"/>
        <v>0</v>
      </c>
      <c r="AH178" s="331" t="s">
        <v>674</v>
      </c>
    </row>
    <row r="179" ht="15.75" customHeight="1">
      <c r="A179" s="376">
        <v>2021.0</v>
      </c>
      <c r="B179" s="444">
        <v>44232.0</v>
      </c>
      <c r="C179" s="376" t="s">
        <v>168</v>
      </c>
      <c r="D179" s="377" t="s">
        <v>675</v>
      </c>
      <c r="E179" s="377" t="s">
        <v>160</v>
      </c>
      <c r="F179" s="376" t="s">
        <v>161</v>
      </c>
      <c r="G179" s="376" t="s">
        <v>58</v>
      </c>
      <c r="H179" s="376">
        <v>500.0</v>
      </c>
      <c r="I179" s="445" t="s">
        <v>676</v>
      </c>
      <c r="J179" s="412">
        <v>24.52198</v>
      </c>
      <c r="K179" s="412">
        <v>-81.52115</v>
      </c>
      <c r="L179" s="378" t="s">
        <v>430</v>
      </c>
      <c r="M179" s="459">
        <v>44258.0</v>
      </c>
      <c r="N179" s="567">
        <v>0.988</v>
      </c>
      <c r="O179" s="296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96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96">
        <v>1.0</v>
      </c>
      <c r="R179" s="296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95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294">
        <v>44566.0</v>
      </c>
      <c r="U179" s="569">
        <v>0.848</v>
      </c>
      <c r="V179" s="298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298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298">
        <v>0.98</v>
      </c>
      <c r="Y179" s="299"/>
      <c r="Z179" s="300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301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299"/>
      <c r="AC179" s="300"/>
      <c r="AD179" s="301"/>
      <c r="AE179" s="262">
        <f>IFERROR(__xludf.DUMMYFUNCTION("IFERROR(INDEX(IMPORTRANGE(""https://docs.google.com/spreadsheets/d/1fpsE_0655xguD48cGK6n1ZqSLnI-tw9aHzhbPM9kZ-k/edit#gid=0"", ""Monitoring Summary!B:B""),MATCH(D179,IMPORTRANGE(""https://docs.google.com/spreadsheets/d/1fpsE_0655xguD48cGK6n1ZqSLnI-tw9aHzhb"&amp;"PM9kZ-k/edit#gid=0"", ""Monitoring Summary!C:C""),0)),""Not Monitored"")"),45264.0)</f>
        <v>45264</v>
      </c>
      <c r="AF179" s="263">
        <f>IFERROR(__xludf.DUMMYFUNCTION("IFERROR(INDEX(IMPORTRANGE(""https://docs.google.com/spreadsheets/d/1fpsE_0655xguD48cGK6n1ZqSLnI-tw9aHzhbPM9kZ-k/edit#gid=0"", ""Monitoring Summary!E:E""),MATCH(D179,IMPORTRANGE(""https://docs.google.com/spreadsheets/d/1fpsE_0655xguD48cGK6n1ZqSLnI-tw9aHzhb"&amp;"PM9kZ-k/edit#gid=0"", ""Monitoring Summary!C:C""),0)),""Not Monitored"")"),0.0)</f>
        <v>0</v>
      </c>
      <c r="AG179" s="264">
        <f t="shared" si="1"/>
        <v>0</v>
      </c>
      <c r="AH179" s="265" t="s">
        <v>677</v>
      </c>
    </row>
    <row r="180" ht="15.75" customHeight="1">
      <c r="A180" s="531">
        <v>2021.0</v>
      </c>
      <c r="B180" s="532">
        <v>44239.0</v>
      </c>
      <c r="C180" s="531" t="s">
        <v>286</v>
      </c>
      <c r="D180" s="533" t="s">
        <v>678</v>
      </c>
      <c r="E180" s="533" t="s">
        <v>170</v>
      </c>
      <c r="F180" s="531" t="s">
        <v>161</v>
      </c>
      <c r="G180" s="531" t="s">
        <v>65</v>
      </c>
      <c r="H180" s="531">
        <v>500.0</v>
      </c>
      <c r="I180" s="534" t="s">
        <v>612</v>
      </c>
      <c r="J180" s="535">
        <v>24.45477</v>
      </c>
      <c r="K180" s="535">
        <v>-81.85638</v>
      </c>
      <c r="L180" s="573"/>
      <c r="M180" s="459">
        <v>44277.0</v>
      </c>
      <c r="N180" s="567">
        <v>0.992</v>
      </c>
      <c r="O180" s="296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96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96">
        <v>1.0</v>
      </c>
      <c r="R180" s="296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95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294">
        <v>44589.0</v>
      </c>
      <c r="U180" s="569">
        <v>0.6779999999999999</v>
      </c>
      <c r="V180" s="298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298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298">
        <v>0.87</v>
      </c>
      <c r="Y180" s="299"/>
      <c r="Z180" s="300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301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299"/>
      <c r="AC180" s="300"/>
      <c r="AD180" s="301"/>
      <c r="AE180" s="328">
        <f>IFERROR(__xludf.DUMMYFUNCTION("IFERROR(INDEX(IMPORTRANGE(""https://docs.google.com/spreadsheets/d/1fpsE_0655xguD48cGK6n1ZqSLnI-tw9aHzhbPM9kZ-k/edit#gid=0"", ""Monitoring Summary!B:B""),MATCH(D180,IMPORTRANGE(""https://docs.google.com/spreadsheets/d/1fpsE_0655xguD48cGK6n1ZqSLnI-tw9aHzhb"&amp;"PM9kZ-k/edit#gid=0"", ""Monitoring Summary!C:C""),0)),""Not Monitored"")"),45294.0)</f>
        <v>45294</v>
      </c>
      <c r="AF180" s="329">
        <f>IFERROR(__xludf.DUMMYFUNCTION("IFERROR(INDEX(IMPORTRANGE(""https://docs.google.com/spreadsheets/d/1fpsE_0655xguD48cGK6n1ZqSLnI-tw9aHzhbPM9kZ-k/edit#gid=0"", ""Monitoring Summary!E:E""),MATCH(D180,IMPORTRANGE(""https://docs.google.com/spreadsheets/d/1fpsE_0655xguD48cGK6n1ZqSLnI-tw9aHzhb"&amp;"PM9kZ-k/edit#gid=0"", ""Monitoring Summary!C:C""),0)),""Not Monitored"")"),0.0)</f>
        <v>0</v>
      </c>
      <c r="AG180" s="330">
        <f t="shared" si="1"/>
        <v>0</v>
      </c>
      <c r="AH180" s="331" t="s">
        <v>679</v>
      </c>
    </row>
    <row r="181" ht="15.75" customHeight="1">
      <c r="A181" s="376">
        <v>2021.0</v>
      </c>
      <c r="B181" s="444">
        <v>44250.0</v>
      </c>
      <c r="C181" s="376" t="s">
        <v>586</v>
      </c>
      <c r="D181" s="377" t="s">
        <v>680</v>
      </c>
      <c r="E181" s="377" t="s">
        <v>170</v>
      </c>
      <c r="F181" s="376" t="s">
        <v>161</v>
      </c>
      <c r="G181" s="376" t="s">
        <v>58</v>
      </c>
      <c r="H181" s="376">
        <v>500.0</v>
      </c>
      <c r="I181" s="445" t="s">
        <v>316</v>
      </c>
      <c r="J181" s="412">
        <v>24.53424</v>
      </c>
      <c r="K181" s="412">
        <v>-81.46999</v>
      </c>
      <c r="L181" s="378"/>
      <c r="M181" s="459">
        <v>44278.0</v>
      </c>
      <c r="N181" s="567">
        <v>0.976</v>
      </c>
      <c r="O181" s="296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96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96">
        <v>1.0</v>
      </c>
      <c r="R181" s="296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95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294">
        <v>44599.0</v>
      </c>
      <c r="U181" s="569">
        <v>0.916</v>
      </c>
      <c r="V181" s="298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298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298">
        <v>1.0</v>
      </c>
      <c r="Y181" s="299"/>
      <c r="Z181" s="300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301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299"/>
      <c r="AC181" s="300"/>
      <c r="AD181" s="301"/>
      <c r="AE181" s="262">
        <f>IFERROR(__xludf.DUMMYFUNCTION("IFERROR(INDEX(IMPORTRANGE(""https://docs.google.com/spreadsheets/d/1fpsE_0655xguD48cGK6n1ZqSLnI-tw9aHzhbPM9kZ-k/edit#gid=0"", ""Monitoring Summary!B:B""),MATCH(D181,IMPORTRANGE(""https://docs.google.com/spreadsheets/d/1fpsE_0655xguD48cGK6n1ZqSLnI-tw9aHzhb"&amp;"PM9kZ-k/edit#gid=0"", ""Monitoring Summary!C:C""),0)),""Not Monitored"")"),45247.0)</f>
        <v>45247</v>
      </c>
      <c r="AF181" s="263">
        <f>IFERROR(__xludf.DUMMYFUNCTION("IFERROR(INDEX(IMPORTRANGE(""https://docs.google.com/spreadsheets/d/1fpsE_0655xguD48cGK6n1ZqSLnI-tw9aHzhbPM9kZ-k/edit#gid=0"", ""Monitoring Summary!E:E""),MATCH(D181,IMPORTRANGE(""https://docs.google.com/spreadsheets/d/1fpsE_0655xguD48cGK6n1ZqSLnI-tw9aHzhb"&amp;"PM9kZ-k/edit#gid=0"", ""Monitoring Summary!C:C""),0)),""Not Monitored"")"),0.0)</f>
        <v>0</v>
      </c>
      <c r="AG181" s="264">
        <f t="shared" si="1"/>
        <v>0</v>
      </c>
      <c r="AH181" s="265" t="s">
        <v>681</v>
      </c>
    </row>
    <row r="182" ht="15.75" customHeight="1">
      <c r="A182" s="524">
        <v>2021.0</v>
      </c>
      <c r="B182" s="525">
        <v>44252.0</v>
      </c>
      <c r="C182" s="524" t="s">
        <v>340</v>
      </c>
      <c r="D182" s="526" t="s">
        <v>682</v>
      </c>
      <c r="E182" s="526" t="s">
        <v>170</v>
      </c>
      <c r="F182" s="524" t="s">
        <v>161</v>
      </c>
      <c r="G182" s="524" t="s">
        <v>53</v>
      </c>
      <c r="H182" s="524">
        <v>500.0</v>
      </c>
      <c r="I182" s="527" t="s">
        <v>517</v>
      </c>
      <c r="J182" s="528">
        <v>24.48009</v>
      </c>
      <c r="K182" s="528">
        <v>-81.71323</v>
      </c>
      <c r="L182" s="530"/>
      <c r="M182" s="459">
        <v>44279.0</v>
      </c>
      <c r="N182" s="567">
        <v>0.998</v>
      </c>
      <c r="O182" s="296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96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96">
        <v>1.0</v>
      </c>
      <c r="R182" s="296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95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294">
        <v>44588.0</v>
      </c>
      <c r="U182" s="569">
        <v>0.688</v>
      </c>
      <c r="V182" s="298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298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298">
        <v>0.88</v>
      </c>
      <c r="Y182" s="299"/>
      <c r="Z182" s="300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301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299"/>
      <c r="AC182" s="300"/>
      <c r="AD182" s="301"/>
      <c r="AE182" s="262">
        <f>IFERROR(__xludf.DUMMYFUNCTION("IFERROR(INDEX(IMPORTRANGE(""https://docs.google.com/spreadsheets/d/1fpsE_0655xguD48cGK6n1ZqSLnI-tw9aHzhbPM9kZ-k/edit#gid=0"", ""Monitoring Summary!B:B""),MATCH(D182,IMPORTRANGE(""https://docs.google.com/spreadsheets/d/1fpsE_0655xguD48cGK6n1ZqSLnI-tw9aHzhb"&amp;"PM9kZ-k/edit#gid=0"", ""Monitoring Summary!C:C""),0)),""Not Monitored"")"),45240.0)</f>
        <v>45240</v>
      </c>
      <c r="AF182" s="263">
        <f>IFERROR(__xludf.DUMMYFUNCTION("IFERROR(INDEX(IMPORTRANGE(""https://docs.google.com/spreadsheets/d/1fpsE_0655xguD48cGK6n1ZqSLnI-tw9aHzhbPM9kZ-k/edit#gid=0"", ""Monitoring Summary!E:E""),MATCH(D182,IMPORTRANGE(""https://docs.google.com/spreadsheets/d/1fpsE_0655xguD48cGK6n1ZqSLnI-tw9aHzhb"&amp;"PM9kZ-k/edit#gid=0"", ""Monitoring Summary!C:C""),0)),""Not Monitored"")"),0.0)</f>
        <v>0</v>
      </c>
      <c r="AG182" s="264">
        <f t="shared" si="1"/>
        <v>0</v>
      </c>
      <c r="AH182" s="265" t="s">
        <v>683</v>
      </c>
    </row>
    <row r="183" ht="15.75" customHeight="1">
      <c r="A183" s="376">
        <v>2021.0</v>
      </c>
      <c r="B183" s="444">
        <v>44273.0</v>
      </c>
      <c r="C183" s="376" t="s">
        <v>345</v>
      </c>
      <c r="D183" s="377" t="s">
        <v>684</v>
      </c>
      <c r="E183" s="377" t="s">
        <v>170</v>
      </c>
      <c r="F183" s="376" t="s">
        <v>161</v>
      </c>
      <c r="G183" s="376" t="s">
        <v>58</v>
      </c>
      <c r="H183" s="376">
        <v>500.0</v>
      </c>
      <c r="I183" s="445" t="s">
        <v>517</v>
      </c>
      <c r="J183" s="412">
        <v>24.51073</v>
      </c>
      <c r="K183" s="412">
        <v>-81.56943</v>
      </c>
      <c r="L183" s="378"/>
      <c r="M183" s="459">
        <v>44301.0</v>
      </c>
      <c r="N183" s="567">
        <v>1.0</v>
      </c>
      <c r="O183" s="296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96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96">
        <v>1.0</v>
      </c>
      <c r="R183" s="296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95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294">
        <v>44603.0</v>
      </c>
      <c r="U183" s="569">
        <v>0.906</v>
      </c>
      <c r="V183" s="298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298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298">
        <v>1.0</v>
      </c>
      <c r="Y183" s="299"/>
      <c r="Z183" s="300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301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299"/>
      <c r="AC183" s="300"/>
      <c r="AD183" s="301"/>
      <c r="AE183" s="262">
        <f>IFERROR(__xludf.DUMMYFUNCTION("IFERROR(INDEX(IMPORTRANGE(""https://docs.google.com/spreadsheets/d/1fpsE_0655xguD48cGK6n1ZqSLnI-tw9aHzhbPM9kZ-k/edit#gid=0"", ""Monitoring Summary!B:B""),MATCH(D183,IMPORTRANGE(""https://docs.google.com/spreadsheets/d/1fpsE_0655xguD48cGK6n1ZqSLnI-tw9aHzhb"&amp;"PM9kZ-k/edit#gid=0"", ""Monitoring Summary!C:C""),0)),""Not Monitored"")"),45264.0)</f>
        <v>45264</v>
      </c>
      <c r="AF183" s="263">
        <f>IFERROR(__xludf.DUMMYFUNCTION("IFERROR(INDEX(IMPORTRANGE(""https://docs.google.com/spreadsheets/d/1fpsE_0655xguD48cGK6n1ZqSLnI-tw9aHzhbPM9kZ-k/edit#gid=0"", ""Monitoring Summary!E:E""),MATCH(D183,IMPORTRANGE(""https://docs.google.com/spreadsheets/d/1fpsE_0655xguD48cGK6n1ZqSLnI-tw9aHzhb"&amp;"PM9kZ-k/edit#gid=0"", ""Monitoring Summary!C:C""),0)),""Not Monitored"")"),0.0)</f>
        <v>0</v>
      </c>
      <c r="AG183" s="264">
        <f t="shared" si="1"/>
        <v>0</v>
      </c>
      <c r="AH183" s="265" t="s">
        <v>685</v>
      </c>
    </row>
    <row r="184" ht="15.75" customHeight="1">
      <c r="A184" s="376">
        <v>2021.0</v>
      </c>
      <c r="B184" s="444">
        <v>44275.0</v>
      </c>
      <c r="C184" s="376" t="s">
        <v>577</v>
      </c>
      <c r="D184" s="377" t="s">
        <v>686</v>
      </c>
      <c r="E184" s="377" t="s">
        <v>170</v>
      </c>
      <c r="F184" s="376" t="s">
        <v>161</v>
      </c>
      <c r="G184" s="376" t="s">
        <v>58</v>
      </c>
      <c r="H184" s="376">
        <v>500.0</v>
      </c>
      <c r="I184" s="445" t="s">
        <v>423</v>
      </c>
      <c r="J184" s="412">
        <v>24.52796</v>
      </c>
      <c r="K184" s="412">
        <v>-81.49471</v>
      </c>
      <c r="L184" s="378"/>
      <c r="M184" s="459">
        <v>44312.0</v>
      </c>
      <c r="N184" s="567">
        <v>0.996</v>
      </c>
      <c r="O184" s="296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96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96">
        <v>1.0</v>
      </c>
      <c r="R184" s="296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95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294">
        <v>44619.0</v>
      </c>
      <c r="U184" s="569">
        <v>0.858</v>
      </c>
      <c r="V184" s="298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298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298">
        <v>1.0</v>
      </c>
      <c r="Y184" s="299"/>
      <c r="Z184" s="300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301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299"/>
      <c r="AC184" s="300"/>
      <c r="AD184" s="301"/>
      <c r="AE184" s="262">
        <f>IFERROR(__xludf.DUMMYFUNCTION("IFERROR(INDEX(IMPORTRANGE(""https://docs.google.com/spreadsheets/d/1fpsE_0655xguD48cGK6n1ZqSLnI-tw9aHzhbPM9kZ-k/edit#gid=0"", ""Monitoring Summary!B:B""),MATCH(D184,IMPORTRANGE(""https://docs.google.com/spreadsheets/d/1fpsE_0655xguD48cGK6n1ZqSLnI-tw9aHzhb"&amp;"PM9kZ-k/edit#gid=0"", ""Monitoring Summary!C:C""),0)),""Not Monitored"")"),45265.0)</f>
        <v>45265</v>
      </c>
      <c r="AF184" s="263">
        <f>IFERROR(__xludf.DUMMYFUNCTION("IFERROR(INDEX(IMPORTRANGE(""https://docs.google.com/spreadsheets/d/1fpsE_0655xguD48cGK6n1ZqSLnI-tw9aHzhbPM9kZ-k/edit#gid=0"", ""Monitoring Summary!E:E""),MATCH(D184,IMPORTRANGE(""https://docs.google.com/spreadsheets/d/1fpsE_0655xguD48cGK6n1ZqSLnI-tw9aHzhb"&amp;"PM9kZ-k/edit#gid=0"", ""Monitoring Summary!C:C""),0)),""Not Monitored"")"),0.0)</f>
        <v>0</v>
      </c>
      <c r="AG184" s="264">
        <f t="shared" si="1"/>
        <v>0</v>
      </c>
      <c r="AH184" s="265" t="s">
        <v>687</v>
      </c>
    </row>
    <row r="185" ht="15.75" customHeight="1">
      <c r="A185" s="376">
        <v>2021.0</v>
      </c>
      <c r="B185" s="444">
        <v>44277.0</v>
      </c>
      <c r="C185" s="376" t="s">
        <v>268</v>
      </c>
      <c r="D185" s="377" t="s">
        <v>688</v>
      </c>
      <c r="E185" s="377" t="s">
        <v>170</v>
      </c>
      <c r="F185" s="376" t="s">
        <v>161</v>
      </c>
      <c r="G185" s="376" t="s">
        <v>58</v>
      </c>
      <c r="H185" s="376">
        <v>500.0</v>
      </c>
      <c r="I185" s="445" t="s">
        <v>689</v>
      </c>
      <c r="J185" s="412">
        <v>24.45252</v>
      </c>
      <c r="K185" s="412">
        <v>-81.87496</v>
      </c>
      <c r="L185" s="378"/>
      <c r="M185" s="459">
        <v>44306.0</v>
      </c>
      <c r="N185" s="567">
        <v>0.998</v>
      </c>
      <c r="O185" s="296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96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96">
        <v>1.0</v>
      </c>
      <c r="R185" s="296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95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294">
        <v>44621.0</v>
      </c>
      <c r="U185" s="569">
        <v>0.83</v>
      </c>
      <c r="V185" s="298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298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298">
        <v>0.98</v>
      </c>
      <c r="Y185" s="299"/>
      <c r="Z185" s="300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301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299"/>
      <c r="AC185" s="300"/>
      <c r="AD185" s="301"/>
      <c r="AE185" s="328">
        <f>IFERROR(__xludf.DUMMYFUNCTION("IFERROR(INDEX(IMPORTRANGE(""https://docs.google.com/spreadsheets/d/1fpsE_0655xguD48cGK6n1ZqSLnI-tw9aHzhbPM9kZ-k/edit#gid=0"", ""Monitoring Summary!B:B""),MATCH(D185,IMPORTRANGE(""https://docs.google.com/spreadsheets/d/1fpsE_0655xguD48cGK6n1ZqSLnI-tw9aHzhb"&amp;"PM9kZ-k/edit#gid=0"", ""Monitoring Summary!C:C""),0)),""Not Monitored"")"),45294.0)</f>
        <v>45294</v>
      </c>
      <c r="AF185" s="329">
        <f>IFERROR(__xludf.DUMMYFUNCTION("IFERROR(INDEX(IMPORTRANGE(""https://docs.google.com/spreadsheets/d/1fpsE_0655xguD48cGK6n1ZqSLnI-tw9aHzhbPM9kZ-k/edit#gid=0"", ""Monitoring Summary!E:E""),MATCH(D185,IMPORTRANGE(""https://docs.google.com/spreadsheets/d/1fpsE_0655xguD48cGK6n1ZqSLnI-tw9aHzhb"&amp;"PM9kZ-k/edit#gid=0"", ""Monitoring Summary!C:C""),0)),""Not Monitored"")"),0.0)</f>
        <v>0</v>
      </c>
      <c r="AG185" s="330">
        <f t="shared" si="1"/>
        <v>0</v>
      </c>
      <c r="AH185" s="331" t="s">
        <v>690</v>
      </c>
    </row>
    <row r="186" ht="15.75" customHeight="1">
      <c r="A186" s="376">
        <v>2021.0</v>
      </c>
      <c r="B186" s="444">
        <v>44284.0</v>
      </c>
      <c r="C186" s="376" t="s">
        <v>428</v>
      </c>
      <c r="D186" s="377" t="s">
        <v>691</v>
      </c>
      <c r="E186" s="377" t="s">
        <v>170</v>
      </c>
      <c r="F186" s="376" t="s">
        <v>161</v>
      </c>
      <c r="G186" s="376" t="s">
        <v>58</v>
      </c>
      <c r="H186" s="376">
        <v>500.0</v>
      </c>
      <c r="I186" s="445" t="s">
        <v>479</v>
      </c>
      <c r="J186" s="412">
        <v>24.53001</v>
      </c>
      <c r="K186" s="412">
        <v>-81.48789</v>
      </c>
      <c r="L186" s="378" t="s">
        <v>430</v>
      </c>
      <c r="M186" s="459">
        <v>44320.0</v>
      </c>
      <c r="N186" s="567">
        <v>1.0</v>
      </c>
      <c r="O186" s="296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96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96">
        <v>1.0</v>
      </c>
      <c r="R186" s="296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95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294">
        <v>44624.0</v>
      </c>
      <c r="U186" s="569">
        <v>0.946</v>
      </c>
      <c r="V186" s="298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298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298">
        <v>1.0</v>
      </c>
      <c r="Y186" s="299"/>
      <c r="Z186" s="300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301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299"/>
      <c r="AC186" s="300"/>
      <c r="AD186" s="301"/>
      <c r="AE186" s="262">
        <f>IFERROR(__xludf.DUMMYFUNCTION("IFERROR(INDEX(IMPORTRANGE(""https://docs.google.com/spreadsheets/d/1fpsE_0655xguD48cGK6n1ZqSLnI-tw9aHzhbPM9kZ-k/edit#gid=0"", ""Monitoring Summary!B:B""),MATCH(D186,IMPORTRANGE(""https://docs.google.com/spreadsheets/d/1fpsE_0655xguD48cGK6n1ZqSLnI-tw9aHzhb"&amp;"PM9kZ-k/edit#gid=0"", ""Monitoring Summary!C:C""),0)),""Not Monitored"")"),45265.0)</f>
        <v>45265</v>
      </c>
      <c r="AF186" s="263">
        <f>IFERROR(__xludf.DUMMYFUNCTION("IFERROR(INDEX(IMPORTRANGE(""https://docs.google.com/spreadsheets/d/1fpsE_0655xguD48cGK6n1ZqSLnI-tw9aHzhbPM9kZ-k/edit#gid=0"", ""Monitoring Summary!E:E""),MATCH(D186,IMPORTRANGE(""https://docs.google.com/spreadsheets/d/1fpsE_0655xguD48cGK6n1ZqSLnI-tw9aHzhb"&amp;"PM9kZ-k/edit#gid=0"", ""Monitoring Summary!C:C""),0)),""Not Monitored"")"),0.0)</f>
        <v>0</v>
      </c>
      <c r="AG186" s="264">
        <f t="shared" si="1"/>
        <v>0</v>
      </c>
      <c r="AH186" s="265" t="s">
        <v>692</v>
      </c>
    </row>
    <row r="187" ht="15.75" customHeight="1">
      <c r="A187" s="376">
        <v>2021.0</v>
      </c>
      <c r="B187" s="444">
        <v>44301.0</v>
      </c>
      <c r="C187" s="376" t="s">
        <v>614</v>
      </c>
      <c r="D187" s="377" t="s">
        <v>693</v>
      </c>
      <c r="E187" s="377" t="s">
        <v>160</v>
      </c>
      <c r="F187" s="376" t="s">
        <v>161</v>
      </c>
      <c r="G187" s="376" t="s">
        <v>58</v>
      </c>
      <c r="H187" s="376">
        <v>500.0</v>
      </c>
      <c r="I187" s="445" t="s">
        <v>299</v>
      </c>
      <c r="J187" s="412">
        <v>24.52039</v>
      </c>
      <c r="K187" s="412">
        <v>-81.54056</v>
      </c>
      <c r="L187" s="378"/>
      <c r="M187" s="593">
        <v>44329.0</v>
      </c>
      <c r="N187" s="567">
        <v>0.996</v>
      </c>
      <c r="O187" s="296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96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96">
        <v>1.0</v>
      </c>
      <c r="R187" s="296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95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294">
        <v>44644.0</v>
      </c>
      <c r="U187" s="569">
        <v>0.874</v>
      </c>
      <c r="V187" s="298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298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298">
        <v>0.99</v>
      </c>
      <c r="Y187" s="299"/>
      <c r="Z187" s="300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301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299"/>
      <c r="AC187" s="300"/>
      <c r="AD187" s="301"/>
      <c r="AE187" s="262">
        <f>IFERROR(__xludf.DUMMYFUNCTION("IFERROR(INDEX(IMPORTRANGE(""https://docs.google.com/spreadsheets/d/1fpsE_0655xguD48cGK6n1ZqSLnI-tw9aHzhbPM9kZ-k/edit#gid=0"", ""Monitoring Summary!B:B""),MATCH(D187,IMPORTRANGE(""https://docs.google.com/spreadsheets/d/1fpsE_0655xguD48cGK6n1ZqSLnI-tw9aHzhb"&amp;"PM9kZ-k/edit#gid=0"", ""Monitoring Summary!C:C""),0)),""Not Monitored"")"),45264.0)</f>
        <v>45264</v>
      </c>
      <c r="AF187" s="263">
        <f>IFERROR(__xludf.DUMMYFUNCTION("IFERROR(INDEX(IMPORTRANGE(""https://docs.google.com/spreadsheets/d/1fpsE_0655xguD48cGK6n1ZqSLnI-tw9aHzhbPM9kZ-k/edit#gid=0"", ""Monitoring Summary!E:E""),MATCH(D187,IMPORTRANGE(""https://docs.google.com/spreadsheets/d/1fpsE_0655xguD48cGK6n1ZqSLnI-tw9aHzhb"&amp;"PM9kZ-k/edit#gid=0"", ""Monitoring Summary!C:C""),0)),""Not Monitored"")"),0.0)</f>
        <v>0</v>
      </c>
      <c r="AG187" s="264">
        <f t="shared" si="1"/>
        <v>0</v>
      </c>
      <c r="AH187" s="265" t="s">
        <v>694</v>
      </c>
    </row>
    <row r="188" ht="15.75" customHeight="1">
      <c r="A188" s="594">
        <v>2021.0</v>
      </c>
      <c r="B188" s="595">
        <v>44302.0</v>
      </c>
      <c r="C188" s="594" t="s">
        <v>292</v>
      </c>
      <c r="D188" s="596" t="s">
        <v>695</v>
      </c>
      <c r="E188" s="596" t="s">
        <v>170</v>
      </c>
      <c r="F188" s="594" t="s">
        <v>161</v>
      </c>
      <c r="G188" s="594" t="s">
        <v>60</v>
      </c>
      <c r="H188" s="594">
        <v>500.0</v>
      </c>
      <c r="I188" s="597" t="s">
        <v>612</v>
      </c>
      <c r="J188" s="598">
        <v>24.45892</v>
      </c>
      <c r="K188" s="598">
        <v>-81.84409</v>
      </c>
      <c r="L188" s="599"/>
      <c r="M188" s="459">
        <v>44343.0</v>
      </c>
      <c r="N188" s="567">
        <v>0.942</v>
      </c>
      <c r="O188" s="296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96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96">
        <v>1.0</v>
      </c>
      <c r="R188" s="296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95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294">
        <v>44679.0</v>
      </c>
      <c r="U188" s="569">
        <v>0.756</v>
      </c>
      <c r="V188" s="298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298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298">
        <v>0.93</v>
      </c>
      <c r="Y188" s="371">
        <v>45293.0</v>
      </c>
      <c r="Z188" s="300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301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299"/>
      <c r="AC188" s="300"/>
      <c r="AD188" s="301"/>
      <c r="AE188" s="262">
        <f>IFERROR(__xludf.DUMMYFUNCTION("IFERROR(INDEX(IMPORTRANGE(""https://docs.google.com/spreadsheets/d/1fpsE_0655xguD48cGK6n1ZqSLnI-tw9aHzhbPM9kZ-k/edit#gid=0"", ""Monitoring Summary!B:B""),MATCH(D188,IMPORTRANGE(""https://docs.google.com/spreadsheets/d/1fpsE_0655xguD48cGK6n1ZqSLnI-tw9aHzhb"&amp;"PM9kZ-k/edit#gid=0"", ""Monitoring Summary!C:C""),0)),""Not Monitored"")"),45293.0)</f>
        <v>45293</v>
      </c>
      <c r="AF188" s="263">
        <f>IFERROR(__xludf.DUMMYFUNCTION("IFERROR(INDEX(IMPORTRANGE(""https://docs.google.com/spreadsheets/d/1fpsE_0655xguD48cGK6n1ZqSLnI-tw9aHzhbPM9kZ-k/edit#gid=0"", ""Monitoring Summary!E:E""),MATCH(D188,IMPORTRANGE(""https://docs.google.com/spreadsheets/d/1fpsE_0655xguD48cGK6n1ZqSLnI-tw9aHzhb"&amp;"PM9kZ-k/edit#gid=0"", ""Monitoring Summary!C:C""),0)),""Not Monitored"")"),0.0)</f>
        <v>0</v>
      </c>
      <c r="AG188" s="264">
        <f t="shared" si="1"/>
        <v>0</v>
      </c>
      <c r="AH188" s="265" t="s">
        <v>696</v>
      </c>
    </row>
    <row r="189" ht="15.75" customHeight="1">
      <c r="A189" s="594">
        <v>2021.0</v>
      </c>
      <c r="B189" s="595">
        <v>44306.0</v>
      </c>
      <c r="C189" s="594" t="s">
        <v>292</v>
      </c>
      <c r="D189" s="596" t="s">
        <v>697</v>
      </c>
      <c r="E189" s="596" t="s">
        <v>170</v>
      </c>
      <c r="F189" s="594" t="s">
        <v>146</v>
      </c>
      <c r="G189" s="594" t="s">
        <v>60</v>
      </c>
      <c r="H189" s="594">
        <v>400.0</v>
      </c>
      <c r="I189" s="597" t="s">
        <v>698</v>
      </c>
      <c r="J189" s="598">
        <v>24.45915</v>
      </c>
      <c r="K189" s="598">
        <v>-81.84311</v>
      </c>
      <c r="L189" s="599"/>
      <c r="M189" s="593">
        <v>44343.0</v>
      </c>
      <c r="N189" s="567">
        <v>0.9975</v>
      </c>
      <c r="O189" s="296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96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96">
        <v>1.0</v>
      </c>
      <c r="R189" s="296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95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294">
        <v>44679.0</v>
      </c>
      <c r="U189" s="569">
        <v>0.8200000000000001</v>
      </c>
      <c r="V189" s="298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298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298">
        <v>0.9375</v>
      </c>
      <c r="Y189" s="371">
        <v>45294.0</v>
      </c>
      <c r="Z189" s="300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301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299"/>
      <c r="AC189" s="300"/>
      <c r="AD189" s="301"/>
      <c r="AE189" s="262">
        <f>IFERROR(__xludf.DUMMYFUNCTION("IFERROR(INDEX(IMPORTRANGE(""https://docs.google.com/spreadsheets/d/1fpsE_0655xguD48cGK6n1ZqSLnI-tw9aHzhbPM9kZ-k/edit#gid=0"", ""Monitoring Summary!B:B""),MATCH(D189,IMPORTRANGE(""https://docs.google.com/spreadsheets/d/1fpsE_0655xguD48cGK6n1ZqSLnI-tw9aHzhb"&amp;"PM9kZ-k/edit#gid=0"", ""Monitoring Summary!C:C""),0)),""Not Monitored"")"),45294.0)</f>
        <v>45294</v>
      </c>
      <c r="AF189" s="263">
        <f>IFERROR(__xludf.DUMMYFUNCTION("IFERROR(INDEX(IMPORTRANGE(""https://docs.google.com/spreadsheets/d/1fpsE_0655xguD48cGK6n1ZqSLnI-tw9aHzhbPM9kZ-k/edit#gid=0"", ""Monitoring Summary!E:E""),MATCH(D189,IMPORTRANGE(""https://docs.google.com/spreadsheets/d/1fpsE_0655xguD48cGK6n1ZqSLnI-tw9aHzhb"&amp;"PM9kZ-k/edit#gid=0"", ""Monitoring Summary!C:C""),0)),""Not Monitored"")"),0.0)</f>
        <v>0</v>
      </c>
      <c r="AG189" s="264">
        <f t="shared" si="1"/>
        <v>0</v>
      </c>
      <c r="AH189" s="265" t="s">
        <v>699</v>
      </c>
    </row>
    <row r="190" ht="15.75" customHeight="1">
      <c r="A190" s="594">
        <v>2021.0</v>
      </c>
      <c r="B190" s="595">
        <v>44308.0</v>
      </c>
      <c r="C190" s="594" t="s">
        <v>292</v>
      </c>
      <c r="D190" s="596" t="s">
        <v>700</v>
      </c>
      <c r="E190" s="596" t="s">
        <v>170</v>
      </c>
      <c r="F190" s="594" t="s">
        <v>146</v>
      </c>
      <c r="G190" s="594" t="s">
        <v>60</v>
      </c>
      <c r="H190" s="594">
        <v>350.0</v>
      </c>
      <c r="I190" s="597" t="s">
        <v>701</v>
      </c>
      <c r="J190" s="598">
        <v>24.45959</v>
      </c>
      <c r="K190" s="598">
        <v>-81.84373</v>
      </c>
      <c r="L190" s="599"/>
      <c r="M190" s="593">
        <v>44343.0</v>
      </c>
      <c r="N190" s="567">
        <v>0.9857142857142858</v>
      </c>
      <c r="O190" s="296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96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96">
        <v>1.0</v>
      </c>
      <c r="R190" s="296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95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294">
        <v>44679.0</v>
      </c>
      <c r="U190" s="569">
        <v>0.6657142857142857</v>
      </c>
      <c r="V190" s="298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298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298">
        <v>0.9285714285714286</v>
      </c>
      <c r="Y190" s="371">
        <v>45294.0</v>
      </c>
      <c r="Z190" s="300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301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299"/>
      <c r="AC190" s="300"/>
      <c r="AD190" s="301"/>
      <c r="AE190" s="262">
        <f>IFERROR(__xludf.DUMMYFUNCTION("IFERROR(INDEX(IMPORTRANGE(""https://docs.google.com/spreadsheets/d/1fpsE_0655xguD48cGK6n1ZqSLnI-tw9aHzhbPM9kZ-k/edit#gid=0"", ""Monitoring Summary!B:B""),MATCH(D190,IMPORTRANGE(""https://docs.google.com/spreadsheets/d/1fpsE_0655xguD48cGK6n1ZqSLnI-tw9aHzhb"&amp;"PM9kZ-k/edit#gid=0"", ""Monitoring Summary!C:C""),0)),""Not Monitored"")"),45294.0)</f>
        <v>45294</v>
      </c>
      <c r="AF190" s="263">
        <f>IFERROR(__xludf.DUMMYFUNCTION("IFERROR(INDEX(IMPORTRANGE(""https://docs.google.com/spreadsheets/d/1fpsE_0655xguD48cGK6n1ZqSLnI-tw9aHzhbPM9kZ-k/edit#gid=0"", ""Monitoring Summary!E:E""),MATCH(D190,IMPORTRANGE(""https://docs.google.com/spreadsheets/d/1fpsE_0655xguD48cGK6n1ZqSLnI-tw9aHzhb"&amp;"PM9kZ-k/edit#gid=0"", ""Monitoring Summary!C:C""),0)),""Not Monitored"")"),0.0)</f>
        <v>0</v>
      </c>
      <c r="AG190" s="264">
        <f t="shared" si="1"/>
        <v>0</v>
      </c>
      <c r="AH190" s="265" t="s">
        <v>702</v>
      </c>
    </row>
    <row r="191" ht="15.75" customHeight="1">
      <c r="A191" s="376">
        <v>2021.0</v>
      </c>
      <c r="B191" s="444">
        <v>44320.0</v>
      </c>
      <c r="C191" s="376" t="s">
        <v>703</v>
      </c>
      <c r="D191" s="377" t="s">
        <v>704</v>
      </c>
      <c r="E191" s="377" t="s">
        <v>170</v>
      </c>
      <c r="F191" s="376" t="s">
        <v>161</v>
      </c>
      <c r="G191" s="376" t="s">
        <v>58</v>
      </c>
      <c r="H191" s="376">
        <v>500.0</v>
      </c>
      <c r="I191" s="445" t="s">
        <v>517</v>
      </c>
      <c r="J191" s="412">
        <v>24.51483</v>
      </c>
      <c r="K191" s="412">
        <v>-81.5527</v>
      </c>
      <c r="L191" s="378" t="s">
        <v>705</v>
      </c>
      <c r="M191" s="593">
        <v>44351.0</v>
      </c>
      <c r="N191" s="567">
        <v>0.944</v>
      </c>
      <c r="O191" s="296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96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96">
        <v>1.0</v>
      </c>
      <c r="R191" s="296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95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294">
        <v>44669.0</v>
      </c>
      <c r="U191" s="569">
        <v>0.772</v>
      </c>
      <c r="V191" s="298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298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298">
        <v>1.0</v>
      </c>
      <c r="Y191" s="299"/>
      <c r="Z191" s="300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301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299"/>
      <c r="AC191" s="300"/>
      <c r="AD191" s="301"/>
      <c r="AE191" s="262">
        <f>IFERROR(__xludf.DUMMYFUNCTION("IFERROR(INDEX(IMPORTRANGE(""https://docs.google.com/spreadsheets/d/1fpsE_0655xguD48cGK6n1ZqSLnI-tw9aHzhbPM9kZ-k/edit#gid=0"", ""Monitoring Summary!B:B""),MATCH(D191,IMPORTRANGE(""https://docs.google.com/spreadsheets/d/1fpsE_0655xguD48cGK6n1ZqSLnI-tw9aHzhb"&amp;"PM9kZ-k/edit#gid=0"", ""Monitoring Summary!C:C""),0)),""Not Monitored"")"),45258.0)</f>
        <v>45258</v>
      </c>
      <c r="AF191" s="263">
        <f>IFERROR(__xludf.DUMMYFUNCTION("IFERROR(INDEX(IMPORTRANGE(""https://docs.google.com/spreadsheets/d/1fpsE_0655xguD48cGK6n1ZqSLnI-tw9aHzhbPM9kZ-k/edit#gid=0"", ""Monitoring Summary!E:E""),MATCH(D191,IMPORTRANGE(""https://docs.google.com/spreadsheets/d/1fpsE_0655xguD48cGK6n1ZqSLnI-tw9aHzhb"&amp;"PM9kZ-k/edit#gid=0"", ""Monitoring Summary!C:C""),0)),""Not Monitored"")"),0.0)</f>
        <v>0</v>
      </c>
      <c r="AG191" s="264">
        <f t="shared" si="1"/>
        <v>0</v>
      </c>
      <c r="AH191" s="265" t="s">
        <v>706</v>
      </c>
    </row>
    <row r="192" ht="15.75" customHeight="1">
      <c r="A192" s="600">
        <v>2021.0</v>
      </c>
      <c r="B192" s="601">
        <v>44323.0</v>
      </c>
      <c r="C192" s="600" t="s">
        <v>586</v>
      </c>
      <c r="D192" s="602" t="s">
        <v>707</v>
      </c>
      <c r="E192" s="602" t="s">
        <v>170</v>
      </c>
      <c r="F192" s="600" t="s">
        <v>161</v>
      </c>
      <c r="G192" s="600" t="s">
        <v>65</v>
      </c>
      <c r="H192" s="600">
        <v>500.0</v>
      </c>
      <c r="I192" s="603" t="s">
        <v>459</v>
      </c>
      <c r="J192" s="604">
        <v>24.53408</v>
      </c>
      <c r="K192" s="604">
        <v>-81.47264</v>
      </c>
      <c r="L192" s="605" t="s">
        <v>708</v>
      </c>
      <c r="M192" s="593">
        <v>44357.0</v>
      </c>
      <c r="N192" s="567">
        <v>0.9319999999999999</v>
      </c>
      <c r="O192" s="296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96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96">
        <v>1.0</v>
      </c>
      <c r="R192" s="296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95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294">
        <v>44679.0</v>
      </c>
      <c r="U192" s="569">
        <v>0.86</v>
      </c>
      <c r="V192" s="298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298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298">
        <v>0.99</v>
      </c>
      <c r="Y192" s="299"/>
      <c r="Z192" s="300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301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299"/>
      <c r="AC192" s="300"/>
      <c r="AD192" s="301"/>
      <c r="AE192" s="262">
        <f>IFERROR(__xludf.DUMMYFUNCTION("IFERROR(INDEX(IMPORTRANGE(""https://docs.google.com/spreadsheets/d/1fpsE_0655xguD48cGK6n1ZqSLnI-tw9aHzhbPM9kZ-k/edit#gid=0"", ""Monitoring Summary!B:B""),MATCH(D192,IMPORTRANGE(""https://docs.google.com/spreadsheets/d/1fpsE_0655xguD48cGK6n1ZqSLnI-tw9aHzhb"&amp;"PM9kZ-k/edit#gid=0"", ""Monitoring Summary!C:C""),0)),""Not Monitored"")"),45247.0)</f>
        <v>45247</v>
      </c>
      <c r="AF192" s="263">
        <f>IFERROR(__xludf.DUMMYFUNCTION("IFERROR(INDEX(IMPORTRANGE(""https://docs.google.com/spreadsheets/d/1fpsE_0655xguD48cGK6n1ZqSLnI-tw9aHzhbPM9kZ-k/edit#gid=0"", ""Monitoring Summary!E:E""),MATCH(D192,IMPORTRANGE(""https://docs.google.com/spreadsheets/d/1fpsE_0655xguD48cGK6n1ZqSLnI-tw9aHzhb"&amp;"PM9kZ-k/edit#gid=0"", ""Monitoring Summary!C:C""),0)),""Not Monitored"")"),0.0)</f>
        <v>0</v>
      </c>
      <c r="AG192" s="264">
        <f t="shared" si="1"/>
        <v>0</v>
      </c>
      <c r="AH192" s="265" t="s">
        <v>709</v>
      </c>
    </row>
    <row r="193" ht="15.75" customHeight="1">
      <c r="A193" s="376">
        <v>2021.0</v>
      </c>
      <c r="B193" s="444">
        <v>44327.0</v>
      </c>
      <c r="C193" s="376" t="s">
        <v>577</v>
      </c>
      <c r="D193" s="377" t="s">
        <v>710</v>
      </c>
      <c r="E193" s="377" t="s">
        <v>170</v>
      </c>
      <c r="F193" s="376" t="s">
        <v>161</v>
      </c>
      <c r="G193" s="376" t="s">
        <v>58</v>
      </c>
      <c r="H193" s="376">
        <v>500.0</v>
      </c>
      <c r="I193" s="445" t="s">
        <v>316</v>
      </c>
      <c r="J193" s="412">
        <v>24.52823</v>
      </c>
      <c r="K193" s="412">
        <v>-81.49548</v>
      </c>
      <c r="L193" s="378" t="s">
        <v>711</v>
      </c>
      <c r="M193" s="593">
        <v>44371.0</v>
      </c>
      <c r="N193" s="567">
        <v>0.98</v>
      </c>
      <c r="O193" s="296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96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96">
        <v>1.0</v>
      </c>
      <c r="R193" s="296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95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294">
        <v>44679.0</v>
      </c>
      <c r="U193" s="569">
        <v>0.722</v>
      </c>
      <c r="V193" s="298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298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298">
        <v>0.93</v>
      </c>
      <c r="Y193" s="299"/>
      <c r="Z193" s="300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301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299"/>
      <c r="AC193" s="300"/>
      <c r="AD193" s="301"/>
      <c r="AE193" s="262">
        <f>IFERROR(__xludf.DUMMYFUNCTION("IFERROR(INDEX(IMPORTRANGE(""https://docs.google.com/spreadsheets/d/1fpsE_0655xguD48cGK6n1ZqSLnI-tw9aHzhbPM9kZ-k/edit#gid=0"", ""Monitoring Summary!B:B""),MATCH(D193,IMPORTRANGE(""https://docs.google.com/spreadsheets/d/1fpsE_0655xguD48cGK6n1ZqSLnI-tw9aHzhb"&amp;"PM9kZ-k/edit#gid=0"", ""Monitoring Summary!C:C""),0)),""Not Monitored"")"),45265.0)</f>
        <v>45265</v>
      </c>
      <c r="AF193" s="263">
        <f>IFERROR(__xludf.DUMMYFUNCTION("IFERROR(INDEX(IMPORTRANGE(""https://docs.google.com/spreadsheets/d/1fpsE_0655xguD48cGK6n1ZqSLnI-tw9aHzhbPM9kZ-k/edit#gid=0"", ""Monitoring Summary!E:E""),MATCH(D193,IMPORTRANGE(""https://docs.google.com/spreadsheets/d/1fpsE_0655xguD48cGK6n1ZqSLnI-tw9aHzhb"&amp;"PM9kZ-k/edit#gid=0"", ""Monitoring Summary!C:C""),0)),""Not Monitored"")"),0.0)</f>
        <v>0</v>
      </c>
      <c r="AG193" s="264">
        <f t="shared" si="1"/>
        <v>0</v>
      </c>
      <c r="AH193" s="265" t="s">
        <v>712</v>
      </c>
    </row>
    <row r="194" ht="15.75" customHeight="1">
      <c r="A194" s="376">
        <v>2021.0</v>
      </c>
      <c r="B194" s="444">
        <v>44330.0</v>
      </c>
      <c r="C194" s="376" t="s">
        <v>614</v>
      </c>
      <c r="D194" s="377" t="s">
        <v>713</v>
      </c>
      <c r="E194" s="377" t="s">
        <v>170</v>
      </c>
      <c r="F194" s="376" t="s">
        <v>161</v>
      </c>
      <c r="G194" s="376" t="s">
        <v>58</v>
      </c>
      <c r="H194" s="376">
        <v>500.0</v>
      </c>
      <c r="I194" s="445" t="s">
        <v>423</v>
      </c>
      <c r="J194" s="412">
        <v>24.51768</v>
      </c>
      <c r="K194" s="412">
        <v>-81.54412</v>
      </c>
      <c r="L194" s="378" t="s">
        <v>711</v>
      </c>
      <c r="M194" s="593">
        <v>44376.0</v>
      </c>
      <c r="N194" s="567">
        <v>0.944</v>
      </c>
      <c r="O194" s="296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96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96">
        <v>1.0</v>
      </c>
      <c r="R194" s="296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95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294">
        <v>44669.0</v>
      </c>
      <c r="U194" s="569">
        <v>0.73</v>
      </c>
      <c r="V194" s="298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298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298">
        <v>0.95</v>
      </c>
      <c r="Y194" s="299"/>
      <c r="Z194" s="300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301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299"/>
      <c r="AC194" s="300"/>
      <c r="AD194" s="301"/>
      <c r="AE194" s="262">
        <f>IFERROR(__xludf.DUMMYFUNCTION("IFERROR(INDEX(IMPORTRANGE(""https://docs.google.com/spreadsheets/d/1fpsE_0655xguD48cGK6n1ZqSLnI-tw9aHzhbPM9kZ-k/edit#gid=0"", ""Monitoring Summary!B:B""),MATCH(D194,IMPORTRANGE(""https://docs.google.com/spreadsheets/d/1fpsE_0655xguD48cGK6n1ZqSLnI-tw9aHzhb"&amp;"PM9kZ-k/edit#gid=0"", ""Monitoring Summary!C:C""),0)),""Not Monitored"")"),45264.0)</f>
        <v>45264</v>
      </c>
      <c r="AF194" s="263">
        <f>IFERROR(__xludf.DUMMYFUNCTION("IFERROR(INDEX(IMPORTRANGE(""https://docs.google.com/spreadsheets/d/1fpsE_0655xguD48cGK6n1ZqSLnI-tw9aHzhbPM9kZ-k/edit#gid=0"", ""Monitoring Summary!E:E""),MATCH(D194,IMPORTRANGE(""https://docs.google.com/spreadsheets/d/1fpsE_0655xguD48cGK6n1ZqSLnI-tw9aHzhb"&amp;"PM9kZ-k/edit#gid=0"", ""Monitoring Summary!C:C""),0)),""Not Monitored"")"),0.0)</f>
        <v>0</v>
      </c>
      <c r="AG194" s="264">
        <f t="shared" si="1"/>
        <v>0</v>
      </c>
      <c r="AH194" s="265" t="s">
        <v>714</v>
      </c>
    </row>
    <row r="195" ht="15.75" customHeight="1">
      <c r="A195" s="577">
        <v>2021.0</v>
      </c>
      <c r="B195" s="578">
        <v>44340.0</v>
      </c>
      <c r="C195" s="577" t="s">
        <v>449</v>
      </c>
      <c r="D195" s="583" t="s">
        <v>715</v>
      </c>
      <c r="E195" s="579" t="s">
        <v>451</v>
      </c>
      <c r="F195" s="577" t="s">
        <v>146</v>
      </c>
      <c r="G195" s="577" t="s">
        <v>53</v>
      </c>
      <c r="H195" s="577">
        <v>150.0</v>
      </c>
      <c r="I195" s="580" t="s">
        <v>716</v>
      </c>
      <c r="J195" s="581">
        <v>24.56314</v>
      </c>
      <c r="K195" s="581">
        <v>-81.40017</v>
      </c>
      <c r="L195" s="606" t="s">
        <v>453</v>
      </c>
      <c r="M195" s="607">
        <v>44377.0</v>
      </c>
      <c r="N195" s="575">
        <v>0.9866666666666667</v>
      </c>
      <c r="O195" s="256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56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56">
        <v>1.0</v>
      </c>
      <c r="R195" s="256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55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271">
        <v>44694.0</v>
      </c>
      <c r="U195" s="576">
        <v>0.8133333333333334</v>
      </c>
      <c r="V195" s="258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58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258">
        <v>1.0</v>
      </c>
      <c r="Y195" s="259"/>
      <c r="Z195" s="260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61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59"/>
      <c r="AC195" s="260"/>
      <c r="AD195" s="261"/>
      <c r="AE195" s="262" t="str">
        <f>IFERROR(__xludf.DUMMYFUNCTION("IFERROR(INDEX(IMPORTRANGE(""https://docs.google.com/spreadsheets/d/1fpsE_0655xguD48cGK6n1ZqSLnI-tw9aHzhbPM9kZ-k/edit#gid=0"", ""Monitoring Summary!B:B""),MATCH(D195,IMPORTRANGE(""https://docs.google.com/spreadsheets/d/1fpsE_0655xguD48cGK6n1ZqSLnI-tw9aHzhb"&amp;"PM9kZ-k/edit#gid=0"", ""Monitoring Summary!C:C""),0)),""Not Monitored"")"),"Not Monitored")</f>
        <v>Not Monitored</v>
      </c>
      <c r="AF195" s="263" t="str">
        <f>IFERROR(__xludf.DUMMYFUNCTION("IFERROR(INDEX(IMPORTRANGE(""https://docs.google.com/spreadsheets/d/1fpsE_0655xguD48cGK6n1ZqSLnI-tw9aHzhbPM9kZ-k/edit#gid=0"", ""Monitoring Summary!E:E""),MATCH(D195,IMPORTRANGE(""https://docs.google.com/spreadsheets/d/1fpsE_0655xguD48cGK6n1ZqSLnI-tw9aHzhb"&amp;"PM9kZ-k/edit#gid=0"", ""Monitoring Summary!C:C""),0)),""Not Monitored"")"),"Not Monitored")</f>
        <v>Not Monitored</v>
      </c>
      <c r="AG195" s="264" t="str">
        <f t="shared" si="1"/>
        <v>Not Monitored</v>
      </c>
      <c r="AH195" s="265" t="s">
        <v>717</v>
      </c>
    </row>
    <row r="196" ht="15.75" customHeight="1">
      <c r="A196" s="577">
        <v>2021.0</v>
      </c>
      <c r="B196" s="578">
        <v>44343.0</v>
      </c>
      <c r="C196" s="577" t="s">
        <v>225</v>
      </c>
      <c r="D196" s="583" t="s">
        <v>718</v>
      </c>
      <c r="E196" s="579" t="s">
        <v>451</v>
      </c>
      <c r="F196" s="577" t="s">
        <v>146</v>
      </c>
      <c r="G196" s="577" t="s">
        <v>53</v>
      </c>
      <c r="H196" s="577">
        <v>150.0</v>
      </c>
      <c r="I196" s="580" t="s">
        <v>716</v>
      </c>
      <c r="J196" s="608">
        <v>24.59536</v>
      </c>
      <c r="K196" s="608">
        <v>-81.37193</v>
      </c>
      <c r="L196" s="606" t="s">
        <v>453</v>
      </c>
      <c r="M196" s="607">
        <v>44378.0</v>
      </c>
      <c r="N196" s="575">
        <v>0.9466666666666667</v>
      </c>
      <c r="O196" s="256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56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56">
        <v>1.0</v>
      </c>
      <c r="R196" s="256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55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271">
        <v>44694.0</v>
      </c>
      <c r="U196" s="576">
        <v>0.7866666666666666</v>
      </c>
      <c r="V196" s="258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258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258">
        <v>0.9666666666666667</v>
      </c>
      <c r="Y196" s="259"/>
      <c r="Z196" s="260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61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59"/>
      <c r="AC196" s="260"/>
      <c r="AD196" s="261"/>
      <c r="AE196" s="262" t="str">
        <f>IFERROR(__xludf.DUMMYFUNCTION("IFERROR(INDEX(IMPORTRANGE(""https://docs.google.com/spreadsheets/d/1fpsE_0655xguD48cGK6n1ZqSLnI-tw9aHzhbPM9kZ-k/edit#gid=0"", ""Monitoring Summary!B:B""),MATCH(D196,IMPORTRANGE(""https://docs.google.com/spreadsheets/d/1fpsE_0655xguD48cGK6n1ZqSLnI-tw9aHzhb"&amp;"PM9kZ-k/edit#gid=0"", ""Monitoring Summary!C:C""),0)),""Not Monitored"")"),"Not Monitored")</f>
        <v>Not Monitored</v>
      </c>
      <c r="AF196" s="263" t="str">
        <f>IFERROR(__xludf.DUMMYFUNCTION("IFERROR(INDEX(IMPORTRANGE(""https://docs.google.com/spreadsheets/d/1fpsE_0655xguD48cGK6n1ZqSLnI-tw9aHzhbPM9kZ-k/edit#gid=0"", ""Monitoring Summary!E:E""),MATCH(D196,IMPORTRANGE(""https://docs.google.com/spreadsheets/d/1fpsE_0655xguD48cGK6n1ZqSLnI-tw9aHzhb"&amp;"PM9kZ-k/edit#gid=0"", ""Monitoring Summary!C:C""),0)),""Not Monitored"")"),"Not Monitored")</f>
        <v>Not Monitored</v>
      </c>
      <c r="AG196" s="264" t="str">
        <f t="shared" si="1"/>
        <v>Not Monitored</v>
      </c>
      <c r="AH196" s="265" t="s">
        <v>719</v>
      </c>
    </row>
    <row r="197" ht="15.75" customHeight="1">
      <c r="A197" s="376">
        <v>2021.0</v>
      </c>
      <c r="B197" s="444">
        <v>44347.0</v>
      </c>
      <c r="C197" s="376" t="s">
        <v>275</v>
      </c>
      <c r="D197" s="377" t="s">
        <v>720</v>
      </c>
      <c r="E197" s="377" t="s">
        <v>170</v>
      </c>
      <c r="F197" s="376" t="s">
        <v>161</v>
      </c>
      <c r="G197" s="376" t="s">
        <v>58</v>
      </c>
      <c r="H197" s="376">
        <v>500.0</v>
      </c>
      <c r="I197" s="445" t="s">
        <v>673</v>
      </c>
      <c r="J197" s="412">
        <v>24.54175</v>
      </c>
      <c r="K197" s="412">
        <v>-81.43386</v>
      </c>
      <c r="L197" s="378" t="s">
        <v>721</v>
      </c>
      <c r="M197" s="593">
        <v>44378.0</v>
      </c>
      <c r="N197" s="567">
        <v>0.994</v>
      </c>
      <c r="O197" s="296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96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96">
        <v>1.0</v>
      </c>
      <c r="R197" s="296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95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59">
        <v>44697.0</v>
      </c>
      <c r="U197" s="569">
        <v>0.48</v>
      </c>
      <c r="V197" s="298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298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298">
        <v>0.72</v>
      </c>
      <c r="Y197" s="299"/>
      <c r="Z197" s="300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301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299"/>
      <c r="AC197" s="300"/>
      <c r="AD197" s="301"/>
      <c r="AE197" s="262">
        <f>IFERROR(__xludf.DUMMYFUNCTION("IFERROR(INDEX(IMPORTRANGE(""https://docs.google.com/spreadsheets/d/1fpsE_0655xguD48cGK6n1ZqSLnI-tw9aHzhbPM9kZ-k/edit#gid=0"", ""Monitoring Summary!B:B""),MATCH(D197,IMPORTRANGE(""https://docs.google.com/spreadsheets/d/1fpsE_0655xguD48cGK6n1ZqSLnI-tw9aHzhb"&amp;"PM9kZ-k/edit#gid=0"", ""Monitoring Summary!C:C""),0)),""Not Monitored"")"),45239.0)</f>
        <v>45239</v>
      </c>
      <c r="AF197" s="263">
        <f>IFERROR(__xludf.DUMMYFUNCTION("IFERROR(INDEX(IMPORTRANGE(""https://docs.google.com/spreadsheets/d/1fpsE_0655xguD48cGK6n1ZqSLnI-tw9aHzhbPM9kZ-k/edit#gid=0"", ""Monitoring Summary!E:E""),MATCH(D197,IMPORTRANGE(""https://docs.google.com/spreadsheets/d/1fpsE_0655xguD48cGK6n1ZqSLnI-tw9aHzhb"&amp;"PM9kZ-k/edit#gid=0"", ""Monitoring Summary!C:C""),0)),""Not Monitored"")"),0.0)</f>
        <v>0</v>
      </c>
      <c r="AG197" s="264">
        <f t="shared" si="1"/>
        <v>0</v>
      </c>
      <c r="AH197" s="265" t="s">
        <v>722</v>
      </c>
    </row>
    <row r="198" ht="15.75" customHeight="1">
      <c r="A198" s="376">
        <v>2021.0</v>
      </c>
      <c r="B198" s="444">
        <v>44351.0</v>
      </c>
      <c r="C198" s="376" t="s">
        <v>591</v>
      </c>
      <c r="D198" s="377" t="s">
        <v>723</v>
      </c>
      <c r="E198" s="377" t="s">
        <v>170</v>
      </c>
      <c r="F198" s="376" t="s">
        <v>161</v>
      </c>
      <c r="G198" s="376" t="s">
        <v>58</v>
      </c>
      <c r="H198" s="376">
        <v>500.0</v>
      </c>
      <c r="I198" s="445" t="s">
        <v>290</v>
      </c>
      <c r="J198" s="412">
        <v>24.4718</v>
      </c>
      <c r="K198" s="412">
        <v>-81.76438</v>
      </c>
      <c r="L198" s="378" t="s">
        <v>724</v>
      </c>
      <c r="M198" s="593">
        <v>44396.0</v>
      </c>
      <c r="N198" s="567">
        <v>0.836</v>
      </c>
      <c r="O198" s="296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96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96">
        <v>0.98</v>
      </c>
      <c r="R198" s="296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95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294">
        <v>44692.0</v>
      </c>
      <c r="U198" s="569">
        <v>0.73</v>
      </c>
      <c r="V198" s="298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298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298">
        <v>0.89</v>
      </c>
      <c r="Y198" s="299"/>
      <c r="Z198" s="300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301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299"/>
      <c r="AC198" s="300"/>
      <c r="AD198" s="301"/>
      <c r="AE198" s="262">
        <f>IFERROR(__xludf.DUMMYFUNCTION("IFERROR(INDEX(IMPORTRANGE(""https://docs.google.com/spreadsheets/d/1fpsE_0655xguD48cGK6n1ZqSLnI-tw9aHzhbPM9kZ-k/edit#gid=0"", ""Monitoring Summary!B:B""),MATCH(D198,IMPORTRANGE(""https://docs.google.com/spreadsheets/d/1fpsE_0655xguD48cGK6n1ZqSLnI-tw9aHzhb"&amp;"PM9kZ-k/edit#gid=0"", ""Monitoring Summary!C:C""),0)),""Not Monitored"")"),45240.0)</f>
        <v>45240</v>
      </c>
      <c r="AF198" s="263">
        <f>IFERROR(__xludf.DUMMYFUNCTION("IFERROR(INDEX(IMPORTRANGE(""https://docs.google.com/spreadsheets/d/1fpsE_0655xguD48cGK6n1ZqSLnI-tw9aHzhbPM9kZ-k/edit#gid=0"", ""Monitoring Summary!E:E""),MATCH(D198,IMPORTRANGE(""https://docs.google.com/spreadsheets/d/1fpsE_0655xguD48cGK6n1ZqSLnI-tw9aHzhb"&amp;"PM9kZ-k/edit#gid=0"", ""Monitoring Summary!C:C""),0)),""Not Monitored"")"),0.0)</f>
        <v>0</v>
      </c>
      <c r="AG198" s="264">
        <f t="shared" si="1"/>
        <v>0</v>
      </c>
      <c r="AH198" s="265" t="s">
        <v>725</v>
      </c>
    </row>
    <row r="199">
      <c r="A199" s="609">
        <v>2021.0</v>
      </c>
      <c r="B199" s="610">
        <v>44364.0</v>
      </c>
      <c r="C199" s="609" t="s">
        <v>608</v>
      </c>
      <c r="D199" s="609" t="s">
        <v>726</v>
      </c>
      <c r="E199" s="609" t="s">
        <v>170</v>
      </c>
      <c r="F199" s="609" t="s">
        <v>161</v>
      </c>
      <c r="G199" s="609" t="s">
        <v>58</v>
      </c>
      <c r="H199" s="609">
        <v>500.0</v>
      </c>
      <c r="I199" s="609" t="s">
        <v>423</v>
      </c>
      <c r="J199" s="611">
        <v>24.45108</v>
      </c>
      <c r="K199" s="611">
        <v>-81.88803</v>
      </c>
      <c r="L199" s="378" t="s">
        <v>724</v>
      </c>
      <c r="M199" s="593">
        <v>44396.0</v>
      </c>
      <c r="N199" s="567">
        <v>0.886</v>
      </c>
      <c r="O199" s="296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96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96">
        <v>1.0</v>
      </c>
      <c r="R199" s="296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95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294">
        <v>44698.0</v>
      </c>
      <c r="U199" s="569">
        <v>0.47</v>
      </c>
      <c r="V199" s="298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298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298">
        <v>0.78</v>
      </c>
      <c r="Y199" s="299"/>
      <c r="Z199" s="300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301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299"/>
      <c r="AC199" s="300"/>
      <c r="AD199" s="301"/>
      <c r="AE199" s="328">
        <f>IFERROR(__xludf.DUMMYFUNCTION("IFERROR(INDEX(IMPORTRANGE(""https://docs.google.com/spreadsheets/d/1fpsE_0655xguD48cGK6n1ZqSLnI-tw9aHzhbPM9kZ-k/edit#gid=0"", ""Monitoring Summary!B:B""),MATCH(D199,IMPORTRANGE(""https://docs.google.com/spreadsheets/d/1fpsE_0655xguD48cGK6n1ZqSLnI-tw9aHzhb"&amp;"PM9kZ-k/edit#gid=0"", ""Monitoring Summary!C:C""),0)),""Not Monitored"")"),45307.0)</f>
        <v>45307</v>
      </c>
      <c r="AF199" s="329">
        <f>IFERROR(__xludf.DUMMYFUNCTION("IFERROR(INDEX(IMPORTRANGE(""https://docs.google.com/spreadsheets/d/1fpsE_0655xguD48cGK6n1ZqSLnI-tw9aHzhbPM9kZ-k/edit#gid=0"", ""Monitoring Summary!E:E""),MATCH(D199,IMPORTRANGE(""https://docs.google.com/spreadsheets/d/1fpsE_0655xguD48cGK6n1ZqSLnI-tw9aHzhb"&amp;"PM9kZ-k/edit#gid=0"", ""Monitoring Summary!C:C""),0)),""Not Monitored"")"),0.0)</f>
        <v>0</v>
      </c>
      <c r="AG199" s="330">
        <f t="shared" si="1"/>
        <v>0</v>
      </c>
      <c r="AH199" s="331" t="s">
        <v>727</v>
      </c>
    </row>
    <row r="200">
      <c r="A200" s="609">
        <v>2021.0</v>
      </c>
      <c r="B200" s="610">
        <v>44365.0</v>
      </c>
      <c r="C200" s="609" t="s">
        <v>318</v>
      </c>
      <c r="D200" s="609" t="s">
        <v>728</v>
      </c>
      <c r="E200" s="609" t="s">
        <v>170</v>
      </c>
      <c r="F200" s="609" t="s">
        <v>161</v>
      </c>
      <c r="G200" s="609" t="s">
        <v>58</v>
      </c>
      <c r="H200" s="609">
        <v>500.0</v>
      </c>
      <c r="I200" s="609" t="s">
        <v>729</v>
      </c>
      <c r="J200" s="611">
        <v>24.52484</v>
      </c>
      <c r="K200" s="611">
        <v>-81.50686</v>
      </c>
      <c r="L200" s="609" t="s">
        <v>430</v>
      </c>
      <c r="M200" s="593">
        <v>44407.0</v>
      </c>
      <c r="N200" s="567">
        <v>0.948</v>
      </c>
      <c r="O200" s="296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96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96">
        <v>1.0</v>
      </c>
      <c r="R200" s="296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95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294">
        <v>44718.0</v>
      </c>
      <c r="U200" s="569">
        <v>0.762</v>
      </c>
      <c r="V200" s="298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298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298">
        <v>0.96</v>
      </c>
      <c r="Y200" s="299"/>
      <c r="Z200" s="300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301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299"/>
      <c r="AC200" s="300"/>
      <c r="AD200" s="301"/>
      <c r="AE200" s="262">
        <f>IFERROR(__xludf.DUMMYFUNCTION("IFERROR(INDEX(IMPORTRANGE(""https://docs.google.com/spreadsheets/d/1fpsE_0655xguD48cGK6n1ZqSLnI-tw9aHzhbPM9kZ-k/edit#gid=0"", ""Monitoring Summary!B:B""),MATCH(D200,IMPORTRANGE(""https://docs.google.com/spreadsheets/d/1fpsE_0655xguD48cGK6n1ZqSLnI-tw9aHzhb"&amp;"PM9kZ-k/edit#gid=0"", ""Monitoring Summary!C:C""),0)),""Not Monitored"")"),45264.0)</f>
        <v>45264</v>
      </c>
      <c r="AF200" s="263">
        <f>IFERROR(__xludf.DUMMYFUNCTION("IFERROR(INDEX(IMPORTRANGE(""https://docs.google.com/spreadsheets/d/1fpsE_0655xguD48cGK6n1ZqSLnI-tw9aHzhbPM9kZ-k/edit#gid=0"", ""Monitoring Summary!E:E""),MATCH(D200,IMPORTRANGE(""https://docs.google.com/spreadsheets/d/1fpsE_0655xguD48cGK6n1ZqSLnI-tw9aHzhb"&amp;"PM9kZ-k/edit#gid=0"", ""Monitoring Summary!C:C""),0)),""Not Monitored"")"),0.0)</f>
        <v>0</v>
      </c>
      <c r="AG200" s="264">
        <f t="shared" si="1"/>
        <v>0</v>
      </c>
      <c r="AH200" s="265" t="s">
        <v>730</v>
      </c>
    </row>
    <row r="201">
      <c r="A201" s="612">
        <v>2021.0</v>
      </c>
      <c r="B201" s="613">
        <v>44375.0</v>
      </c>
      <c r="C201" s="612" t="s">
        <v>275</v>
      </c>
      <c r="D201" s="612" t="s">
        <v>731</v>
      </c>
      <c r="E201" s="612" t="s">
        <v>170</v>
      </c>
      <c r="F201" s="612" t="s">
        <v>146</v>
      </c>
      <c r="G201" s="612" t="s">
        <v>53</v>
      </c>
      <c r="H201" s="612">
        <v>250.0</v>
      </c>
      <c r="I201" s="612" t="s">
        <v>273</v>
      </c>
      <c r="J201" s="614">
        <v>24.54047</v>
      </c>
      <c r="K201" s="614">
        <v>-81.44465</v>
      </c>
      <c r="L201" s="612"/>
      <c r="M201" s="593">
        <v>44404.0</v>
      </c>
      <c r="N201" s="567">
        <v>0.9319999999999999</v>
      </c>
      <c r="O201" s="296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96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96">
        <v>1.0</v>
      </c>
      <c r="R201" s="296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95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294">
        <v>44753.0</v>
      </c>
      <c r="U201" s="569">
        <v>0.888</v>
      </c>
      <c r="V201" s="298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298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298">
        <v>0.98</v>
      </c>
      <c r="Y201" s="299"/>
      <c r="Z201" s="300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301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299"/>
      <c r="AC201" s="300"/>
      <c r="AD201" s="301"/>
      <c r="AE201" s="262">
        <f>IFERROR(__xludf.DUMMYFUNCTION("IFERROR(INDEX(IMPORTRANGE(""https://docs.google.com/spreadsheets/d/1fpsE_0655xguD48cGK6n1ZqSLnI-tw9aHzhbPM9kZ-k/edit#gid=0"", ""Monitoring Summary!B:B""),MATCH(D201,IMPORTRANGE(""https://docs.google.com/spreadsheets/d/1fpsE_0655xguD48cGK6n1ZqSLnI-tw9aHzhb"&amp;"PM9kZ-k/edit#gid=0"", ""Monitoring Summary!C:C""),0)),""Not Monitored"")"),45198.0)</f>
        <v>45198</v>
      </c>
      <c r="AF201" s="263">
        <f>IFERROR(__xludf.DUMMYFUNCTION("IFERROR(INDEX(IMPORTRANGE(""https://docs.google.com/spreadsheets/d/1fpsE_0655xguD48cGK6n1ZqSLnI-tw9aHzhbPM9kZ-k/edit#gid=0"", ""Monitoring Summary!E:E""),MATCH(D201,IMPORTRANGE(""https://docs.google.com/spreadsheets/d/1fpsE_0655xguD48cGK6n1ZqSLnI-tw9aHzhb"&amp;"PM9kZ-k/edit#gid=0"", ""Monitoring Summary!C:C""),0)),""Not Monitored"")"),0.0)</f>
        <v>0</v>
      </c>
      <c r="AG201" s="264">
        <f t="shared" si="1"/>
        <v>0</v>
      </c>
      <c r="AH201" s="265" t="s">
        <v>732</v>
      </c>
    </row>
    <row r="202">
      <c r="A202" s="615">
        <v>2021.0</v>
      </c>
      <c r="B202" s="616">
        <v>44375.0</v>
      </c>
      <c r="C202" s="615" t="s">
        <v>428</v>
      </c>
      <c r="D202" s="615" t="s">
        <v>733</v>
      </c>
      <c r="E202" s="615" t="s">
        <v>170</v>
      </c>
      <c r="F202" s="615" t="s">
        <v>146</v>
      </c>
      <c r="G202" s="615" t="s">
        <v>53</v>
      </c>
      <c r="H202" s="615">
        <v>250.0</v>
      </c>
      <c r="I202" s="615" t="s">
        <v>273</v>
      </c>
      <c r="J202" s="617">
        <v>24.53109</v>
      </c>
      <c r="K202" s="617">
        <v>-81.48502</v>
      </c>
      <c r="L202" s="615"/>
      <c r="M202" s="607">
        <v>44404.0</v>
      </c>
      <c r="N202" s="575">
        <v>0.912</v>
      </c>
      <c r="O202" s="256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56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56">
        <v>1.0</v>
      </c>
      <c r="R202" s="256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55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271">
        <v>44755.0</v>
      </c>
      <c r="U202" s="576">
        <v>0.876</v>
      </c>
      <c r="V202" s="258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258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258">
        <v>0.98</v>
      </c>
      <c r="Y202" s="259"/>
      <c r="Z202" s="260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261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259"/>
      <c r="AC202" s="260"/>
      <c r="AD202" s="261"/>
      <c r="AE202" s="262" t="str">
        <f>IFERROR(__xludf.DUMMYFUNCTION("IFERROR(INDEX(IMPORTRANGE(""https://docs.google.com/spreadsheets/d/1fpsE_0655xguD48cGK6n1ZqSLnI-tw9aHzhbPM9kZ-k/edit#gid=0"", ""Monitoring Summary!B:B""),MATCH(D202,IMPORTRANGE(""https://docs.google.com/spreadsheets/d/1fpsE_0655xguD48cGK6n1ZqSLnI-tw9aHzhb"&amp;"PM9kZ-k/edit#gid=0"", ""Monitoring Summary!C:C""),0)),""Not Monitored"")"),"Not Monitored")</f>
        <v>Not Monitored</v>
      </c>
      <c r="AF202" s="263" t="str">
        <f>IFERROR(__xludf.DUMMYFUNCTION("IFERROR(INDEX(IMPORTRANGE(""https://docs.google.com/spreadsheets/d/1fpsE_0655xguD48cGK6n1ZqSLnI-tw9aHzhbPM9kZ-k/edit#gid=0"", ""Monitoring Summary!E:E""),MATCH(D202,IMPORTRANGE(""https://docs.google.com/spreadsheets/d/1fpsE_0655xguD48cGK6n1ZqSLnI-tw9aHzhb"&amp;"PM9kZ-k/edit#gid=0"", ""Monitoring Summary!C:C""),0)),""Not Monitored"")"),"Not Monitored")</f>
        <v>Not Monitored</v>
      </c>
      <c r="AG202" s="264" t="str">
        <f t="shared" si="1"/>
        <v>Not Monitored</v>
      </c>
      <c r="AH202" s="265" t="s">
        <v>732</v>
      </c>
    </row>
    <row r="203">
      <c r="A203" s="615">
        <v>2021.0</v>
      </c>
      <c r="B203" s="616">
        <v>44375.0</v>
      </c>
      <c r="C203" s="615" t="s">
        <v>577</v>
      </c>
      <c r="D203" s="615" t="s">
        <v>734</v>
      </c>
      <c r="E203" s="615" t="s">
        <v>170</v>
      </c>
      <c r="F203" s="615" t="s">
        <v>146</v>
      </c>
      <c r="G203" s="615" t="s">
        <v>53</v>
      </c>
      <c r="H203" s="615">
        <v>250.0</v>
      </c>
      <c r="I203" s="615" t="s">
        <v>273</v>
      </c>
      <c r="J203" s="617">
        <v>24.52757</v>
      </c>
      <c r="K203" s="617">
        <v>-81.49843</v>
      </c>
      <c r="L203" s="615"/>
      <c r="M203" s="607">
        <v>44404.0</v>
      </c>
      <c r="N203" s="575">
        <v>0.944</v>
      </c>
      <c r="O203" s="256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56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56">
        <v>1.0</v>
      </c>
      <c r="R203" s="256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55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271">
        <v>44754.0</v>
      </c>
      <c r="U203" s="576">
        <v>0.904</v>
      </c>
      <c r="V203" s="258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258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258">
        <v>1.0</v>
      </c>
      <c r="Y203" s="259"/>
      <c r="Z203" s="260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261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259"/>
      <c r="AC203" s="260"/>
      <c r="AD203" s="261"/>
      <c r="AE203" s="262" t="str">
        <f>IFERROR(__xludf.DUMMYFUNCTION("IFERROR(INDEX(IMPORTRANGE(""https://docs.google.com/spreadsheets/d/1fpsE_0655xguD48cGK6n1ZqSLnI-tw9aHzhbPM9kZ-k/edit#gid=0"", ""Monitoring Summary!B:B""),MATCH(D203,IMPORTRANGE(""https://docs.google.com/spreadsheets/d/1fpsE_0655xguD48cGK6n1ZqSLnI-tw9aHzhb"&amp;"PM9kZ-k/edit#gid=0"", ""Monitoring Summary!C:C""),0)),""Not Monitored"")"),"Not Monitored")</f>
        <v>Not Monitored</v>
      </c>
      <c r="AF203" s="263" t="str">
        <f>IFERROR(__xludf.DUMMYFUNCTION("IFERROR(INDEX(IMPORTRANGE(""https://docs.google.com/spreadsheets/d/1fpsE_0655xguD48cGK6n1ZqSLnI-tw9aHzhbPM9kZ-k/edit#gid=0"", ""Monitoring Summary!E:E""),MATCH(D203,IMPORTRANGE(""https://docs.google.com/spreadsheets/d/1fpsE_0655xguD48cGK6n1ZqSLnI-tw9aHzhb"&amp;"PM9kZ-k/edit#gid=0"", ""Monitoring Summary!C:C""),0)),""Not Monitored"")"),"Not Monitored")</f>
        <v>Not Monitored</v>
      </c>
      <c r="AG203" s="264" t="str">
        <f t="shared" si="1"/>
        <v>Not Monitored</v>
      </c>
      <c r="AH203" s="265" t="s">
        <v>732</v>
      </c>
    </row>
    <row r="204">
      <c r="A204" s="615">
        <v>2021.0</v>
      </c>
      <c r="B204" s="616">
        <v>44400.0</v>
      </c>
      <c r="C204" s="615" t="s">
        <v>642</v>
      </c>
      <c r="D204" s="615" t="s">
        <v>735</v>
      </c>
      <c r="E204" s="615" t="s">
        <v>170</v>
      </c>
      <c r="F204" s="615" t="s">
        <v>161</v>
      </c>
      <c r="G204" s="615" t="s">
        <v>53</v>
      </c>
      <c r="H204" s="615">
        <v>500.0</v>
      </c>
      <c r="I204" s="615" t="s">
        <v>299</v>
      </c>
      <c r="J204" s="617">
        <v>24.44463</v>
      </c>
      <c r="K204" s="617">
        <v>-81.92663</v>
      </c>
      <c r="L204" s="615" t="s">
        <v>736</v>
      </c>
      <c r="M204" s="607">
        <v>44439.0</v>
      </c>
      <c r="N204" s="575">
        <v>0.9299999999999999</v>
      </c>
      <c r="O204" s="256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56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56">
        <v>0.99</v>
      </c>
      <c r="R204" s="256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55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271">
        <v>44727.0</v>
      </c>
      <c r="U204" s="576">
        <v>0.892</v>
      </c>
      <c r="V204" s="258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258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258">
        <v>0.99</v>
      </c>
      <c r="Y204" s="360"/>
      <c r="Z204" s="260"/>
      <c r="AA204" s="261"/>
      <c r="AB204" s="259" t="s">
        <v>149</v>
      </c>
      <c r="AC204" s="260"/>
      <c r="AD204" s="261"/>
      <c r="AE204" s="618">
        <f>IFERROR(__xludf.DUMMYFUNCTION("IFERROR(INDEX(IMPORTRANGE(""https://docs.google.com/spreadsheets/d/1fpsE_0655xguD48cGK6n1ZqSLnI-tw9aHzhbPM9kZ-k/edit#gid=0"", ""Monitoring Summary!B:B""),MATCH(D204,IMPORTRANGE(""https://docs.google.com/spreadsheets/d/1fpsE_0655xguD48cGK6n1ZqSLnI-tw9aHzhb"&amp;"PM9kZ-k/edit#gid=0"", ""Monitoring Summary!C:C""),0)),""Not Monitored"")"),45204.0)</f>
        <v>45204</v>
      </c>
      <c r="AF204" s="619">
        <f>IFERROR(__xludf.DUMMYFUNCTION("IFERROR(INDEX(IMPORTRANGE(""https://docs.google.com/spreadsheets/d/1fpsE_0655xguD48cGK6n1ZqSLnI-tw9aHzhbPM9kZ-k/edit#gid=0"", ""Monitoring Summary!E:E""),MATCH(D204,IMPORTRANGE(""https://docs.google.com/spreadsheets/d/1fpsE_0655xguD48cGK6n1ZqSLnI-tw9aHzhb"&amp;"PM9kZ-k/edit#gid=0"", ""Monitoring Summary!C:C""),0)),""Not Monitored"")"),0.0)</f>
        <v>0</v>
      </c>
      <c r="AG204" s="620">
        <f t="shared" si="1"/>
        <v>0</v>
      </c>
      <c r="AH204" s="265" t="s">
        <v>737</v>
      </c>
    </row>
    <row r="205">
      <c r="A205" s="612">
        <v>2021.0</v>
      </c>
      <c r="B205" s="613">
        <v>44410.0</v>
      </c>
      <c r="C205" s="612" t="s">
        <v>318</v>
      </c>
      <c r="D205" s="612" t="s">
        <v>738</v>
      </c>
      <c r="E205" s="612" t="s">
        <v>170</v>
      </c>
      <c r="F205" s="612" t="s">
        <v>161</v>
      </c>
      <c r="G205" s="612" t="s">
        <v>53</v>
      </c>
      <c r="H205" s="612">
        <v>650.0</v>
      </c>
      <c r="I205" s="612" t="s">
        <v>739</v>
      </c>
      <c r="J205" s="614">
        <v>24.52491</v>
      </c>
      <c r="K205" s="614">
        <v>-81.50709</v>
      </c>
      <c r="L205" s="612"/>
      <c r="M205" s="593">
        <v>44449.0</v>
      </c>
      <c r="N205" s="567">
        <v>0.9876923076923076</v>
      </c>
      <c r="O205" s="296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96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96">
        <v>1.0</v>
      </c>
      <c r="R205" s="296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95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294">
        <v>44749.0</v>
      </c>
      <c r="U205" s="569">
        <v>0.8661538461538462</v>
      </c>
      <c r="V205" s="298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298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298">
        <v>1.0</v>
      </c>
      <c r="Y205" s="299"/>
      <c r="Z205" s="300"/>
      <c r="AA205" s="301"/>
      <c r="AB205" s="299"/>
      <c r="AC205" s="300"/>
      <c r="AD205" s="301"/>
      <c r="AE205" s="262">
        <f>IFERROR(__xludf.DUMMYFUNCTION("IFERROR(INDEX(IMPORTRANGE(""https://docs.google.com/spreadsheets/d/1fpsE_0655xguD48cGK6n1ZqSLnI-tw9aHzhbPM9kZ-k/edit#gid=0"", ""Monitoring Summary!B:B""),MATCH(D205,IMPORTRANGE(""https://docs.google.com/spreadsheets/d/1fpsE_0655xguD48cGK6n1ZqSLnI-tw9aHzhb"&amp;"PM9kZ-k/edit#gid=0"", ""Monitoring Summary!C:C""),0)),""Not Monitored"")"),45264.0)</f>
        <v>45264</v>
      </c>
      <c r="AF205" s="263">
        <f>IFERROR(__xludf.DUMMYFUNCTION("IFERROR(INDEX(IMPORTRANGE(""https://docs.google.com/spreadsheets/d/1fpsE_0655xguD48cGK6n1ZqSLnI-tw9aHzhbPM9kZ-k/edit#gid=0"", ""Monitoring Summary!E:E""),MATCH(D205,IMPORTRANGE(""https://docs.google.com/spreadsheets/d/1fpsE_0655xguD48cGK6n1ZqSLnI-tw9aHzhb"&amp;"PM9kZ-k/edit#gid=0"", ""Monitoring Summary!C:C""),0)),""Not Monitored"")"),0.0)</f>
        <v>0</v>
      </c>
      <c r="AG205" s="264">
        <f t="shared" si="1"/>
        <v>0</v>
      </c>
      <c r="AH205" s="265" t="s">
        <v>740</v>
      </c>
    </row>
    <row r="206">
      <c r="A206" s="621">
        <v>2021.0</v>
      </c>
      <c r="B206" s="622">
        <v>44413.0</v>
      </c>
      <c r="C206" s="621" t="s">
        <v>292</v>
      </c>
      <c r="D206" s="621" t="s">
        <v>741</v>
      </c>
      <c r="E206" s="621" t="s">
        <v>170</v>
      </c>
      <c r="F206" s="621" t="s">
        <v>161</v>
      </c>
      <c r="G206" s="621" t="s">
        <v>60</v>
      </c>
      <c r="H206" s="621">
        <v>500.0</v>
      </c>
      <c r="I206" s="621" t="s">
        <v>742</v>
      </c>
      <c r="J206" s="623">
        <v>24.45887</v>
      </c>
      <c r="K206" s="623">
        <v>-81.84372</v>
      </c>
      <c r="L206" s="621"/>
      <c r="M206" s="593">
        <v>44441.0</v>
      </c>
      <c r="N206" s="567">
        <v>0.986</v>
      </c>
      <c r="O206" s="296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96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96">
        <v>1.0</v>
      </c>
      <c r="R206" s="296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95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294">
        <v>44754.0</v>
      </c>
      <c r="U206" s="569">
        <v>0.836</v>
      </c>
      <c r="V206" s="298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298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298">
        <v>0.98</v>
      </c>
      <c r="Y206" s="371">
        <v>45294.0</v>
      </c>
      <c r="Z206" s="300"/>
      <c r="AA206" s="301"/>
      <c r="AB206" s="299"/>
      <c r="AC206" s="300"/>
      <c r="AD206" s="301"/>
      <c r="AE206" s="262">
        <f>IFERROR(__xludf.DUMMYFUNCTION("IFERROR(INDEX(IMPORTRANGE(""https://docs.google.com/spreadsheets/d/1fpsE_0655xguD48cGK6n1ZqSLnI-tw9aHzhbPM9kZ-k/edit#gid=0"", ""Monitoring Summary!B:B""),MATCH(D206,IMPORTRANGE(""https://docs.google.com/spreadsheets/d/1fpsE_0655xguD48cGK6n1ZqSLnI-tw9aHzhb"&amp;"PM9kZ-k/edit#gid=0"", ""Monitoring Summary!C:C""),0)),""Not Monitored"")"),45294.0)</f>
        <v>45294</v>
      </c>
      <c r="AF206" s="263">
        <f>IFERROR(__xludf.DUMMYFUNCTION("IFERROR(INDEX(IMPORTRANGE(""https://docs.google.com/spreadsheets/d/1fpsE_0655xguD48cGK6n1ZqSLnI-tw9aHzhbPM9kZ-k/edit#gid=0"", ""Monitoring Summary!E:E""),MATCH(D206,IMPORTRANGE(""https://docs.google.com/spreadsheets/d/1fpsE_0655xguD48cGK6n1ZqSLnI-tw9aHzhb"&amp;"PM9kZ-k/edit#gid=0"", ""Monitoring Summary!C:C""),0)),""Not Monitored"")"),0.0)</f>
        <v>0</v>
      </c>
      <c r="AG206" s="264">
        <f t="shared" si="1"/>
        <v>0</v>
      </c>
      <c r="AH206" s="265" t="s">
        <v>743</v>
      </c>
    </row>
    <row r="207">
      <c r="A207" s="624">
        <v>2021.0</v>
      </c>
      <c r="B207" s="625">
        <v>44476.0</v>
      </c>
      <c r="C207" s="624" t="s">
        <v>168</v>
      </c>
      <c r="D207" s="624" t="s">
        <v>744</v>
      </c>
      <c r="E207" s="624" t="s">
        <v>170</v>
      </c>
      <c r="F207" s="624" t="s">
        <v>161</v>
      </c>
      <c r="G207" s="624" t="s">
        <v>65</v>
      </c>
      <c r="H207" s="624">
        <v>200.0</v>
      </c>
      <c r="I207" s="624" t="s">
        <v>745</v>
      </c>
      <c r="J207" s="626">
        <v>24.52141</v>
      </c>
      <c r="K207" s="626">
        <v>-81.52435</v>
      </c>
      <c r="L207" s="624" t="s">
        <v>746</v>
      </c>
      <c r="M207" s="593">
        <v>44511.0</v>
      </c>
      <c r="N207" s="567">
        <v>0.935</v>
      </c>
      <c r="O207" s="296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96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96">
        <v>1.0</v>
      </c>
      <c r="R207" s="296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95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294">
        <v>44825.0</v>
      </c>
      <c r="U207" s="569">
        <v>0.905</v>
      </c>
      <c r="V207" s="298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298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298">
        <v>1.0</v>
      </c>
      <c r="Y207" s="299"/>
      <c r="Z207" s="300"/>
      <c r="AA207" s="301"/>
      <c r="AB207" s="299"/>
      <c r="AC207" s="300"/>
      <c r="AD207" s="301"/>
      <c r="AE207" s="262">
        <f>IFERROR(__xludf.DUMMYFUNCTION("IFERROR(INDEX(IMPORTRANGE(""https://docs.google.com/spreadsheets/d/1fpsE_0655xguD48cGK6n1ZqSLnI-tw9aHzhbPM9kZ-k/edit#gid=0"", ""Monitoring Summary!B:B""),MATCH(D207,IMPORTRANGE(""https://docs.google.com/spreadsheets/d/1fpsE_0655xguD48cGK6n1ZqSLnI-tw9aHzhb"&amp;"PM9kZ-k/edit#gid=0"", ""Monitoring Summary!C:C""),0)),""Not Monitored"")"),45264.0)</f>
        <v>45264</v>
      </c>
      <c r="AF207" s="263">
        <f>IFERROR(__xludf.DUMMYFUNCTION("IFERROR(INDEX(IMPORTRANGE(""https://docs.google.com/spreadsheets/d/1fpsE_0655xguD48cGK6n1ZqSLnI-tw9aHzhbPM9kZ-k/edit#gid=0"", ""Monitoring Summary!E:E""),MATCH(D207,IMPORTRANGE(""https://docs.google.com/spreadsheets/d/1fpsE_0655xguD48cGK6n1ZqSLnI-tw9aHzhb"&amp;"PM9kZ-k/edit#gid=0"", ""Monitoring Summary!C:C""),0)),""Not Monitored"")"),0.0)</f>
        <v>0</v>
      </c>
      <c r="AG207" s="264">
        <f t="shared" si="1"/>
        <v>0</v>
      </c>
      <c r="AH207" s="265" t="s">
        <v>747</v>
      </c>
    </row>
    <row r="208">
      <c r="A208" s="612">
        <v>2021.0</v>
      </c>
      <c r="B208" s="613">
        <v>44484.0</v>
      </c>
      <c r="C208" s="612" t="s">
        <v>168</v>
      </c>
      <c r="D208" s="612" t="s">
        <v>748</v>
      </c>
      <c r="E208" s="612" t="s">
        <v>170</v>
      </c>
      <c r="F208" s="612" t="s">
        <v>161</v>
      </c>
      <c r="G208" s="612" t="s">
        <v>53</v>
      </c>
      <c r="H208" s="612">
        <v>300.0</v>
      </c>
      <c r="I208" s="612" t="s">
        <v>749</v>
      </c>
      <c r="J208" s="614">
        <v>24.52141</v>
      </c>
      <c r="K208" s="614">
        <v>-81.52435</v>
      </c>
      <c r="L208" s="612" t="s">
        <v>750</v>
      </c>
      <c r="M208" s="593">
        <v>44511.0</v>
      </c>
      <c r="N208" s="567">
        <v>0.9366666666666666</v>
      </c>
      <c r="O208" s="296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96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96">
        <v>1.0</v>
      </c>
      <c r="R208" s="296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95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294">
        <v>44825.0</v>
      </c>
      <c r="U208" s="569">
        <v>0.7266666666666667</v>
      </c>
      <c r="V208" s="298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298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298">
        <v>0.9166666666666666</v>
      </c>
      <c r="Y208" s="299"/>
      <c r="Z208" s="300"/>
      <c r="AA208" s="301"/>
      <c r="AB208" s="299"/>
      <c r="AC208" s="300"/>
      <c r="AD208" s="301"/>
      <c r="AE208" s="262">
        <f>IFERROR(__xludf.DUMMYFUNCTION("IFERROR(INDEX(IMPORTRANGE(""https://docs.google.com/spreadsheets/d/1fpsE_0655xguD48cGK6n1ZqSLnI-tw9aHzhbPM9kZ-k/edit#gid=0"", ""Monitoring Summary!B:B""),MATCH(D208,IMPORTRANGE(""https://docs.google.com/spreadsheets/d/1fpsE_0655xguD48cGK6n1ZqSLnI-tw9aHzhb"&amp;"PM9kZ-k/edit#gid=0"", ""Monitoring Summary!C:C""),0)),""Not Monitored"")"),45264.0)</f>
        <v>45264</v>
      </c>
      <c r="AF208" s="263">
        <f>IFERROR(__xludf.DUMMYFUNCTION("IFERROR(INDEX(IMPORTRANGE(""https://docs.google.com/spreadsheets/d/1fpsE_0655xguD48cGK6n1ZqSLnI-tw9aHzhbPM9kZ-k/edit#gid=0"", ""Monitoring Summary!E:E""),MATCH(D208,IMPORTRANGE(""https://docs.google.com/spreadsheets/d/1fpsE_0655xguD48cGK6n1ZqSLnI-tw9aHzhb"&amp;"PM9kZ-k/edit#gid=0"", ""Monitoring Summary!C:C""),0)),""Not Monitored"")"),0.0)</f>
        <v>0</v>
      </c>
      <c r="AG208" s="264">
        <f t="shared" si="1"/>
        <v>0</v>
      </c>
      <c r="AH208" s="265" t="s">
        <v>751</v>
      </c>
    </row>
    <row r="209">
      <c r="A209" s="612">
        <v>2021.0</v>
      </c>
      <c r="B209" s="613">
        <v>44494.0</v>
      </c>
      <c r="C209" s="612" t="s">
        <v>428</v>
      </c>
      <c r="D209" s="612" t="s">
        <v>752</v>
      </c>
      <c r="E209" s="612" t="s">
        <v>170</v>
      </c>
      <c r="F209" s="612" t="s">
        <v>161</v>
      </c>
      <c r="G209" s="612" t="s">
        <v>53</v>
      </c>
      <c r="H209" s="612">
        <v>500.0</v>
      </c>
      <c r="I209" s="612" t="s">
        <v>494</v>
      </c>
      <c r="J209" s="614">
        <v>24.53004</v>
      </c>
      <c r="K209" s="614">
        <v>-81.48972</v>
      </c>
      <c r="L209" s="612"/>
      <c r="M209" s="593">
        <v>44519.0</v>
      </c>
      <c r="N209" s="567">
        <v>0.996</v>
      </c>
      <c r="O209" s="296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96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96">
        <v>1.0</v>
      </c>
      <c r="R209" s="296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95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294">
        <v>44839.0</v>
      </c>
      <c r="U209" s="569">
        <v>0.598</v>
      </c>
      <c r="V209" s="298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298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627">
        <v>0.8</v>
      </c>
      <c r="Y209" s="299"/>
      <c r="Z209" s="300"/>
      <c r="AA209" s="301"/>
      <c r="AB209" s="299"/>
      <c r="AC209" s="300"/>
      <c r="AD209" s="301"/>
      <c r="AE209" s="262">
        <f>IFERROR(__xludf.DUMMYFUNCTION("IFERROR(INDEX(IMPORTRANGE(""https://docs.google.com/spreadsheets/d/1fpsE_0655xguD48cGK6n1ZqSLnI-tw9aHzhbPM9kZ-k/edit#gid=0"", ""Monitoring Summary!B:B""),MATCH(D209,IMPORTRANGE(""https://docs.google.com/spreadsheets/d/1fpsE_0655xguD48cGK6n1ZqSLnI-tw9aHzhb"&amp;"PM9kZ-k/edit#gid=0"", ""Monitoring Summary!C:C""),0)),""Not Monitored"")"),45258.0)</f>
        <v>45258</v>
      </c>
      <c r="AF209" s="263">
        <f>IFERROR(__xludf.DUMMYFUNCTION("IFERROR(INDEX(IMPORTRANGE(""https://docs.google.com/spreadsheets/d/1fpsE_0655xguD48cGK6n1ZqSLnI-tw9aHzhbPM9kZ-k/edit#gid=0"", ""Monitoring Summary!E:E""),MATCH(D209,IMPORTRANGE(""https://docs.google.com/spreadsheets/d/1fpsE_0655xguD48cGK6n1ZqSLnI-tw9aHzhb"&amp;"PM9kZ-k/edit#gid=0"", ""Monitoring Summary!C:C""),0)),""Not Monitored"")"),0.0)</f>
        <v>0</v>
      </c>
      <c r="AG209" s="264">
        <f t="shared" si="1"/>
        <v>0</v>
      </c>
      <c r="AH209" s="265" t="s">
        <v>753</v>
      </c>
    </row>
    <row r="210">
      <c r="A210" s="612">
        <v>2021.0</v>
      </c>
      <c r="B210" s="613">
        <v>44504.0</v>
      </c>
      <c r="C210" s="612" t="s">
        <v>318</v>
      </c>
      <c r="D210" s="612" t="s">
        <v>754</v>
      </c>
      <c r="E210" s="612" t="s">
        <v>170</v>
      </c>
      <c r="F210" s="612" t="s">
        <v>161</v>
      </c>
      <c r="G210" s="612" t="s">
        <v>53</v>
      </c>
      <c r="H210" s="612">
        <v>500.0</v>
      </c>
      <c r="I210" s="612" t="s">
        <v>755</v>
      </c>
      <c r="J210" s="614">
        <v>24.52496</v>
      </c>
      <c r="K210" s="614">
        <v>-81.50679</v>
      </c>
      <c r="L210" s="612"/>
      <c r="M210" s="593">
        <v>44531.0</v>
      </c>
      <c r="N210" s="567">
        <v>0.98</v>
      </c>
      <c r="O210" s="296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96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96">
        <v>1.0</v>
      </c>
      <c r="R210" s="296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95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294">
        <v>44859.0</v>
      </c>
      <c r="U210" s="569">
        <v>0.38</v>
      </c>
      <c r="V210" s="298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298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627">
        <v>0.74</v>
      </c>
      <c r="Y210" s="299"/>
      <c r="Z210" s="300"/>
      <c r="AA210" s="301"/>
      <c r="AB210" s="299"/>
      <c r="AC210" s="300"/>
      <c r="AD210" s="301"/>
      <c r="AE210" s="262">
        <f>IFERROR(__xludf.DUMMYFUNCTION("IFERROR(INDEX(IMPORTRANGE(""https://docs.google.com/spreadsheets/d/1fpsE_0655xguD48cGK6n1ZqSLnI-tw9aHzhbPM9kZ-k/edit#gid=0"", ""Monitoring Summary!B:B""),MATCH(D210,IMPORTRANGE(""https://docs.google.com/spreadsheets/d/1fpsE_0655xguD48cGK6n1ZqSLnI-tw9aHzhb"&amp;"PM9kZ-k/edit#gid=0"", ""Monitoring Summary!C:C""),0)),""Not Monitored"")"),45264.0)</f>
        <v>45264</v>
      </c>
      <c r="AF210" s="263">
        <f>IFERROR(__xludf.DUMMYFUNCTION("IFERROR(INDEX(IMPORTRANGE(""https://docs.google.com/spreadsheets/d/1fpsE_0655xguD48cGK6n1ZqSLnI-tw9aHzhbPM9kZ-k/edit#gid=0"", ""Monitoring Summary!E:E""),MATCH(D210,IMPORTRANGE(""https://docs.google.com/spreadsheets/d/1fpsE_0655xguD48cGK6n1ZqSLnI-tw9aHzhb"&amp;"PM9kZ-k/edit#gid=0"", ""Monitoring Summary!C:C""),0)),""Not Monitored"")"),0.0)</f>
        <v>0</v>
      </c>
      <c r="AG210" s="264">
        <f t="shared" si="1"/>
        <v>0</v>
      </c>
      <c r="AH210" s="265" t="s">
        <v>756</v>
      </c>
    </row>
    <row r="211">
      <c r="A211" s="612">
        <v>2021.0</v>
      </c>
      <c r="B211" s="613">
        <v>44509.0</v>
      </c>
      <c r="C211" s="612" t="s">
        <v>586</v>
      </c>
      <c r="D211" s="612" t="s">
        <v>757</v>
      </c>
      <c r="E211" s="612" t="s">
        <v>170</v>
      </c>
      <c r="F211" s="612" t="s">
        <v>161</v>
      </c>
      <c r="G211" s="612" t="s">
        <v>53</v>
      </c>
      <c r="H211" s="612">
        <v>500.0</v>
      </c>
      <c r="I211" s="612" t="s">
        <v>568</v>
      </c>
      <c r="J211" s="614">
        <v>24.53331</v>
      </c>
      <c r="K211" s="614">
        <v>-81.47059</v>
      </c>
      <c r="L211" s="612" t="s">
        <v>758</v>
      </c>
      <c r="M211" s="593">
        <v>44537.0</v>
      </c>
      <c r="N211" s="567">
        <v>0.98</v>
      </c>
      <c r="O211" s="296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96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96">
        <v>1.0</v>
      </c>
      <c r="R211" s="296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95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294">
        <v>44861.0</v>
      </c>
      <c r="U211" s="569">
        <v>0.5680000000000001</v>
      </c>
      <c r="V211" s="298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298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627">
        <v>0.88</v>
      </c>
      <c r="Y211" s="299"/>
      <c r="Z211" s="300"/>
      <c r="AA211" s="301"/>
      <c r="AB211" s="299"/>
      <c r="AC211" s="300"/>
      <c r="AD211" s="301"/>
      <c r="AE211" s="262">
        <f>IFERROR(__xludf.DUMMYFUNCTION("IFERROR(INDEX(IMPORTRANGE(""https://docs.google.com/spreadsheets/d/1fpsE_0655xguD48cGK6n1ZqSLnI-tw9aHzhbPM9kZ-k/edit#gid=0"", ""Monitoring Summary!B:B""),MATCH(D211,IMPORTRANGE(""https://docs.google.com/spreadsheets/d/1fpsE_0655xguD48cGK6n1ZqSLnI-tw9aHzhb"&amp;"PM9kZ-k/edit#gid=0"", ""Monitoring Summary!C:C""),0)),""Not Monitored"")"),45247.0)</f>
        <v>45247</v>
      </c>
      <c r="AF211" s="263">
        <f>IFERROR(__xludf.DUMMYFUNCTION("IFERROR(INDEX(IMPORTRANGE(""https://docs.google.com/spreadsheets/d/1fpsE_0655xguD48cGK6n1ZqSLnI-tw9aHzhbPM9kZ-k/edit#gid=0"", ""Monitoring Summary!E:E""),MATCH(D211,IMPORTRANGE(""https://docs.google.com/spreadsheets/d/1fpsE_0655xguD48cGK6n1ZqSLnI-tw9aHzhb"&amp;"PM9kZ-k/edit#gid=0"", ""Monitoring Summary!C:C""),0)),""Not Monitored"")"),0.0)</f>
        <v>0</v>
      </c>
      <c r="AG211" s="264">
        <f t="shared" si="1"/>
        <v>0</v>
      </c>
      <c r="AH211" s="265" t="s">
        <v>759</v>
      </c>
    </row>
    <row r="212">
      <c r="A212" s="624">
        <v>2021.0</v>
      </c>
      <c r="B212" s="625">
        <v>44512.0</v>
      </c>
      <c r="C212" s="624" t="s">
        <v>275</v>
      </c>
      <c r="D212" s="624" t="s">
        <v>760</v>
      </c>
      <c r="E212" s="624" t="s">
        <v>170</v>
      </c>
      <c r="F212" s="624" t="s">
        <v>161</v>
      </c>
      <c r="G212" s="624" t="s">
        <v>65</v>
      </c>
      <c r="H212" s="624">
        <v>500.0</v>
      </c>
      <c r="I212" s="624" t="s">
        <v>689</v>
      </c>
      <c r="J212" s="626">
        <v>24.54059</v>
      </c>
      <c r="K212" s="626">
        <v>-81.44127</v>
      </c>
      <c r="L212" s="624"/>
      <c r="M212" s="593">
        <v>44540.0</v>
      </c>
      <c r="N212" s="567">
        <v>0.994</v>
      </c>
      <c r="O212" s="296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96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96">
        <v>1.0</v>
      </c>
      <c r="R212" s="296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95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294">
        <v>44861.0</v>
      </c>
      <c r="U212" s="569">
        <v>0.35</v>
      </c>
      <c r="V212" s="298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298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627">
        <v>0.59</v>
      </c>
      <c r="Y212" s="299"/>
      <c r="Z212" s="300"/>
      <c r="AA212" s="301"/>
      <c r="AB212" s="299"/>
      <c r="AC212" s="300"/>
      <c r="AD212" s="301"/>
      <c r="AE212" s="262">
        <f>IFERROR(__xludf.DUMMYFUNCTION("IFERROR(INDEX(IMPORTRANGE(""https://docs.google.com/spreadsheets/d/1fpsE_0655xguD48cGK6n1ZqSLnI-tw9aHzhbPM9kZ-k/edit#gid=0"", ""Monitoring Summary!B:B""),MATCH(D212,IMPORTRANGE(""https://docs.google.com/spreadsheets/d/1fpsE_0655xguD48cGK6n1ZqSLnI-tw9aHzhb"&amp;"PM9kZ-k/edit#gid=0"", ""Monitoring Summary!C:C""),0)),""Not Monitored"")"),45239.0)</f>
        <v>45239</v>
      </c>
      <c r="AF212" s="263">
        <f>IFERROR(__xludf.DUMMYFUNCTION("IFERROR(INDEX(IMPORTRANGE(""https://docs.google.com/spreadsheets/d/1fpsE_0655xguD48cGK6n1ZqSLnI-tw9aHzhbPM9kZ-k/edit#gid=0"", ""Monitoring Summary!E:E""),MATCH(D212,IMPORTRANGE(""https://docs.google.com/spreadsheets/d/1fpsE_0655xguD48cGK6n1ZqSLnI-tw9aHzhb"&amp;"PM9kZ-k/edit#gid=0"", ""Monitoring Summary!C:C""),0)),""Not Monitored"")"),0.0)</f>
        <v>0</v>
      </c>
      <c r="AG212" s="264">
        <f t="shared" si="1"/>
        <v>0</v>
      </c>
      <c r="AH212" s="265" t="s">
        <v>761</v>
      </c>
    </row>
    <row r="213">
      <c r="A213" s="612">
        <v>2021.0</v>
      </c>
      <c r="B213" s="613">
        <v>44531.0</v>
      </c>
      <c r="C213" s="612" t="s">
        <v>577</v>
      </c>
      <c r="D213" s="612" t="s">
        <v>762</v>
      </c>
      <c r="E213" s="612" t="s">
        <v>170</v>
      </c>
      <c r="F213" s="612" t="s">
        <v>161</v>
      </c>
      <c r="G213" s="612" t="s">
        <v>53</v>
      </c>
      <c r="H213" s="612">
        <v>500.0</v>
      </c>
      <c r="I213" s="612" t="s">
        <v>459</v>
      </c>
      <c r="J213" s="614">
        <v>24.52616</v>
      </c>
      <c r="K213" s="614">
        <v>-81.50098</v>
      </c>
      <c r="L213" s="612"/>
      <c r="M213" s="593">
        <v>44561.0</v>
      </c>
      <c r="N213" s="567">
        <v>1.0</v>
      </c>
      <c r="O213" s="296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96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96">
        <v>1.0</v>
      </c>
      <c r="R213" s="296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95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294">
        <v>44881.0</v>
      </c>
      <c r="U213" s="569">
        <v>0.484</v>
      </c>
      <c r="V213" s="298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298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627">
        <v>0.78</v>
      </c>
      <c r="Y213" s="299"/>
      <c r="Z213" s="300"/>
      <c r="AA213" s="301"/>
      <c r="AB213" s="299"/>
      <c r="AC213" s="300"/>
      <c r="AD213" s="301"/>
      <c r="AE213" s="262">
        <f>IFERROR(__xludf.DUMMYFUNCTION("IFERROR(INDEX(IMPORTRANGE(""https://docs.google.com/spreadsheets/d/1fpsE_0655xguD48cGK6n1ZqSLnI-tw9aHzhbPM9kZ-k/edit#gid=0"", ""Monitoring Summary!B:B""),MATCH(D213,IMPORTRANGE(""https://docs.google.com/spreadsheets/d/1fpsE_0655xguD48cGK6n1ZqSLnI-tw9aHzhb"&amp;"PM9kZ-k/edit#gid=0"", ""Monitoring Summary!C:C""),0)),""Not Monitored"")"),45264.0)</f>
        <v>45264</v>
      </c>
      <c r="AF213" s="263">
        <f>IFERROR(__xludf.DUMMYFUNCTION("IFERROR(INDEX(IMPORTRANGE(""https://docs.google.com/spreadsheets/d/1fpsE_0655xguD48cGK6n1ZqSLnI-tw9aHzhbPM9kZ-k/edit#gid=0"", ""Monitoring Summary!E:E""),MATCH(D213,IMPORTRANGE(""https://docs.google.com/spreadsheets/d/1fpsE_0655xguD48cGK6n1ZqSLnI-tw9aHzhb"&amp;"PM9kZ-k/edit#gid=0"", ""Monitoring Summary!C:C""),0)),""Not Monitored"")"),0.0)</f>
        <v>0</v>
      </c>
      <c r="AG213" s="264">
        <f t="shared" si="1"/>
        <v>0</v>
      </c>
      <c r="AH213" s="265" t="s">
        <v>763</v>
      </c>
    </row>
    <row r="214">
      <c r="A214" s="612">
        <v>2021.0</v>
      </c>
      <c r="B214" s="613">
        <v>44538.0</v>
      </c>
      <c r="C214" s="612" t="s">
        <v>158</v>
      </c>
      <c r="D214" s="612" t="s">
        <v>764</v>
      </c>
      <c r="E214" s="612" t="s">
        <v>170</v>
      </c>
      <c r="F214" s="612" t="s">
        <v>161</v>
      </c>
      <c r="G214" s="612" t="s">
        <v>53</v>
      </c>
      <c r="H214" s="612">
        <v>100.0</v>
      </c>
      <c r="I214" s="612" t="s">
        <v>765</v>
      </c>
      <c r="J214" s="614">
        <v>24.55284</v>
      </c>
      <c r="K214" s="614">
        <v>-81.38387</v>
      </c>
      <c r="L214" s="612" t="s">
        <v>766</v>
      </c>
      <c r="M214" s="593">
        <v>44599.0</v>
      </c>
      <c r="N214" s="567">
        <v>0.91</v>
      </c>
      <c r="O214" s="296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96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96">
        <v>1.0</v>
      </c>
      <c r="R214" s="296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95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294">
        <v>44887.0</v>
      </c>
      <c r="U214" s="569">
        <v>0.15000000000000002</v>
      </c>
      <c r="V214" s="298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298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627">
        <v>0.35</v>
      </c>
      <c r="Y214" s="299"/>
      <c r="Z214" s="300"/>
      <c r="AA214" s="301"/>
      <c r="AB214" s="299"/>
      <c r="AC214" s="300"/>
      <c r="AD214" s="301"/>
      <c r="AE214" s="262">
        <f>IFERROR(__xludf.DUMMYFUNCTION("IFERROR(INDEX(IMPORTRANGE(""https://docs.google.com/spreadsheets/d/1fpsE_0655xguD48cGK6n1ZqSLnI-tw9aHzhbPM9kZ-k/edit#gid=0"", ""Monitoring Summary!B:B""),MATCH(D214,IMPORTRANGE(""https://docs.google.com/spreadsheets/d/1fpsE_0655xguD48cGK6n1ZqSLnI-tw9aHzhb"&amp;"PM9kZ-k/edit#gid=0"", ""Monitoring Summary!C:C""),0)),""Not Monitored"")"),45239.0)</f>
        <v>45239</v>
      </c>
      <c r="AF214" s="263">
        <f>IFERROR(__xludf.DUMMYFUNCTION("IFERROR(INDEX(IMPORTRANGE(""https://docs.google.com/spreadsheets/d/1fpsE_0655xguD48cGK6n1ZqSLnI-tw9aHzhbPM9kZ-k/edit#gid=0"", ""Monitoring Summary!E:E""),MATCH(D214,IMPORTRANGE(""https://docs.google.com/spreadsheets/d/1fpsE_0655xguD48cGK6n1ZqSLnI-tw9aHzhb"&amp;"PM9kZ-k/edit#gid=0"", ""Monitoring Summary!C:C""),0)),""Not Monitored"")"),0.0)</f>
        <v>0</v>
      </c>
      <c r="AG214" s="264">
        <f t="shared" si="1"/>
        <v>0</v>
      </c>
      <c r="AH214" s="265" t="s">
        <v>767</v>
      </c>
    </row>
    <row r="215">
      <c r="A215" s="624">
        <v>2021.0</v>
      </c>
      <c r="B215" s="625">
        <v>44539.0</v>
      </c>
      <c r="C215" s="624" t="s">
        <v>703</v>
      </c>
      <c r="D215" s="624" t="s">
        <v>768</v>
      </c>
      <c r="E215" s="624" t="s">
        <v>170</v>
      </c>
      <c r="F215" s="624" t="s">
        <v>161</v>
      </c>
      <c r="G215" s="624" t="s">
        <v>65</v>
      </c>
      <c r="H215" s="624">
        <v>500.0</v>
      </c>
      <c r="I215" s="624" t="s">
        <v>290</v>
      </c>
      <c r="J215" s="626">
        <v>24.51561</v>
      </c>
      <c r="K215" s="626">
        <v>-81.55064</v>
      </c>
      <c r="L215" s="624"/>
      <c r="M215" s="593">
        <v>44571.0</v>
      </c>
      <c r="N215" s="567">
        <v>1.0</v>
      </c>
      <c r="O215" s="296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96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96">
        <v>1.0</v>
      </c>
      <c r="R215" s="296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95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294">
        <v>44880.0</v>
      </c>
      <c r="U215" s="569">
        <v>0.41000000000000003</v>
      </c>
      <c r="V215" s="298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298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627">
        <v>0.82</v>
      </c>
      <c r="Y215" s="299"/>
      <c r="Z215" s="300"/>
      <c r="AA215" s="301"/>
      <c r="AB215" s="299"/>
      <c r="AC215" s="300"/>
      <c r="AD215" s="301"/>
      <c r="AE215" s="262">
        <f>IFERROR(__xludf.DUMMYFUNCTION("IFERROR(INDEX(IMPORTRANGE(""https://docs.google.com/spreadsheets/d/1fpsE_0655xguD48cGK6n1ZqSLnI-tw9aHzhbPM9kZ-k/edit#gid=0"", ""Monitoring Summary!B:B""),MATCH(D215,IMPORTRANGE(""https://docs.google.com/spreadsheets/d/1fpsE_0655xguD48cGK6n1ZqSLnI-tw9aHzhb"&amp;"PM9kZ-k/edit#gid=0"", ""Monitoring Summary!C:C""),0)),""Not Monitored"")"),45258.0)</f>
        <v>45258</v>
      </c>
      <c r="AF215" s="263">
        <f>IFERROR(__xludf.DUMMYFUNCTION("IFERROR(INDEX(IMPORTRANGE(""https://docs.google.com/spreadsheets/d/1fpsE_0655xguD48cGK6n1ZqSLnI-tw9aHzhbPM9kZ-k/edit#gid=0"", ""Monitoring Summary!E:E""),MATCH(D215,IMPORTRANGE(""https://docs.google.com/spreadsheets/d/1fpsE_0655xguD48cGK6n1ZqSLnI-tw9aHzhb"&amp;"PM9kZ-k/edit#gid=0"", ""Monitoring Summary!C:C""),0)),""Not Monitored"")"),0.0)</f>
        <v>0</v>
      </c>
      <c r="AG215" s="264">
        <f t="shared" si="1"/>
        <v>0</v>
      </c>
      <c r="AH215" s="265" t="s">
        <v>769</v>
      </c>
    </row>
    <row r="216">
      <c r="A216" s="612">
        <v>2021.0</v>
      </c>
      <c r="B216" s="613">
        <v>44550.0</v>
      </c>
      <c r="C216" s="612" t="s">
        <v>286</v>
      </c>
      <c r="D216" s="612" t="s">
        <v>770</v>
      </c>
      <c r="E216" s="612" t="s">
        <v>170</v>
      </c>
      <c r="F216" s="612" t="s">
        <v>161</v>
      </c>
      <c r="G216" s="612" t="s">
        <v>53</v>
      </c>
      <c r="H216" s="612">
        <v>500.0</v>
      </c>
      <c r="I216" s="612" t="s">
        <v>673</v>
      </c>
      <c r="J216" s="614">
        <v>24.45459</v>
      </c>
      <c r="K216" s="614">
        <v>-81.85703</v>
      </c>
      <c r="L216" s="612"/>
      <c r="M216" s="593">
        <v>44581.0</v>
      </c>
      <c r="N216" s="567">
        <v>0.992</v>
      </c>
      <c r="O216" s="296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96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96">
        <v>1.0</v>
      </c>
      <c r="R216" s="296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95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294">
        <v>44904.0</v>
      </c>
      <c r="U216" s="569">
        <v>0.598</v>
      </c>
      <c r="V216" s="298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298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627">
        <v>0.87</v>
      </c>
      <c r="Y216" s="299"/>
      <c r="Z216" s="300"/>
      <c r="AA216" s="301"/>
      <c r="AB216" s="299"/>
      <c r="AC216" s="300"/>
      <c r="AD216" s="301"/>
      <c r="AE216" s="262">
        <f>IFERROR(__xludf.DUMMYFUNCTION("IFERROR(INDEX(IMPORTRANGE(""https://docs.google.com/spreadsheets/d/1fpsE_0655xguD48cGK6n1ZqSLnI-tw9aHzhbPM9kZ-k/edit#gid=0"", ""Monitoring Summary!B:B""),MATCH(D216,IMPORTRANGE(""https://docs.google.com/spreadsheets/d/1fpsE_0655xguD48cGK6n1ZqSLnI-tw9aHzhb"&amp;"PM9kZ-k/edit#gid=0"", ""Monitoring Summary!C:C""),0)),""Not Monitored"")"),45239.0)</f>
        <v>45239</v>
      </c>
      <c r="AF216" s="263">
        <f>IFERROR(__xludf.DUMMYFUNCTION("IFERROR(INDEX(IMPORTRANGE(""https://docs.google.com/spreadsheets/d/1fpsE_0655xguD48cGK6n1ZqSLnI-tw9aHzhbPM9kZ-k/edit#gid=0"", ""Monitoring Summary!E:E""),MATCH(D216,IMPORTRANGE(""https://docs.google.com/spreadsheets/d/1fpsE_0655xguD48cGK6n1ZqSLnI-tw9aHzhb"&amp;"PM9kZ-k/edit#gid=0"", ""Monitoring Summary!C:C""),0)),""Not Monitored"")"),0.0)</f>
        <v>0</v>
      </c>
      <c r="AG216" s="264">
        <f t="shared" si="1"/>
        <v>0</v>
      </c>
      <c r="AH216" s="265" t="s">
        <v>771</v>
      </c>
    </row>
    <row r="217">
      <c r="A217" s="628">
        <v>2021.0</v>
      </c>
      <c r="B217" s="629">
        <v>44560.0</v>
      </c>
      <c r="C217" s="628" t="s">
        <v>292</v>
      </c>
      <c r="D217" s="628" t="s">
        <v>772</v>
      </c>
      <c r="E217" s="628" t="s">
        <v>170</v>
      </c>
      <c r="F217" s="628" t="s">
        <v>161</v>
      </c>
      <c r="G217" s="628" t="s">
        <v>60</v>
      </c>
      <c r="H217" s="628">
        <v>500.0</v>
      </c>
      <c r="I217" s="628" t="s">
        <v>773</v>
      </c>
      <c r="J217" s="630">
        <v>24.4596</v>
      </c>
      <c r="K217" s="630">
        <v>-81.84282</v>
      </c>
      <c r="L217" s="628" t="s">
        <v>774</v>
      </c>
      <c r="M217" s="631">
        <v>44589.0</v>
      </c>
      <c r="N217" s="591">
        <v>0.996</v>
      </c>
      <c r="O217" s="515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515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515">
        <v>1.0</v>
      </c>
      <c r="R217" s="296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95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513">
        <v>44904.0</v>
      </c>
      <c r="U217" s="592">
        <v>0.398</v>
      </c>
      <c r="V217" s="517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517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632">
        <v>0.73</v>
      </c>
      <c r="Y217" s="518">
        <v>45293.0</v>
      </c>
      <c r="Z217" s="519"/>
      <c r="AA217" s="520"/>
      <c r="AB217" s="521"/>
      <c r="AC217" s="519"/>
      <c r="AD217" s="520"/>
      <c r="AE217" s="262">
        <f>IFERROR(__xludf.DUMMYFUNCTION("IFERROR(INDEX(IMPORTRANGE(""https://docs.google.com/spreadsheets/d/1fpsE_0655xguD48cGK6n1ZqSLnI-tw9aHzhbPM9kZ-k/edit#gid=0"", ""Monitoring Summary!B:B""),MATCH(D217,IMPORTRANGE(""https://docs.google.com/spreadsheets/d/1fpsE_0655xguD48cGK6n1ZqSLnI-tw9aHzhb"&amp;"PM9kZ-k/edit#gid=0"", ""Monitoring Summary!C:C""),0)),""Not Monitored"")"),45293.0)</f>
        <v>45293</v>
      </c>
      <c r="AF217" s="263">
        <f>IFERROR(__xludf.DUMMYFUNCTION("IFERROR(INDEX(IMPORTRANGE(""https://docs.google.com/spreadsheets/d/1fpsE_0655xguD48cGK6n1ZqSLnI-tw9aHzhbPM9kZ-k/edit#gid=0"", ""Monitoring Summary!E:E""),MATCH(D217,IMPORTRANGE(""https://docs.google.com/spreadsheets/d/1fpsE_0655xguD48cGK6n1ZqSLnI-tw9aHzhb"&amp;"PM9kZ-k/edit#gid=0"", ""Monitoring Summary!C:C""),0)),""Not Monitored"")"),0.0)</f>
        <v>0</v>
      </c>
      <c r="AG217" s="264">
        <f t="shared" si="1"/>
        <v>0</v>
      </c>
      <c r="AH217" s="265" t="s">
        <v>775</v>
      </c>
    </row>
    <row r="218">
      <c r="A218" s="609">
        <v>2022.0</v>
      </c>
      <c r="B218" s="610">
        <v>44571.0</v>
      </c>
      <c r="C218" s="609" t="s">
        <v>345</v>
      </c>
      <c r="D218" s="609" t="s">
        <v>776</v>
      </c>
      <c r="E218" s="609" t="s">
        <v>160</v>
      </c>
      <c r="F218" s="609" t="s">
        <v>161</v>
      </c>
      <c r="G218" s="609" t="s">
        <v>63</v>
      </c>
      <c r="H218" s="609">
        <v>500.0</v>
      </c>
      <c r="I218" s="609" t="s">
        <v>290</v>
      </c>
      <c r="J218" s="611">
        <v>24.51033</v>
      </c>
      <c r="K218" s="611">
        <v>-81.57043</v>
      </c>
      <c r="L218" s="609" t="s">
        <v>777</v>
      </c>
      <c r="M218" s="593">
        <v>44600.0</v>
      </c>
      <c r="N218" s="567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96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96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96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96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95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294">
        <v>44931.0</v>
      </c>
      <c r="U218" s="569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298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298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627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299"/>
      <c r="Z218" s="300"/>
      <c r="AA218" s="301"/>
      <c r="AB218" s="299"/>
      <c r="AC218" s="300"/>
      <c r="AD218" s="301"/>
      <c r="AE218" s="262">
        <f>IFERROR(__xludf.DUMMYFUNCTION("IFERROR(INDEX(IMPORTRANGE(""https://docs.google.com/spreadsheets/d/1fpsE_0655xguD48cGK6n1ZqSLnI-tw9aHzhbPM9kZ-k/edit#gid=0"", ""Monitoring Summary!B:B""),MATCH(D218,IMPORTRANGE(""https://docs.google.com/spreadsheets/d/1fpsE_0655xguD48cGK6n1ZqSLnI-tw9aHzhb"&amp;"PM9kZ-k/edit#gid=0"", ""Monitoring Summary!C:C""),0)),""Not Monitored"")"),45264.0)</f>
        <v>45264</v>
      </c>
      <c r="AF218" s="263">
        <f>IFERROR(__xludf.DUMMYFUNCTION("IFERROR(INDEX(IMPORTRANGE(""https://docs.google.com/spreadsheets/d/1fpsE_0655xguD48cGK6n1ZqSLnI-tw9aHzhbPM9kZ-k/edit#gid=0"", ""Monitoring Summary!E:E""),MATCH(D218,IMPORTRANGE(""https://docs.google.com/spreadsheets/d/1fpsE_0655xguD48cGK6n1ZqSLnI-tw9aHzhb"&amp;"PM9kZ-k/edit#gid=0"", ""Monitoring Summary!C:C""),0)),""Not Monitored"")"),0.0)</f>
        <v>0</v>
      </c>
      <c r="AG218" s="264">
        <f t="shared" si="1"/>
        <v>0</v>
      </c>
      <c r="AH218" s="265" t="s">
        <v>778</v>
      </c>
    </row>
    <row r="219">
      <c r="A219" s="621">
        <v>2022.0</v>
      </c>
      <c r="B219" s="622">
        <v>44581.0</v>
      </c>
      <c r="C219" s="621" t="s">
        <v>292</v>
      </c>
      <c r="D219" s="621" t="s">
        <v>779</v>
      </c>
      <c r="E219" s="621" t="s">
        <v>170</v>
      </c>
      <c r="F219" s="621" t="s">
        <v>161</v>
      </c>
      <c r="G219" s="621" t="s">
        <v>60</v>
      </c>
      <c r="H219" s="621">
        <v>350.0</v>
      </c>
      <c r="I219" s="621" t="s">
        <v>780</v>
      </c>
      <c r="J219" s="623">
        <v>24.45915</v>
      </c>
      <c r="K219" s="623">
        <v>-81.84311</v>
      </c>
      <c r="L219" s="621"/>
      <c r="M219" s="593">
        <v>44621.0</v>
      </c>
      <c r="N219" s="567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96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96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96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96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95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294">
        <v>44936.0</v>
      </c>
      <c r="U219" s="569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298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298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627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71">
        <v>45294.0</v>
      </c>
      <c r="Z219" s="300"/>
      <c r="AA219" s="301"/>
      <c r="AB219" s="299"/>
      <c r="AC219" s="300"/>
      <c r="AD219" s="301"/>
      <c r="AE219" s="262">
        <f>IFERROR(__xludf.DUMMYFUNCTION("IFERROR(INDEX(IMPORTRANGE(""https://docs.google.com/spreadsheets/d/1fpsE_0655xguD48cGK6n1ZqSLnI-tw9aHzhbPM9kZ-k/edit#gid=0"", ""Monitoring Summary!B:B""),MATCH(D219,IMPORTRANGE(""https://docs.google.com/spreadsheets/d/1fpsE_0655xguD48cGK6n1ZqSLnI-tw9aHzhb"&amp;"PM9kZ-k/edit#gid=0"", ""Monitoring Summary!C:C""),0)),""Not Monitored"")"),45294.0)</f>
        <v>45294</v>
      </c>
      <c r="AF219" s="263">
        <f>IFERROR(__xludf.DUMMYFUNCTION("IFERROR(INDEX(IMPORTRANGE(""https://docs.google.com/spreadsheets/d/1fpsE_0655xguD48cGK6n1ZqSLnI-tw9aHzhbPM9kZ-k/edit#gid=0"", ""Monitoring Summary!E:E""),MATCH(D219,IMPORTRANGE(""https://docs.google.com/spreadsheets/d/1fpsE_0655xguD48cGK6n1ZqSLnI-tw9aHzhb"&amp;"PM9kZ-k/edit#gid=0"", ""Monitoring Summary!C:C""),0)),""Not Monitored"")"),0.0)</f>
        <v>0</v>
      </c>
      <c r="AG219" s="264">
        <f t="shared" si="1"/>
        <v>0</v>
      </c>
      <c r="AH219" s="265" t="s">
        <v>781</v>
      </c>
    </row>
    <row r="220">
      <c r="A220" s="621">
        <v>2022.0</v>
      </c>
      <c r="B220" s="622">
        <v>44581.0</v>
      </c>
      <c r="C220" s="621" t="s">
        <v>292</v>
      </c>
      <c r="D220" s="621" t="s">
        <v>782</v>
      </c>
      <c r="E220" s="621" t="s">
        <v>170</v>
      </c>
      <c r="F220" s="621" t="s">
        <v>161</v>
      </c>
      <c r="G220" s="621" t="s">
        <v>60</v>
      </c>
      <c r="H220" s="621">
        <v>400.0</v>
      </c>
      <c r="I220" s="621" t="s">
        <v>783</v>
      </c>
      <c r="J220" s="623">
        <v>24.45959</v>
      </c>
      <c r="K220" s="623">
        <v>-81.84373</v>
      </c>
      <c r="L220" s="621"/>
      <c r="M220" s="593">
        <v>44621.0</v>
      </c>
      <c r="N220" s="567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96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96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96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96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95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294">
        <v>44936.0</v>
      </c>
      <c r="U220" s="569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298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298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627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71">
        <v>47121.0</v>
      </c>
      <c r="Z220" s="300"/>
      <c r="AA220" s="301"/>
      <c r="AB220" s="299"/>
      <c r="AC220" s="300"/>
      <c r="AD220" s="301"/>
      <c r="AE220" s="262">
        <f>IFERROR(__xludf.DUMMYFUNCTION("IFERROR(INDEX(IMPORTRANGE(""https://docs.google.com/spreadsheets/d/1fpsE_0655xguD48cGK6n1ZqSLnI-tw9aHzhbPM9kZ-k/edit#gid=0"", ""Monitoring Summary!B:B""),MATCH(D220,IMPORTRANGE(""https://docs.google.com/spreadsheets/d/1fpsE_0655xguD48cGK6n1ZqSLnI-tw9aHzhb"&amp;"PM9kZ-k/edit#gid=0"", ""Monitoring Summary!C:C""),0)),""Not Monitored"")"),45294.0)</f>
        <v>45294</v>
      </c>
      <c r="AF220" s="263">
        <f>IFERROR(__xludf.DUMMYFUNCTION("IFERROR(INDEX(IMPORTRANGE(""https://docs.google.com/spreadsheets/d/1fpsE_0655xguD48cGK6n1ZqSLnI-tw9aHzhbPM9kZ-k/edit#gid=0"", ""Monitoring Summary!E:E""),MATCH(D220,IMPORTRANGE(""https://docs.google.com/spreadsheets/d/1fpsE_0655xguD48cGK6n1ZqSLnI-tw9aHzhb"&amp;"PM9kZ-k/edit#gid=0"", ""Monitoring Summary!C:C""),0)),""Not Monitored"")"),0.0)</f>
        <v>0</v>
      </c>
      <c r="AG220" s="264">
        <f t="shared" si="1"/>
        <v>0</v>
      </c>
      <c r="AH220" s="265" t="s">
        <v>784</v>
      </c>
    </row>
    <row r="221">
      <c r="A221" s="624">
        <v>2022.0</v>
      </c>
      <c r="B221" s="625">
        <v>44602.0</v>
      </c>
      <c r="C221" s="624" t="s">
        <v>785</v>
      </c>
      <c r="D221" s="624" t="s">
        <v>786</v>
      </c>
      <c r="E221" s="624" t="s">
        <v>170</v>
      </c>
      <c r="F221" s="624" t="s">
        <v>161</v>
      </c>
      <c r="G221" s="624" t="s">
        <v>65</v>
      </c>
      <c r="H221" s="624">
        <v>500.0</v>
      </c>
      <c r="I221" s="624" t="s">
        <v>517</v>
      </c>
      <c r="J221" s="626">
        <v>24.49946</v>
      </c>
      <c r="K221" s="626">
        <v>-81.63166</v>
      </c>
      <c r="L221" s="624"/>
      <c r="M221" s="593">
        <v>44630.0</v>
      </c>
      <c r="N221" s="567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96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96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96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96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95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294">
        <v>44960.0</v>
      </c>
      <c r="U221" s="569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298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298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627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299"/>
      <c r="Z221" s="300"/>
      <c r="AA221" s="301"/>
      <c r="AB221" s="299"/>
      <c r="AC221" s="300"/>
      <c r="AD221" s="301"/>
      <c r="AE221" s="262">
        <f>IFERROR(__xludf.DUMMYFUNCTION("IFERROR(INDEX(IMPORTRANGE(""https://docs.google.com/spreadsheets/d/1fpsE_0655xguD48cGK6n1ZqSLnI-tw9aHzhbPM9kZ-k/edit#gid=0"", ""Monitoring Summary!B:B""),MATCH(D221,IMPORTRANGE(""https://docs.google.com/spreadsheets/d/1fpsE_0655xguD48cGK6n1ZqSLnI-tw9aHzhb"&amp;"PM9kZ-k/edit#gid=0"", ""Monitoring Summary!C:C""),0)),""Not Monitored"")"),45240.0)</f>
        <v>45240</v>
      </c>
      <c r="AF221" s="263">
        <f>IFERROR(__xludf.DUMMYFUNCTION("IFERROR(INDEX(IMPORTRANGE(""https://docs.google.com/spreadsheets/d/1fpsE_0655xguD48cGK6n1ZqSLnI-tw9aHzhbPM9kZ-k/edit#gid=0"", ""Monitoring Summary!E:E""),MATCH(D221,IMPORTRANGE(""https://docs.google.com/spreadsheets/d/1fpsE_0655xguD48cGK6n1ZqSLnI-tw9aHzhb"&amp;"PM9kZ-k/edit#gid=0"", ""Monitoring Summary!C:C""),0)),""Not Monitored"")"),0.0)</f>
        <v>0</v>
      </c>
      <c r="AG221" s="264">
        <f t="shared" si="1"/>
        <v>0</v>
      </c>
      <c r="AH221" s="265" t="s">
        <v>787</v>
      </c>
    </row>
    <row r="222">
      <c r="A222" s="621">
        <v>2022.0</v>
      </c>
      <c r="B222" s="622">
        <v>44603.0</v>
      </c>
      <c r="C222" s="621" t="s">
        <v>292</v>
      </c>
      <c r="D222" s="621" t="s">
        <v>788</v>
      </c>
      <c r="E222" s="621" t="s">
        <v>170</v>
      </c>
      <c r="F222" s="621" t="s">
        <v>161</v>
      </c>
      <c r="G222" s="621" t="s">
        <v>60</v>
      </c>
      <c r="H222" s="621">
        <v>300.0</v>
      </c>
      <c r="I222" s="621" t="s">
        <v>789</v>
      </c>
      <c r="J222" s="623">
        <v>24.45889</v>
      </c>
      <c r="K222" s="623">
        <v>-81.8449</v>
      </c>
      <c r="L222" s="621"/>
      <c r="M222" s="593">
        <v>44630.0</v>
      </c>
      <c r="N222" s="567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96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96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96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96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95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294">
        <v>44943.0</v>
      </c>
      <c r="U222" s="569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298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298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627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71">
        <v>45259.0</v>
      </c>
      <c r="Z222" s="300"/>
      <c r="AA222" s="301"/>
      <c r="AB222" s="299"/>
      <c r="AC222" s="300"/>
      <c r="AD222" s="301"/>
      <c r="AE222" s="262">
        <f>IFERROR(__xludf.DUMMYFUNCTION("IFERROR(INDEX(IMPORTRANGE(""https://docs.google.com/spreadsheets/d/1fpsE_0655xguD48cGK6n1ZqSLnI-tw9aHzhbPM9kZ-k/edit#gid=0"", ""Monitoring Summary!B:B""),MATCH(D222,IMPORTRANGE(""https://docs.google.com/spreadsheets/d/1fpsE_0655xguD48cGK6n1ZqSLnI-tw9aHzhb"&amp;"PM9kZ-k/edit#gid=0"", ""Monitoring Summary!C:C""),0)),""Not Monitored"")"),45259.0)</f>
        <v>45259</v>
      </c>
      <c r="AF222" s="263">
        <f>IFERROR(__xludf.DUMMYFUNCTION("IFERROR(INDEX(IMPORTRANGE(""https://docs.google.com/spreadsheets/d/1fpsE_0655xguD48cGK6n1ZqSLnI-tw9aHzhbPM9kZ-k/edit#gid=0"", ""Monitoring Summary!E:E""),MATCH(D222,IMPORTRANGE(""https://docs.google.com/spreadsheets/d/1fpsE_0655xguD48cGK6n1ZqSLnI-tw9aHzhb"&amp;"PM9kZ-k/edit#gid=0"", ""Monitoring Summary!C:C""),0)),""Not Monitored"")"),0.0)</f>
        <v>0</v>
      </c>
      <c r="AG222" s="264">
        <f t="shared" si="1"/>
        <v>0</v>
      </c>
      <c r="AH222" s="265" t="s">
        <v>790</v>
      </c>
    </row>
    <row r="223">
      <c r="A223" s="609">
        <v>2022.0</v>
      </c>
      <c r="B223" s="610">
        <v>44620.0</v>
      </c>
      <c r="C223" s="609" t="s">
        <v>577</v>
      </c>
      <c r="D223" s="609" t="s">
        <v>791</v>
      </c>
      <c r="E223" s="609" t="s">
        <v>170</v>
      </c>
      <c r="F223" s="609" t="s">
        <v>161</v>
      </c>
      <c r="G223" s="609" t="s">
        <v>63</v>
      </c>
      <c r="H223" s="609">
        <v>500.0</v>
      </c>
      <c r="I223" s="609" t="s">
        <v>568</v>
      </c>
      <c r="J223" s="611">
        <v>24.52647</v>
      </c>
      <c r="K223" s="611">
        <v>-81.50215</v>
      </c>
      <c r="L223" s="609"/>
      <c r="M223" s="593">
        <v>44644.0</v>
      </c>
      <c r="N223" s="567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96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96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96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96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95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294">
        <v>44956.0</v>
      </c>
      <c r="U223" s="569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298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298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627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299"/>
      <c r="Z223" s="300"/>
      <c r="AA223" s="301"/>
      <c r="AB223" s="299"/>
      <c r="AC223" s="300"/>
      <c r="AD223" s="301"/>
      <c r="AE223" s="262">
        <f>IFERROR(__xludf.DUMMYFUNCTION("IFERROR(INDEX(IMPORTRANGE(""https://docs.google.com/spreadsheets/d/1fpsE_0655xguD48cGK6n1ZqSLnI-tw9aHzhbPM9kZ-k/edit#gid=0"", ""Monitoring Summary!B:B""),MATCH(D223,IMPORTRANGE(""https://docs.google.com/spreadsheets/d/1fpsE_0655xguD48cGK6n1ZqSLnI-tw9aHzhb"&amp;"PM9kZ-k/edit#gid=0"", ""Monitoring Summary!C:C""),0)),""Not Monitored"")"),45264.0)</f>
        <v>45264</v>
      </c>
      <c r="AF223" s="263">
        <f>IFERROR(__xludf.DUMMYFUNCTION("IFERROR(INDEX(IMPORTRANGE(""https://docs.google.com/spreadsheets/d/1fpsE_0655xguD48cGK6n1ZqSLnI-tw9aHzhbPM9kZ-k/edit#gid=0"", ""Monitoring Summary!E:E""),MATCH(D223,IMPORTRANGE(""https://docs.google.com/spreadsheets/d/1fpsE_0655xguD48cGK6n1ZqSLnI-tw9aHzhb"&amp;"PM9kZ-k/edit#gid=0"", ""Monitoring Summary!C:C""),0)),""Not Monitored"")"),0.0)</f>
        <v>0</v>
      </c>
      <c r="AG223" s="264">
        <f t="shared" si="1"/>
        <v>0</v>
      </c>
      <c r="AH223" s="265" t="s">
        <v>792</v>
      </c>
    </row>
    <row r="224">
      <c r="A224" s="609">
        <v>2022.0</v>
      </c>
      <c r="B224" s="610">
        <v>44636.0</v>
      </c>
      <c r="C224" s="609" t="s">
        <v>350</v>
      </c>
      <c r="D224" s="609" t="s">
        <v>793</v>
      </c>
      <c r="E224" s="609" t="s">
        <v>170</v>
      </c>
      <c r="F224" s="609" t="s">
        <v>161</v>
      </c>
      <c r="G224" s="609" t="s">
        <v>63</v>
      </c>
      <c r="H224" s="609">
        <v>500.0</v>
      </c>
      <c r="I224" s="609" t="s">
        <v>423</v>
      </c>
      <c r="J224" s="611">
        <v>24.47277</v>
      </c>
      <c r="K224" s="611">
        <v>-81.7462</v>
      </c>
      <c r="L224" s="609"/>
      <c r="M224" s="593">
        <v>44678.0</v>
      </c>
      <c r="N224" s="567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96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96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96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96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95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294">
        <v>44986.0</v>
      </c>
      <c r="U224" s="569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298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298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627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299"/>
      <c r="Z224" s="300"/>
      <c r="AA224" s="301"/>
      <c r="AB224" s="299"/>
      <c r="AC224" s="300"/>
      <c r="AD224" s="301"/>
      <c r="AE224" s="262">
        <f>IFERROR(__xludf.DUMMYFUNCTION("IFERROR(INDEX(IMPORTRANGE(""https://docs.google.com/spreadsheets/d/1fpsE_0655xguD48cGK6n1ZqSLnI-tw9aHzhbPM9kZ-k/edit#gid=0"", ""Monitoring Summary!B:B""),MATCH(D224,IMPORTRANGE(""https://docs.google.com/spreadsheets/d/1fpsE_0655xguD48cGK6n1ZqSLnI-tw9aHzhb"&amp;"PM9kZ-k/edit#gid=0"", ""Monitoring Summary!C:C""),0)),""Not Monitored"")"),45240.0)</f>
        <v>45240</v>
      </c>
      <c r="AF224" s="263">
        <f>IFERROR(__xludf.DUMMYFUNCTION("IFERROR(INDEX(IMPORTRANGE(""https://docs.google.com/spreadsheets/d/1fpsE_0655xguD48cGK6n1ZqSLnI-tw9aHzhbPM9kZ-k/edit#gid=0"", ""Monitoring Summary!E:E""),MATCH(D224,IMPORTRANGE(""https://docs.google.com/spreadsheets/d/1fpsE_0655xguD48cGK6n1ZqSLnI-tw9aHzhb"&amp;"PM9kZ-k/edit#gid=0"", ""Monitoring Summary!C:C""),0)),""Not Monitored"")"),0.0)</f>
        <v>0</v>
      </c>
      <c r="AG224" s="264">
        <f t="shared" si="1"/>
        <v>0</v>
      </c>
      <c r="AH224" s="265" t="s">
        <v>794</v>
      </c>
    </row>
    <row r="225">
      <c r="A225" s="609">
        <v>2022.0</v>
      </c>
      <c r="B225" s="610">
        <v>44648.0</v>
      </c>
      <c r="C225" s="609" t="s">
        <v>614</v>
      </c>
      <c r="D225" s="609" t="s">
        <v>795</v>
      </c>
      <c r="E225" s="609" t="s">
        <v>170</v>
      </c>
      <c r="F225" s="609" t="s">
        <v>161</v>
      </c>
      <c r="G225" s="609" t="s">
        <v>63</v>
      </c>
      <c r="H225" s="609">
        <v>500.0</v>
      </c>
      <c r="I225" s="609" t="s">
        <v>316</v>
      </c>
      <c r="J225" s="611">
        <v>24.52031</v>
      </c>
      <c r="K225" s="611">
        <v>-81.54101</v>
      </c>
      <c r="L225" s="609" t="s">
        <v>796</v>
      </c>
      <c r="M225" s="593">
        <v>44685.0</v>
      </c>
      <c r="N225" s="567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96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96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96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96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95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294">
        <v>45013.0</v>
      </c>
      <c r="U225" s="569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298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298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627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299"/>
      <c r="Z225" s="300"/>
      <c r="AA225" s="301"/>
      <c r="AB225" s="299"/>
      <c r="AC225" s="300"/>
      <c r="AD225" s="301"/>
      <c r="AE225" s="262">
        <f>IFERROR(__xludf.DUMMYFUNCTION("IFERROR(INDEX(IMPORTRANGE(""https://docs.google.com/spreadsheets/d/1fpsE_0655xguD48cGK6n1ZqSLnI-tw9aHzhbPM9kZ-k/edit#gid=0"", ""Monitoring Summary!B:B""),MATCH(D225,IMPORTRANGE(""https://docs.google.com/spreadsheets/d/1fpsE_0655xguD48cGK6n1ZqSLnI-tw9aHzhb"&amp;"PM9kZ-k/edit#gid=0"", ""Monitoring Summary!C:C""),0)),""Not Monitored"")"),45264.0)</f>
        <v>45264</v>
      </c>
      <c r="AF225" s="263">
        <f>IFERROR(__xludf.DUMMYFUNCTION("IFERROR(INDEX(IMPORTRANGE(""https://docs.google.com/spreadsheets/d/1fpsE_0655xguD48cGK6n1ZqSLnI-tw9aHzhbPM9kZ-k/edit#gid=0"", ""Monitoring Summary!E:E""),MATCH(D225,IMPORTRANGE(""https://docs.google.com/spreadsheets/d/1fpsE_0655xguD48cGK6n1ZqSLnI-tw9aHzhb"&amp;"PM9kZ-k/edit#gid=0"", ""Monitoring Summary!C:C""),0)),""Not Monitored"")"),0.0)</f>
        <v>0</v>
      </c>
      <c r="AG225" s="264">
        <f t="shared" si="1"/>
        <v>0</v>
      </c>
      <c r="AH225" s="265" t="s">
        <v>797</v>
      </c>
    </row>
    <row r="226">
      <c r="A226" s="624">
        <v>2022.0</v>
      </c>
      <c r="B226" s="625">
        <v>44655.0</v>
      </c>
      <c r="C226" s="624" t="s">
        <v>428</v>
      </c>
      <c r="D226" s="624" t="s">
        <v>798</v>
      </c>
      <c r="E226" s="624" t="s">
        <v>170</v>
      </c>
      <c r="F226" s="624" t="s">
        <v>161</v>
      </c>
      <c r="G226" s="624" t="s">
        <v>65</v>
      </c>
      <c r="H226" s="624">
        <v>500.0</v>
      </c>
      <c r="I226" s="624" t="s">
        <v>557</v>
      </c>
      <c r="J226" s="626">
        <v>24.52945</v>
      </c>
      <c r="K226" s="626">
        <v>-81.48992</v>
      </c>
      <c r="L226" s="624" t="s">
        <v>799</v>
      </c>
      <c r="M226" s="593">
        <v>44685.0</v>
      </c>
      <c r="N226" s="567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96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96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96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96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95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294">
        <v>44995.0</v>
      </c>
      <c r="U226" s="569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298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298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627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299"/>
      <c r="Z226" s="300"/>
      <c r="AA226" s="301"/>
      <c r="AB226" s="299"/>
      <c r="AC226" s="300"/>
      <c r="AD226" s="301"/>
      <c r="AE226" s="262">
        <f>IFERROR(__xludf.DUMMYFUNCTION("IFERROR(INDEX(IMPORTRANGE(""https://docs.google.com/spreadsheets/d/1fpsE_0655xguD48cGK6n1ZqSLnI-tw9aHzhbPM9kZ-k/edit#gid=0"", ""Monitoring Summary!B:B""),MATCH(D226,IMPORTRANGE(""https://docs.google.com/spreadsheets/d/1fpsE_0655xguD48cGK6n1ZqSLnI-tw9aHzhb"&amp;"PM9kZ-k/edit#gid=0"", ""Monitoring Summary!C:C""),0)),""Not Monitored"")"),45265.0)</f>
        <v>45265</v>
      </c>
      <c r="AF226" s="263">
        <f>IFERROR(__xludf.DUMMYFUNCTION("IFERROR(INDEX(IMPORTRANGE(""https://docs.google.com/spreadsheets/d/1fpsE_0655xguD48cGK6n1ZqSLnI-tw9aHzhbPM9kZ-k/edit#gid=0"", ""Monitoring Summary!E:E""),MATCH(D226,IMPORTRANGE(""https://docs.google.com/spreadsheets/d/1fpsE_0655xguD48cGK6n1ZqSLnI-tw9aHzhb"&amp;"PM9kZ-k/edit#gid=0"", ""Monitoring Summary!C:C""),0)),""Not Monitored"")"),0.0)</f>
        <v>0</v>
      </c>
      <c r="AG226" s="264">
        <f t="shared" si="1"/>
        <v>0</v>
      </c>
      <c r="AH226" s="265" t="s">
        <v>800</v>
      </c>
    </row>
    <row r="227">
      <c r="A227" s="609">
        <v>2022.0</v>
      </c>
      <c r="B227" s="610">
        <v>44658.0</v>
      </c>
      <c r="C227" s="609" t="s">
        <v>340</v>
      </c>
      <c r="D227" s="609" t="s">
        <v>801</v>
      </c>
      <c r="E227" s="609" t="s">
        <v>170</v>
      </c>
      <c r="F227" s="609" t="s">
        <v>161</v>
      </c>
      <c r="G227" s="609" t="s">
        <v>63</v>
      </c>
      <c r="H227" s="609">
        <v>500.0</v>
      </c>
      <c r="I227" s="609" t="s">
        <v>290</v>
      </c>
      <c r="J227" s="611">
        <v>24.48226</v>
      </c>
      <c r="K227" s="611">
        <v>-81.70471</v>
      </c>
      <c r="L227" s="633"/>
      <c r="M227" s="593">
        <v>44686.0</v>
      </c>
      <c r="N227" s="567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96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96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96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96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95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294">
        <v>45013.0</v>
      </c>
      <c r="U227" s="569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298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298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627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299"/>
      <c r="Z227" s="300"/>
      <c r="AA227" s="301"/>
      <c r="AB227" s="299"/>
      <c r="AC227" s="300"/>
      <c r="AD227" s="301"/>
      <c r="AE227" s="262">
        <f>IFERROR(__xludf.DUMMYFUNCTION("IFERROR(INDEX(IMPORTRANGE(""https://docs.google.com/spreadsheets/d/1fpsE_0655xguD48cGK6n1ZqSLnI-tw9aHzhbPM9kZ-k/edit#gid=0"", ""Monitoring Summary!B:B""),MATCH(D227,IMPORTRANGE(""https://docs.google.com/spreadsheets/d/1fpsE_0655xguD48cGK6n1ZqSLnI-tw9aHzhb"&amp;"PM9kZ-k/edit#gid=0"", ""Monitoring Summary!C:C""),0)),""Not Monitored"")"),45240.0)</f>
        <v>45240</v>
      </c>
      <c r="AF227" s="263">
        <f>IFERROR(__xludf.DUMMYFUNCTION("IFERROR(INDEX(IMPORTRANGE(""https://docs.google.com/spreadsheets/d/1fpsE_0655xguD48cGK6n1ZqSLnI-tw9aHzhbPM9kZ-k/edit#gid=0"", ""Monitoring Summary!E:E""),MATCH(D227,IMPORTRANGE(""https://docs.google.com/spreadsheets/d/1fpsE_0655xguD48cGK6n1ZqSLnI-tw9aHzhb"&amp;"PM9kZ-k/edit#gid=0"", ""Monitoring Summary!C:C""),0)),""Not Monitored"")"),0.0)</f>
        <v>0</v>
      </c>
      <c r="AG227" s="264">
        <f t="shared" si="1"/>
        <v>0</v>
      </c>
      <c r="AH227" s="265" t="s">
        <v>802</v>
      </c>
    </row>
    <row r="228">
      <c r="A228" s="634">
        <v>2022.0</v>
      </c>
      <c r="B228" s="635">
        <v>44669.0</v>
      </c>
      <c r="C228" s="634" t="s">
        <v>168</v>
      </c>
      <c r="D228" s="634" t="s">
        <v>803</v>
      </c>
      <c r="E228" s="634" t="s">
        <v>170</v>
      </c>
      <c r="F228" s="634" t="s">
        <v>161</v>
      </c>
      <c r="G228" s="634" t="s">
        <v>69</v>
      </c>
      <c r="H228" s="634">
        <v>500.0</v>
      </c>
      <c r="I228" s="634" t="s">
        <v>804</v>
      </c>
      <c r="J228" s="636">
        <v>24.52287</v>
      </c>
      <c r="K228" s="636">
        <v>-81.51825</v>
      </c>
      <c r="L228" s="634"/>
      <c r="M228" s="593">
        <v>44711.0</v>
      </c>
      <c r="N228" s="567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96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96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96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96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95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294">
        <v>45037.0</v>
      </c>
      <c r="U228" s="569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298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298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627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299"/>
      <c r="Z228" s="300"/>
      <c r="AA228" s="301"/>
      <c r="AB228" s="299"/>
      <c r="AC228" s="300"/>
      <c r="AD228" s="301"/>
      <c r="AE228" s="262">
        <f>IFERROR(__xludf.DUMMYFUNCTION("IFERROR(INDEX(IMPORTRANGE(""https://docs.google.com/spreadsheets/d/1fpsE_0655xguD48cGK6n1ZqSLnI-tw9aHzhbPM9kZ-k/edit#gid=0"", ""Monitoring Summary!B:B""),MATCH(D228,IMPORTRANGE(""https://docs.google.com/spreadsheets/d/1fpsE_0655xguD48cGK6n1ZqSLnI-tw9aHzhb"&amp;"PM9kZ-k/edit#gid=0"", ""Monitoring Summary!C:C""),0)),""Not Monitored"")"),45264.0)</f>
        <v>45264</v>
      </c>
      <c r="AF228" s="263">
        <f>IFERROR(__xludf.DUMMYFUNCTION("IFERROR(INDEX(IMPORTRANGE(""https://docs.google.com/spreadsheets/d/1fpsE_0655xguD48cGK6n1ZqSLnI-tw9aHzhbPM9kZ-k/edit#gid=0"", ""Monitoring Summary!E:E""),MATCH(D228,IMPORTRANGE(""https://docs.google.com/spreadsheets/d/1fpsE_0655xguD48cGK6n1ZqSLnI-tw9aHzhb"&amp;"PM9kZ-k/edit#gid=0"", ""Monitoring Summary!C:C""),0)),""Not Monitored"")"),0.0)</f>
        <v>0</v>
      </c>
      <c r="AG228" s="264">
        <f t="shared" si="1"/>
        <v>0</v>
      </c>
      <c r="AH228" s="265" t="s">
        <v>805</v>
      </c>
    </row>
    <row r="229">
      <c r="A229" s="637">
        <v>2022.0</v>
      </c>
      <c r="B229" s="638">
        <v>44685.0</v>
      </c>
      <c r="C229" s="637" t="s">
        <v>586</v>
      </c>
      <c r="D229" s="637" t="s">
        <v>806</v>
      </c>
      <c r="E229" s="637" t="s">
        <v>170</v>
      </c>
      <c r="F229" s="637" t="s">
        <v>161</v>
      </c>
      <c r="G229" s="637" t="s">
        <v>63</v>
      </c>
      <c r="H229" s="637">
        <v>500.0</v>
      </c>
      <c r="I229" s="637" t="s">
        <v>652</v>
      </c>
      <c r="J229" s="639">
        <v>24.53267</v>
      </c>
      <c r="K229" s="639">
        <v>-81.4683</v>
      </c>
      <c r="L229" s="637" t="s">
        <v>807</v>
      </c>
      <c r="M229" s="607">
        <v>44718.0</v>
      </c>
      <c r="N229" s="575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56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56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56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56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55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271">
        <v>45037.0</v>
      </c>
      <c r="U229" s="576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258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258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40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59"/>
      <c r="Z229" s="260"/>
      <c r="AA229" s="261"/>
      <c r="AB229" s="259"/>
      <c r="AC229" s="260"/>
      <c r="AD229" s="261"/>
      <c r="AE229" s="262">
        <f>IFERROR(__xludf.DUMMYFUNCTION("IFERROR(INDEX(IMPORTRANGE(""https://docs.google.com/spreadsheets/d/1fpsE_0655xguD48cGK6n1ZqSLnI-tw9aHzhbPM9kZ-k/edit#gid=0"", ""Monitoring Summary!B:B""),MATCH(D229,IMPORTRANGE(""https://docs.google.com/spreadsheets/d/1fpsE_0655xguD48cGK6n1ZqSLnI-tw9aHzhb"&amp;"PM9kZ-k/edit#gid=0"", ""Monitoring Summary!C:C""),0)),""Not Monitored"")"),45247.0)</f>
        <v>45247</v>
      </c>
      <c r="AF229" s="263">
        <f>IFERROR(__xludf.DUMMYFUNCTION("IFERROR(INDEX(IMPORTRANGE(""https://docs.google.com/spreadsheets/d/1fpsE_0655xguD48cGK6n1ZqSLnI-tw9aHzhbPM9kZ-k/edit#gid=0"", ""Monitoring Summary!E:E""),MATCH(D229,IMPORTRANGE(""https://docs.google.com/spreadsheets/d/1fpsE_0655xguD48cGK6n1ZqSLnI-tw9aHzhb"&amp;"PM9kZ-k/edit#gid=0"", ""Monitoring Summary!C:C""),0)),""Not Monitored"")"),10.0)</f>
        <v>10</v>
      </c>
      <c r="AG229" s="264">
        <f t="shared" si="1"/>
        <v>0.02</v>
      </c>
      <c r="AH229" s="265" t="s">
        <v>808</v>
      </c>
    </row>
    <row r="230">
      <c r="A230" s="624">
        <v>2022.0</v>
      </c>
      <c r="B230" s="625">
        <v>44686.0</v>
      </c>
      <c r="C230" s="624" t="s">
        <v>809</v>
      </c>
      <c r="D230" s="624" t="s">
        <v>810</v>
      </c>
      <c r="E230" s="624" t="s">
        <v>170</v>
      </c>
      <c r="F230" s="624" t="s">
        <v>161</v>
      </c>
      <c r="G230" s="624" t="s">
        <v>65</v>
      </c>
      <c r="H230" s="624">
        <v>500.0</v>
      </c>
      <c r="I230" s="624" t="s">
        <v>517</v>
      </c>
      <c r="J230" s="626">
        <v>24.50667</v>
      </c>
      <c r="K230" s="626">
        <v>-81.58897</v>
      </c>
      <c r="L230" s="624"/>
      <c r="M230" s="593">
        <v>44718.0</v>
      </c>
      <c r="N230" s="567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96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96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96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96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95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294">
        <v>45035.0</v>
      </c>
      <c r="U230" s="569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298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298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627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299"/>
      <c r="Z230" s="300"/>
      <c r="AA230" s="301"/>
      <c r="AB230" s="299"/>
      <c r="AC230" s="300"/>
      <c r="AD230" s="301"/>
      <c r="AE230" s="262">
        <f>IFERROR(__xludf.DUMMYFUNCTION("IFERROR(INDEX(IMPORTRANGE(""https://docs.google.com/spreadsheets/d/1fpsE_0655xguD48cGK6n1ZqSLnI-tw9aHzhbPM9kZ-k/edit#gid=0"", ""Monitoring Summary!B:B""),MATCH(D230,IMPORTRANGE(""https://docs.google.com/spreadsheets/d/1fpsE_0655xguD48cGK6n1ZqSLnI-tw9aHzhb"&amp;"PM9kZ-k/edit#gid=0"", ""Monitoring Summary!C:C""),0)),""Not Monitored"")"),45240.0)</f>
        <v>45240</v>
      </c>
      <c r="AF230" s="263">
        <f>IFERROR(__xludf.DUMMYFUNCTION("IFERROR(INDEX(IMPORTRANGE(""https://docs.google.com/spreadsheets/d/1fpsE_0655xguD48cGK6n1ZqSLnI-tw9aHzhbPM9kZ-k/edit#gid=0"", ""Monitoring Summary!E:E""),MATCH(D230,IMPORTRANGE(""https://docs.google.com/spreadsheets/d/1fpsE_0655xguD48cGK6n1ZqSLnI-tw9aHzhb"&amp;"PM9kZ-k/edit#gid=0"", ""Monitoring Summary!C:C""),0)),""Not Monitored"")"),0.0)</f>
        <v>0</v>
      </c>
      <c r="AG230" s="264">
        <f t="shared" si="1"/>
        <v>0</v>
      </c>
      <c r="AH230" s="265" t="s">
        <v>811</v>
      </c>
    </row>
    <row r="231">
      <c r="A231" s="633">
        <v>2022.0</v>
      </c>
      <c r="B231" s="641">
        <v>44687.0</v>
      </c>
      <c r="C231" s="633" t="s">
        <v>520</v>
      </c>
      <c r="D231" s="633" t="s">
        <v>812</v>
      </c>
      <c r="E231" s="633" t="s">
        <v>170</v>
      </c>
      <c r="F231" s="633" t="s">
        <v>161</v>
      </c>
      <c r="G231" s="633" t="s">
        <v>63</v>
      </c>
      <c r="H231" s="633">
        <v>500.0</v>
      </c>
      <c r="I231" s="633" t="s">
        <v>316</v>
      </c>
      <c r="J231" s="642">
        <v>24.478</v>
      </c>
      <c r="K231" s="642">
        <v>-81.72992</v>
      </c>
      <c r="L231" s="643"/>
      <c r="M231" s="593">
        <v>44720.0</v>
      </c>
      <c r="N231" s="567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96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96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96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96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95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294">
        <v>45030.0</v>
      </c>
      <c r="U231" s="569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298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298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627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299"/>
      <c r="Z231" s="300"/>
      <c r="AA231" s="301"/>
      <c r="AB231" s="299"/>
      <c r="AC231" s="300"/>
      <c r="AD231" s="301"/>
      <c r="AE231" s="262">
        <f>IFERROR(__xludf.DUMMYFUNCTION("IFERROR(INDEX(IMPORTRANGE(""https://docs.google.com/spreadsheets/d/1fpsE_0655xguD48cGK6n1ZqSLnI-tw9aHzhbPM9kZ-k/edit#gid=0"", ""Monitoring Summary!B:B""),MATCH(D231,IMPORTRANGE(""https://docs.google.com/spreadsheets/d/1fpsE_0655xguD48cGK6n1ZqSLnI-tw9aHzhb"&amp;"PM9kZ-k/edit#gid=0"", ""Monitoring Summary!C:C""),0)),""Not Monitored"")"),45240.0)</f>
        <v>45240</v>
      </c>
      <c r="AF231" s="263">
        <f>IFERROR(__xludf.DUMMYFUNCTION("IFERROR(INDEX(IMPORTRANGE(""https://docs.google.com/spreadsheets/d/1fpsE_0655xguD48cGK6n1ZqSLnI-tw9aHzhbPM9kZ-k/edit#gid=0"", ""Monitoring Summary!E:E""),MATCH(D231,IMPORTRANGE(""https://docs.google.com/spreadsheets/d/1fpsE_0655xguD48cGK6n1ZqSLnI-tw9aHzhb"&amp;"PM9kZ-k/edit#gid=0"", ""Monitoring Summary!C:C""),0)),""Not Monitored"")"),0.0)</f>
        <v>0</v>
      </c>
      <c r="AG231" s="264">
        <f t="shared" si="1"/>
        <v>0</v>
      </c>
      <c r="AH231" s="265" t="s">
        <v>813</v>
      </c>
    </row>
    <row r="232">
      <c r="A232" s="644">
        <v>2022.0</v>
      </c>
      <c r="B232" s="645">
        <v>44686.0</v>
      </c>
      <c r="C232" s="644" t="s">
        <v>814</v>
      </c>
      <c r="D232" s="644" t="s">
        <v>815</v>
      </c>
      <c r="E232" s="644" t="s">
        <v>170</v>
      </c>
      <c r="F232" s="644" t="s">
        <v>146</v>
      </c>
      <c r="G232" s="644" t="s">
        <v>54</v>
      </c>
      <c r="H232" s="644">
        <v>27.0</v>
      </c>
      <c r="I232" s="644" t="s">
        <v>816</v>
      </c>
      <c r="J232" s="644">
        <v>24.62133</v>
      </c>
      <c r="K232" s="644">
        <v>-81.36317</v>
      </c>
      <c r="L232" s="644" t="s">
        <v>817</v>
      </c>
      <c r="M232" s="593">
        <v>44726.0</v>
      </c>
      <c r="N232" s="567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96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96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96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96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95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294">
        <v>45020.0</v>
      </c>
      <c r="U232" s="569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298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298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627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71"/>
      <c r="Z232" s="300"/>
      <c r="AA232" s="301"/>
      <c r="AB232" s="299"/>
      <c r="AC232" s="300"/>
      <c r="AD232" s="301"/>
      <c r="AE232" s="618">
        <f>IFERROR(__xludf.DUMMYFUNCTION("IFERROR(INDEX(IMPORTRANGE(""https://docs.google.com/spreadsheets/d/1fpsE_0655xguD48cGK6n1ZqSLnI-tw9aHzhbPM9kZ-k/edit#gid=0"", ""Monitoring Summary!B:B""),MATCH(D232,IMPORTRANGE(""https://docs.google.com/spreadsheets/d/1fpsE_0655xguD48cGK6n1ZqSLnI-tw9aHzhb"&amp;"PM9kZ-k/edit#gid=0"", ""Monitoring Summary!C:C""),0)),""Not Monitored"")"),45216.0)</f>
        <v>45216</v>
      </c>
      <c r="AF232" s="619">
        <f>IFERROR(__xludf.DUMMYFUNCTION("IFERROR(INDEX(IMPORTRANGE(""https://docs.google.com/spreadsheets/d/1fpsE_0655xguD48cGK6n1ZqSLnI-tw9aHzhbPM9kZ-k/edit#gid=0"", ""Monitoring Summary!E:E""),MATCH(D232,IMPORTRANGE(""https://docs.google.com/spreadsheets/d/1fpsE_0655xguD48cGK6n1ZqSLnI-tw9aHzhb"&amp;"PM9kZ-k/edit#gid=0"", ""Monitoring Summary!C:C""),0)),""Not Monitored"")"),0.0)</f>
        <v>0</v>
      </c>
      <c r="AG232" s="620">
        <f t="shared" si="1"/>
        <v>0</v>
      </c>
      <c r="AH232" s="265" t="s">
        <v>818</v>
      </c>
    </row>
    <row r="233">
      <c r="A233" s="644">
        <v>2022.0</v>
      </c>
      <c r="B233" s="645">
        <v>44688.0</v>
      </c>
      <c r="C233" s="644" t="s">
        <v>819</v>
      </c>
      <c r="D233" s="644" t="s">
        <v>820</v>
      </c>
      <c r="E233" s="644" t="s">
        <v>170</v>
      </c>
      <c r="F233" s="644" t="s">
        <v>146</v>
      </c>
      <c r="G233" s="644" t="s">
        <v>54</v>
      </c>
      <c r="H233" s="644">
        <v>27.0</v>
      </c>
      <c r="I233" s="644" t="s">
        <v>821</v>
      </c>
      <c r="J233" s="646">
        <v>24.36932</v>
      </c>
      <c r="K233" s="646">
        <v>-81.22781</v>
      </c>
      <c r="L233" s="644" t="s">
        <v>817</v>
      </c>
      <c r="M233" s="593">
        <v>44726.0</v>
      </c>
      <c r="N233" s="567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96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96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96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96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95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294">
        <v>45020.0</v>
      </c>
      <c r="U233" s="569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298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298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627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71"/>
      <c r="Z233" s="300"/>
      <c r="AA233" s="301"/>
      <c r="AB233" s="299"/>
      <c r="AC233" s="300"/>
      <c r="AD233" s="301"/>
      <c r="AE233" s="618">
        <f>IFERROR(__xludf.DUMMYFUNCTION("IFERROR(INDEX(IMPORTRANGE(""https://docs.google.com/spreadsheets/d/1fpsE_0655xguD48cGK6n1ZqSLnI-tw9aHzhbPM9kZ-k/edit#gid=0"", ""Monitoring Summary!B:B""),MATCH(D233,IMPORTRANGE(""https://docs.google.com/spreadsheets/d/1fpsE_0655xguD48cGK6n1ZqSLnI-tw9aHzhb"&amp;"PM9kZ-k/edit#gid=0"", ""Monitoring Summary!C:C""),0)),""Not Monitored"")"),45216.0)</f>
        <v>45216</v>
      </c>
      <c r="AF233" s="619">
        <f>IFERROR(__xludf.DUMMYFUNCTION("IFERROR(INDEX(IMPORTRANGE(""https://docs.google.com/spreadsheets/d/1fpsE_0655xguD48cGK6n1ZqSLnI-tw9aHzhbPM9kZ-k/edit#gid=0"", ""Monitoring Summary!E:E""),MATCH(D233,IMPORTRANGE(""https://docs.google.com/spreadsheets/d/1fpsE_0655xguD48cGK6n1ZqSLnI-tw9aHzhb"&amp;"PM9kZ-k/edit#gid=0"", ""Monitoring Summary!C:C""),0)),""Not Monitored"")"),0.0)</f>
        <v>0</v>
      </c>
      <c r="AG233" s="620">
        <f t="shared" si="1"/>
        <v>0</v>
      </c>
      <c r="AH233" s="265" t="s">
        <v>818</v>
      </c>
    </row>
    <row r="234">
      <c r="A234" s="634">
        <v>2022.0</v>
      </c>
      <c r="B234" s="635">
        <v>44693.0</v>
      </c>
      <c r="C234" s="634" t="s">
        <v>591</v>
      </c>
      <c r="D234" s="634" t="s">
        <v>822</v>
      </c>
      <c r="E234" s="634" t="s">
        <v>170</v>
      </c>
      <c r="F234" s="634" t="s">
        <v>161</v>
      </c>
      <c r="G234" s="634" t="s">
        <v>69</v>
      </c>
      <c r="H234" s="634">
        <v>500.0</v>
      </c>
      <c r="I234" s="634" t="s">
        <v>299</v>
      </c>
      <c r="J234" s="647">
        <v>24.47161</v>
      </c>
      <c r="K234" s="647">
        <v>-81.76494</v>
      </c>
      <c r="L234" s="634"/>
      <c r="M234" s="593">
        <v>44726.0</v>
      </c>
      <c r="N234" s="567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96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96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96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96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95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294">
        <v>45030.0</v>
      </c>
      <c r="U234" s="569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298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298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627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299"/>
      <c r="Z234" s="300"/>
      <c r="AA234" s="301"/>
      <c r="AB234" s="299"/>
      <c r="AC234" s="300"/>
      <c r="AD234" s="301"/>
      <c r="AE234" s="262">
        <f>IFERROR(__xludf.DUMMYFUNCTION("IFERROR(INDEX(IMPORTRANGE(""https://docs.google.com/spreadsheets/d/1fpsE_0655xguD48cGK6n1ZqSLnI-tw9aHzhbPM9kZ-k/edit#gid=0"", ""Monitoring Summary!B:B""),MATCH(D234,IMPORTRANGE(""https://docs.google.com/spreadsheets/d/1fpsE_0655xguD48cGK6n1ZqSLnI-tw9aHzhb"&amp;"PM9kZ-k/edit#gid=0"", ""Monitoring Summary!C:C""),0)),""Not Monitored"")"),45240.0)</f>
        <v>45240</v>
      </c>
      <c r="AF234" s="263">
        <f>IFERROR(__xludf.DUMMYFUNCTION("IFERROR(INDEX(IMPORTRANGE(""https://docs.google.com/spreadsheets/d/1fpsE_0655xguD48cGK6n1ZqSLnI-tw9aHzhbPM9kZ-k/edit#gid=0"", ""Monitoring Summary!E:E""),MATCH(D234,IMPORTRANGE(""https://docs.google.com/spreadsheets/d/1fpsE_0655xguD48cGK6n1ZqSLnI-tw9aHzhb"&amp;"PM9kZ-k/edit#gid=0"", ""Monitoring Summary!C:C""),0)),""Not Monitored"")"),0.0)</f>
        <v>0</v>
      </c>
      <c r="AG234" s="264">
        <f t="shared" si="1"/>
        <v>0</v>
      </c>
      <c r="AH234" s="265" t="s">
        <v>823</v>
      </c>
    </row>
    <row r="235">
      <c r="A235" s="633">
        <v>2022.0</v>
      </c>
      <c r="B235" s="641">
        <v>44694.0</v>
      </c>
      <c r="C235" s="633" t="s">
        <v>824</v>
      </c>
      <c r="D235" s="633" t="s">
        <v>825</v>
      </c>
      <c r="E235" s="633" t="s">
        <v>170</v>
      </c>
      <c r="F235" s="633" t="s">
        <v>161</v>
      </c>
      <c r="G235" s="633" t="s">
        <v>63</v>
      </c>
      <c r="H235" s="633">
        <v>500.0</v>
      </c>
      <c r="I235" s="633" t="s">
        <v>517</v>
      </c>
      <c r="J235" s="648">
        <v>24.50531</v>
      </c>
      <c r="K235" s="648">
        <v>-81.59803</v>
      </c>
      <c r="L235" s="633"/>
      <c r="M235" s="593">
        <v>44720.0</v>
      </c>
      <c r="N235" s="567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96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96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96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96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95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294">
        <v>45035.0</v>
      </c>
      <c r="U235" s="569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298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298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627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299"/>
      <c r="Z235" s="300"/>
      <c r="AA235" s="301"/>
      <c r="AB235" s="299"/>
      <c r="AC235" s="300"/>
      <c r="AD235" s="301"/>
      <c r="AE235" s="262">
        <f>IFERROR(__xludf.DUMMYFUNCTION("IFERROR(INDEX(IMPORTRANGE(""https://docs.google.com/spreadsheets/d/1fpsE_0655xguD48cGK6n1ZqSLnI-tw9aHzhbPM9kZ-k/edit#gid=0"", ""Monitoring Summary!B:B""),MATCH(D235,IMPORTRANGE(""https://docs.google.com/spreadsheets/d/1fpsE_0655xguD48cGK6n1ZqSLnI-tw9aHzhb"&amp;"PM9kZ-k/edit#gid=0"", ""Monitoring Summary!C:C""),0)),""Not Monitored"")"),45240.0)</f>
        <v>45240</v>
      </c>
      <c r="AF235" s="263">
        <f>IFERROR(__xludf.DUMMYFUNCTION("IFERROR(INDEX(IMPORTRANGE(""https://docs.google.com/spreadsheets/d/1fpsE_0655xguD48cGK6n1ZqSLnI-tw9aHzhbPM9kZ-k/edit#gid=0"", ""Monitoring Summary!E:E""),MATCH(D235,IMPORTRANGE(""https://docs.google.com/spreadsheets/d/1fpsE_0655xguD48cGK6n1ZqSLnI-tw9aHzhb"&amp;"PM9kZ-k/edit#gid=0"", ""Monitoring Summary!C:C""),0)),""Not Monitored"")"),0.0)</f>
        <v>0</v>
      </c>
      <c r="AG235" s="264">
        <f t="shared" si="1"/>
        <v>0</v>
      </c>
      <c r="AH235" s="265" t="s">
        <v>826</v>
      </c>
    </row>
    <row r="236">
      <c r="A236" s="637">
        <v>2022.0</v>
      </c>
      <c r="B236" s="638">
        <v>44699.0</v>
      </c>
      <c r="C236" s="637" t="s">
        <v>642</v>
      </c>
      <c r="D236" s="637" t="s">
        <v>827</v>
      </c>
      <c r="E236" s="637" t="s">
        <v>170</v>
      </c>
      <c r="F236" s="637" t="s">
        <v>161</v>
      </c>
      <c r="G236" s="637" t="s">
        <v>63</v>
      </c>
      <c r="H236" s="637">
        <v>500.0</v>
      </c>
      <c r="I236" s="637" t="s">
        <v>423</v>
      </c>
      <c r="J236" s="649">
        <v>24.44471</v>
      </c>
      <c r="K236" s="649">
        <v>-81.92638</v>
      </c>
      <c r="L236" s="637"/>
      <c r="M236" s="607">
        <v>44727.0</v>
      </c>
      <c r="N236" s="575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56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56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56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56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55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271">
        <v>45042.0</v>
      </c>
      <c r="U236" s="576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258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258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40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259"/>
      <c r="Z236" s="260"/>
      <c r="AA236" s="261"/>
      <c r="AB236" s="259"/>
      <c r="AC236" s="260"/>
      <c r="AD236" s="261"/>
      <c r="AE236" s="262">
        <f>IFERROR(__xludf.DUMMYFUNCTION("IFERROR(INDEX(IMPORTRANGE(""https://docs.google.com/spreadsheets/d/1fpsE_0655xguD48cGK6n1ZqSLnI-tw9aHzhbPM9kZ-k/edit#gid=0"", ""Monitoring Summary!B:B""),MATCH(D236,IMPORTRANGE(""https://docs.google.com/spreadsheets/d/1fpsE_0655xguD48cGK6n1ZqSLnI-tw9aHzhb"&amp;"PM9kZ-k/edit#gid=0"", ""Monitoring Summary!C:C""),0)),""Not Monitored"")"),45204.0)</f>
        <v>45204</v>
      </c>
      <c r="AF236" s="263">
        <f>IFERROR(__xludf.DUMMYFUNCTION("IFERROR(INDEX(IMPORTRANGE(""https://docs.google.com/spreadsheets/d/1fpsE_0655xguD48cGK6n1ZqSLnI-tw9aHzhbPM9kZ-k/edit#gid=0"", ""Monitoring Summary!E:E""),MATCH(D236,IMPORTRANGE(""https://docs.google.com/spreadsheets/d/1fpsE_0655xguD48cGK6n1ZqSLnI-tw9aHzhb"&amp;"PM9kZ-k/edit#gid=0"", ""Monitoring Summary!C:C""),0)),""Not Monitored"")"),8.0)</f>
        <v>8</v>
      </c>
      <c r="AG236" s="264">
        <f t="shared" si="1"/>
        <v>0.016</v>
      </c>
      <c r="AH236" s="265" t="s">
        <v>828</v>
      </c>
    </row>
    <row r="237">
      <c r="A237" s="633">
        <v>2022.0</v>
      </c>
      <c r="B237" s="641">
        <v>44700.0</v>
      </c>
      <c r="C237" s="633" t="s">
        <v>829</v>
      </c>
      <c r="D237" s="633" t="s">
        <v>830</v>
      </c>
      <c r="E237" s="633" t="s">
        <v>170</v>
      </c>
      <c r="F237" s="633" t="s">
        <v>161</v>
      </c>
      <c r="G237" s="633" t="s">
        <v>63</v>
      </c>
      <c r="H237" s="633">
        <v>500.0</v>
      </c>
      <c r="I237" s="633" t="s">
        <v>755</v>
      </c>
      <c r="J237" s="648">
        <v>24.55364</v>
      </c>
      <c r="K237" s="648">
        <v>-81.37794</v>
      </c>
      <c r="L237" s="643"/>
      <c r="M237" s="593">
        <v>44732.0</v>
      </c>
      <c r="N237" s="567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96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96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96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96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95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294">
        <v>45043.0</v>
      </c>
      <c r="U237" s="569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298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298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627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299"/>
      <c r="Z237" s="300"/>
      <c r="AA237" s="301"/>
      <c r="AB237" s="299"/>
      <c r="AC237" s="300"/>
      <c r="AD237" s="301"/>
      <c r="AE237" s="262">
        <f>IFERROR(__xludf.DUMMYFUNCTION("IFERROR(INDEX(IMPORTRANGE(""https://docs.google.com/spreadsheets/d/1fpsE_0655xguD48cGK6n1ZqSLnI-tw9aHzhbPM9kZ-k/edit#gid=0"", ""Monitoring Summary!B:B""),MATCH(D237,IMPORTRANGE(""https://docs.google.com/spreadsheets/d/1fpsE_0655xguD48cGK6n1ZqSLnI-tw9aHzhb"&amp;"PM9kZ-k/edit#gid=0"", ""Monitoring Summary!C:C""),0)),""Not Monitored"")"),45239.0)</f>
        <v>45239</v>
      </c>
      <c r="AF237" s="263">
        <f>IFERROR(__xludf.DUMMYFUNCTION("IFERROR(INDEX(IMPORTRANGE(""https://docs.google.com/spreadsheets/d/1fpsE_0655xguD48cGK6n1ZqSLnI-tw9aHzhbPM9kZ-k/edit#gid=0"", ""Monitoring Summary!E:E""),MATCH(D237,IMPORTRANGE(""https://docs.google.com/spreadsheets/d/1fpsE_0655xguD48cGK6n1ZqSLnI-tw9aHzhb"&amp;"PM9kZ-k/edit#gid=0"", ""Monitoring Summary!C:C""),0)),""Not Monitored"")"),0.0)</f>
        <v>0</v>
      </c>
      <c r="AG237" s="264">
        <f t="shared" si="1"/>
        <v>0</v>
      </c>
      <c r="AH237" s="265" t="s">
        <v>831</v>
      </c>
    </row>
    <row r="238">
      <c r="A238" s="633">
        <v>2022.0</v>
      </c>
      <c r="B238" s="641">
        <v>44712.0</v>
      </c>
      <c r="C238" s="633" t="s">
        <v>703</v>
      </c>
      <c r="D238" s="633" t="s">
        <v>832</v>
      </c>
      <c r="E238" s="633" t="s">
        <v>170</v>
      </c>
      <c r="F238" s="633" t="s">
        <v>161</v>
      </c>
      <c r="G238" s="633" t="s">
        <v>63</v>
      </c>
      <c r="H238" s="633">
        <v>500.0</v>
      </c>
      <c r="I238" s="633" t="s">
        <v>299</v>
      </c>
      <c r="J238" s="648">
        <v>24.51415</v>
      </c>
      <c r="K238" s="648">
        <v>-81.55301</v>
      </c>
      <c r="L238" s="633"/>
      <c r="M238" s="593">
        <v>44742.0</v>
      </c>
      <c r="N238" s="567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96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96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96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96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95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294">
        <v>45061.0</v>
      </c>
      <c r="U238" s="569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298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298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627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299"/>
      <c r="Z238" s="300"/>
      <c r="AA238" s="301"/>
      <c r="AB238" s="299"/>
      <c r="AC238" s="300"/>
      <c r="AD238" s="301"/>
      <c r="AE238" s="262">
        <f>IFERROR(__xludf.DUMMYFUNCTION("IFERROR(INDEX(IMPORTRANGE(""https://docs.google.com/spreadsheets/d/1fpsE_0655xguD48cGK6n1ZqSLnI-tw9aHzhbPM9kZ-k/edit#gid=0"", ""Monitoring Summary!B:B""),MATCH(D238,IMPORTRANGE(""https://docs.google.com/spreadsheets/d/1fpsE_0655xguD48cGK6n1ZqSLnI-tw9aHzhb"&amp;"PM9kZ-k/edit#gid=0"", ""Monitoring Summary!C:C""),0)),""Not Monitored"")"),45258.0)</f>
        <v>45258</v>
      </c>
      <c r="AF238" s="263">
        <f>IFERROR(__xludf.DUMMYFUNCTION("IFERROR(INDEX(IMPORTRANGE(""https://docs.google.com/spreadsheets/d/1fpsE_0655xguD48cGK6n1ZqSLnI-tw9aHzhbPM9kZ-k/edit#gid=0"", ""Monitoring Summary!E:E""),MATCH(D238,IMPORTRANGE(""https://docs.google.com/spreadsheets/d/1fpsE_0655xguD48cGK6n1ZqSLnI-tw9aHzhb"&amp;"PM9kZ-k/edit#gid=0"", ""Monitoring Summary!C:C""),0)),""Not Monitored"")"),0.0)</f>
        <v>0</v>
      </c>
      <c r="AG238" s="264">
        <f t="shared" si="1"/>
        <v>0</v>
      </c>
      <c r="AH238" s="265" t="s">
        <v>833</v>
      </c>
    </row>
    <row r="239">
      <c r="A239" s="633">
        <v>2022.0</v>
      </c>
      <c r="B239" s="641">
        <v>44713.0</v>
      </c>
      <c r="C239" s="633" t="s">
        <v>275</v>
      </c>
      <c r="D239" s="633" t="s">
        <v>834</v>
      </c>
      <c r="E239" s="633" t="s">
        <v>170</v>
      </c>
      <c r="F239" s="633" t="s">
        <v>161</v>
      </c>
      <c r="G239" s="633" t="s">
        <v>63</v>
      </c>
      <c r="H239" s="633">
        <v>500.0</v>
      </c>
      <c r="I239" s="633" t="s">
        <v>835</v>
      </c>
      <c r="J239" s="648">
        <v>24.5406</v>
      </c>
      <c r="K239" s="648">
        <v>-81.43577</v>
      </c>
      <c r="L239" s="633" t="s">
        <v>836</v>
      </c>
      <c r="M239" s="593">
        <v>44742.0</v>
      </c>
      <c r="N239" s="567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96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96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96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96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95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294">
        <v>45061.0</v>
      </c>
      <c r="U239" s="569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298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298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627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299"/>
      <c r="Z239" s="300"/>
      <c r="AA239" s="301"/>
      <c r="AB239" s="299"/>
      <c r="AC239" s="300"/>
      <c r="AD239" s="301"/>
      <c r="AE239" s="262">
        <f>IFERROR(__xludf.DUMMYFUNCTION("IFERROR(INDEX(IMPORTRANGE(""https://docs.google.com/spreadsheets/d/1fpsE_0655xguD48cGK6n1ZqSLnI-tw9aHzhbPM9kZ-k/edit#gid=0"", ""Monitoring Summary!B:B""),MATCH(D239,IMPORTRANGE(""https://docs.google.com/spreadsheets/d/1fpsE_0655xguD48cGK6n1ZqSLnI-tw9aHzhb"&amp;"PM9kZ-k/edit#gid=0"", ""Monitoring Summary!C:C""),0)),""Not Monitored"")"),45239.0)</f>
        <v>45239</v>
      </c>
      <c r="AF239" s="263">
        <f>IFERROR(__xludf.DUMMYFUNCTION("IFERROR(INDEX(IMPORTRANGE(""https://docs.google.com/spreadsheets/d/1fpsE_0655xguD48cGK6n1ZqSLnI-tw9aHzhbPM9kZ-k/edit#gid=0"", ""Monitoring Summary!E:E""),MATCH(D239,IMPORTRANGE(""https://docs.google.com/spreadsheets/d/1fpsE_0655xguD48cGK6n1ZqSLnI-tw9aHzhb"&amp;"PM9kZ-k/edit#gid=0"", ""Monitoring Summary!C:C""),0)),""Not Monitored"")"),0.0)</f>
        <v>0</v>
      </c>
      <c r="AG239" s="264">
        <f t="shared" si="1"/>
        <v>0</v>
      </c>
      <c r="AH239" s="265" t="s">
        <v>837</v>
      </c>
    </row>
    <row r="240">
      <c r="A240" s="633">
        <v>2022.0</v>
      </c>
      <c r="B240" s="641">
        <v>44722.0</v>
      </c>
      <c r="C240" s="633" t="s">
        <v>428</v>
      </c>
      <c r="D240" s="633" t="s">
        <v>838</v>
      </c>
      <c r="E240" s="633" t="s">
        <v>170</v>
      </c>
      <c r="F240" s="633" t="s">
        <v>161</v>
      </c>
      <c r="G240" s="633" t="s">
        <v>63</v>
      </c>
      <c r="H240" s="633">
        <v>500.0</v>
      </c>
      <c r="I240" s="633" t="s">
        <v>581</v>
      </c>
      <c r="J240" s="648">
        <v>24.53181</v>
      </c>
      <c r="K240" s="648">
        <v>-81.48286</v>
      </c>
      <c r="L240" s="633"/>
      <c r="M240" s="593">
        <v>44749.0</v>
      </c>
      <c r="N240" s="567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96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96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96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96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95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294">
        <v>45064.0</v>
      </c>
      <c r="U240" s="569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298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298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627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290"/>
      <c r="Z240" s="300"/>
      <c r="AA240" s="650"/>
      <c r="AB240" s="290"/>
      <c r="AC240" s="300"/>
      <c r="AD240" s="301"/>
      <c r="AE240" s="262">
        <f>IFERROR(__xludf.DUMMYFUNCTION("IFERROR(INDEX(IMPORTRANGE(""https://docs.google.com/spreadsheets/d/1fpsE_0655xguD48cGK6n1ZqSLnI-tw9aHzhbPM9kZ-k/edit#gid=0"", ""Monitoring Summary!B:B""),MATCH(D240,IMPORTRANGE(""https://docs.google.com/spreadsheets/d/1fpsE_0655xguD48cGK6n1ZqSLnI-tw9aHzhb"&amp;"PM9kZ-k/edit#gid=0"", ""Monitoring Summary!C:C""),0)),""Not Monitored"")"),45247.0)</f>
        <v>45247</v>
      </c>
      <c r="AF240" s="263">
        <f>IFERROR(__xludf.DUMMYFUNCTION("IFERROR(INDEX(IMPORTRANGE(""https://docs.google.com/spreadsheets/d/1fpsE_0655xguD48cGK6n1ZqSLnI-tw9aHzhbPM9kZ-k/edit#gid=0"", ""Monitoring Summary!E:E""),MATCH(D240,IMPORTRANGE(""https://docs.google.com/spreadsheets/d/1fpsE_0655xguD48cGK6n1ZqSLnI-tw9aHzhb"&amp;"PM9kZ-k/edit#gid=0"", ""Monitoring Summary!C:C""),0)),""Not Monitored"")"),0.0)</f>
        <v>0</v>
      </c>
      <c r="AG240" s="264">
        <f t="shared" si="1"/>
        <v>0</v>
      </c>
      <c r="AH240" s="265" t="s">
        <v>839</v>
      </c>
    </row>
    <row r="241">
      <c r="A241" s="633">
        <v>2022.0</v>
      </c>
      <c r="B241" s="641">
        <v>44725.0</v>
      </c>
      <c r="C241" s="633" t="s">
        <v>318</v>
      </c>
      <c r="D241" s="633" t="s">
        <v>840</v>
      </c>
      <c r="E241" s="633" t="s">
        <v>170</v>
      </c>
      <c r="F241" s="633" t="s">
        <v>161</v>
      </c>
      <c r="G241" s="633" t="s">
        <v>63</v>
      </c>
      <c r="H241" s="633">
        <v>500.0</v>
      </c>
      <c r="I241" s="633" t="s">
        <v>841</v>
      </c>
      <c r="J241" s="648">
        <v>24.52606</v>
      </c>
      <c r="K241" s="648">
        <v>-81.50253</v>
      </c>
      <c r="L241" s="633"/>
      <c r="M241" s="593">
        <v>44753.0</v>
      </c>
      <c r="N241" s="567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96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96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96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96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95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294">
        <v>45079.0</v>
      </c>
      <c r="U241" s="569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298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298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627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290"/>
      <c r="Z241" s="300"/>
      <c r="AA241" s="650"/>
      <c r="AB241" s="290"/>
      <c r="AC241" s="300"/>
      <c r="AD241" s="301"/>
      <c r="AE241" s="262">
        <f>IFERROR(__xludf.DUMMYFUNCTION("IFERROR(INDEX(IMPORTRANGE(""https://docs.google.com/spreadsheets/d/1fpsE_0655xguD48cGK6n1ZqSLnI-tw9aHzhbPM9kZ-k/edit#gid=0"", ""Monitoring Summary!B:B""),MATCH(D241,IMPORTRANGE(""https://docs.google.com/spreadsheets/d/1fpsE_0655xguD48cGK6n1ZqSLnI-tw9aHzhb"&amp;"PM9kZ-k/edit#gid=0"", ""Monitoring Summary!C:C""),0)),""Not Monitored"")"),45264.0)</f>
        <v>45264</v>
      </c>
      <c r="AF241" s="263">
        <f>IFERROR(__xludf.DUMMYFUNCTION("IFERROR(INDEX(IMPORTRANGE(""https://docs.google.com/spreadsheets/d/1fpsE_0655xguD48cGK6n1ZqSLnI-tw9aHzhbPM9kZ-k/edit#gid=0"", ""Monitoring Summary!E:E""),MATCH(D241,IMPORTRANGE(""https://docs.google.com/spreadsheets/d/1fpsE_0655xguD48cGK6n1ZqSLnI-tw9aHzhb"&amp;"PM9kZ-k/edit#gid=0"", ""Monitoring Summary!C:C""),0)),""Not Monitored"")"),0.0)</f>
        <v>0</v>
      </c>
      <c r="AG241" s="264">
        <f t="shared" si="1"/>
        <v>0</v>
      </c>
      <c r="AH241" s="265" t="s">
        <v>842</v>
      </c>
    </row>
    <row r="242">
      <c r="A242" s="624">
        <v>2022.0</v>
      </c>
      <c r="B242" s="625">
        <v>44726.0</v>
      </c>
      <c r="C242" s="624" t="s">
        <v>843</v>
      </c>
      <c r="D242" s="624" t="s">
        <v>844</v>
      </c>
      <c r="E242" s="624" t="s">
        <v>170</v>
      </c>
      <c r="F242" s="624" t="s">
        <v>161</v>
      </c>
      <c r="G242" s="624" t="s">
        <v>65</v>
      </c>
      <c r="H242" s="624">
        <v>500.0</v>
      </c>
      <c r="I242" s="624" t="s">
        <v>517</v>
      </c>
      <c r="J242" s="651">
        <v>24.48972</v>
      </c>
      <c r="K242" s="651">
        <v>-81.67159</v>
      </c>
      <c r="L242" s="624"/>
      <c r="M242" s="593">
        <v>44755.0</v>
      </c>
      <c r="N242" s="567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96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96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96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96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95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294">
        <v>45071.0</v>
      </c>
      <c r="U242" s="569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298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298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627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290"/>
      <c r="Z242" s="300"/>
      <c r="AA242" s="650"/>
      <c r="AB242" s="290"/>
      <c r="AC242" s="300"/>
      <c r="AD242" s="301"/>
      <c r="AE242" s="262">
        <f>IFERROR(__xludf.DUMMYFUNCTION("IFERROR(INDEX(IMPORTRANGE(""https://docs.google.com/spreadsheets/d/1fpsE_0655xguD48cGK6n1ZqSLnI-tw9aHzhbPM9kZ-k/edit#gid=0"", ""Monitoring Summary!B:B""),MATCH(D242,IMPORTRANGE(""https://docs.google.com/spreadsheets/d/1fpsE_0655xguD48cGK6n1ZqSLnI-tw9aHzhb"&amp;"PM9kZ-k/edit#gid=0"", ""Monitoring Summary!C:C""),0)),""Not Monitored"")"),45240.0)</f>
        <v>45240</v>
      </c>
      <c r="AF242" s="263">
        <f>IFERROR(__xludf.DUMMYFUNCTION("IFERROR(INDEX(IMPORTRANGE(""https://docs.google.com/spreadsheets/d/1fpsE_0655xguD48cGK6n1ZqSLnI-tw9aHzhbPM9kZ-k/edit#gid=0"", ""Monitoring Summary!E:E""),MATCH(D242,IMPORTRANGE(""https://docs.google.com/spreadsheets/d/1fpsE_0655xguD48cGK6n1ZqSLnI-tw9aHzhb"&amp;"PM9kZ-k/edit#gid=0"", ""Monitoring Summary!C:C""),0)),""Not Monitored"")"),0.0)</f>
        <v>0</v>
      </c>
      <c r="AG242" s="264">
        <f t="shared" si="1"/>
        <v>0</v>
      </c>
      <c r="AH242" s="265" t="s">
        <v>845</v>
      </c>
    </row>
    <row r="243">
      <c r="A243" s="634">
        <v>2022.0</v>
      </c>
      <c r="B243" s="635">
        <v>44732.0</v>
      </c>
      <c r="C243" s="634" t="s">
        <v>614</v>
      </c>
      <c r="D243" s="634" t="s">
        <v>846</v>
      </c>
      <c r="E243" s="634" t="s">
        <v>170</v>
      </c>
      <c r="F243" s="634" t="s">
        <v>161</v>
      </c>
      <c r="G243" s="634" t="s">
        <v>69</v>
      </c>
      <c r="H243" s="634">
        <v>500.0</v>
      </c>
      <c r="I243" s="634" t="s">
        <v>459</v>
      </c>
      <c r="J243" s="647">
        <v>24.51765</v>
      </c>
      <c r="K243" s="647">
        <v>-81.54155</v>
      </c>
      <c r="L243" s="634"/>
      <c r="M243" s="593">
        <v>44761.0</v>
      </c>
      <c r="N243" s="567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96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96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96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96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95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294">
        <v>45072.0</v>
      </c>
      <c r="U243" s="569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298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298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627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290"/>
      <c r="Z243" s="300"/>
      <c r="AA243" s="650"/>
      <c r="AB243" s="290"/>
      <c r="AC243" s="300"/>
      <c r="AD243" s="301"/>
      <c r="AE243" s="262">
        <f>IFERROR(__xludf.DUMMYFUNCTION("IFERROR(INDEX(IMPORTRANGE(""https://docs.google.com/spreadsheets/d/1fpsE_0655xguD48cGK6n1ZqSLnI-tw9aHzhbPM9kZ-k/edit#gid=0"", ""Monitoring Summary!B:B""),MATCH(D243,IMPORTRANGE(""https://docs.google.com/spreadsheets/d/1fpsE_0655xguD48cGK6n1ZqSLnI-tw9aHzhb"&amp;"PM9kZ-k/edit#gid=0"", ""Monitoring Summary!C:C""),0)),""Not Monitored"")"),45264.0)</f>
        <v>45264</v>
      </c>
      <c r="AF243" s="263">
        <f>IFERROR(__xludf.DUMMYFUNCTION("IFERROR(INDEX(IMPORTRANGE(""https://docs.google.com/spreadsheets/d/1fpsE_0655xguD48cGK6n1ZqSLnI-tw9aHzhbPM9kZ-k/edit#gid=0"", ""Monitoring Summary!E:E""),MATCH(D243,IMPORTRANGE(""https://docs.google.com/spreadsheets/d/1fpsE_0655xguD48cGK6n1ZqSLnI-tw9aHzhb"&amp;"PM9kZ-k/edit#gid=0"", ""Monitoring Summary!C:C""),0)),""Not Monitored"")"),0.0)</f>
        <v>0</v>
      </c>
      <c r="AG243" s="264">
        <f t="shared" si="1"/>
        <v>0</v>
      </c>
      <c r="AH243" s="265" t="s">
        <v>847</v>
      </c>
    </row>
    <row r="244">
      <c r="A244" s="624">
        <v>2022.0</v>
      </c>
      <c r="B244" s="625">
        <v>44735.0</v>
      </c>
      <c r="C244" s="624" t="s">
        <v>168</v>
      </c>
      <c r="D244" s="624" t="s">
        <v>848</v>
      </c>
      <c r="E244" s="624" t="s">
        <v>170</v>
      </c>
      <c r="F244" s="624" t="s">
        <v>161</v>
      </c>
      <c r="G244" s="624" t="s">
        <v>65</v>
      </c>
      <c r="H244" s="624">
        <v>500.0</v>
      </c>
      <c r="I244" s="624" t="s">
        <v>849</v>
      </c>
      <c r="J244" s="651">
        <v>24.52318</v>
      </c>
      <c r="K244" s="651">
        <v>-81.51608</v>
      </c>
      <c r="L244" s="624"/>
      <c r="M244" s="593">
        <v>44769.0</v>
      </c>
      <c r="N244" s="567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96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96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96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96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95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294">
        <v>45072.0</v>
      </c>
      <c r="U244" s="569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298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298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627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290"/>
      <c r="Z244" s="300"/>
      <c r="AA244" s="650"/>
      <c r="AB244" s="290"/>
      <c r="AC244" s="300"/>
      <c r="AD244" s="301"/>
      <c r="AE244" s="262">
        <f>IFERROR(__xludf.DUMMYFUNCTION("IFERROR(INDEX(IMPORTRANGE(""https://docs.google.com/spreadsheets/d/1fpsE_0655xguD48cGK6n1ZqSLnI-tw9aHzhbPM9kZ-k/edit#gid=0"", ""Monitoring Summary!B:B""),MATCH(D244,IMPORTRANGE(""https://docs.google.com/spreadsheets/d/1fpsE_0655xguD48cGK6n1ZqSLnI-tw9aHzhb"&amp;"PM9kZ-k/edit#gid=0"", ""Monitoring Summary!C:C""),0)),""Not Monitored"")"),45264.0)</f>
        <v>45264</v>
      </c>
      <c r="AF244" s="263">
        <f>IFERROR(__xludf.DUMMYFUNCTION("IFERROR(INDEX(IMPORTRANGE(""https://docs.google.com/spreadsheets/d/1fpsE_0655xguD48cGK6n1ZqSLnI-tw9aHzhbPM9kZ-k/edit#gid=0"", ""Monitoring Summary!E:E""),MATCH(D244,IMPORTRANGE(""https://docs.google.com/spreadsheets/d/1fpsE_0655xguD48cGK6n1ZqSLnI-tw9aHzhb"&amp;"PM9kZ-k/edit#gid=0"", ""Monitoring Summary!C:C""),0)),""Not Monitored"")"),0.0)</f>
        <v>0</v>
      </c>
      <c r="AG244" s="264">
        <f t="shared" si="1"/>
        <v>0</v>
      </c>
      <c r="AH244" s="265" t="s">
        <v>850</v>
      </c>
    </row>
    <row r="245">
      <c r="A245" s="652">
        <v>2022.0</v>
      </c>
      <c r="B245" s="653">
        <v>44739.0</v>
      </c>
      <c r="C245" s="652" t="s">
        <v>851</v>
      </c>
      <c r="D245" s="652" t="s">
        <v>852</v>
      </c>
      <c r="E245" s="652" t="s">
        <v>170</v>
      </c>
      <c r="F245" s="652" t="s">
        <v>161</v>
      </c>
      <c r="G245" s="652" t="s">
        <v>69</v>
      </c>
      <c r="H245" s="652">
        <v>500.0</v>
      </c>
      <c r="I245" s="652" t="s">
        <v>517</v>
      </c>
      <c r="J245" s="654">
        <v>24.44882</v>
      </c>
      <c r="K245" s="654">
        <v>-81.90517</v>
      </c>
      <c r="L245" s="652"/>
      <c r="M245" s="607">
        <v>44775.0</v>
      </c>
      <c r="N245" s="575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56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56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56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56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55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271">
        <v>45112.0</v>
      </c>
      <c r="U245" s="576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258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258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40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50"/>
      <c r="Z245" s="260"/>
      <c r="AA245" s="655"/>
      <c r="AB245" s="250"/>
      <c r="AC245" s="260"/>
      <c r="AD245" s="261"/>
      <c r="AE245" s="262">
        <f>IFERROR(__xludf.DUMMYFUNCTION("IFERROR(INDEX(IMPORTRANGE(""https://docs.google.com/spreadsheets/d/1fpsE_0655xguD48cGK6n1ZqSLnI-tw9aHzhbPM9kZ-k/edit#gid=0"", ""Monitoring Summary!B:B""),MATCH(D245,IMPORTRANGE(""https://docs.google.com/spreadsheets/d/1fpsE_0655xguD48cGK6n1ZqSLnI-tw9aHzhb"&amp;"PM9kZ-k/edit#gid=0"", ""Monitoring Summary!C:C""),0)),""Not Monitored"")"),45307.0)</f>
        <v>45307</v>
      </c>
      <c r="AF245" s="263">
        <f>IFERROR(__xludf.DUMMYFUNCTION("IFERROR(INDEX(IMPORTRANGE(""https://docs.google.com/spreadsheets/d/1fpsE_0655xguD48cGK6n1ZqSLnI-tw9aHzhbPM9kZ-k/edit#gid=0"", ""Monitoring Summary!E:E""),MATCH(D245,IMPORTRANGE(""https://docs.google.com/spreadsheets/d/1fpsE_0655xguD48cGK6n1ZqSLnI-tw9aHzhb"&amp;"PM9kZ-k/edit#gid=0"", ""Monitoring Summary!C:C""),0)),""Not Monitored"")"),2.0)</f>
        <v>2</v>
      </c>
      <c r="AG245" s="264">
        <f t="shared" si="1"/>
        <v>0.004</v>
      </c>
      <c r="AH245" s="265" t="s">
        <v>853</v>
      </c>
    </row>
    <row r="246">
      <c r="A246" s="624">
        <v>2022.0</v>
      </c>
      <c r="B246" s="625">
        <v>44761.0</v>
      </c>
      <c r="C246" s="624" t="s">
        <v>577</v>
      </c>
      <c r="D246" s="624" t="s">
        <v>854</v>
      </c>
      <c r="E246" s="624" t="s">
        <v>170</v>
      </c>
      <c r="F246" s="624" t="s">
        <v>161</v>
      </c>
      <c r="G246" s="624" t="s">
        <v>65</v>
      </c>
      <c r="H246" s="624">
        <v>500.0</v>
      </c>
      <c r="I246" s="624" t="s">
        <v>652</v>
      </c>
      <c r="J246" s="651">
        <v>24.52645</v>
      </c>
      <c r="K246" s="651">
        <v>-81.50198</v>
      </c>
      <c r="L246" s="624"/>
      <c r="M246" s="593">
        <v>44797.0</v>
      </c>
      <c r="N246" s="567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96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96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96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96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95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294">
        <v>45100.0</v>
      </c>
      <c r="U246" s="569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298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298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627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290"/>
      <c r="Z246" s="300"/>
      <c r="AA246" s="650"/>
      <c r="AB246" s="290"/>
      <c r="AC246" s="300"/>
      <c r="AD246" s="301"/>
      <c r="AE246" s="262">
        <f>IFERROR(__xludf.DUMMYFUNCTION("IFERROR(INDEX(IMPORTRANGE(""https://docs.google.com/spreadsheets/d/1fpsE_0655xguD48cGK6n1ZqSLnI-tw9aHzhbPM9kZ-k/edit#gid=0"", ""Monitoring Summary!B:B""),MATCH(D246,IMPORTRANGE(""https://docs.google.com/spreadsheets/d/1fpsE_0655xguD48cGK6n1ZqSLnI-tw9aHzhb"&amp;"PM9kZ-k/edit#gid=0"", ""Monitoring Summary!C:C""),0)),""Not Monitored"")"),45264.0)</f>
        <v>45264</v>
      </c>
      <c r="AF246" s="263">
        <f>IFERROR(__xludf.DUMMYFUNCTION("IFERROR(INDEX(IMPORTRANGE(""https://docs.google.com/spreadsheets/d/1fpsE_0655xguD48cGK6n1ZqSLnI-tw9aHzhbPM9kZ-k/edit#gid=0"", ""Monitoring Summary!E:E""),MATCH(D246,IMPORTRANGE(""https://docs.google.com/spreadsheets/d/1fpsE_0655xguD48cGK6n1ZqSLnI-tw9aHzhb"&amp;"PM9kZ-k/edit#gid=0"", ""Monitoring Summary!C:C""),0)),""Not Monitored"")"),0.0)</f>
        <v>0</v>
      </c>
      <c r="AG246" s="264">
        <f t="shared" si="1"/>
        <v>0</v>
      </c>
      <c r="AH246" s="265" t="s">
        <v>855</v>
      </c>
    </row>
    <row r="247">
      <c r="A247" s="656">
        <v>2022.0</v>
      </c>
      <c r="B247" s="657">
        <v>44775.0</v>
      </c>
      <c r="C247" s="656" t="s">
        <v>268</v>
      </c>
      <c r="D247" s="656" t="s">
        <v>856</v>
      </c>
      <c r="E247" s="656" t="s">
        <v>170</v>
      </c>
      <c r="F247" s="656" t="s">
        <v>161</v>
      </c>
      <c r="G247" s="656" t="s">
        <v>65</v>
      </c>
      <c r="H247" s="656">
        <v>300.0</v>
      </c>
      <c r="I247" s="656" t="s">
        <v>857</v>
      </c>
      <c r="J247" s="658">
        <v>24.45267</v>
      </c>
      <c r="K247" s="658">
        <v>-81.87402</v>
      </c>
      <c r="L247" s="659"/>
      <c r="M247" s="607">
        <v>44812.0</v>
      </c>
      <c r="N247" s="575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56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56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56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56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55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271">
        <v>45112.0</v>
      </c>
      <c r="U247" s="576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258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258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40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50"/>
      <c r="Z247" s="260"/>
      <c r="AA247" s="655"/>
      <c r="AB247" s="250"/>
      <c r="AC247" s="260"/>
      <c r="AD247" s="261"/>
      <c r="AE247" s="262" t="str">
        <f>IFERROR(__xludf.DUMMYFUNCTION("IFERROR(INDEX(IMPORTRANGE(""https://docs.google.com/spreadsheets/d/1fpsE_0655xguD48cGK6n1ZqSLnI-tw9aHzhbPM9kZ-k/edit#gid=0"", ""Monitoring Summary!B:B""),MATCH(D247,IMPORTRANGE(""https://docs.google.com/spreadsheets/d/1fpsE_0655xguD48cGK6n1ZqSLnI-tw9aHzhb"&amp;"PM9kZ-k/edit#gid=0"", ""Monitoring Summary!C:C""),0)),""Not Monitored"")"),"Not Monitored")</f>
        <v>Not Monitored</v>
      </c>
      <c r="AF247" s="263" t="str">
        <f>IFERROR(__xludf.DUMMYFUNCTION("IFERROR(INDEX(IMPORTRANGE(""https://docs.google.com/spreadsheets/d/1fpsE_0655xguD48cGK6n1ZqSLnI-tw9aHzhbPM9kZ-k/edit#gid=0"", ""Monitoring Summary!E:E""),MATCH(D247,IMPORTRANGE(""https://docs.google.com/spreadsheets/d/1fpsE_0655xguD48cGK6n1ZqSLnI-tw9aHzhb"&amp;"PM9kZ-k/edit#gid=0"", ""Monitoring Summary!C:C""),0)),""Not Monitored"")"),"Not Monitored")</f>
        <v>Not Monitored</v>
      </c>
      <c r="AG247" s="264" t="str">
        <f t="shared" si="1"/>
        <v>Not Monitored</v>
      </c>
      <c r="AH247" s="265" t="s">
        <v>858</v>
      </c>
    </row>
    <row r="248">
      <c r="A248" s="660">
        <v>2022.0</v>
      </c>
      <c r="B248" s="661">
        <v>44775.0</v>
      </c>
      <c r="C248" s="660" t="s">
        <v>268</v>
      </c>
      <c r="D248" s="660" t="s">
        <v>859</v>
      </c>
      <c r="E248" s="660" t="s">
        <v>170</v>
      </c>
      <c r="F248" s="660" t="s">
        <v>161</v>
      </c>
      <c r="G248" s="660" t="s">
        <v>73</v>
      </c>
      <c r="H248" s="660">
        <v>200.0</v>
      </c>
      <c r="I248" s="660" t="s">
        <v>860</v>
      </c>
      <c r="J248" s="649">
        <v>24.45267</v>
      </c>
      <c r="K248" s="649">
        <v>-81.87402</v>
      </c>
      <c r="L248" s="637"/>
      <c r="M248" s="607">
        <v>44812.0</v>
      </c>
      <c r="N248" s="575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56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56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56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56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55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271">
        <v>45112.0</v>
      </c>
      <c r="U248" s="576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258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258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40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250"/>
      <c r="Z248" s="260"/>
      <c r="AA248" s="655"/>
      <c r="AB248" s="250"/>
      <c r="AC248" s="260"/>
      <c r="AD248" s="261"/>
      <c r="AE248" s="262" t="str">
        <f>IFERROR(__xludf.DUMMYFUNCTION("IFERROR(INDEX(IMPORTRANGE(""https://docs.google.com/spreadsheets/d/1fpsE_0655xguD48cGK6n1ZqSLnI-tw9aHzhbPM9kZ-k/edit#gid=0"", ""Monitoring Summary!B:B""),MATCH(D248,IMPORTRANGE(""https://docs.google.com/spreadsheets/d/1fpsE_0655xguD48cGK6n1ZqSLnI-tw9aHzhb"&amp;"PM9kZ-k/edit#gid=0"", ""Monitoring Summary!C:C""),0)),""Not Monitored"")"),"Not Monitored")</f>
        <v>Not Monitored</v>
      </c>
      <c r="AF248" s="263" t="str">
        <f>IFERROR(__xludf.DUMMYFUNCTION("IFERROR(INDEX(IMPORTRANGE(""https://docs.google.com/spreadsheets/d/1fpsE_0655xguD48cGK6n1ZqSLnI-tw9aHzhbPM9kZ-k/edit#gid=0"", ""Monitoring Summary!E:E""),MATCH(D248,IMPORTRANGE(""https://docs.google.com/spreadsheets/d/1fpsE_0655xguD48cGK6n1ZqSLnI-tw9aHzhb"&amp;"PM9kZ-k/edit#gid=0"", ""Monitoring Summary!C:C""),0)),""Not Monitored"")"),"Not Monitored")</f>
        <v>Not Monitored</v>
      </c>
      <c r="AG248" s="264" t="str">
        <f t="shared" si="1"/>
        <v>Not Monitored</v>
      </c>
      <c r="AH248" s="265" t="s">
        <v>861</v>
      </c>
    </row>
    <row r="249">
      <c r="A249" s="662">
        <v>2022.0</v>
      </c>
      <c r="B249" s="663">
        <v>44778.0</v>
      </c>
      <c r="C249" s="662" t="s">
        <v>586</v>
      </c>
      <c r="D249" s="662" t="s">
        <v>862</v>
      </c>
      <c r="E249" s="662" t="s">
        <v>170</v>
      </c>
      <c r="F249" s="662" t="s">
        <v>161</v>
      </c>
      <c r="G249" s="633" t="s">
        <v>73</v>
      </c>
      <c r="H249" s="662">
        <v>500.0</v>
      </c>
      <c r="I249" s="662" t="s">
        <v>755</v>
      </c>
      <c r="J249" s="648">
        <v>24.53483</v>
      </c>
      <c r="K249" s="648">
        <v>-81.47087</v>
      </c>
      <c r="L249" s="662"/>
      <c r="M249" s="371">
        <v>44812.0</v>
      </c>
      <c r="N249" s="567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96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96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96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96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95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294">
        <v>45110.0</v>
      </c>
      <c r="U249" s="569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298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298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627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290"/>
      <c r="Z249" s="300"/>
      <c r="AA249" s="650"/>
      <c r="AB249" s="290"/>
      <c r="AC249" s="300"/>
      <c r="AD249" s="301"/>
      <c r="AE249" s="262">
        <f>IFERROR(__xludf.DUMMYFUNCTION("IFERROR(INDEX(IMPORTRANGE(""https://docs.google.com/spreadsheets/d/1fpsE_0655xguD48cGK6n1ZqSLnI-tw9aHzhbPM9kZ-k/edit#gid=0"", ""Monitoring Summary!B:B""),MATCH(D249,IMPORTRANGE(""https://docs.google.com/spreadsheets/d/1fpsE_0655xguD48cGK6n1ZqSLnI-tw9aHzhb"&amp;"PM9kZ-k/edit#gid=0"", ""Monitoring Summary!C:C""),0)),""Not Monitored"")"),45247.0)</f>
        <v>45247</v>
      </c>
      <c r="AF249" s="263">
        <f>IFERROR(__xludf.DUMMYFUNCTION("IFERROR(INDEX(IMPORTRANGE(""https://docs.google.com/spreadsheets/d/1fpsE_0655xguD48cGK6n1ZqSLnI-tw9aHzhbPM9kZ-k/edit#gid=0"", ""Monitoring Summary!E:E""),MATCH(D249,IMPORTRANGE(""https://docs.google.com/spreadsheets/d/1fpsE_0655xguD48cGK6n1ZqSLnI-tw9aHzhb"&amp;"PM9kZ-k/edit#gid=0"", ""Monitoring Summary!C:C""),0)),""Not Monitored"")"),0.0)</f>
        <v>0</v>
      </c>
      <c r="AG249" s="264">
        <f t="shared" si="1"/>
        <v>0</v>
      </c>
      <c r="AH249" s="265" t="s">
        <v>863</v>
      </c>
    </row>
    <row r="250">
      <c r="A250" s="662">
        <v>2022.0</v>
      </c>
      <c r="B250" s="663">
        <v>44788.0</v>
      </c>
      <c r="C250" s="662" t="s">
        <v>809</v>
      </c>
      <c r="D250" s="662" t="s">
        <v>864</v>
      </c>
      <c r="E250" s="662" t="s">
        <v>170</v>
      </c>
      <c r="F250" s="662" t="s">
        <v>161</v>
      </c>
      <c r="G250" s="633" t="s">
        <v>73</v>
      </c>
      <c r="H250" s="662">
        <v>500.0</v>
      </c>
      <c r="I250" s="662" t="s">
        <v>290</v>
      </c>
      <c r="J250" s="648">
        <v>24.50669</v>
      </c>
      <c r="K250" s="648">
        <v>-81.58997</v>
      </c>
      <c r="L250" s="662" t="s">
        <v>865</v>
      </c>
      <c r="M250" s="371">
        <v>44819.0</v>
      </c>
      <c r="N250" s="567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96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96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96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96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95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294">
        <v>45128.0</v>
      </c>
      <c r="U250" s="569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298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298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627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290"/>
      <c r="Z250" s="300"/>
      <c r="AA250" s="650"/>
      <c r="AB250" s="290"/>
      <c r="AC250" s="300"/>
      <c r="AD250" s="301"/>
      <c r="AE250" s="262">
        <f>IFERROR(__xludf.DUMMYFUNCTION("IFERROR(INDEX(IMPORTRANGE(""https://docs.google.com/spreadsheets/d/1fpsE_0655xguD48cGK6n1ZqSLnI-tw9aHzhbPM9kZ-k/edit#gid=0"", ""Monitoring Summary!B:B""),MATCH(D250,IMPORTRANGE(""https://docs.google.com/spreadsheets/d/1fpsE_0655xguD48cGK6n1ZqSLnI-tw9aHzhb"&amp;"PM9kZ-k/edit#gid=0"", ""Monitoring Summary!C:C""),0)),""Not Monitored"")"),45240.0)</f>
        <v>45240</v>
      </c>
      <c r="AF250" s="263">
        <f>IFERROR(__xludf.DUMMYFUNCTION("IFERROR(INDEX(IMPORTRANGE(""https://docs.google.com/spreadsheets/d/1fpsE_0655xguD48cGK6n1ZqSLnI-tw9aHzhbPM9kZ-k/edit#gid=0"", ""Monitoring Summary!E:E""),MATCH(D250,IMPORTRANGE(""https://docs.google.com/spreadsheets/d/1fpsE_0655xguD48cGK6n1ZqSLnI-tw9aHzhb"&amp;"PM9kZ-k/edit#gid=0"", ""Monitoring Summary!C:C""),0)),""Not Monitored"")"),0.0)</f>
        <v>0</v>
      </c>
      <c r="AG250" s="264">
        <f t="shared" si="1"/>
        <v>0</v>
      </c>
      <c r="AH250" s="265" t="s">
        <v>866</v>
      </c>
    </row>
    <row r="251">
      <c r="A251" s="664">
        <v>2022.0</v>
      </c>
      <c r="B251" s="665">
        <v>44791.0</v>
      </c>
      <c r="C251" s="664" t="s">
        <v>292</v>
      </c>
      <c r="D251" s="664" t="s">
        <v>867</v>
      </c>
      <c r="E251" s="664" t="s">
        <v>170</v>
      </c>
      <c r="F251" s="664" t="s">
        <v>161</v>
      </c>
      <c r="G251" s="664" t="s">
        <v>71</v>
      </c>
      <c r="H251" s="664">
        <v>500.0</v>
      </c>
      <c r="I251" s="664" t="s">
        <v>868</v>
      </c>
      <c r="J251" s="666">
        <v>24.45919</v>
      </c>
      <c r="K251" s="666">
        <v>-81.84537</v>
      </c>
      <c r="L251" s="664"/>
      <c r="M251" s="371">
        <v>44827.0</v>
      </c>
      <c r="N251" s="567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96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96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96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96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95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294">
        <v>45127.0</v>
      </c>
      <c r="U251" s="569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298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298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627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67">
        <v>45293.0</v>
      </c>
      <c r="Z251" s="300"/>
      <c r="AA251" s="650"/>
      <c r="AB251" s="290"/>
      <c r="AC251" s="300"/>
      <c r="AD251" s="301"/>
      <c r="AE251" s="262">
        <f>IFERROR(__xludf.DUMMYFUNCTION("IFERROR(INDEX(IMPORTRANGE(""https://docs.google.com/spreadsheets/d/1fpsE_0655xguD48cGK6n1ZqSLnI-tw9aHzhbPM9kZ-k/edit#gid=0"", ""Monitoring Summary!B:B""),MATCH(D251,IMPORTRANGE(""https://docs.google.com/spreadsheets/d/1fpsE_0655xguD48cGK6n1ZqSLnI-tw9aHzhb"&amp;"PM9kZ-k/edit#gid=0"", ""Monitoring Summary!C:C""),0)),""Not Monitored"")"),45293.0)</f>
        <v>45293</v>
      </c>
      <c r="AF251" s="263">
        <f>IFERROR(__xludf.DUMMYFUNCTION("IFERROR(INDEX(IMPORTRANGE(""https://docs.google.com/spreadsheets/d/1fpsE_0655xguD48cGK6n1ZqSLnI-tw9aHzhbPM9kZ-k/edit#gid=0"", ""Monitoring Summary!E:E""),MATCH(D251,IMPORTRANGE(""https://docs.google.com/spreadsheets/d/1fpsE_0655xguD48cGK6n1ZqSLnI-tw9aHzhb"&amp;"PM9kZ-k/edit#gid=0"", ""Monitoring Summary!C:C""),0)),""Not Monitored"")"),0.0)</f>
        <v>0</v>
      </c>
      <c r="AG251" s="264">
        <f t="shared" si="1"/>
        <v>0</v>
      </c>
      <c r="AH251" s="265" t="s">
        <v>869</v>
      </c>
    </row>
    <row r="252">
      <c r="A252" s="359">
        <v>2022.0</v>
      </c>
      <c r="B252" s="668">
        <v>44848.0</v>
      </c>
      <c r="C252" s="359" t="s">
        <v>327</v>
      </c>
      <c r="D252" s="359" t="s">
        <v>870</v>
      </c>
      <c r="E252" s="359" t="s">
        <v>170</v>
      </c>
      <c r="F252" s="359" t="s">
        <v>146</v>
      </c>
      <c r="G252" s="359" t="s">
        <v>74</v>
      </c>
      <c r="H252" s="359">
        <v>100.0</v>
      </c>
      <c r="I252" s="359" t="s">
        <v>871</v>
      </c>
      <c r="J252" s="669">
        <v>24.54672</v>
      </c>
      <c r="K252" s="669">
        <v>-81.40159</v>
      </c>
      <c r="L252" s="359" t="s">
        <v>872</v>
      </c>
      <c r="M252" s="360">
        <v>44876.0</v>
      </c>
      <c r="N252" s="575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56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56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56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56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55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271">
        <v>45205.0</v>
      </c>
      <c r="U252" s="576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258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258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40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50"/>
      <c r="Z252" s="260"/>
      <c r="AA252" s="655"/>
      <c r="AB252" s="250"/>
      <c r="AC252" s="260"/>
      <c r="AD252" s="261"/>
      <c r="AE252" s="262">
        <f>IFERROR(__xludf.DUMMYFUNCTION("IFERROR(INDEX(IMPORTRANGE(""https://docs.google.com/spreadsheets/d/1fpsE_0655xguD48cGK6n1ZqSLnI-tw9aHzhbPM9kZ-k/edit#gid=0"", ""Monitoring Summary!B:B""),MATCH(D252,IMPORTRANGE(""https://docs.google.com/spreadsheets/d/1fpsE_0655xguD48cGK6n1ZqSLnI-tw9aHzhb"&amp;"PM9kZ-k/edit#gid=0"", ""Monitoring Summary!C:C""),0)),""Not Monitored"")"),45216.0)</f>
        <v>45216</v>
      </c>
      <c r="AF252" s="263">
        <f>IFERROR(__xludf.DUMMYFUNCTION("IFERROR(INDEX(IMPORTRANGE(""https://docs.google.com/spreadsheets/d/1fpsE_0655xguD48cGK6n1ZqSLnI-tw9aHzhbPM9kZ-k/edit#gid=0"", ""Monitoring Summary!E:E""),MATCH(D252,IMPORTRANGE(""https://docs.google.com/spreadsheets/d/1fpsE_0655xguD48cGK6n1ZqSLnI-tw9aHzhb"&amp;"PM9kZ-k/edit#gid=0"", ""Monitoring Summary!C:C""),0)),""Not Monitored"")"),4.0)</f>
        <v>4</v>
      </c>
      <c r="AG252" s="264">
        <f t="shared" si="1"/>
        <v>0.04</v>
      </c>
      <c r="AH252" s="265" t="s">
        <v>873</v>
      </c>
    </row>
    <row r="253">
      <c r="A253" s="352">
        <v>2022.0</v>
      </c>
      <c r="B253" s="670">
        <v>44849.0</v>
      </c>
      <c r="C253" s="352" t="s">
        <v>428</v>
      </c>
      <c r="D253" s="352" t="s">
        <v>874</v>
      </c>
      <c r="E253" s="352" t="s">
        <v>170</v>
      </c>
      <c r="F253" s="352" t="s">
        <v>146</v>
      </c>
      <c r="G253" s="352" t="s">
        <v>74</v>
      </c>
      <c r="H253" s="352">
        <v>100.0</v>
      </c>
      <c r="I253" s="352" t="s">
        <v>875</v>
      </c>
      <c r="J253" s="671">
        <v>24.53154</v>
      </c>
      <c r="K253" s="671">
        <v>-81.48356</v>
      </c>
      <c r="L253" s="352" t="s">
        <v>872</v>
      </c>
      <c r="M253" s="371">
        <v>44876.0</v>
      </c>
      <c r="N253" s="567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96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96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96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96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95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294">
        <v>45205.0</v>
      </c>
      <c r="U253" s="569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298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298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627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290"/>
      <c r="Z253" s="300"/>
      <c r="AA253" s="650"/>
      <c r="AB253" s="290"/>
      <c r="AC253" s="300"/>
      <c r="AD253" s="301"/>
      <c r="AE253" s="305" t="str">
        <f>IFERROR(__xludf.DUMMYFUNCTION("IFERROR(INDEX(IMPORTRANGE(""https://docs.google.com/spreadsheets/d/1fpsE_0655xguD48cGK6n1ZqSLnI-tw9aHzhbPM9kZ-k/edit#gid=0"", ""Monitoring Summary!B:B""),MATCH(D253,IMPORTRANGE(""https://docs.google.com/spreadsheets/d/1fpsE_0655xguD48cGK6n1ZqSLnI-tw9aHzhb"&amp;"PM9kZ-k/edit#gid=0"", ""Monitoring Summary!C:C""),0)),""Not Monitored"")"),"Not Monitored")</f>
        <v>Not Monitored</v>
      </c>
      <c r="AF253" s="343" t="str">
        <f>IFERROR(__xludf.DUMMYFUNCTION("IFERROR(INDEX(IMPORTRANGE(""https://docs.google.com/spreadsheets/d/1fpsE_0655xguD48cGK6n1ZqSLnI-tw9aHzhbPM9kZ-k/edit#gid=0"", ""Monitoring Summary!E:E""),MATCH(D253,IMPORTRANGE(""https://docs.google.com/spreadsheets/d/1fpsE_0655xguD48cGK6n1ZqSLnI-tw9aHzhb"&amp;"PM9kZ-k/edit#gid=0"", ""Monitoring Summary!C:C""),0)),""Not Monitored"")"),"Not Monitored")</f>
        <v>Not Monitored</v>
      </c>
      <c r="AG253" s="382" t="str">
        <f t="shared" si="1"/>
        <v>Not Monitored</v>
      </c>
      <c r="AH253" s="265" t="s">
        <v>876</v>
      </c>
    </row>
    <row r="254">
      <c r="A254" s="672">
        <v>2022.0</v>
      </c>
      <c r="B254" s="673">
        <v>44858.0</v>
      </c>
      <c r="C254" s="672" t="s">
        <v>292</v>
      </c>
      <c r="D254" s="672" t="s">
        <v>877</v>
      </c>
      <c r="E254" s="672" t="s">
        <v>170</v>
      </c>
      <c r="F254" s="672" t="s">
        <v>161</v>
      </c>
      <c r="G254" s="672" t="s">
        <v>71</v>
      </c>
      <c r="H254" s="672">
        <v>250.0</v>
      </c>
      <c r="I254" s="672" t="s">
        <v>878</v>
      </c>
      <c r="J254" s="674">
        <v>24.45926</v>
      </c>
      <c r="K254" s="674">
        <v>-81.84601</v>
      </c>
      <c r="L254" s="672"/>
      <c r="M254" s="360">
        <v>44888.0</v>
      </c>
      <c r="N254" s="575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56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56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56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56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55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271">
        <v>45209.0</v>
      </c>
      <c r="U254" s="576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58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258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40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50"/>
      <c r="Z254" s="260"/>
      <c r="AA254" s="655"/>
      <c r="AB254" s="250"/>
      <c r="AC254" s="260"/>
      <c r="AD254" s="261"/>
      <c r="AE254" s="262">
        <f>IFERROR(__xludf.DUMMYFUNCTION("IFERROR(INDEX(IMPORTRANGE(""https://docs.google.com/spreadsheets/d/1fpsE_0655xguD48cGK6n1ZqSLnI-tw9aHzhbPM9kZ-k/edit#gid=0"", ""Monitoring Summary!B:B""),MATCH(D254,IMPORTRANGE(""https://docs.google.com/spreadsheets/d/1fpsE_0655xguD48cGK6n1ZqSLnI-tw9aHzhb"&amp;"PM9kZ-k/edit#gid=0"", ""Monitoring Summary!C:C""),0)),""Not Monitored"")"),45293.0)</f>
        <v>45293</v>
      </c>
      <c r="AF254" s="263">
        <f>IFERROR(__xludf.DUMMYFUNCTION("IFERROR(INDEX(IMPORTRANGE(""https://docs.google.com/spreadsheets/d/1fpsE_0655xguD48cGK6n1ZqSLnI-tw9aHzhbPM9kZ-k/edit#gid=0"", ""Monitoring Summary!E:E""),MATCH(D254,IMPORTRANGE(""https://docs.google.com/spreadsheets/d/1fpsE_0655xguD48cGK6n1ZqSLnI-tw9aHzhb"&amp;"PM9kZ-k/edit#gid=0"", ""Monitoring Summary!C:C""),0)),""Not Monitored"")"),2.0)</f>
        <v>2</v>
      </c>
      <c r="AG254" s="264">
        <f t="shared" si="1"/>
        <v>0.008</v>
      </c>
      <c r="AH254" s="265" t="s">
        <v>879</v>
      </c>
    </row>
    <row r="255">
      <c r="A255" s="664">
        <v>2022.0</v>
      </c>
      <c r="B255" s="665">
        <v>44860.0</v>
      </c>
      <c r="C255" s="664" t="s">
        <v>292</v>
      </c>
      <c r="D255" s="664" t="s">
        <v>880</v>
      </c>
      <c r="E255" s="664" t="s">
        <v>170</v>
      </c>
      <c r="F255" s="664" t="s">
        <v>161</v>
      </c>
      <c r="G255" s="664" t="s">
        <v>71</v>
      </c>
      <c r="H255" s="664">
        <v>700.0</v>
      </c>
      <c r="I255" s="664" t="s">
        <v>881</v>
      </c>
      <c r="J255" s="666">
        <v>24.45928</v>
      </c>
      <c r="K255" s="666">
        <v>-81.84263</v>
      </c>
      <c r="L255" s="675"/>
      <c r="M255" s="667">
        <v>44888.0</v>
      </c>
      <c r="N255" s="567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96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96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96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96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95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294">
        <v>45209.0</v>
      </c>
      <c r="U255" s="569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298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298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627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67">
        <v>45293.0</v>
      </c>
      <c r="Z255" s="300"/>
      <c r="AA255" s="650"/>
      <c r="AB255" s="290"/>
      <c r="AC255" s="300"/>
      <c r="AD255" s="301"/>
      <c r="AE255" s="262">
        <f>IFERROR(__xludf.DUMMYFUNCTION("IFERROR(INDEX(IMPORTRANGE(""https://docs.google.com/spreadsheets/d/1fpsE_0655xguD48cGK6n1ZqSLnI-tw9aHzhbPM9kZ-k/edit#gid=0"", ""Monitoring Summary!B:B""),MATCH(D255,IMPORTRANGE(""https://docs.google.com/spreadsheets/d/1fpsE_0655xguD48cGK6n1ZqSLnI-tw9aHzhb"&amp;"PM9kZ-k/edit#gid=0"", ""Monitoring Summary!C:C""),0)),""Not Monitored"")"),45293.0)</f>
        <v>45293</v>
      </c>
      <c r="AF255" s="263">
        <f>IFERROR(__xludf.DUMMYFUNCTION("IFERROR(INDEX(IMPORTRANGE(""https://docs.google.com/spreadsheets/d/1fpsE_0655xguD48cGK6n1ZqSLnI-tw9aHzhbPM9kZ-k/edit#gid=0"", ""Monitoring Summary!E:E""),MATCH(D255,IMPORTRANGE(""https://docs.google.com/spreadsheets/d/1fpsE_0655xguD48cGK6n1ZqSLnI-tw9aHzhb"&amp;"PM9kZ-k/edit#gid=0"", ""Monitoring Summary!C:C""),0)),""Not Monitored"")"),0.0)</f>
        <v>0</v>
      </c>
      <c r="AG255" s="264">
        <f t="shared" si="1"/>
        <v>0</v>
      </c>
      <c r="AH255" s="265" t="s">
        <v>882</v>
      </c>
    </row>
    <row r="256">
      <c r="A256" s="662">
        <v>2022.0</v>
      </c>
      <c r="B256" s="663">
        <v>44862.0</v>
      </c>
      <c r="C256" s="662" t="s">
        <v>318</v>
      </c>
      <c r="D256" s="662" t="s">
        <v>883</v>
      </c>
      <c r="E256" s="662" t="s">
        <v>170</v>
      </c>
      <c r="F256" s="662" t="s">
        <v>161</v>
      </c>
      <c r="G256" s="633" t="s">
        <v>73</v>
      </c>
      <c r="H256" s="662">
        <v>500.0</v>
      </c>
      <c r="I256" s="662" t="s">
        <v>884</v>
      </c>
      <c r="J256" s="648">
        <v>24.52485</v>
      </c>
      <c r="K256" s="648">
        <v>-81.50733</v>
      </c>
      <c r="L256" s="676"/>
      <c r="M256" s="667">
        <v>44895.0</v>
      </c>
      <c r="N256" s="567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96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96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96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96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95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294">
        <v>45264.0</v>
      </c>
      <c r="U256" s="569">
        <f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stats!C:C""),0))"),0.0)</f>
        <v>0</v>
      </c>
      <c r="V256" s="298">
        <f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stats!C3:C""),0))))"),1.0)</f>
        <v>1</v>
      </c>
      <c r="W256" s="298">
        <f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stats!C3:C""),0)))"),0.0)</f>
        <v>0</v>
      </c>
      <c r="X256" s="627">
        <f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stats!C3:C""),0))"),0.0)</f>
        <v>0</v>
      </c>
      <c r="Y256" s="290"/>
      <c r="Z256" s="300"/>
      <c r="AA256" s="650"/>
      <c r="AB256" s="290"/>
      <c r="AC256" s="300"/>
      <c r="AD256" s="301"/>
      <c r="AE256" s="262">
        <f>IFERROR(__xludf.DUMMYFUNCTION("IFERROR(INDEX(IMPORTRANGE(""https://docs.google.com/spreadsheets/d/1fpsE_0655xguD48cGK6n1ZqSLnI-tw9aHzhbPM9kZ-k/edit#gid=0"", ""Monitoring Summary!B:B""),MATCH(D256,IMPORTRANGE(""https://docs.google.com/spreadsheets/d/1fpsE_0655xguD48cGK6n1ZqSLnI-tw9aHzhb"&amp;"PM9kZ-k/edit#gid=0"", ""Monitoring Summary!C:C""),0)),""Not Monitored"")"),45264.0)</f>
        <v>45264</v>
      </c>
      <c r="AF256" s="263">
        <f>IFERROR(__xludf.DUMMYFUNCTION("IFERROR(INDEX(IMPORTRANGE(""https://docs.google.com/spreadsheets/d/1fpsE_0655xguD48cGK6n1ZqSLnI-tw9aHzhbPM9kZ-k/edit#gid=0"", ""Monitoring Summary!E:E""),MATCH(D256,IMPORTRANGE(""https://docs.google.com/spreadsheets/d/1fpsE_0655xguD48cGK6n1ZqSLnI-tw9aHzhb"&amp;"PM9kZ-k/edit#gid=0"", ""Monitoring Summary!C:C""),0)),""Not Monitored"")"),0.0)</f>
        <v>0</v>
      </c>
      <c r="AG256" s="264">
        <f t="shared" si="1"/>
        <v>0</v>
      </c>
      <c r="AH256" s="265" t="s">
        <v>885</v>
      </c>
    </row>
    <row r="257">
      <c r="A257" s="662">
        <v>2022.0</v>
      </c>
      <c r="B257" s="663">
        <v>44866.0</v>
      </c>
      <c r="C257" s="662" t="s">
        <v>345</v>
      </c>
      <c r="D257" s="662" t="s">
        <v>886</v>
      </c>
      <c r="E257" s="662" t="s">
        <v>170</v>
      </c>
      <c r="F257" s="662" t="s">
        <v>161</v>
      </c>
      <c r="G257" s="633" t="s">
        <v>73</v>
      </c>
      <c r="H257" s="662">
        <v>500.0</v>
      </c>
      <c r="I257" s="662" t="s">
        <v>299</v>
      </c>
      <c r="J257" s="648">
        <v>24.50942</v>
      </c>
      <c r="K257" s="648">
        <v>-81.57014</v>
      </c>
      <c r="L257" s="676"/>
      <c r="M257" s="667">
        <v>44895.0</v>
      </c>
      <c r="N257" s="567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96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96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96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96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95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294">
        <v>45264.0</v>
      </c>
      <c r="U257" s="569">
        <f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stats!C:C""),0))"),0.0)</f>
        <v>0</v>
      </c>
      <c r="V257" s="298">
        <f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stats!C3:C""),0))))"),1.0)</f>
        <v>1</v>
      </c>
      <c r="W257" s="298">
        <f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stats!C3:C""),0)))"),0.0)</f>
        <v>0</v>
      </c>
      <c r="X257" s="627">
        <f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stats!C3:C""),0))"),0.0)</f>
        <v>0</v>
      </c>
      <c r="Y257" s="290"/>
      <c r="Z257" s="300"/>
      <c r="AA257" s="650"/>
      <c r="AB257" s="290"/>
      <c r="AC257" s="300"/>
      <c r="AD257" s="301"/>
      <c r="AE257" s="262">
        <f>IFERROR(__xludf.DUMMYFUNCTION("IFERROR(INDEX(IMPORTRANGE(""https://docs.google.com/spreadsheets/d/1fpsE_0655xguD48cGK6n1ZqSLnI-tw9aHzhbPM9kZ-k/edit#gid=0"", ""Monitoring Summary!B:B""),MATCH(D257,IMPORTRANGE(""https://docs.google.com/spreadsheets/d/1fpsE_0655xguD48cGK6n1ZqSLnI-tw9aHzhb"&amp;"PM9kZ-k/edit#gid=0"", ""Monitoring Summary!C:C""),0)),""Not Monitored"")"),45264.0)</f>
        <v>45264</v>
      </c>
      <c r="AF257" s="263">
        <f>IFERROR(__xludf.DUMMYFUNCTION("IFERROR(INDEX(IMPORTRANGE(""https://docs.google.com/spreadsheets/d/1fpsE_0655xguD48cGK6n1ZqSLnI-tw9aHzhbPM9kZ-k/edit#gid=0"", ""Monitoring Summary!E:E""),MATCH(D257,IMPORTRANGE(""https://docs.google.com/spreadsheets/d/1fpsE_0655xguD48cGK6n1ZqSLnI-tw9aHzhb"&amp;"PM9kZ-k/edit#gid=0"", ""Monitoring Summary!C:C""),0)),""Not Monitored"")"),0.0)</f>
        <v>0</v>
      </c>
      <c r="AG257" s="264">
        <f t="shared" si="1"/>
        <v>0</v>
      </c>
      <c r="AH257" s="265" t="s">
        <v>887</v>
      </c>
    </row>
    <row r="258">
      <c r="A258" s="662">
        <v>2022.0</v>
      </c>
      <c r="B258" s="663">
        <v>44868.0</v>
      </c>
      <c r="C258" s="662" t="s">
        <v>275</v>
      </c>
      <c r="D258" s="662" t="s">
        <v>888</v>
      </c>
      <c r="E258" s="662" t="s">
        <v>170</v>
      </c>
      <c r="F258" s="662" t="s">
        <v>161</v>
      </c>
      <c r="G258" s="633" t="s">
        <v>73</v>
      </c>
      <c r="H258" s="662">
        <v>500.0</v>
      </c>
      <c r="I258" s="662" t="s">
        <v>742</v>
      </c>
      <c r="J258" s="648">
        <v>24.54138</v>
      </c>
      <c r="K258" s="648">
        <v>-81.43404</v>
      </c>
      <c r="L258" s="676"/>
      <c r="M258" s="667">
        <v>44895.0</v>
      </c>
      <c r="N258" s="567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96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96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96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96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95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294">
        <v>45239.0</v>
      </c>
      <c r="U258" s="569">
        <f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stats!C:C""),0))"),0.0)</f>
        <v>0</v>
      </c>
      <c r="V258" s="298">
        <f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stats!C3:C""),0))))"),1.0)</f>
        <v>1</v>
      </c>
      <c r="W258" s="298">
        <f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stats!C3:C""),0)))"),0.0)</f>
        <v>0</v>
      </c>
      <c r="X258" s="627">
        <f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stats!C3:C""),0))"),0.0)</f>
        <v>0</v>
      </c>
      <c r="Y258" s="290"/>
      <c r="Z258" s="300"/>
      <c r="AA258" s="650"/>
      <c r="AB258" s="290"/>
      <c r="AC258" s="300"/>
      <c r="AD258" s="301"/>
      <c r="AE258" s="262">
        <f>IFERROR(__xludf.DUMMYFUNCTION("IFERROR(INDEX(IMPORTRANGE(""https://docs.google.com/spreadsheets/d/1fpsE_0655xguD48cGK6n1ZqSLnI-tw9aHzhbPM9kZ-k/edit#gid=0"", ""Monitoring Summary!B:B""),MATCH(D258,IMPORTRANGE(""https://docs.google.com/spreadsheets/d/1fpsE_0655xguD48cGK6n1ZqSLnI-tw9aHzhb"&amp;"PM9kZ-k/edit#gid=0"", ""Monitoring Summary!C:C""),0)),""Not Monitored"")"),45239.0)</f>
        <v>45239</v>
      </c>
      <c r="AF258" s="263">
        <f>IFERROR(__xludf.DUMMYFUNCTION("IFERROR(INDEX(IMPORTRANGE(""https://docs.google.com/spreadsheets/d/1fpsE_0655xguD48cGK6n1ZqSLnI-tw9aHzhbPM9kZ-k/edit#gid=0"", ""Monitoring Summary!E:E""),MATCH(D258,IMPORTRANGE(""https://docs.google.com/spreadsheets/d/1fpsE_0655xguD48cGK6n1ZqSLnI-tw9aHzhb"&amp;"PM9kZ-k/edit#gid=0"", ""Monitoring Summary!C:C""),0)),""Not Monitored"")"),0.0)</f>
        <v>0</v>
      </c>
      <c r="AG258" s="264">
        <f t="shared" si="1"/>
        <v>0</v>
      </c>
      <c r="AH258" s="265" t="s">
        <v>889</v>
      </c>
    </row>
    <row r="259">
      <c r="A259" s="662">
        <v>2022.0</v>
      </c>
      <c r="B259" s="663">
        <v>44880.0</v>
      </c>
      <c r="C259" s="662" t="s">
        <v>614</v>
      </c>
      <c r="D259" s="662" t="s">
        <v>890</v>
      </c>
      <c r="E259" s="662" t="s">
        <v>170</v>
      </c>
      <c r="F259" s="662" t="s">
        <v>161</v>
      </c>
      <c r="G259" s="633" t="s">
        <v>73</v>
      </c>
      <c r="H259" s="662">
        <v>500.0</v>
      </c>
      <c r="I259" s="662" t="s">
        <v>568</v>
      </c>
      <c r="J259" s="677">
        <v>24.51796</v>
      </c>
      <c r="K259" s="677">
        <v>-81.54226</v>
      </c>
      <c r="L259" s="676"/>
      <c r="M259" s="667">
        <v>44911.0</v>
      </c>
      <c r="N259" s="567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96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96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96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96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95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294">
        <v>45264.0</v>
      </c>
      <c r="U259" s="569">
        <f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stats!C:C""),0))"),0.0)</f>
        <v>0</v>
      </c>
      <c r="V259" s="298">
        <f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stats!C3:C""),0))))"),1.0)</f>
        <v>1</v>
      </c>
      <c r="W259" s="298">
        <f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stats!C3:C""),0)))"),0.0)</f>
        <v>0</v>
      </c>
      <c r="X259" s="627">
        <f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stats!C3:C""),0))"),0.0)</f>
        <v>0</v>
      </c>
      <c r="Y259" s="290"/>
      <c r="Z259" s="300"/>
      <c r="AA259" s="650"/>
      <c r="AB259" s="290"/>
      <c r="AC259" s="300"/>
      <c r="AD259" s="301"/>
      <c r="AE259" s="262">
        <f>IFERROR(__xludf.DUMMYFUNCTION("IFERROR(INDEX(IMPORTRANGE(""https://docs.google.com/spreadsheets/d/1fpsE_0655xguD48cGK6n1ZqSLnI-tw9aHzhbPM9kZ-k/edit#gid=0"", ""Monitoring Summary!B:B""),MATCH(D259,IMPORTRANGE(""https://docs.google.com/spreadsheets/d/1fpsE_0655xguD48cGK6n1ZqSLnI-tw9aHzhb"&amp;"PM9kZ-k/edit#gid=0"", ""Monitoring Summary!C:C""),0)),""Not Monitored"")"),45264.0)</f>
        <v>45264</v>
      </c>
      <c r="AF259" s="263">
        <f>IFERROR(__xludf.DUMMYFUNCTION("IFERROR(INDEX(IMPORTRANGE(""https://docs.google.com/spreadsheets/d/1fpsE_0655xguD48cGK6n1ZqSLnI-tw9aHzhbPM9kZ-k/edit#gid=0"", ""Monitoring Summary!E:E""),MATCH(D259,IMPORTRANGE(""https://docs.google.com/spreadsheets/d/1fpsE_0655xguD48cGK6n1ZqSLnI-tw9aHzhb"&amp;"PM9kZ-k/edit#gid=0"", ""Monitoring Summary!C:C""),0)),""Not Monitored"")"),0.0)</f>
        <v>0</v>
      </c>
      <c r="AG259" s="264">
        <f t="shared" si="1"/>
        <v>0</v>
      </c>
      <c r="AH259" s="265" t="s">
        <v>891</v>
      </c>
    </row>
    <row r="260">
      <c r="A260" s="662">
        <v>2022.0</v>
      </c>
      <c r="B260" s="663">
        <v>44881.0</v>
      </c>
      <c r="C260" s="662" t="s">
        <v>428</v>
      </c>
      <c r="D260" s="662" t="s">
        <v>892</v>
      </c>
      <c r="E260" s="662" t="s">
        <v>170</v>
      </c>
      <c r="F260" s="662" t="s">
        <v>161</v>
      </c>
      <c r="G260" s="633" t="s">
        <v>73</v>
      </c>
      <c r="H260" s="662">
        <v>500.0</v>
      </c>
      <c r="I260" s="662" t="s">
        <v>612</v>
      </c>
      <c r="J260" s="677">
        <v>24.53051</v>
      </c>
      <c r="K260" s="677">
        <v>-81.48792</v>
      </c>
      <c r="L260" s="676"/>
      <c r="M260" s="667">
        <v>44911.0</v>
      </c>
      <c r="N260" s="567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96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96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96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96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95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294">
        <v>45258.0</v>
      </c>
      <c r="U260" s="569">
        <f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stats!C:C""),0))"),0.0)</f>
        <v>0</v>
      </c>
      <c r="V260" s="298">
        <f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stats!C3:C""),0))))"),1.0)</f>
        <v>1</v>
      </c>
      <c r="W260" s="298">
        <f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stats!C3:C""),0)))"),0.0)</f>
        <v>0</v>
      </c>
      <c r="X260" s="627">
        <f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stats!C3:C""),0))"),0.0)</f>
        <v>0</v>
      </c>
      <c r="Y260" s="290"/>
      <c r="Z260" s="300"/>
      <c r="AA260" s="650"/>
      <c r="AB260" s="290"/>
      <c r="AC260" s="300"/>
      <c r="AD260" s="301"/>
      <c r="AE260" s="262">
        <f>IFERROR(__xludf.DUMMYFUNCTION("IFERROR(INDEX(IMPORTRANGE(""https://docs.google.com/spreadsheets/d/1fpsE_0655xguD48cGK6n1ZqSLnI-tw9aHzhbPM9kZ-k/edit#gid=0"", ""Monitoring Summary!B:B""),MATCH(D260,IMPORTRANGE(""https://docs.google.com/spreadsheets/d/1fpsE_0655xguD48cGK6n1ZqSLnI-tw9aHzhb"&amp;"PM9kZ-k/edit#gid=0"", ""Monitoring Summary!C:C""),0)),""Not Monitored"")"),45258.0)</f>
        <v>45258</v>
      </c>
      <c r="AF260" s="263">
        <f>IFERROR(__xludf.DUMMYFUNCTION("IFERROR(INDEX(IMPORTRANGE(""https://docs.google.com/spreadsheets/d/1fpsE_0655xguD48cGK6n1ZqSLnI-tw9aHzhbPM9kZ-k/edit#gid=0"", ""Monitoring Summary!E:E""),MATCH(D260,IMPORTRANGE(""https://docs.google.com/spreadsheets/d/1fpsE_0655xguD48cGK6n1ZqSLnI-tw9aHzhb"&amp;"PM9kZ-k/edit#gid=0"", ""Monitoring Summary!C:C""),0)),""Not Monitored"")"),0.0)</f>
        <v>0</v>
      </c>
      <c r="AG260" s="264">
        <f t="shared" si="1"/>
        <v>0</v>
      </c>
      <c r="AH260" s="265" t="s">
        <v>893</v>
      </c>
    </row>
    <row r="261">
      <c r="A261" s="662">
        <v>2022.0</v>
      </c>
      <c r="B261" s="663">
        <v>44888.0</v>
      </c>
      <c r="C261" s="662" t="s">
        <v>894</v>
      </c>
      <c r="D261" s="662" t="s">
        <v>895</v>
      </c>
      <c r="E261" s="662" t="s">
        <v>170</v>
      </c>
      <c r="F261" s="662" t="s">
        <v>896</v>
      </c>
      <c r="G261" s="633" t="s">
        <v>73</v>
      </c>
      <c r="H261" s="662">
        <v>500.0</v>
      </c>
      <c r="I261" s="662" t="s">
        <v>517</v>
      </c>
      <c r="J261" s="677">
        <v>24.49538</v>
      </c>
      <c r="K261" s="677">
        <v>-81.64792</v>
      </c>
      <c r="L261" s="676"/>
      <c r="M261" s="667">
        <v>44916.0</v>
      </c>
      <c r="N261" s="567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96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96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96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96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95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294">
        <v>45240.0</v>
      </c>
      <c r="U261" s="569">
        <f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stats!C:C""),0))"),0.0)</f>
        <v>0</v>
      </c>
      <c r="V261" s="298">
        <f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stats!C3:C""),0))))"),1.0)</f>
        <v>1</v>
      </c>
      <c r="W261" s="298">
        <f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stats!C3:C""),0)))"),0.0)</f>
        <v>0</v>
      </c>
      <c r="X261" s="627">
        <f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stats!C3:C""),0))"),0.0)</f>
        <v>0</v>
      </c>
      <c r="Y261" s="290"/>
      <c r="Z261" s="300"/>
      <c r="AA261" s="650"/>
      <c r="AB261" s="290"/>
      <c r="AC261" s="300"/>
      <c r="AD261" s="301"/>
      <c r="AE261" s="262">
        <f>IFERROR(__xludf.DUMMYFUNCTION("IFERROR(INDEX(IMPORTRANGE(""https://docs.google.com/spreadsheets/d/1fpsE_0655xguD48cGK6n1ZqSLnI-tw9aHzhbPM9kZ-k/edit#gid=0"", ""Monitoring Summary!B:B""),MATCH(D261,IMPORTRANGE(""https://docs.google.com/spreadsheets/d/1fpsE_0655xguD48cGK6n1ZqSLnI-tw9aHzhb"&amp;"PM9kZ-k/edit#gid=0"", ""Monitoring Summary!C:C""),0)),""Not Monitored"")"),45240.0)</f>
        <v>45240</v>
      </c>
      <c r="AF261" s="263">
        <f>IFERROR(__xludf.DUMMYFUNCTION("IFERROR(INDEX(IMPORTRANGE(""https://docs.google.com/spreadsheets/d/1fpsE_0655xguD48cGK6n1ZqSLnI-tw9aHzhbPM9kZ-k/edit#gid=0"", ""Monitoring Summary!E:E""),MATCH(D261,IMPORTRANGE(""https://docs.google.com/spreadsheets/d/1fpsE_0655xguD48cGK6n1ZqSLnI-tw9aHzhb"&amp;"PM9kZ-k/edit#gid=0"", ""Monitoring Summary!C:C""),0)),""Not Monitored"")"),0.0)</f>
        <v>0</v>
      </c>
      <c r="AG261" s="264">
        <f t="shared" si="1"/>
        <v>0</v>
      </c>
      <c r="AH261" s="265" t="s">
        <v>897</v>
      </c>
    </row>
    <row r="262">
      <c r="A262" s="664">
        <v>2022.0</v>
      </c>
      <c r="B262" s="665">
        <v>44893.0</v>
      </c>
      <c r="C262" s="664" t="s">
        <v>292</v>
      </c>
      <c r="D262" s="664" t="s">
        <v>898</v>
      </c>
      <c r="E262" s="664" t="s">
        <v>170</v>
      </c>
      <c r="F262" s="664" t="s">
        <v>896</v>
      </c>
      <c r="G262" s="621" t="s">
        <v>71</v>
      </c>
      <c r="H262" s="664">
        <v>700.0</v>
      </c>
      <c r="I262" s="664" t="s">
        <v>899</v>
      </c>
      <c r="J262" s="598">
        <v>24.45907</v>
      </c>
      <c r="K262" s="598">
        <v>-81.84349</v>
      </c>
      <c r="L262" s="675"/>
      <c r="M262" s="667">
        <v>44916.0</v>
      </c>
      <c r="N262" s="567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96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96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96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96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95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294">
        <v>45294.0</v>
      </c>
      <c r="U262" s="569">
        <f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stats!C:C""),0))"),0.0)</f>
        <v>0</v>
      </c>
      <c r="V262" s="298">
        <f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stats!C3:C""),0))))"),1.0)</f>
        <v>1</v>
      </c>
      <c r="W262" s="298">
        <f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stats!C3:C""),0)))"),0.0)</f>
        <v>0</v>
      </c>
      <c r="X262" s="627">
        <f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stats!C3:C""),0))"),0.0)</f>
        <v>0</v>
      </c>
      <c r="Y262" s="667">
        <v>45294.0</v>
      </c>
      <c r="Z262" s="300"/>
      <c r="AA262" s="650"/>
      <c r="AB262" s="290"/>
      <c r="AC262" s="300"/>
      <c r="AD262" s="301"/>
      <c r="AE262" s="262">
        <f>IFERROR(__xludf.DUMMYFUNCTION("IFERROR(INDEX(IMPORTRANGE(""https://docs.google.com/spreadsheets/d/1fpsE_0655xguD48cGK6n1ZqSLnI-tw9aHzhbPM9kZ-k/edit#gid=0"", ""Monitoring Summary!B:B""),MATCH(D262,IMPORTRANGE(""https://docs.google.com/spreadsheets/d/1fpsE_0655xguD48cGK6n1ZqSLnI-tw9aHzhb"&amp;"PM9kZ-k/edit#gid=0"", ""Monitoring Summary!C:C""),0)),""Not Monitored"")"),45294.0)</f>
        <v>45294</v>
      </c>
      <c r="AF262" s="263">
        <f>IFERROR(__xludf.DUMMYFUNCTION("IFERROR(INDEX(IMPORTRANGE(""https://docs.google.com/spreadsheets/d/1fpsE_0655xguD48cGK6n1ZqSLnI-tw9aHzhbPM9kZ-k/edit#gid=0"", ""Monitoring Summary!E:E""),MATCH(D262,IMPORTRANGE(""https://docs.google.com/spreadsheets/d/1fpsE_0655xguD48cGK6n1ZqSLnI-tw9aHzhb"&amp;"PM9kZ-k/edit#gid=0"", ""Monitoring Summary!C:C""),0)),""Not Monitored"")"),0.0)</f>
        <v>0</v>
      </c>
      <c r="AG262" s="264">
        <f t="shared" si="1"/>
        <v>0</v>
      </c>
      <c r="AH262" s="265" t="s">
        <v>900</v>
      </c>
    </row>
    <row r="263">
      <c r="A263" s="662">
        <v>2022.0</v>
      </c>
      <c r="B263" s="663">
        <v>44900.0</v>
      </c>
      <c r="C263" s="662" t="s">
        <v>577</v>
      </c>
      <c r="D263" s="662" t="s">
        <v>901</v>
      </c>
      <c r="E263" s="662" t="s">
        <v>170</v>
      </c>
      <c r="F263" s="662" t="s">
        <v>161</v>
      </c>
      <c r="G263" s="633" t="s">
        <v>73</v>
      </c>
      <c r="H263" s="662">
        <v>500.0</v>
      </c>
      <c r="I263" s="662" t="s">
        <v>755</v>
      </c>
      <c r="J263" s="677">
        <v>24.52588</v>
      </c>
      <c r="K263" s="677">
        <v>-81.50089</v>
      </c>
      <c r="L263" s="662"/>
      <c r="M263" s="371">
        <v>44928.0</v>
      </c>
      <c r="N263" s="567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96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96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96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96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95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294">
        <v>45264.0</v>
      </c>
      <c r="U263" s="569">
        <f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stats!C:C""),0))"),0.0)</f>
        <v>0</v>
      </c>
      <c r="V263" s="298">
        <f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stats!C3:C""),0))))"),1.0)</f>
        <v>1</v>
      </c>
      <c r="W263" s="298">
        <f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stats!C3:C""),0)))"),0.0)</f>
        <v>0</v>
      </c>
      <c r="X263" s="627">
        <f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stats!C3:C""),0))"),0.0)</f>
        <v>0</v>
      </c>
      <c r="Y263" s="290"/>
      <c r="Z263" s="300"/>
      <c r="AA263" s="650"/>
      <c r="AB263" s="290"/>
      <c r="AC263" s="300"/>
      <c r="AD263" s="301"/>
      <c r="AE263" s="262">
        <f>IFERROR(__xludf.DUMMYFUNCTION("IFERROR(INDEX(IMPORTRANGE(""https://docs.google.com/spreadsheets/d/1fpsE_0655xguD48cGK6n1ZqSLnI-tw9aHzhbPM9kZ-k/edit#gid=0"", ""Monitoring Summary!B:B""),MATCH(D263,IMPORTRANGE(""https://docs.google.com/spreadsheets/d/1fpsE_0655xguD48cGK6n1ZqSLnI-tw9aHzhb"&amp;"PM9kZ-k/edit#gid=0"", ""Monitoring Summary!C:C""),0)),""Not Monitored"")"),45264.0)</f>
        <v>45264</v>
      </c>
      <c r="AF263" s="263">
        <f>IFERROR(__xludf.DUMMYFUNCTION("IFERROR(INDEX(IMPORTRANGE(""https://docs.google.com/spreadsheets/d/1fpsE_0655xguD48cGK6n1ZqSLnI-tw9aHzhbPM9kZ-k/edit#gid=0"", ""Monitoring Summary!E:E""),MATCH(D263,IMPORTRANGE(""https://docs.google.com/spreadsheets/d/1fpsE_0655xguD48cGK6n1ZqSLnI-tw9aHzhb"&amp;"PM9kZ-k/edit#gid=0"", ""Monitoring Summary!C:C""),0)),""Not Monitored"")"),0.0)</f>
        <v>0</v>
      </c>
      <c r="AG263" s="264">
        <f t="shared" si="1"/>
        <v>0</v>
      </c>
      <c r="AH263" s="265" t="s">
        <v>902</v>
      </c>
    </row>
    <row r="264">
      <c r="A264" s="678">
        <v>2022.0</v>
      </c>
      <c r="B264" s="679">
        <v>44900.0</v>
      </c>
      <c r="C264" s="678" t="s">
        <v>275</v>
      </c>
      <c r="D264" s="678" t="s">
        <v>903</v>
      </c>
      <c r="E264" s="678" t="s">
        <v>170</v>
      </c>
      <c r="F264" s="678" t="s">
        <v>146</v>
      </c>
      <c r="G264" s="634" t="s">
        <v>69</v>
      </c>
      <c r="H264" s="678">
        <v>100.0</v>
      </c>
      <c r="I264" s="678" t="s">
        <v>149</v>
      </c>
      <c r="J264" s="680">
        <v>24.54045</v>
      </c>
      <c r="K264" s="680">
        <v>-81.44542</v>
      </c>
      <c r="L264" s="678" t="s">
        <v>904</v>
      </c>
      <c r="M264" s="299" t="s">
        <v>149</v>
      </c>
      <c r="N264" s="681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682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682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682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96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95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294">
        <v>45198.0</v>
      </c>
      <c r="U264" s="569" t="str">
        <f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stats!C:C""),0))"),"N/A")</f>
        <v>N/A</v>
      </c>
      <c r="V264" s="298" t="str">
        <f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stats!C3:C""),0))))"),"N/A")</f>
        <v>N/A</v>
      </c>
      <c r="W264" s="298" t="str">
        <f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stats!C3:C""),0)))"),"N/A")</f>
        <v>N/A</v>
      </c>
      <c r="X264" s="627" t="str">
        <f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stats!C3:C""),0))"),"N/A")</f>
        <v>N/A</v>
      </c>
      <c r="Y264" s="290"/>
      <c r="Z264" s="300"/>
      <c r="AA264" s="650"/>
      <c r="AB264" s="290"/>
      <c r="AC264" s="300"/>
      <c r="AD264" s="301"/>
      <c r="AE264" s="262">
        <f>IFERROR(__xludf.DUMMYFUNCTION("IFERROR(INDEX(IMPORTRANGE(""https://docs.google.com/spreadsheets/d/1fpsE_0655xguD48cGK6n1ZqSLnI-tw9aHzhbPM9kZ-k/edit#gid=0"", ""Monitoring Summary!B:B""),MATCH(D264,IMPORTRANGE(""https://docs.google.com/spreadsheets/d/1fpsE_0655xguD48cGK6n1ZqSLnI-tw9aHzhb"&amp;"PM9kZ-k/edit#gid=0"", ""Monitoring Summary!C:C""),0)),""Not Monitored"")"),45198.0)</f>
        <v>45198</v>
      </c>
      <c r="AF264" s="263">
        <f>IFERROR(__xludf.DUMMYFUNCTION("IFERROR(INDEX(IMPORTRANGE(""https://docs.google.com/spreadsheets/d/1fpsE_0655xguD48cGK6n1ZqSLnI-tw9aHzhbPM9kZ-k/edit#gid=0"", ""Monitoring Summary!E:E""),MATCH(D264,IMPORTRANGE(""https://docs.google.com/spreadsheets/d/1fpsE_0655xguD48cGK6n1ZqSLnI-tw9aHzhb"&amp;"PM9kZ-k/edit#gid=0"", ""Monitoring Summary!C:C""),0)),""Not Monitored"")"),0.0)</f>
        <v>0</v>
      </c>
      <c r="AG264" s="264">
        <f t="shared" si="1"/>
        <v>0</v>
      </c>
      <c r="AH264" s="265" t="s">
        <v>905</v>
      </c>
    </row>
    <row r="265">
      <c r="A265" s="678">
        <v>2022.0</v>
      </c>
      <c r="B265" s="679">
        <v>44900.0</v>
      </c>
      <c r="C265" s="678" t="s">
        <v>275</v>
      </c>
      <c r="D265" s="678" t="s">
        <v>906</v>
      </c>
      <c r="E265" s="678" t="s">
        <v>170</v>
      </c>
      <c r="F265" s="678" t="s">
        <v>146</v>
      </c>
      <c r="G265" s="634" t="s">
        <v>69</v>
      </c>
      <c r="H265" s="678">
        <v>125.0</v>
      </c>
      <c r="I265" s="678" t="s">
        <v>149</v>
      </c>
      <c r="J265" s="636">
        <v>24.54047</v>
      </c>
      <c r="K265" s="636">
        <v>-81.44465</v>
      </c>
      <c r="L265" s="678" t="s">
        <v>904</v>
      </c>
      <c r="M265" s="299" t="s">
        <v>149</v>
      </c>
      <c r="N265" s="681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682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682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682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96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95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294">
        <v>45198.0</v>
      </c>
      <c r="U265" s="569" t="str">
        <f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stats!C:C""),0))"),"N/A")</f>
        <v>N/A</v>
      </c>
      <c r="V265" s="298" t="str">
        <f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stats!C3:C""),0))))"),"N/A")</f>
        <v>N/A</v>
      </c>
      <c r="W265" s="298" t="str">
        <f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stats!C3:C""),0)))"),"N/A")</f>
        <v>N/A</v>
      </c>
      <c r="X265" s="627" t="str">
        <f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stats!C3:C""),0))"),"N/A")</f>
        <v>N/A</v>
      </c>
      <c r="Y265" s="290"/>
      <c r="Z265" s="300"/>
      <c r="AA265" s="650"/>
      <c r="AB265" s="290"/>
      <c r="AC265" s="300"/>
      <c r="AD265" s="301"/>
      <c r="AE265" s="262">
        <f>IFERROR(__xludf.DUMMYFUNCTION("IFERROR(INDEX(IMPORTRANGE(""https://docs.google.com/spreadsheets/d/1fpsE_0655xguD48cGK6n1ZqSLnI-tw9aHzhbPM9kZ-k/edit#gid=0"", ""Monitoring Summary!B:B""),MATCH(D265,IMPORTRANGE(""https://docs.google.com/spreadsheets/d/1fpsE_0655xguD48cGK6n1ZqSLnI-tw9aHzhb"&amp;"PM9kZ-k/edit#gid=0"", ""Monitoring Summary!C:C""),0)),""Not Monitored"")"),45198.0)</f>
        <v>45198</v>
      </c>
      <c r="AF265" s="263">
        <f>IFERROR(__xludf.DUMMYFUNCTION("IFERROR(INDEX(IMPORTRANGE(""https://docs.google.com/spreadsheets/d/1fpsE_0655xguD48cGK6n1ZqSLnI-tw9aHzhbPM9kZ-k/edit#gid=0"", ""Monitoring Summary!E:E""),MATCH(D265,IMPORTRANGE(""https://docs.google.com/spreadsheets/d/1fpsE_0655xguD48cGK6n1ZqSLnI-tw9aHzhb"&amp;"PM9kZ-k/edit#gid=0"", ""Monitoring Summary!C:C""),0)),""Not Monitored"")"),0.0)</f>
        <v>0</v>
      </c>
      <c r="AG265" s="264">
        <f t="shared" si="1"/>
        <v>0</v>
      </c>
      <c r="AH265" s="265" t="s">
        <v>732</v>
      </c>
    </row>
    <row r="266">
      <c r="A266" s="683">
        <v>2022.0</v>
      </c>
      <c r="B266" s="684">
        <v>44900.0</v>
      </c>
      <c r="C266" s="683" t="s">
        <v>428</v>
      </c>
      <c r="D266" s="683" t="s">
        <v>907</v>
      </c>
      <c r="E266" s="683" t="s">
        <v>170</v>
      </c>
      <c r="F266" s="683" t="s">
        <v>146</v>
      </c>
      <c r="G266" s="652" t="s">
        <v>69</v>
      </c>
      <c r="H266" s="683">
        <v>100.0</v>
      </c>
      <c r="I266" s="683" t="s">
        <v>149</v>
      </c>
      <c r="J266" s="685">
        <v>24.53116</v>
      </c>
      <c r="K266" s="685">
        <v>-81.48455</v>
      </c>
      <c r="L266" s="683" t="s">
        <v>904</v>
      </c>
      <c r="M266" s="259" t="s">
        <v>149</v>
      </c>
      <c r="N266" s="686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687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687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687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56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55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688"/>
      <c r="U266" s="576" t="str">
        <f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stats!C:C""),0))"),"N/A")</f>
        <v>N/A</v>
      </c>
      <c r="V266" s="258" t="str">
        <f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stats!C3:C""),0))))"),"N/A")</f>
        <v>N/A</v>
      </c>
      <c r="W266" s="258" t="str">
        <f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stats!C3:C""),0)))"),"N/A")</f>
        <v>N/A</v>
      </c>
      <c r="X266" s="640" t="str">
        <f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stats!C3:C""),0))"),"N/A")</f>
        <v>N/A</v>
      </c>
      <c r="Y266" s="250"/>
      <c r="Z266" s="260"/>
      <c r="AA266" s="655"/>
      <c r="AB266" s="250"/>
      <c r="AC266" s="260"/>
      <c r="AD266" s="261"/>
      <c r="AE266" s="262" t="str">
        <f>IFERROR(__xludf.DUMMYFUNCTION("IFERROR(INDEX(IMPORTRANGE(""https://docs.google.com/spreadsheets/d/1fpsE_0655xguD48cGK6n1ZqSLnI-tw9aHzhbPM9kZ-k/edit#gid=0"", ""Monitoring Summary!B:B""),MATCH(D266,IMPORTRANGE(""https://docs.google.com/spreadsheets/d/1fpsE_0655xguD48cGK6n1ZqSLnI-tw9aHzhb"&amp;"PM9kZ-k/edit#gid=0"", ""Monitoring Summary!C:C""),0)),""Not Monitored"")"),"Not Monitored")</f>
        <v>Not Monitored</v>
      </c>
      <c r="AF266" s="263" t="str">
        <f>IFERROR(__xludf.DUMMYFUNCTION("IFERROR(INDEX(IMPORTRANGE(""https://docs.google.com/spreadsheets/d/1fpsE_0655xguD48cGK6n1ZqSLnI-tw9aHzhbPM9kZ-k/edit#gid=0"", ""Monitoring Summary!E:E""),MATCH(D266,IMPORTRANGE(""https://docs.google.com/spreadsheets/d/1fpsE_0655xguD48cGK6n1ZqSLnI-tw9aHzhb"&amp;"PM9kZ-k/edit#gid=0"", ""Monitoring Summary!C:C""),0)),""Not Monitored"")"),"Not Monitored")</f>
        <v>Not Monitored</v>
      </c>
      <c r="AG266" s="264" t="str">
        <f t="shared" si="1"/>
        <v>Not Monitored</v>
      </c>
      <c r="AH266" s="265" t="s">
        <v>908</v>
      </c>
    </row>
    <row r="267">
      <c r="A267" s="683">
        <v>2022.0</v>
      </c>
      <c r="B267" s="684">
        <v>44900.0</v>
      </c>
      <c r="C267" s="683" t="s">
        <v>428</v>
      </c>
      <c r="D267" s="683" t="s">
        <v>909</v>
      </c>
      <c r="E267" s="683" t="s">
        <v>170</v>
      </c>
      <c r="F267" s="683" t="s">
        <v>146</v>
      </c>
      <c r="G267" s="652" t="s">
        <v>69</v>
      </c>
      <c r="H267" s="683">
        <v>125.0</v>
      </c>
      <c r="I267" s="683" t="s">
        <v>149</v>
      </c>
      <c r="J267" s="689">
        <v>24.53109</v>
      </c>
      <c r="K267" s="689">
        <v>-81.48502</v>
      </c>
      <c r="L267" s="683" t="s">
        <v>904</v>
      </c>
      <c r="M267" s="259" t="s">
        <v>149</v>
      </c>
      <c r="N267" s="686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687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687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687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56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55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688"/>
      <c r="U267" s="576" t="str">
        <f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stats!C:C""),0))"),"N/A")</f>
        <v>N/A</v>
      </c>
      <c r="V267" s="258" t="str">
        <f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stats!C3:C""),0))))"),"N/A")</f>
        <v>N/A</v>
      </c>
      <c r="W267" s="258" t="str">
        <f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stats!C3:C""),0)))"),"N/A")</f>
        <v>N/A</v>
      </c>
      <c r="X267" s="640" t="str">
        <f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stats!C3:C""),0))"),"N/A")</f>
        <v>N/A</v>
      </c>
      <c r="Y267" s="250"/>
      <c r="Z267" s="260"/>
      <c r="AA267" s="655"/>
      <c r="AB267" s="250"/>
      <c r="AC267" s="260"/>
      <c r="AD267" s="261"/>
      <c r="AE267" s="262" t="str">
        <f>IFERROR(__xludf.DUMMYFUNCTION("IFERROR(INDEX(IMPORTRANGE(""https://docs.google.com/spreadsheets/d/1fpsE_0655xguD48cGK6n1ZqSLnI-tw9aHzhbPM9kZ-k/edit#gid=0"", ""Monitoring Summary!B:B""),MATCH(D267,IMPORTRANGE(""https://docs.google.com/spreadsheets/d/1fpsE_0655xguD48cGK6n1ZqSLnI-tw9aHzhb"&amp;"PM9kZ-k/edit#gid=0"", ""Monitoring Summary!C:C""),0)),""Not Monitored"")"),"Not Monitored")</f>
        <v>Not Monitored</v>
      </c>
      <c r="AF267" s="263" t="str">
        <f>IFERROR(__xludf.DUMMYFUNCTION("IFERROR(INDEX(IMPORTRANGE(""https://docs.google.com/spreadsheets/d/1fpsE_0655xguD48cGK6n1ZqSLnI-tw9aHzhbPM9kZ-k/edit#gid=0"", ""Monitoring Summary!E:E""),MATCH(D267,IMPORTRANGE(""https://docs.google.com/spreadsheets/d/1fpsE_0655xguD48cGK6n1ZqSLnI-tw9aHzhb"&amp;"PM9kZ-k/edit#gid=0"", ""Monitoring Summary!C:C""),0)),""Not Monitored"")"),"Not Monitored")</f>
        <v>Not Monitored</v>
      </c>
      <c r="AG267" s="264" t="str">
        <f t="shared" si="1"/>
        <v>Not Monitored</v>
      </c>
      <c r="AH267" s="265" t="s">
        <v>732</v>
      </c>
    </row>
    <row r="268">
      <c r="A268" s="683">
        <v>2022.0</v>
      </c>
      <c r="B268" s="684">
        <v>44900.0</v>
      </c>
      <c r="C268" s="683" t="s">
        <v>577</v>
      </c>
      <c r="D268" s="683" t="s">
        <v>910</v>
      </c>
      <c r="E268" s="683" t="s">
        <v>170</v>
      </c>
      <c r="F268" s="683" t="s">
        <v>146</v>
      </c>
      <c r="G268" s="652" t="s">
        <v>69</v>
      </c>
      <c r="H268" s="683">
        <v>100.0</v>
      </c>
      <c r="I268" s="683" t="s">
        <v>149</v>
      </c>
      <c r="J268" s="685">
        <v>24.5274</v>
      </c>
      <c r="K268" s="685">
        <v>-81.49897</v>
      </c>
      <c r="L268" s="683" t="s">
        <v>904</v>
      </c>
      <c r="M268" s="259" t="s">
        <v>149</v>
      </c>
      <c r="N268" s="686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687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687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687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56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55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339" t="s">
        <v>430</v>
      </c>
      <c r="U268" s="576" t="str">
        <f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stats!C:C""),0))"),"N/A")</f>
        <v>N/A</v>
      </c>
      <c r="V268" s="258" t="str">
        <f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stats!C3:C""),0))))"),"N/A")</f>
        <v>N/A</v>
      </c>
      <c r="W268" s="258" t="str">
        <f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stats!C3:C""),0)))"),"N/A")</f>
        <v>N/A</v>
      </c>
      <c r="X268" s="640" t="str">
        <f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stats!C3:C""),0))"),"N/A")</f>
        <v>N/A</v>
      </c>
      <c r="Y268" s="250"/>
      <c r="Z268" s="260"/>
      <c r="AA268" s="655"/>
      <c r="AB268" s="250"/>
      <c r="AC268" s="260"/>
      <c r="AD268" s="261"/>
      <c r="AE268" s="262" t="str">
        <f>IFERROR(__xludf.DUMMYFUNCTION("IFERROR(INDEX(IMPORTRANGE(""https://docs.google.com/spreadsheets/d/1fpsE_0655xguD48cGK6n1ZqSLnI-tw9aHzhbPM9kZ-k/edit#gid=0"", ""Monitoring Summary!B:B""),MATCH(D268,IMPORTRANGE(""https://docs.google.com/spreadsheets/d/1fpsE_0655xguD48cGK6n1ZqSLnI-tw9aHzhb"&amp;"PM9kZ-k/edit#gid=0"", ""Monitoring Summary!C:C""),0)),""Not Monitored"")"),"Not Monitored")</f>
        <v>Not Monitored</v>
      </c>
      <c r="AF268" s="263" t="str">
        <f>IFERROR(__xludf.DUMMYFUNCTION("IFERROR(INDEX(IMPORTRANGE(""https://docs.google.com/spreadsheets/d/1fpsE_0655xguD48cGK6n1ZqSLnI-tw9aHzhbPM9kZ-k/edit#gid=0"", ""Monitoring Summary!E:E""),MATCH(D268,IMPORTRANGE(""https://docs.google.com/spreadsheets/d/1fpsE_0655xguD48cGK6n1ZqSLnI-tw9aHzhb"&amp;"PM9kZ-k/edit#gid=0"", ""Monitoring Summary!C:C""),0)),""Not Monitored"")"),"Not Monitored")</f>
        <v>Not Monitored</v>
      </c>
      <c r="AG268" s="264" t="str">
        <f t="shared" si="1"/>
        <v>Not Monitored</v>
      </c>
      <c r="AH268" s="265" t="s">
        <v>911</v>
      </c>
    </row>
    <row r="269">
      <c r="A269" s="683">
        <v>2022.0</v>
      </c>
      <c r="B269" s="684">
        <v>44900.0</v>
      </c>
      <c r="C269" s="683" t="s">
        <v>577</v>
      </c>
      <c r="D269" s="683" t="s">
        <v>912</v>
      </c>
      <c r="E269" s="683" t="s">
        <v>170</v>
      </c>
      <c r="F269" s="683" t="s">
        <v>146</v>
      </c>
      <c r="G269" s="652" t="s">
        <v>69</v>
      </c>
      <c r="H269" s="683">
        <v>125.0</v>
      </c>
      <c r="I269" s="683" t="s">
        <v>149</v>
      </c>
      <c r="J269" s="689">
        <v>24.52757</v>
      </c>
      <c r="K269" s="689">
        <v>-81.49843</v>
      </c>
      <c r="L269" s="683" t="s">
        <v>904</v>
      </c>
      <c r="M269" s="259" t="s">
        <v>149</v>
      </c>
      <c r="N269" s="686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687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687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687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56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55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339" t="s">
        <v>430</v>
      </c>
      <c r="U269" s="576" t="str">
        <f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stats!C:C""),0))"),"N/A")</f>
        <v>N/A</v>
      </c>
      <c r="V269" s="258" t="str">
        <f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stats!C3:C""),0))))"),"N/A")</f>
        <v>N/A</v>
      </c>
      <c r="W269" s="258" t="str">
        <f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stats!C3:C""),0)))"),"N/A")</f>
        <v>N/A</v>
      </c>
      <c r="X269" s="640" t="str">
        <f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stats!C3:C""),0))"),"N/A")</f>
        <v>N/A</v>
      </c>
      <c r="Y269" s="250"/>
      <c r="Z269" s="260"/>
      <c r="AA269" s="655"/>
      <c r="AB269" s="250"/>
      <c r="AC269" s="260"/>
      <c r="AD269" s="261"/>
      <c r="AE269" s="262" t="str">
        <f>IFERROR(__xludf.DUMMYFUNCTION("IFERROR(INDEX(IMPORTRANGE(""https://docs.google.com/spreadsheets/d/1fpsE_0655xguD48cGK6n1ZqSLnI-tw9aHzhbPM9kZ-k/edit#gid=0"", ""Monitoring Summary!B:B""),MATCH(D269,IMPORTRANGE(""https://docs.google.com/spreadsheets/d/1fpsE_0655xguD48cGK6n1ZqSLnI-tw9aHzhb"&amp;"PM9kZ-k/edit#gid=0"", ""Monitoring Summary!C:C""),0)),""Not Monitored"")"),"Not Monitored")</f>
        <v>Not Monitored</v>
      </c>
      <c r="AF269" s="263" t="str">
        <f>IFERROR(__xludf.DUMMYFUNCTION("IFERROR(INDEX(IMPORTRANGE(""https://docs.google.com/spreadsheets/d/1fpsE_0655xguD48cGK6n1ZqSLnI-tw9aHzhbPM9kZ-k/edit#gid=0"", ""Monitoring Summary!E:E""),MATCH(D269,IMPORTRANGE(""https://docs.google.com/spreadsheets/d/1fpsE_0655xguD48cGK6n1ZqSLnI-tw9aHzhb"&amp;"PM9kZ-k/edit#gid=0"", ""Monitoring Summary!C:C""),0)),""Not Monitored"")"),"Not Monitored")</f>
        <v>Not Monitored</v>
      </c>
      <c r="AG269" s="264" t="str">
        <f t="shared" si="1"/>
        <v>Not Monitored</v>
      </c>
      <c r="AH269" s="265" t="s">
        <v>732</v>
      </c>
    </row>
    <row r="270">
      <c r="A270" s="662">
        <v>2022.0</v>
      </c>
      <c r="B270" s="663">
        <v>44902.0</v>
      </c>
      <c r="C270" s="662" t="s">
        <v>168</v>
      </c>
      <c r="D270" s="662" t="s">
        <v>913</v>
      </c>
      <c r="E270" s="662" t="s">
        <v>170</v>
      </c>
      <c r="F270" s="662" t="s">
        <v>161</v>
      </c>
      <c r="G270" s="633" t="s">
        <v>73</v>
      </c>
      <c r="H270" s="662">
        <v>500.0</v>
      </c>
      <c r="I270" s="662" t="s">
        <v>914</v>
      </c>
      <c r="J270" s="642">
        <v>24.52185</v>
      </c>
      <c r="K270" s="642">
        <v>-81.52222</v>
      </c>
      <c r="L270" s="662"/>
      <c r="M270" s="371">
        <v>44935.0</v>
      </c>
      <c r="N270" s="681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682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682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682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96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95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294">
        <v>45264.0</v>
      </c>
      <c r="U270" s="569">
        <f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stats!C:C""),0))"),0.0)</f>
        <v>0</v>
      </c>
      <c r="V270" s="298">
        <f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stats!C3:C""),0))))"),1.0)</f>
        <v>1</v>
      </c>
      <c r="W270" s="298">
        <f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stats!C3:C""),0)))"),0.0)</f>
        <v>0</v>
      </c>
      <c r="X270" s="627">
        <f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stats!C3:C""),0))"),0.0)</f>
        <v>0</v>
      </c>
      <c r="Y270" s="290"/>
      <c r="Z270" s="300"/>
      <c r="AA270" s="650"/>
      <c r="AB270" s="290"/>
      <c r="AC270" s="300"/>
      <c r="AD270" s="301"/>
      <c r="AE270" s="262">
        <f>IFERROR(__xludf.DUMMYFUNCTION("IFERROR(INDEX(IMPORTRANGE(""https://docs.google.com/spreadsheets/d/1fpsE_0655xguD48cGK6n1ZqSLnI-tw9aHzhbPM9kZ-k/edit#gid=0"", ""Monitoring Summary!B:B""),MATCH(D270,IMPORTRANGE(""https://docs.google.com/spreadsheets/d/1fpsE_0655xguD48cGK6n1ZqSLnI-tw9aHzhb"&amp;"PM9kZ-k/edit#gid=0"", ""Monitoring Summary!C:C""),0)),""Not Monitored"")"),45264.0)</f>
        <v>45264</v>
      </c>
      <c r="AF270" s="263">
        <f>IFERROR(__xludf.DUMMYFUNCTION("IFERROR(INDEX(IMPORTRANGE(""https://docs.google.com/spreadsheets/d/1fpsE_0655xguD48cGK6n1ZqSLnI-tw9aHzhbPM9kZ-k/edit#gid=0"", ""Monitoring Summary!E:E""),MATCH(D270,IMPORTRANGE(""https://docs.google.com/spreadsheets/d/1fpsE_0655xguD48cGK6n1ZqSLnI-tw9aHzhb"&amp;"PM9kZ-k/edit#gid=0"", ""Monitoring Summary!C:C""),0)),""Not Monitored"")"),0.0)</f>
        <v>0</v>
      </c>
      <c r="AG270" s="264">
        <f t="shared" si="1"/>
        <v>0</v>
      </c>
      <c r="AH270" s="265" t="s">
        <v>915</v>
      </c>
    </row>
    <row r="271">
      <c r="A271" s="690">
        <v>2022.0</v>
      </c>
      <c r="B271" s="691">
        <v>44916.0</v>
      </c>
      <c r="C271" s="690" t="s">
        <v>703</v>
      </c>
      <c r="D271" s="690" t="s">
        <v>916</v>
      </c>
      <c r="E271" s="690" t="s">
        <v>170</v>
      </c>
      <c r="F271" s="690" t="s">
        <v>161</v>
      </c>
      <c r="G271" s="692" t="s">
        <v>73</v>
      </c>
      <c r="H271" s="690">
        <v>500.0</v>
      </c>
      <c r="I271" s="690" t="s">
        <v>423</v>
      </c>
      <c r="J271" s="693">
        <v>24.51391</v>
      </c>
      <c r="K271" s="693">
        <v>-81.55318</v>
      </c>
      <c r="L271" s="690"/>
      <c r="M271" s="518">
        <v>44956.0</v>
      </c>
      <c r="N271" s="694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695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695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695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515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514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513">
        <v>45258.0</v>
      </c>
      <c r="U271" s="592">
        <f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stats!C:C""),0))"),0.0)</f>
        <v>0</v>
      </c>
      <c r="V271" s="517">
        <f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stats!C3:C""),0))))"),1.0)</f>
        <v>1</v>
      </c>
      <c r="W271" s="517">
        <f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stats!C3:C""),0)))"),0.0)</f>
        <v>0</v>
      </c>
      <c r="X271" s="632">
        <f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stats!C3:C""),0))"),0.0)</f>
        <v>0</v>
      </c>
      <c r="Y271" s="696"/>
      <c r="Z271" s="519"/>
      <c r="AA271" s="697"/>
      <c r="AB271" s="696"/>
      <c r="AC271" s="519"/>
      <c r="AD271" s="520"/>
      <c r="AE271" s="262">
        <f>IFERROR(__xludf.DUMMYFUNCTION("IFERROR(INDEX(IMPORTRANGE(""https://docs.google.com/spreadsheets/d/1fpsE_0655xguD48cGK6n1ZqSLnI-tw9aHzhbPM9kZ-k/edit#gid=0"", ""Monitoring Summary!B:B""),MATCH(D271,IMPORTRANGE(""https://docs.google.com/spreadsheets/d/1fpsE_0655xguD48cGK6n1ZqSLnI-tw9aHzhb"&amp;"PM9kZ-k/edit#gid=0"", ""Monitoring Summary!C:C""),0)),""Not Monitored"")"),45258.0)</f>
        <v>45258</v>
      </c>
      <c r="AF271" s="263">
        <f>IFERROR(__xludf.DUMMYFUNCTION("IFERROR(INDEX(IMPORTRANGE(""https://docs.google.com/spreadsheets/d/1fpsE_0655xguD48cGK6n1ZqSLnI-tw9aHzhbPM9kZ-k/edit#gid=0"", ""Monitoring Summary!E:E""),MATCH(D271,IMPORTRANGE(""https://docs.google.com/spreadsheets/d/1fpsE_0655xguD48cGK6n1ZqSLnI-tw9aHzhb"&amp;"PM9kZ-k/edit#gid=0"", ""Monitoring Summary!C:C""),0)),""Not Monitored"")"),0.0)</f>
        <v>0</v>
      </c>
      <c r="AG271" s="264">
        <f t="shared" si="1"/>
        <v>0</v>
      </c>
      <c r="AH271" s="265" t="s">
        <v>917</v>
      </c>
    </row>
    <row r="272">
      <c r="A272" s="698">
        <v>2023.0</v>
      </c>
      <c r="B272" s="699">
        <v>44931.0</v>
      </c>
      <c r="C272" s="698" t="s">
        <v>345</v>
      </c>
      <c r="D272" s="698" t="s">
        <v>918</v>
      </c>
      <c r="E272" s="698" t="s">
        <v>170</v>
      </c>
      <c r="F272" s="698" t="s">
        <v>161</v>
      </c>
      <c r="G272" s="700" t="s">
        <v>89</v>
      </c>
      <c r="H272" s="698">
        <v>500.0</v>
      </c>
      <c r="I272" s="698" t="s">
        <v>423</v>
      </c>
      <c r="J272" s="701">
        <v>24.50944</v>
      </c>
      <c r="K272" s="701">
        <v>-81.57046</v>
      </c>
      <c r="L272" s="698"/>
      <c r="M272" s="702">
        <v>44971.0</v>
      </c>
      <c r="N272" s="681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682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682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682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96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95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294">
        <v>45264.0</v>
      </c>
      <c r="U272" s="569">
        <f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stats!C:C""),0))"),0.0)</f>
        <v>0</v>
      </c>
      <c r="V272" s="298">
        <f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stats!C3:C""),0))))"),1.0)</f>
        <v>1</v>
      </c>
      <c r="W272" s="298">
        <f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stats!C3:C""),0)))"),0.0)</f>
        <v>0</v>
      </c>
      <c r="X272" s="627">
        <f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stats!C3:C""),0))"),0.0)</f>
        <v>0</v>
      </c>
      <c r="Y272" s="290"/>
      <c r="Z272" s="300"/>
      <c r="AA272" s="301"/>
      <c r="AB272" s="299"/>
      <c r="AC272" s="300"/>
      <c r="AD272" s="301"/>
      <c r="AE272" s="262">
        <f>IFERROR(__xludf.DUMMYFUNCTION("IFERROR(INDEX(IMPORTRANGE(""https://docs.google.com/spreadsheets/d/1fpsE_0655xguD48cGK6n1ZqSLnI-tw9aHzhbPM9kZ-k/edit#gid=0"", ""Monitoring Summary!B:B""),MATCH(D272,IMPORTRANGE(""https://docs.google.com/spreadsheets/d/1fpsE_0655xguD48cGK6n1ZqSLnI-tw9aHzhb"&amp;"PM9kZ-k/edit#gid=0"", ""Monitoring Summary!C:C""),0)),""Not Monitored"")"),45264.0)</f>
        <v>45264</v>
      </c>
      <c r="AF272" s="263">
        <f>IFERROR(__xludf.DUMMYFUNCTION("IFERROR(INDEX(IMPORTRANGE(""https://docs.google.com/spreadsheets/d/1fpsE_0655xguD48cGK6n1ZqSLnI-tw9aHzhbPM9kZ-k/edit#gid=0"", ""Monitoring Summary!E:E""),MATCH(D272,IMPORTRANGE(""https://docs.google.com/spreadsheets/d/1fpsE_0655xguD48cGK6n1ZqSLnI-tw9aHzhb"&amp;"PM9kZ-k/edit#gid=0"", ""Monitoring Summary!C:C""),0)),""Not Monitored"")"),0.0)</f>
        <v>0</v>
      </c>
      <c r="AG272" s="264">
        <f t="shared" si="1"/>
        <v>0</v>
      </c>
      <c r="AH272" s="265" t="str">
        <f>IFERROR(__xludf.DUMMYFUNCTION("JOIN("","",TRANSPOSE(UNIQUE(INDEX(IMPORTRANGE(""https://docs.google.com/spreadsheets/d/11AU_oXqRaaUJQrahv-HbvnaYMVN-yEOQFYTKChh5U04/edit#gid=402952771"", D272),,9))))"),"CU-131,CU-066,CU-020,CU-129,CU-044,CU-038,CU-002,CU-103,CU-128,CL-123")</f>
        <v>CU-131,CU-066,CU-020,CU-129,CU-044,CU-038,CU-002,CU-103,CU-128,CL-123</v>
      </c>
    </row>
    <row r="273">
      <c r="A273" s="698">
        <v>2023.0</v>
      </c>
      <c r="B273" s="699">
        <v>44935.0</v>
      </c>
      <c r="C273" s="698" t="s">
        <v>829</v>
      </c>
      <c r="D273" s="698" t="s">
        <v>919</v>
      </c>
      <c r="E273" s="698" t="s">
        <v>170</v>
      </c>
      <c r="F273" s="698" t="s">
        <v>161</v>
      </c>
      <c r="G273" s="700" t="s">
        <v>89</v>
      </c>
      <c r="H273" s="698">
        <v>500.0</v>
      </c>
      <c r="I273" s="698" t="s">
        <v>841</v>
      </c>
      <c r="J273" s="701">
        <v>24.55395</v>
      </c>
      <c r="K273" s="701">
        <v>-81.37583</v>
      </c>
      <c r="L273" s="698"/>
      <c r="M273" s="702">
        <v>44971.0</v>
      </c>
      <c r="N273" s="681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682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682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682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96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95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294">
        <v>45239.0</v>
      </c>
      <c r="U273" s="569">
        <f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stats!C:C""),0))"),0.0)</f>
        <v>0</v>
      </c>
      <c r="V273" s="298">
        <f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stats!C3:C""),0))))"),1.0)</f>
        <v>1</v>
      </c>
      <c r="W273" s="298">
        <f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stats!C3:C""),0)))"),0.0)</f>
        <v>0</v>
      </c>
      <c r="X273" s="627">
        <f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stats!C3:C""),0))"),0.0)</f>
        <v>0</v>
      </c>
      <c r="Y273" s="290"/>
      <c r="Z273" s="300"/>
      <c r="AA273" s="301"/>
      <c r="AB273" s="299"/>
      <c r="AC273" s="300"/>
      <c r="AD273" s="301"/>
      <c r="AE273" s="262">
        <f>IFERROR(__xludf.DUMMYFUNCTION("IFERROR(INDEX(IMPORTRANGE(""https://docs.google.com/spreadsheets/d/1fpsE_0655xguD48cGK6n1ZqSLnI-tw9aHzhbPM9kZ-k/edit#gid=0"", ""Monitoring Summary!B:B""),MATCH(D273,IMPORTRANGE(""https://docs.google.com/spreadsheets/d/1fpsE_0655xguD48cGK6n1ZqSLnI-tw9aHzhb"&amp;"PM9kZ-k/edit#gid=0"", ""Monitoring Summary!C:C""),0)),""Not Monitored"")"),45239.0)</f>
        <v>45239</v>
      </c>
      <c r="AF273" s="263">
        <f>IFERROR(__xludf.DUMMYFUNCTION("IFERROR(INDEX(IMPORTRANGE(""https://docs.google.com/spreadsheets/d/1fpsE_0655xguD48cGK6n1ZqSLnI-tw9aHzhbPM9kZ-k/edit#gid=0"", ""Monitoring Summary!E:E""),MATCH(D273,IMPORTRANGE(""https://docs.google.com/spreadsheets/d/1fpsE_0655xguD48cGK6n1ZqSLnI-tw9aHzhb"&amp;"PM9kZ-k/edit#gid=0"", ""Monitoring Summary!C:C""),0)),""Not Monitored"")"),0.0)</f>
        <v>0</v>
      </c>
      <c r="AG273" s="264">
        <f t="shared" si="1"/>
        <v>0</v>
      </c>
      <c r="AH273" s="265" t="str">
        <f>IFERROR(__xludf.DUMMYFUNCTION("JOIN("","",TRANSPOSE(UNIQUE(INDEX(IMPORTRANGE(""https://docs.google.com/spreadsheets/d/11AU_oXqRaaUJQrahv-HbvnaYMVN-yEOQFYTKChh5U04/edit#gid=402952771"", D273),,9))))"),"FM-6,84,62,4,RD-30,95,34,58,75,222")</f>
        <v>FM-6,84,62,4,RD-30,95,34,58,75,222</v>
      </c>
    </row>
    <row r="274">
      <c r="A274" s="672">
        <v>2023.0</v>
      </c>
      <c r="B274" s="673">
        <v>44938.0</v>
      </c>
      <c r="C274" s="672" t="s">
        <v>292</v>
      </c>
      <c r="D274" s="672" t="s">
        <v>920</v>
      </c>
      <c r="E274" s="672" t="s">
        <v>170</v>
      </c>
      <c r="F274" s="672" t="s">
        <v>161</v>
      </c>
      <c r="G274" s="703" t="s">
        <v>71</v>
      </c>
      <c r="H274" s="672">
        <v>600.0</v>
      </c>
      <c r="I274" s="672" t="s">
        <v>921</v>
      </c>
      <c r="J274" s="704">
        <v>24.45888</v>
      </c>
      <c r="K274" s="704">
        <v>-81.84304</v>
      </c>
      <c r="L274" s="672"/>
      <c r="M274" s="705">
        <v>46813.0</v>
      </c>
      <c r="N274" s="686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687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687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687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56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55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271">
        <v>45294.0</v>
      </c>
      <c r="U274" s="576">
        <f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stats!C:C""),0))"),0.025000000000000022)</f>
        <v>0.025</v>
      </c>
      <c r="V274" s="258">
        <f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stats!C3:C""),0))))"),0.975)</f>
        <v>0.975</v>
      </c>
      <c r="W274" s="258">
        <f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stats!C3:C""),0)))"),0.0)</f>
        <v>0</v>
      </c>
      <c r="X274" s="640">
        <f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stats!C3:C""),0))"),0.06666666666666667)</f>
        <v>0.06666666667</v>
      </c>
      <c r="Y274" s="250"/>
      <c r="Z274" s="260"/>
      <c r="AA274" s="261"/>
      <c r="AB274" s="259"/>
      <c r="AC274" s="260"/>
      <c r="AD274" s="261"/>
      <c r="AE274" s="262">
        <f>IFERROR(__xludf.DUMMYFUNCTION("IFERROR(INDEX(IMPORTRANGE(""https://docs.google.com/spreadsheets/d/1fpsE_0655xguD48cGK6n1ZqSLnI-tw9aHzhbPM9kZ-k/edit#gid=0"", ""Monitoring Summary!B:B""),MATCH(D274,IMPORTRANGE(""https://docs.google.com/spreadsheets/d/1fpsE_0655xguD48cGK6n1ZqSLnI-tw9aHzhb"&amp;"PM9kZ-k/edit#gid=0"", ""Monitoring Summary!C:C""),0)),""Not Monitored"")"),45294.0)</f>
        <v>45294</v>
      </c>
      <c r="AF274" s="263">
        <f>IFERROR(__xludf.DUMMYFUNCTION("IFERROR(INDEX(IMPORTRANGE(""https://docs.google.com/spreadsheets/d/1fpsE_0655xguD48cGK6n1ZqSLnI-tw9aHzhbPM9kZ-k/edit#gid=0"", ""Monitoring Summary!E:E""),MATCH(D274,IMPORTRANGE(""https://docs.google.com/spreadsheets/d/1fpsE_0655xguD48cGK6n1ZqSLnI-tw9aHzhb"&amp;"PM9kZ-k/edit#gid=0"", ""Monitoring Summary!C:C""),0)),""Not Monitored"")"),8.0)</f>
        <v>8</v>
      </c>
      <c r="AG274" s="264">
        <f t="shared" si="1"/>
        <v>0.01333333333</v>
      </c>
      <c r="AH274" s="265" t="str">
        <f>IFERROR(__xludf.DUMMYFUNCTION("JOIN("","",TRANSPOSE(UNIQUE(INDEX(IMPORTRANGE(""https://docs.google.com/spreadsheets/d/11AU_oXqRaaUJQrahv-HbvnaYMVN-yEOQFYTKChh5U04/edit#gid=402952771"", D274),,9))))"),"FM-4/9,57,76,FM-5,75,FM-14,50,62,41,31,CU-103")</f>
        <v>FM-4/9,57,76,FM-5,75,FM-14,50,62,41,31,CU-103</v>
      </c>
    </row>
    <row r="275">
      <c r="A275" s="664">
        <v>2023.0</v>
      </c>
      <c r="B275" s="665">
        <v>44944.0</v>
      </c>
      <c r="C275" s="664" t="s">
        <v>292</v>
      </c>
      <c r="D275" s="664" t="s">
        <v>922</v>
      </c>
      <c r="E275" s="664" t="s">
        <v>170</v>
      </c>
      <c r="F275" s="664" t="s">
        <v>161</v>
      </c>
      <c r="G275" s="621" t="s">
        <v>71</v>
      </c>
      <c r="H275" s="664">
        <v>550.0</v>
      </c>
      <c r="I275" s="664" t="s">
        <v>923</v>
      </c>
      <c r="J275" s="623">
        <v>24.45954</v>
      </c>
      <c r="K275" s="623">
        <v>-81.8434</v>
      </c>
      <c r="L275" s="664"/>
      <c r="M275" s="702">
        <v>46813.0</v>
      </c>
      <c r="N275" s="681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682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682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682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96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95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294">
        <v>45294.0</v>
      </c>
      <c r="U275" s="569">
        <f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stats!C:C""),0))"),0.0)</f>
        <v>0</v>
      </c>
      <c r="V275" s="298">
        <f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stats!C3:C""),0))))"),1.0)</f>
        <v>1</v>
      </c>
      <c r="W275" s="298">
        <f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stats!C3:C""),0)))"),0.0)</f>
        <v>0</v>
      </c>
      <c r="X275" s="627">
        <f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stats!C3:C""),0))"),0.0)</f>
        <v>0</v>
      </c>
      <c r="Y275" s="667">
        <v>45294.0</v>
      </c>
      <c r="Z275" s="300"/>
      <c r="AA275" s="301"/>
      <c r="AB275" s="299"/>
      <c r="AC275" s="300"/>
      <c r="AD275" s="301"/>
      <c r="AE275" s="262">
        <f>IFERROR(__xludf.DUMMYFUNCTION("IFERROR(INDEX(IMPORTRANGE(""https://docs.google.com/spreadsheets/d/1fpsE_0655xguD48cGK6n1ZqSLnI-tw9aHzhbPM9kZ-k/edit#gid=0"", ""Monitoring Summary!B:B""),MATCH(D275,IMPORTRANGE(""https://docs.google.com/spreadsheets/d/1fpsE_0655xguD48cGK6n1ZqSLnI-tw9aHzhb"&amp;"PM9kZ-k/edit#gid=0"", ""Monitoring Summary!C:C""),0)),""Not Monitored"")"),45294.0)</f>
        <v>45294</v>
      </c>
      <c r="AF275" s="263">
        <f>IFERROR(__xludf.DUMMYFUNCTION("IFERROR(INDEX(IMPORTRANGE(""https://docs.google.com/spreadsheets/d/1fpsE_0655xguD48cGK6n1ZqSLnI-tw9aHzhbPM9kZ-k/edit#gid=0"", ""Monitoring Summary!E:E""),MATCH(D275,IMPORTRANGE(""https://docs.google.com/spreadsheets/d/1fpsE_0655xguD48cGK6n1ZqSLnI-tw9aHzhb"&amp;"PM9kZ-k/edit#gid=0"", ""Monitoring Summary!C:C""),0)),""Not Monitored"")"),0.0)</f>
        <v>0</v>
      </c>
      <c r="AG275" s="264">
        <f t="shared" si="1"/>
        <v>0</v>
      </c>
      <c r="AH275" s="265" t="str">
        <f>IFERROR(__xludf.DUMMYFUNCTION("JOIN("","",TRANSPOSE(UNIQUE(INDEX(IMPORTRANGE(""https://docs.google.com/spreadsheets/d/11AU_oXqRaaUJQrahv-HbvnaYMVN-yEOQFYTKChh5U04/edit#gid=402952771"", D275),,9))))"),"41,47,48,51,29,38,4,8,3,13,56")</f>
        <v>41,47,48,51,29,38,4,8,3,13,56</v>
      </c>
    </row>
    <row r="276">
      <c r="A276" s="662">
        <v>2023.0</v>
      </c>
      <c r="B276" s="663">
        <v>44946.0</v>
      </c>
      <c r="C276" s="662" t="s">
        <v>275</v>
      </c>
      <c r="D276" s="662" t="s">
        <v>924</v>
      </c>
      <c r="E276" s="662" t="s">
        <v>170</v>
      </c>
      <c r="F276" s="662" t="s">
        <v>161</v>
      </c>
      <c r="G276" s="633" t="s">
        <v>73</v>
      </c>
      <c r="H276" s="662">
        <v>500.0</v>
      </c>
      <c r="I276" s="662" t="s">
        <v>773</v>
      </c>
      <c r="J276" s="642">
        <v>24.53771</v>
      </c>
      <c r="K276" s="642">
        <v>-81.45357</v>
      </c>
      <c r="L276" s="662"/>
      <c r="M276" s="702">
        <v>44979.0</v>
      </c>
      <c r="N276" s="706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682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682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682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96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95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294">
        <v>45247.0</v>
      </c>
      <c r="U276" s="569">
        <f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stats!C:C""),0))"),0.0)</f>
        <v>0</v>
      </c>
      <c r="V276" s="298">
        <f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stats!C3:C""),0))))"),1.0)</f>
        <v>1</v>
      </c>
      <c r="W276" s="298">
        <f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stats!C3:C""),0)))"),0.0)</f>
        <v>0</v>
      </c>
      <c r="X276" s="627">
        <f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stats!C3:C""),0))"),0.0)</f>
        <v>0</v>
      </c>
      <c r="Y276" s="290"/>
      <c r="Z276" s="300"/>
      <c r="AA276" s="301"/>
      <c r="AB276" s="299"/>
      <c r="AC276" s="300"/>
      <c r="AD276" s="301"/>
      <c r="AE276" s="262">
        <f>IFERROR(__xludf.DUMMYFUNCTION("IFERROR(INDEX(IMPORTRANGE(""https://docs.google.com/spreadsheets/d/1fpsE_0655xguD48cGK6n1ZqSLnI-tw9aHzhbPM9kZ-k/edit#gid=0"", ""Monitoring Summary!B:B""),MATCH(D276,IMPORTRANGE(""https://docs.google.com/spreadsheets/d/1fpsE_0655xguD48cGK6n1ZqSLnI-tw9aHzhb"&amp;"PM9kZ-k/edit#gid=0"", ""Monitoring Summary!C:C""),0)),""Not Monitored"")"),45247.0)</f>
        <v>45247</v>
      </c>
      <c r="AF276" s="263">
        <f>IFERROR(__xludf.DUMMYFUNCTION("IFERROR(INDEX(IMPORTRANGE(""https://docs.google.com/spreadsheets/d/1fpsE_0655xguD48cGK6n1ZqSLnI-tw9aHzhbPM9kZ-k/edit#gid=0"", ""Monitoring Summary!E:E""),MATCH(D276,IMPORTRANGE(""https://docs.google.com/spreadsheets/d/1fpsE_0655xguD48cGK6n1ZqSLnI-tw9aHzhb"&amp;"PM9kZ-k/edit#gid=0"", ""Monitoring Summary!C:C""),0)),""Not Monitored"")"),0.0)</f>
        <v>0</v>
      </c>
      <c r="AG276" s="264">
        <f t="shared" si="1"/>
        <v>0</v>
      </c>
      <c r="AH276" s="265" t="str">
        <f>IFERROR(__xludf.DUMMYFUNCTION("JOIN("","",TRANSPOSE(UNIQUE(INDEX(IMPORTRANGE(""https://docs.google.com/spreadsheets/d/11AU_oXqRaaUJQrahv-HbvnaYMVN-yEOQFYTKChh5U04/edit#gid=402952771"", D276),,9))))"),"5,88,247,CU-034,CU-091,CU-076,FM-7,RD-33,222,RD-5")</f>
        <v>5,88,247,CU-034,CU-091,CU-076,FM-7,RD-33,222,RD-5</v>
      </c>
    </row>
    <row r="277">
      <c r="A277" s="662">
        <v>2023.0</v>
      </c>
      <c r="B277" s="663">
        <v>44960.0</v>
      </c>
      <c r="C277" s="662" t="s">
        <v>785</v>
      </c>
      <c r="D277" s="662" t="s">
        <v>925</v>
      </c>
      <c r="E277" s="662" t="s">
        <v>170</v>
      </c>
      <c r="F277" s="662" t="s">
        <v>161</v>
      </c>
      <c r="G277" s="633" t="s">
        <v>73</v>
      </c>
      <c r="H277" s="662">
        <v>500.0</v>
      </c>
      <c r="I277" s="662" t="s">
        <v>290</v>
      </c>
      <c r="J277" s="642">
        <v>24.49977</v>
      </c>
      <c r="K277" s="642">
        <v>-81.63126</v>
      </c>
      <c r="L277" s="662"/>
      <c r="M277" s="702">
        <v>44984.0</v>
      </c>
      <c r="N277" s="681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682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682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682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96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95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294">
        <v>45240.0</v>
      </c>
      <c r="U277" s="569">
        <f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stats!C:C""),0))"),0.0)</f>
        <v>0</v>
      </c>
      <c r="V277" s="298">
        <f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stats!C3:C""),0))))"),1.0)</f>
        <v>1</v>
      </c>
      <c r="W277" s="298">
        <f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stats!C3:C""),0)))"),0.0)</f>
        <v>0</v>
      </c>
      <c r="X277" s="627">
        <f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stats!C3:C""),0))"),0.0)</f>
        <v>0</v>
      </c>
      <c r="Y277" s="290"/>
      <c r="Z277" s="300"/>
      <c r="AA277" s="301"/>
      <c r="AB277" s="299"/>
      <c r="AC277" s="300"/>
      <c r="AD277" s="301"/>
      <c r="AE277" s="262">
        <f>IFERROR(__xludf.DUMMYFUNCTION("IFERROR(INDEX(IMPORTRANGE(""https://docs.google.com/spreadsheets/d/1fpsE_0655xguD48cGK6n1ZqSLnI-tw9aHzhbPM9kZ-k/edit#gid=0"", ""Monitoring Summary!B:B""),MATCH(D277,IMPORTRANGE(""https://docs.google.com/spreadsheets/d/1fpsE_0655xguD48cGK6n1ZqSLnI-tw9aHzhb"&amp;"PM9kZ-k/edit#gid=0"", ""Monitoring Summary!C:C""),0)),""Not Monitored"")"),45240.0)</f>
        <v>45240</v>
      </c>
      <c r="AF277" s="263">
        <f>IFERROR(__xludf.DUMMYFUNCTION("IFERROR(INDEX(IMPORTRANGE(""https://docs.google.com/spreadsheets/d/1fpsE_0655xguD48cGK6n1ZqSLnI-tw9aHzhbPM9kZ-k/edit#gid=0"", ""Monitoring Summary!E:E""),MATCH(D277,IMPORTRANGE(""https://docs.google.com/spreadsheets/d/1fpsE_0655xguD48cGK6n1ZqSLnI-tw9aHzhb"&amp;"PM9kZ-k/edit#gid=0"", ""Monitoring Summary!C:C""),0)),""Not Monitored"")"),0.0)</f>
        <v>0</v>
      </c>
      <c r="AG277" s="264">
        <f t="shared" si="1"/>
        <v>0</v>
      </c>
      <c r="AH277" s="265" t="str">
        <f>IFERROR(__xludf.DUMMYFUNCTION("JOIN("","",TRANSPOSE(UNIQUE(INDEX(IMPORTRANGE(""https://docs.google.com/spreadsheets/d/11AU_oXqRaaUJQrahv-HbvnaYMVN-yEOQFYTKChh5U04/edit#gid=402952771"", D277),,9))))"),"386,CU-041,79,55,CU-029,4,487,31,CU-036,20")</f>
        <v>386,CU-041,79,55,CU-029,4,487,31,CU-036,20</v>
      </c>
    </row>
    <row r="278">
      <c r="A278" s="352">
        <v>2023.0</v>
      </c>
      <c r="B278" s="670">
        <v>44978.0</v>
      </c>
      <c r="C278" s="352" t="s">
        <v>275</v>
      </c>
      <c r="D278" s="352" t="s">
        <v>926</v>
      </c>
      <c r="E278" s="352" t="s">
        <v>170</v>
      </c>
      <c r="F278" s="352" t="s">
        <v>146</v>
      </c>
      <c r="G278" s="707" t="s">
        <v>927</v>
      </c>
      <c r="H278" s="352">
        <v>125.0</v>
      </c>
      <c r="I278" s="708">
        <v>44951.0</v>
      </c>
      <c r="J278" s="709">
        <v>24.54088</v>
      </c>
      <c r="K278" s="709" t="s">
        <v>928</v>
      </c>
      <c r="L278" s="352"/>
      <c r="M278" s="702">
        <v>45008.0</v>
      </c>
      <c r="N278" s="681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682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682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682" t="str">
        <f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296" t="str">
        <f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295" t="str">
        <f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294">
        <v>45238.0</v>
      </c>
      <c r="U278" s="569">
        <f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stats!C:C""),0))"),0.0)</f>
        <v>0</v>
      </c>
      <c r="V278" s="298">
        <f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stats!C3:C""),0))))"),1.0)</f>
        <v>1</v>
      </c>
      <c r="W278" s="298">
        <f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stats!C3:C""),0)))"),0.0)</f>
        <v>0</v>
      </c>
      <c r="X278" s="627">
        <f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stats!C3:C""),0))"),0.0)</f>
        <v>0</v>
      </c>
      <c r="Y278" s="290"/>
      <c r="Z278" s="300"/>
      <c r="AA278" s="301"/>
      <c r="AB278" s="299"/>
      <c r="AC278" s="300"/>
      <c r="AD278" s="301"/>
      <c r="AE278" s="262">
        <f>IFERROR(__xludf.DUMMYFUNCTION("IFERROR(INDEX(IMPORTRANGE(""https://docs.google.com/spreadsheets/d/1fpsE_0655xguD48cGK6n1ZqSLnI-tw9aHzhbPM9kZ-k/edit#gid=0"", ""Monitoring Summary!B:B""),MATCH(D278,IMPORTRANGE(""https://docs.google.com/spreadsheets/d/1fpsE_0655xguD48cGK6n1ZqSLnI-tw9aHzhb"&amp;"PM9kZ-k/edit#gid=0"", ""Monitoring Summary!C:C""),0)),""Not Monitored"")"),45238.0)</f>
        <v>45238</v>
      </c>
      <c r="AF278" s="263">
        <f>IFERROR(__xludf.DUMMYFUNCTION("IFERROR(INDEX(IMPORTRANGE(""https://docs.google.com/spreadsheets/d/1fpsE_0655xguD48cGK6n1ZqSLnI-tw9aHzhbPM9kZ-k/edit#gid=0"", ""Monitoring Summary!E:E""),MATCH(D278,IMPORTRANGE(""https://docs.google.com/spreadsheets/d/1fpsE_0655xguD48cGK6n1ZqSLnI-tw9aHzhb"&amp;"PM9kZ-k/edit#gid=0"", ""Monitoring Summary!C:C""),0)),""Not Monitored"")"),0.0)</f>
        <v>0</v>
      </c>
      <c r="AG278" s="264">
        <f t="shared" si="1"/>
        <v>0</v>
      </c>
      <c r="AH278" s="265" t="str">
        <f>IFERROR(__xludf.DUMMYFUNCTION("JOIN("","",TRANSPOSE(UNIQUE(INDEX(IMPORTRANGE(""https://docs.google.com/spreadsheets/d/11AU_oXqRaaUJQrahv-HbvnaYMVN-yEOQFYTKChh5U04/edit#gid=402952771"", D278),,9))))"),"1,6,89,13,90")</f>
        <v>1,6,89,13,90</v>
      </c>
    </row>
    <row r="279">
      <c r="A279" s="352">
        <v>2023.0</v>
      </c>
      <c r="B279" s="670">
        <v>44978.0</v>
      </c>
      <c r="C279" s="352" t="s">
        <v>275</v>
      </c>
      <c r="D279" s="352" t="s">
        <v>929</v>
      </c>
      <c r="E279" s="352" t="s">
        <v>170</v>
      </c>
      <c r="F279" s="352" t="s">
        <v>146</v>
      </c>
      <c r="G279" s="707" t="s">
        <v>927</v>
      </c>
      <c r="H279" s="352">
        <v>125.0</v>
      </c>
      <c r="I279" s="352" t="s">
        <v>930</v>
      </c>
      <c r="J279" s="709">
        <v>24.5406</v>
      </c>
      <c r="K279" s="709">
        <v>-81.44416</v>
      </c>
      <c r="L279" s="352"/>
      <c r="M279" s="702">
        <v>45008.0</v>
      </c>
      <c r="N279" s="681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682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682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682" t="str">
        <f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296" t="str">
        <f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295" t="str">
        <f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294">
        <v>45238.0</v>
      </c>
      <c r="U279" s="569">
        <f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stats!C:C""),0))"),0.0)</f>
        <v>0</v>
      </c>
      <c r="V279" s="298">
        <f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stats!C3:C""),0))))"),1.0)</f>
        <v>1</v>
      </c>
      <c r="W279" s="298">
        <f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stats!C3:C""),0)))"),0.0)</f>
        <v>0</v>
      </c>
      <c r="X279" s="627">
        <f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stats!C3:C""),0))"),0.0)</f>
        <v>0</v>
      </c>
      <c r="Y279" s="290"/>
      <c r="Z279" s="300"/>
      <c r="AA279" s="301"/>
      <c r="AB279" s="299"/>
      <c r="AC279" s="300"/>
      <c r="AD279" s="301"/>
      <c r="AE279" s="262">
        <f>IFERROR(__xludf.DUMMYFUNCTION("IFERROR(INDEX(IMPORTRANGE(""https://docs.google.com/spreadsheets/d/1fpsE_0655xguD48cGK6n1ZqSLnI-tw9aHzhbPM9kZ-k/edit#gid=0"", ""Monitoring Summary!B:B""),MATCH(D279,IMPORTRANGE(""https://docs.google.com/spreadsheets/d/1fpsE_0655xguD48cGK6n1ZqSLnI-tw9aHzhb"&amp;"PM9kZ-k/edit#gid=0"", ""Monitoring Summary!C:C""),0)),""Not Monitored"")"),45238.0)</f>
        <v>45238</v>
      </c>
      <c r="AF279" s="263">
        <f>IFERROR(__xludf.DUMMYFUNCTION("IFERROR(INDEX(IMPORTRANGE(""https://docs.google.com/spreadsheets/d/1fpsE_0655xguD48cGK6n1ZqSLnI-tw9aHzhbPM9kZ-k/edit#gid=0"", ""Monitoring Summary!E:E""),MATCH(D279,IMPORTRANGE(""https://docs.google.com/spreadsheets/d/1fpsE_0655xguD48cGK6n1ZqSLnI-tw9aHzhb"&amp;"PM9kZ-k/edit#gid=0"", ""Monitoring Summary!C:C""),0)),""Not Monitored"")"),0.0)</f>
        <v>0</v>
      </c>
      <c r="AG279" s="264">
        <f t="shared" si="1"/>
        <v>0</v>
      </c>
      <c r="AH279" s="265" t="str">
        <f>IFERROR(__xludf.DUMMYFUNCTION("JOIN("","",TRANSPOSE(UNIQUE(INDEX(IMPORTRANGE(""https://docs.google.com/spreadsheets/d/11AU_oXqRaaUJQrahv-HbvnaYMVN-yEOQFYTKChh5U04/edit#gid=402952771"", D279),,9))))"),"1,6,89,90,13")</f>
        <v>1,6,89,90,13</v>
      </c>
    </row>
    <row r="280">
      <c r="A280" s="352">
        <v>2023.0</v>
      </c>
      <c r="B280" s="670">
        <v>44978.0</v>
      </c>
      <c r="C280" s="352" t="s">
        <v>275</v>
      </c>
      <c r="D280" s="352" t="s">
        <v>931</v>
      </c>
      <c r="E280" s="352" t="s">
        <v>170</v>
      </c>
      <c r="F280" s="352" t="s">
        <v>146</v>
      </c>
      <c r="G280" s="707" t="s">
        <v>927</v>
      </c>
      <c r="H280" s="352">
        <v>125.0</v>
      </c>
      <c r="I280" s="352" t="s">
        <v>932</v>
      </c>
      <c r="J280" s="709">
        <v>24.54042</v>
      </c>
      <c r="K280" s="709">
        <v>-81.44502</v>
      </c>
      <c r="L280" s="352"/>
      <c r="M280" s="702">
        <v>45008.0</v>
      </c>
      <c r="N280" s="681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682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682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682" t="str">
        <f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296" t="str">
        <f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295" t="str">
        <f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294">
        <v>45238.0</v>
      </c>
      <c r="U280" s="569">
        <f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stats!C:C""),0))"),0.0)</f>
        <v>0</v>
      </c>
      <c r="V280" s="298">
        <f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stats!C3:C""),0))))"),1.0)</f>
        <v>1</v>
      </c>
      <c r="W280" s="298">
        <f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stats!C3:C""),0)))"),0.0)</f>
        <v>0</v>
      </c>
      <c r="X280" s="627">
        <f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stats!C3:C""),0))"),0.0)</f>
        <v>0</v>
      </c>
      <c r="Y280" s="290"/>
      <c r="Z280" s="300"/>
      <c r="AA280" s="301"/>
      <c r="AB280" s="299"/>
      <c r="AC280" s="300"/>
      <c r="AD280" s="301"/>
      <c r="AE280" s="262">
        <f>IFERROR(__xludf.DUMMYFUNCTION("IFERROR(INDEX(IMPORTRANGE(""https://docs.google.com/spreadsheets/d/1fpsE_0655xguD48cGK6n1ZqSLnI-tw9aHzhbPM9kZ-k/edit#gid=0"", ""Monitoring Summary!B:B""),MATCH(D280,IMPORTRANGE(""https://docs.google.com/spreadsheets/d/1fpsE_0655xguD48cGK6n1ZqSLnI-tw9aHzhb"&amp;"PM9kZ-k/edit#gid=0"", ""Monitoring Summary!C:C""),0)),""Not Monitored"")"),45238.0)</f>
        <v>45238</v>
      </c>
      <c r="AF280" s="263">
        <f>IFERROR(__xludf.DUMMYFUNCTION("IFERROR(INDEX(IMPORTRANGE(""https://docs.google.com/spreadsheets/d/1fpsE_0655xguD48cGK6n1ZqSLnI-tw9aHzhbPM9kZ-k/edit#gid=0"", ""Monitoring Summary!E:E""),MATCH(D280,IMPORTRANGE(""https://docs.google.com/spreadsheets/d/1fpsE_0655xguD48cGK6n1ZqSLnI-tw9aHzhb"&amp;"PM9kZ-k/edit#gid=0"", ""Monitoring Summary!C:C""),0)),""Not Monitored"")"),0.0)</f>
        <v>0</v>
      </c>
      <c r="AG280" s="264">
        <f t="shared" si="1"/>
        <v>0</v>
      </c>
      <c r="AH280" s="265" t="str">
        <f>IFERROR(__xludf.DUMMYFUNCTION("JOIN("","",TRANSPOSE(UNIQUE(INDEX(IMPORTRANGE(""https://docs.google.com/spreadsheets/d/11AU_oXqRaaUJQrahv-HbvnaYMVN-yEOQFYTKChh5U04/edit#gid=402952771"", D280),,9))))"),"6,13,89,1,90")</f>
        <v>6,13,89,1,90</v>
      </c>
    </row>
    <row r="281">
      <c r="A281" s="352">
        <v>2023.0</v>
      </c>
      <c r="B281" s="670">
        <v>44978.0</v>
      </c>
      <c r="C281" s="352" t="s">
        <v>428</v>
      </c>
      <c r="D281" s="352" t="s">
        <v>933</v>
      </c>
      <c r="E281" s="352" t="s">
        <v>170</v>
      </c>
      <c r="F281" s="352" t="s">
        <v>146</v>
      </c>
      <c r="G281" s="707" t="s">
        <v>927</v>
      </c>
      <c r="H281" s="352">
        <v>125.0</v>
      </c>
      <c r="I281" s="352" t="s">
        <v>934</v>
      </c>
      <c r="J281" s="709">
        <v>24.53134</v>
      </c>
      <c r="K281" s="709">
        <v>-81.48423</v>
      </c>
      <c r="L281" s="352"/>
      <c r="M281" s="702">
        <v>45008.0</v>
      </c>
      <c r="N281" s="681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682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682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682" t="str">
        <f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296" t="str">
        <f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295" t="str">
        <f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294">
        <v>45238.0</v>
      </c>
      <c r="U281" s="569">
        <f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stats!C:C""),0))"),0.0)</f>
        <v>0</v>
      </c>
      <c r="V281" s="298">
        <f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stats!C3:C""),0))))"),1.0)</f>
        <v>1</v>
      </c>
      <c r="W281" s="298">
        <f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stats!C3:C""),0)))"),0.0)</f>
        <v>0</v>
      </c>
      <c r="X281" s="627">
        <f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stats!C3:C""),0))"),0.0)</f>
        <v>0</v>
      </c>
      <c r="Y281" s="290"/>
      <c r="Z281" s="300"/>
      <c r="AA281" s="301"/>
      <c r="AB281" s="299"/>
      <c r="AC281" s="300"/>
      <c r="AD281" s="301"/>
      <c r="AE281" s="262">
        <f>IFERROR(__xludf.DUMMYFUNCTION("IFERROR(INDEX(IMPORTRANGE(""https://docs.google.com/spreadsheets/d/1fpsE_0655xguD48cGK6n1ZqSLnI-tw9aHzhbPM9kZ-k/edit#gid=0"", ""Monitoring Summary!B:B""),MATCH(D281,IMPORTRANGE(""https://docs.google.com/spreadsheets/d/1fpsE_0655xguD48cGK6n1ZqSLnI-tw9aHzhb"&amp;"PM9kZ-k/edit#gid=0"", ""Monitoring Summary!C:C""),0)),""Not Monitored"")"),45238.0)</f>
        <v>45238</v>
      </c>
      <c r="AF281" s="263">
        <f>IFERROR(__xludf.DUMMYFUNCTION("IFERROR(INDEX(IMPORTRANGE(""https://docs.google.com/spreadsheets/d/1fpsE_0655xguD48cGK6n1ZqSLnI-tw9aHzhbPM9kZ-k/edit#gid=0"", ""Monitoring Summary!E:E""),MATCH(D281,IMPORTRANGE(""https://docs.google.com/spreadsheets/d/1fpsE_0655xguD48cGK6n1ZqSLnI-tw9aHzhb"&amp;"PM9kZ-k/edit#gid=0"", ""Monitoring Summary!C:C""),0)),""Not Monitored"")"),0.0)</f>
        <v>0</v>
      </c>
      <c r="AG281" s="264">
        <f t="shared" si="1"/>
        <v>0</v>
      </c>
      <c r="AH281" s="265" t="str">
        <f>IFERROR(__xludf.DUMMYFUNCTION("JOIN("","",TRANSPOSE(UNIQUE(INDEX(IMPORTRANGE(""https://docs.google.com/spreadsheets/d/11AU_oXqRaaUJQrahv-HbvnaYMVN-yEOQFYTKChh5U04/edit#gid=402952771"", D281),,9))))"),"90,13,1,89,6")</f>
        <v>90,13,1,89,6</v>
      </c>
    </row>
    <row r="282">
      <c r="A282" s="352">
        <v>2023.0</v>
      </c>
      <c r="B282" s="670">
        <v>44978.0</v>
      </c>
      <c r="C282" s="352" t="s">
        <v>428</v>
      </c>
      <c r="D282" s="352" t="s">
        <v>935</v>
      </c>
      <c r="E282" s="352" t="s">
        <v>170</v>
      </c>
      <c r="F282" s="352" t="s">
        <v>146</v>
      </c>
      <c r="G282" s="707" t="s">
        <v>927</v>
      </c>
      <c r="H282" s="352">
        <v>125.0</v>
      </c>
      <c r="I282" s="352" t="s">
        <v>936</v>
      </c>
      <c r="J282" s="709">
        <v>24.53122</v>
      </c>
      <c r="K282" s="709">
        <v>-81.48477</v>
      </c>
      <c r="L282" s="352"/>
      <c r="M282" s="702">
        <v>45008.0</v>
      </c>
      <c r="N282" s="681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682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682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682" t="str">
        <f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296" t="str">
        <f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295" t="str">
        <f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294">
        <v>45238.0</v>
      </c>
      <c r="U282" s="569">
        <f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stats!C:C""),0))"),0.0)</f>
        <v>0</v>
      </c>
      <c r="V282" s="298">
        <f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stats!C3:C""),0))))"),1.0)</f>
        <v>1</v>
      </c>
      <c r="W282" s="298">
        <f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stats!C3:C""),0)))"),0.0)</f>
        <v>0</v>
      </c>
      <c r="X282" s="627">
        <f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stats!C3:C""),0))"),0.0)</f>
        <v>0</v>
      </c>
      <c r="Y282" s="290"/>
      <c r="Z282" s="300"/>
      <c r="AA282" s="301"/>
      <c r="AB282" s="299"/>
      <c r="AC282" s="300"/>
      <c r="AD282" s="301"/>
      <c r="AE282" s="262">
        <f>IFERROR(__xludf.DUMMYFUNCTION("IFERROR(INDEX(IMPORTRANGE(""https://docs.google.com/spreadsheets/d/1fpsE_0655xguD48cGK6n1ZqSLnI-tw9aHzhbPM9kZ-k/edit#gid=0"", ""Monitoring Summary!B:B""),MATCH(D282,IMPORTRANGE(""https://docs.google.com/spreadsheets/d/1fpsE_0655xguD48cGK6n1ZqSLnI-tw9aHzhb"&amp;"PM9kZ-k/edit#gid=0"", ""Monitoring Summary!C:C""),0)),""Not Monitored"")"),45238.0)</f>
        <v>45238</v>
      </c>
      <c r="AF282" s="263">
        <f>IFERROR(__xludf.DUMMYFUNCTION("IFERROR(INDEX(IMPORTRANGE(""https://docs.google.com/spreadsheets/d/1fpsE_0655xguD48cGK6n1ZqSLnI-tw9aHzhbPM9kZ-k/edit#gid=0"", ""Monitoring Summary!E:E""),MATCH(D282,IMPORTRANGE(""https://docs.google.com/spreadsheets/d/1fpsE_0655xguD48cGK6n1ZqSLnI-tw9aHzhb"&amp;"PM9kZ-k/edit#gid=0"", ""Monitoring Summary!C:C""),0)),""Not Monitored"")"),0.0)</f>
        <v>0</v>
      </c>
      <c r="AG282" s="264">
        <f t="shared" si="1"/>
        <v>0</v>
      </c>
      <c r="AH282" s="265" t="str">
        <f>IFERROR(__xludf.DUMMYFUNCTION("JOIN("","",TRANSPOSE(UNIQUE(INDEX(IMPORTRANGE(""https://docs.google.com/spreadsheets/d/11AU_oXqRaaUJQrahv-HbvnaYMVN-yEOQFYTKChh5U04/edit#gid=402952771"", D282),,9))))"),"1,89,13,90,6")</f>
        <v>1,89,13,90,6</v>
      </c>
    </row>
    <row r="283">
      <c r="A283" s="352">
        <v>2023.0</v>
      </c>
      <c r="B283" s="670">
        <v>44978.0</v>
      </c>
      <c r="C283" s="352" t="s">
        <v>428</v>
      </c>
      <c r="D283" s="352" t="s">
        <v>937</v>
      </c>
      <c r="E283" s="352" t="s">
        <v>170</v>
      </c>
      <c r="F283" s="352" t="s">
        <v>146</v>
      </c>
      <c r="G283" s="707" t="s">
        <v>927</v>
      </c>
      <c r="H283" s="352">
        <v>125.0</v>
      </c>
      <c r="I283" s="352" t="s">
        <v>938</v>
      </c>
      <c r="J283" s="709">
        <v>24.53106</v>
      </c>
      <c r="K283" s="709">
        <v>-81.48518</v>
      </c>
      <c r="L283" s="352"/>
      <c r="M283" s="702">
        <v>45008.0</v>
      </c>
      <c r="N283" s="681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682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682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682" t="str">
        <f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296" t="str">
        <f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295" t="str">
        <f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294">
        <v>45238.0</v>
      </c>
      <c r="U283" s="569">
        <f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stats!C:C""),0))"),0.0)</f>
        <v>0</v>
      </c>
      <c r="V283" s="298">
        <f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stats!C3:C""),0))))"),1.0)</f>
        <v>1</v>
      </c>
      <c r="W283" s="298">
        <f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stats!C3:C""),0)))"),0.0)</f>
        <v>0</v>
      </c>
      <c r="X283" s="627">
        <f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stats!C3:C""),0))"),0.0)</f>
        <v>0</v>
      </c>
      <c r="Y283" s="290"/>
      <c r="Z283" s="300"/>
      <c r="AA283" s="301"/>
      <c r="AB283" s="299"/>
      <c r="AC283" s="300"/>
      <c r="AD283" s="301"/>
      <c r="AE283" s="262">
        <f>IFERROR(__xludf.DUMMYFUNCTION("IFERROR(INDEX(IMPORTRANGE(""https://docs.google.com/spreadsheets/d/1fpsE_0655xguD48cGK6n1ZqSLnI-tw9aHzhbPM9kZ-k/edit#gid=0"", ""Monitoring Summary!B:B""),MATCH(D283,IMPORTRANGE(""https://docs.google.com/spreadsheets/d/1fpsE_0655xguD48cGK6n1ZqSLnI-tw9aHzhb"&amp;"PM9kZ-k/edit#gid=0"", ""Monitoring Summary!C:C""),0)),""Not Monitored"")"),45238.0)</f>
        <v>45238</v>
      </c>
      <c r="AF283" s="263">
        <f>IFERROR(__xludf.DUMMYFUNCTION("IFERROR(INDEX(IMPORTRANGE(""https://docs.google.com/spreadsheets/d/1fpsE_0655xguD48cGK6n1ZqSLnI-tw9aHzhbPM9kZ-k/edit#gid=0"", ""Monitoring Summary!E:E""),MATCH(D283,IMPORTRANGE(""https://docs.google.com/spreadsheets/d/1fpsE_0655xguD48cGK6n1ZqSLnI-tw9aHzhb"&amp;"PM9kZ-k/edit#gid=0"", ""Monitoring Summary!C:C""),0)),""Not Monitored"")"),0.0)</f>
        <v>0</v>
      </c>
      <c r="AG283" s="264">
        <f t="shared" si="1"/>
        <v>0</v>
      </c>
      <c r="AH283" s="265" t="str">
        <f>IFERROR(__xludf.DUMMYFUNCTION("JOIN("","",TRANSPOSE(UNIQUE(INDEX(IMPORTRANGE(""https://docs.google.com/spreadsheets/d/11AU_oXqRaaUJQrahv-HbvnaYMVN-yEOQFYTKChh5U04/edit#gid=402952771"", D283),,9))))"),"13,90,89,1,6")</f>
        <v>13,90,89,1,6</v>
      </c>
    </row>
    <row r="284">
      <c r="A284" s="662">
        <v>2023.0</v>
      </c>
      <c r="B284" s="663">
        <v>44984.0</v>
      </c>
      <c r="C284" s="662" t="s">
        <v>614</v>
      </c>
      <c r="D284" s="662" t="s">
        <v>939</v>
      </c>
      <c r="E284" s="662" t="s">
        <v>170</v>
      </c>
      <c r="F284" s="662" t="s">
        <v>161</v>
      </c>
      <c r="G284" s="633" t="s">
        <v>73</v>
      </c>
      <c r="H284" s="662">
        <v>500.0</v>
      </c>
      <c r="I284" s="662" t="s">
        <v>652</v>
      </c>
      <c r="J284" s="642">
        <v>24.51847</v>
      </c>
      <c r="K284" s="642">
        <v>-81.54015</v>
      </c>
      <c r="L284" s="662" t="s">
        <v>940</v>
      </c>
      <c r="M284" s="702">
        <v>45013.0</v>
      </c>
      <c r="N284" s="681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682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682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682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96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95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294">
        <v>45264.0</v>
      </c>
      <c r="U284" s="569">
        <f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stats!C:C""),0))"),0.0)</f>
        <v>0</v>
      </c>
      <c r="V284" s="298">
        <f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stats!C3:C""),0))))"),1.0)</f>
        <v>1</v>
      </c>
      <c r="W284" s="298">
        <f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stats!C3:C""),0)))"),0.0)</f>
        <v>0</v>
      </c>
      <c r="X284" s="627">
        <f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stats!C3:C""),0))"),0.0)</f>
        <v>0</v>
      </c>
      <c r="Y284" s="290"/>
      <c r="Z284" s="300"/>
      <c r="AA284" s="301"/>
      <c r="AB284" s="299"/>
      <c r="AC284" s="300"/>
      <c r="AD284" s="301"/>
      <c r="AE284" s="262">
        <f>IFERROR(__xludf.DUMMYFUNCTION("IFERROR(INDEX(IMPORTRANGE(""https://docs.google.com/spreadsheets/d/1fpsE_0655xguD48cGK6n1ZqSLnI-tw9aHzhbPM9kZ-k/edit#gid=0"", ""Monitoring Summary!B:B""),MATCH(D284,IMPORTRANGE(""https://docs.google.com/spreadsheets/d/1fpsE_0655xguD48cGK6n1ZqSLnI-tw9aHzhb"&amp;"PM9kZ-k/edit#gid=0"", ""Monitoring Summary!C:C""),0)),""Not Monitored"")"),45264.0)</f>
        <v>45264</v>
      </c>
      <c r="AF284" s="263">
        <f>IFERROR(__xludf.DUMMYFUNCTION("IFERROR(INDEX(IMPORTRANGE(""https://docs.google.com/spreadsheets/d/1fpsE_0655xguD48cGK6n1ZqSLnI-tw9aHzhbPM9kZ-k/edit#gid=0"", ""Monitoring Summary!E:E""),MATCH(D284,IMPORTRANGE(""https://docs.google.com/spreadsheets/d/1fpsE_0655xguD48cGK6n1ZqSLnI-tw9aHzhb"&amp;"PM9kZ-k/edit#gid=0"", ""Monitoring Summary!C:C""),0)),""Not Monitored"")"),0.0)</f>
        <v>0</v>
      </c>
      <c r="AG284" s="264">
        <f t="shared" si="1"/>
        <v>0</v>
      </c>
      <c r="AH284" s="265" t="str">
        <f>IFERROR(__xludf.DUMMYFUNCTION("JOIN("","",TRANSPOSE(UNIQUE(INDEX(IMPORTRANGE(""https://docs.google.com/spreadsheets/d/11AU_oXqRaaUJQrahv-HbvnaYMVN-yEOQFYTKChh5U04/edit#gid=402952771"", D284),,9))))"),"1,13,FM-8,31,75,CU-035,80,84,FM-6,CU-015")</f>
        <v>1,13,FM-8,31,75,CU-035,80,84,FM-6,CU-015</v>
      </c>
    </row>
    <row r="285">
      <c r="A285" s="698">
        <v>2023.0</v>
      </c>
      <c r="B285" s="699">
        <v>44986.0</v>
      </c>
      <c r="C285" s="698" t="s">
        <v>591</v>
      </c>
      <c r="D285" s="698" t="s">
        <v>941</v>
      </c>
      <c r="E285" s="698" t="s">
        <v>170</v>
      </c>
      <c r="F285" s="698" t="s">
        <v>161</v>
      </c>
      <c r="G285" s="700" t="s">
        <v>89</v>
      </c>
      <c r="H285" s="698">
        <v>500.0</v>
      </c>
      <c r="I285" s="698" t="s">
        <v>423</v>
      </c>
      <c r="J285" s="701">
        <v>24.47212</v>
      </c>
      <c r="K285" s="701">
        <v>-81.76418</v>
      </c>
      <c r="L285" s="698"/>
      <c r="M285" s="702">
        <v>45013.0</v>
      </c>
      <c r="N285" s="681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682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682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682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96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95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294">
        <v>45240.0</v>
      </c>
      <c r="U285" s="569">
        <f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stats!C:C""),0))"),0.0)</f>
        <v>0</v>
      </c>
      <c r="V285" s="298">
        <f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stats!C3:C""),0))))"),1.0)</f>
        <v>1</v>
      </c>
      <c r="W285" s="298">
        <f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stats!C3:C""),0)))"),0.0)</f>
        <v>0</v>
      </c>
      <c r="X285" s="627">
        <f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stats!C3:C""),0))"),0.0)</f>
        <v>0</v>
      </c>
      <c r="Y285" s="290"/>
      <c r="Z285" s="300"/>
      <c r="AA285" s="301"/>
      <c r="AB285" s="299"/>
      <c r="AC285" s="300"/>
      <c r="AD285" s="301"/>
      <c r="AE285" s="262">
        <f>IFERROR(__xludf.DUMMYFUNCTION("IFERROR(INDEX(IMPORTRANGE(""https://docs.google.com/spreadsheets/d/1fpsE_0655xguD48cGK6n1ZqSLnI-tw9aHzhbPM9kZ-k/edit#gid=0"", ""Monitoring Summary!B:B""),MATCH(D285,IMPORTRANGE(""https://docs.google.com/spreadsheets/d/1fpsE_0655xguD48cGK6n1ZqSLnI-tw9aHzhb"&amp;"PM9kZ-k/edit#gid=0"", ""Monitoring Summary!C:C""),0)),""Not Monitored"")"),45240.0)</f>
        <v>45240</v>
      </c>
      <c r="AF285" s="263">
        <f>IFERROR(__xludf.DUMMYFUNCTION("IFERROR(INDEX(IMPORTRANGE(""https://docs.google.com/spreadsheets/d/1fpsE_0655xguD48cGK6n1ZqSLnI-tw9aHzhbPM9kZ-k/edit#gid=0"", ""Monitoring Summary!E:E""),MATCH(D285,IMPORTRANGE(""https://docs.google.com/spreadsheets/d/1fpsE_0655xguD48cGK6n1ZqSLnI-tw9aHzhb"&amp;"PM9kZ-k/edit#gid=0"", ""Monitoring Summary!C:C""),0)),""Not Monitored"")"),0.0)</f>
        <v>0</v>
      </c>
      <c r="AG285" s="264">
        <f t="shared" si="1"/>
        <v>0</v>
      </c>
      <c r="AH285" s="265" t="str">
        <f>IFERROR(__xludf.DUMMYFUNCTION("JOIN("","",TRANSPOSE(UNIQUE(INDEX(IMPORTRANGE(""https://docs.google.com/spreadsheets/d/11AU_oXqRaaUJQrahv-HbvnaYMVN-yEOQFYTKChh5U04/edit#gid=402952771"", D285),,9))))"),"75,76,41,31,13,77,20,91,47,1")</f>
        <v>75,76,41,31,13,77,20,91,47,1</v>
      </c>
    </row>
    <row r="286">
      <c r="A286" s="698">
        <v>2023.0</v>
      </c>
      <c r="B286" s="699">
        <v>44991.0</v>
      </c>
      <c r="C286" s="698" t="s">
        <v>851</v>
      </c>
      <c r="D286" s="698" t="s">
        <v>942</v>
      </c>
      <c r="E286" s="698" t="s">
        <v>170</v>
      </c>
      <c r="F286" s="698" t="s">
        <v>161</v>
      </c>
      <c r="G286" s="700" t="s">
        <v>89</v>
      </c>
      <c r="H286" s="698">
        <v>500.0</v>
      </c>
      <c r="I286" s="698" t="s">
        <v>290</v>
      </c>
      <c r="J286" s="701">
        <v>24.45692</v>
      </c>
      <c r="K286" s="701">
        <v>-81.90785</v>
      </c>
      <c r="L286" s="698"/>
      <c r="M286" s="702">
        <v>45019.0</v>
      </c>
      <c r="N286" s="567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96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96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96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96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95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294">
        <v>45307.0</v>
      </c>
      <c r="U286" s="569">
        <f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stats!C:C""),0))"),1.0)</f>
        <v>1</v>
      </c>
      <c r="V286" s="298">
        <f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stats!C3:C""),0))))"),0.0)</f>
        <v>0</v>
      </c>
      <c r="W286" s="298">
        <f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stats!C3:C""),0)))"),0.0)</f>
        <v>0</v>
      </c>
      <c r="X286" s="627">
        <f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stats!C3:C""),0))"),0.0)</f>
        <v>0</v>
      </c>
      <c r="Y286" s="290"/>
      <c r="Z286" s="300"/>
      <c r="AA286" s="301"/>
      <c r="AB286" s="299"/>
      <c r="AC286" s="300"/>
      <c r="AD286" s="301"/>
      <c r="AE286" s="328">
        <f>IFERROR(__xludf.DUMMYFUNCTION("IFERROR(INDEX(IMPORTRANGE(""https://docs.google.com/spreadsheets/d/1fpsE_0655xguD48cGK6n1ZqSLnI-tw9aHzhbPM9kZ-k/edit#gid=0"", ""Monitoring Summary!B:B""),MATCH(D286,IMPORTRANGE(""https://docs.google.com/spreadsheets/d/1fpsE_0655xguD48cGK6n1ZqSLnI-tw9aHzhb"&amp;"PM9kZ-k/edit#gid=0"", ""Monitoring Summary!C:C""),0)),""Not Monitored"")"),45307.0)</f>
        <v>45307</v>
      </c>
      <c r="AF286" s="329">
        <f>IFERROR(__xludf.DUMMYFUNCTION("IFERROR(INDEX(IMPORTRANGE(""https://docs.google.com/spreadsheets/d/1fpsE_0655xguD48cGK6n1ZqSLnI-tw9aHzhbPM9kZ-k/edit#gid=0"", ""Monitoring Summary!E:E""),MATCH(D286,IMPORTRANGE(""https://docs.google.com/spreadsheets/d/1fpsE_0655xguD48cGK6n1ZqSLnI-tw9aHzhb"&amp;"PM9kZ-k/edit#gid=0"", ""Monitoring Summary!C:C""),0)),""Not Monitored"")"),0.0)</f>
        <v>0</v>
      </c>
      <c r="AG286" s="330">
        <f t="shared" si="1"/>
        <v>0</v>
      </c>
      <c r="AH286" s="331" t="str">
        <f>IFERROR(__xludf.DUMMYFUNCTION("JOIN("","",TRANSPOSE(UNIQUE(INDEX(IMPORTRANGE(""https://docs.google.com/spreadsheets/d/11AU_oXqRaaUJQrahv-HbvnaYMVN-yEOQFYTKChh5U04/edit#gid=402952771"", D286),,9))))"),"34,1,31,75,38,36,10,4,13,20")</f>
        <v>34,1,31,75,38,36,10,4,13,20</v>
      </c>
    </row>
    <row r="287">
      <c r="A287" s="710">
        <v>2023.0</v>
      </c>
      <c r="B287" s="711">
        <v>44993.0</v>
      </c>
      <c r="C287" s="710" t="s">
        <v>642</v>
      </c>
      <c r="D287" s="710" t="s">
        <v>943</v>
      </c>
      <c r="E287" s="710" t="s">
        <v>170</v>
      </c>
      <c r="F287" s="710" t="s">
        <v>161</v>
      </c>
      <c r="G287" s="712" t="s">
        <v>89</v>
      </c>
      <c r="H287" s="710">
        <v>500.0</v>
      </c>
      <c r="I287" s="710" t="s">
        <v>316</v>
      </c>
      <c r="J287" s="713">
        <v>24.4449</v>
      </c>
      <c r="K287" s="713">
        <v>-81.92522</v>
      </c>
      <c r="L287" s="710"/>
      <c r="M287" s="705">
        <v>45019.0</v>
      </c>
      <c r="N287" s="575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56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56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56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56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55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688"/>
      <c r="U287" s="576" t="str">
        <f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58" t="str">
        <f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58" t="str">
        <f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640" t="str">
        <f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250"/>
      <c r="Z287" s="260"/>
      <c r="AA287" s="261"/>
      <c r="AB287" s="259"/>
      <c r="AC287" s="260"/>
      <c r="AD287" s="261"/>
      <c r="AE287" s="262">
        <f>IFERROR(__xludf.DUMMYFUNCTION("IFERROR(INDEX(IMPORTRANGE(""https://docs.google.com/spreadsheets/d/1fpsE_0655xguD48cGK6n1ZqSLnI-tw9aHzhbPM9kZ-k/edit#gid=0"", ""Monitoring Summary!B:B""),MATCH(D287,IMPORTRANGE(""https://docs.google.com/spreadsheets/d/1fpsE_0655xguD48cGK6n1ZqSLnI-tw9aHzhb"&amp;"PM9kZ-k/edit#gid=0"", ""Monitoring Summary!C:C""),0)),""Not Monitored"")"),45307.0)</f>
        <v>45307</v>
      </c>
      <c r="AF287" s="263">
        <f>IFERROR(__xludf.DUMMYFUNCTION("IFERROR(INDEX(IMPORTRANGE(""https://docs.google.com/spreadsheets/d/1fpsE_0655xguD48cGK6n1ZqSLnI-tw9aHzhbPM9kZ-k/edit#gid=0"", ""Monitoring Summary!E:E""),MATCH(D287,IMPORTRANGE(""https://docs.google.com/spreadsheets/d/1fpsE_0655xguD48cGK6n1ZqSLnI-tw9aHzhb"&amp;"PM9kZ-k/edit#gid=0"", ""Monitoring Summary!C:C""),0)),""Not Monitored"")"),3.0)</f>
        <v>3</v>
      </c>
      <c r="AG287" s="264">
        <f t="shared" si="1"/>
        <v>0.006</v>
      </c>
      <c r="AH287" s="265" t="str">
        <f>IFERROR(__xludf.DUMMYFUNCTION("JOIN("","",TRANSPOSE(UNIQUE(INDEX(IMPORTRANGE(""https://docs.google.com/spreadsheets/d/11AU_oXqRaaUJQrahv-HbvnaYMVN-yEOQFYTKChh5U04/edit#gid=402952771"", D287),,9))))"),"92,56,34,84,48,62,3,CU-103,FM-4,CM-033")</f>
        <v>92,56,34,84,48,62,3,CU-103,FM-4,CM-033</v>
      </c>
    </row>
    <row r="288">
      <c r="A288" s="662">
        <v>2023.0</v>
      </c>
      <c r="B288" s="663">
        <v>45014.0</v>
      </c>
      <c r="C288" s="662" t="s">
        <v>586</v>
      </c>
      <c r="D288" s="662" t="s">
        <v>944</v>
      </c>
      <c r="E288" s="662" t="s">
        <v>170</v>
      </c>
      <c r="F288" s="662" t="s">
        <v>161</v>
      </c>
      <c r="G288" s="633" t="s">
        <v>73</v>
      </c>
      <c r="H288" s="662">
        <v>500.0</v>
      </c>
      <c r="I288" s="662" t="s">
        <v>841</v>
      </c>
      <c r="J288" s="642">
        <v>24.53336</v>
      </c>
      <c r="K288" s="642">
        <v>-81.47099</v>
      </c>
      <c r="L288" s="662" t="s">
        <v>945</v>
      </c>
      <c r="M288" s="702">
        <v>45043.0</v>
      </c>
      <c r="N288" s="567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96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96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96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96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95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294">
        <v>45247.0</v>
      </c>
      <c r="U288" s="569">
        <f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stats!C:C""),0))"),0.0)</f>
        <v>0</v>
      </c>
      <c r="V288" s="298">
        <f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stats!C3:C""),0))))"),1.0)</f>
        <v>1</v>
      </c>
      <c r="W288" s="298">
        <f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stats!C3:C""),0)))"),0.0)</f>
        <v>0</v>
      </c>
      <c r="X288" s="627">
        <f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stats!C3:C""),0))"),0.0)</f>
        <v>0</v>
      </c>
      <c r="Y288" s="290"/>
      <c r="Z288" s="300"/>
      <c r="AA288" s="301"/>
      <c r="AB288" s="299"/>
      <c r="AC288" s="300"/>
      <c r="AD288" s="301"/>
      <c r="AE288" s="262">
        <f>IFERROR(__xludf.DUMMYFUNCTION("IFERROR(INDEX(IMPORTRANGE(""https://docs.google.com/spreadsheets/d/1fpsE_0655xguD48cGK6n1ZqSLnI-tw9aHzhbPM9kZ-k/edit#gid=0"", ""Monitoring Summary!B:B""),MATCH(D288,IMPORTRANGE(""https://docs.google.com/spreadsheets/d/1fpsE_0655xguD48cGK6n1ZqSLnI-tw9aHzhb"&amp;"PM9kZ-k/edit#gid=0"", ""Monitoring Summary!C:C""),0)),""Not Monitored"")"),45247.0)</f>
        <v>45247</v>
      </c>
      <c r="AF288" s="263">
        <f>IFERROR(__xludf.DUMMYFUNCTION("IFERROR(INDEX(IMPORTRANGE(""https://docs.google.com/spreadsheets/d/1fpsE_0655xguD48cGK6n1ZqSLnI-tw9aHzhbPM9kZ-k/edit#gid=0"", ""Monitoring Summary!E:E""),MATCH(D288,IMPORTRANGE(""https://docs.google.com/spreadsheets/d/1fpsE_0655xguD48cGK6n1ZqSLnI-tw9aHzhb"&amp;"PM9kZ-k/edit#gid=0"", ""Monitoring Summary!C:C""),0)),""Not Monitored"")"),0.0)</f>
        <v>0</v>
      </c>
      <c r="AG288" s="264">
        <f t="shared" si="1"/>
        <v>0</v>
      </c>
      <c r="AH288" s="265" t="str">
        <f>IFERROR(__xludf.DUMMYFUNCTION("JOIN("","",TRANSPOSE(UNIQUE(INDEX(IMPORTRANGE(""https://docs.google.com/spreadsheets/d/11AU_oXqRaaUJQrahv-HbvnaYMVN-yEOQFYTKChh5U04/edit#gid=402952771"", D288),,9))))"),"31,RD-4,CU-015,36,70,48,50,RD-2,78,4")</f>
        <v>31,RD-4,CU-015,36,70,48,50,RD-2,78,4</v>
      </c>
    </row>
    <row r="289">
      <c r="A289" s="672">
        <v>2023.0</v>
      </c>
      <c r="B289" s="673">
        <v>45026.0</v>
      </c>
      <c r="C289" s="672" t="s">
        <v>292</v>
      </c>
      <c r="D289" s="672" t="s">
        <v>946</v>
      </c>
      <c r="E289" s="672" t="s">
        <v>170</v>
      </c>
      <c r="F289" s="672" t="s">
        <v>161</v>
      </c>
      <c r="G289" s="703" t="s">
        <v>92</v>
      </c>
      <c r="H289" s="672">
        <v>500.0</v>
      </c>
      <c r="I289" s="672" t="s">
        <v>947</v>
      </c>
      <c r="J289" s="704">
        <v>24.45829</v>
      </c>
      <c r="K289" s="704">
        <v>-81.84432</v>
      </c>
      <c r="L289" s="672" t="s">
        <v>430</v>
      </c>
      <c r="M289" s="705">
        <v>45056.0</v>
      </c>
      <c r="N289" s="575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56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56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56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56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55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688"/>
      <c r="U289" s="576" t="str">
        <f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58" t="str">
        <f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58" t="str">
        <f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640" t="str">
        <f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250"/>
      <c r="Z289" s="260"/>
      <c r="AA289" s="261"/>
      <c r="AB289" s="259"/>
      <c r="AC289" s="260"/>
      <c r="AD289" s="261"/>
      <c r="AE289" s="262">
        <f>IFERROR(__xludf.DUMMYFUNCTION("IFERROR(INDEX(IMPORTRANGE(""https://docs.google.com/spreadsheets/d/1fpsE_0655xguD48cGK6n1ZqSLnI-tw9aHzhbPM9kZ-k/edit#gid=0"", ""Monitoring Summary!B:B""),MATCH(D289,IMPORTRANGE(""https://docs.google.com/spreadsheets/d/1fpsE_0655xguD48cGK6n1ZqSLnI-tw9aHzhb"&amp;"PM9kZ-k/edit#gid=0"", ""Monitoring Summary!C:C""),0)),""Not Monitored"")"),45294.0)</f>
        <v>45294</v>
      </c>
      <c r="AF289" s="263">
        <f>IFERROR(__xludf.DUMMYFUNCTION("IFERROR(INDEX(IMPORTRANGE(""https://docs.google.com/spreadsheets/d/1fpsE_0655xguD48cGK6n1ZqSLnI-tw9aHzhbPM9kZ-k/edit#gid=0"", ""Monitoring Summary!E:E""),MATCH(D289,IMPORTRANGE(""https://docs.google.com/spreadsheets/d/1fpsE_0655xguD48cGK6n1ZqSLnI-tw9aHzhb"&amp;"PM9kZ-k/edit#gid=0"", ""Monitoring Summary!C:C""),0)),""Not Monitored"")"),12.0)</f>
        <v>12</v>
      </c>
      <c r="AG289" s="264">
        <f t="shared" si="1"/>
        <v>0.024</v>
      </c>
      <c r="AH289" s="265" t="str">
        <f>IFERROR(__xludf.DUMMYFUNCTION("JOIN("","",TRANSPOSE(UNIQUE(INDEX(IMPORTRANGE(""https://docs.google.com/spreadsheets/d/11AU_oXqRaaUJQrahv-HbvnaYMVN-yEOQFYTKChh5U04/edit#gid=402952771"", D289),,9))))"),"78,31,8,80,7,47,89,76,1,36")</f>
        <v>78,31,8,80,7,47,89,76,1,36</v>
      </c>
    </row>
    <row r="290">
      <c r="A290" s="352">
        <v>2023.0</v>
      </c>
      <c r="B290" s="670">
        <v>45035.0</v>
      </c>
      <c r="C290" s="352" t="s">
        <v>168</v>
      </c>
      <c r="D290" s="352" t="s">
        <v>948</v>
      </c>
      <c r="E290" s="352" t="s">
        <v>170</v>
      </c>
      <c r="F290" s="352" t="s">
        <v>161</v>
      </c>
      <c r="G290" s="714" t="s">
        <v>78</v>
      </c>
      <c r="H290" s="352">
        <v>300.0</v>
      </c>
      <c r="I290" s="352" t="s">
        <v>949</v>
      </c>
      <c r="J290" s="709">
        <v>24.52206</v>
      </c>
      <c r="K290" s="709">
        <v>-81.52215</v>
      </c>
      <c r="L290" s="352"/>
      <c r="M290" s="667">
        <v>45069.0</v>
      </c>
      <c r="N290" s="567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96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96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96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96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95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294">
        <v>45198.0</v>
      </c>
      <c r="U290" s="569">
        <f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stats!C:C""),0))"),0.0)</f>
        <v>0</v>
      </c>
      <c r="V290" s="298">
        <f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stats!C3:C""),0))))"),1.0)</f>
        <v>1</v>
      </c>
      <c r="W290" s="298">
        <f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stats!C3:C""),0)))"),0.0)</f>
        <v>0</v>
      </c>
      <c r="X290" s="627">
        <f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stats!C3:C""),0))"),0.0)</f>
        <v>0</v>
      </c>
      <c r="Y290" s="290"/>
      <c r="Z290" s="300"/>
      <c r="AA290" s="301"/>
      <c r="AB290" s="299"/>
      <c r="AC290" s="300"/>
      <c r="AD290" s="301"/>
      <c r="AE290" s="262">
        <f>IFERROR(__xludf.DUMMYFUNCTION("IFERROR(INDEX(IMPORTRANGE(""https://docs.google.com/spreadsheets/d/1fpsE_0655xguD48cGK6n1ZqSLnI-tw9aHzhbPM9kZ-k/edit#gid=0"", ""Monitoring Summary!B:B""),MATCH(D290,IMPORTRANGE(""https://docs.google.com/spreadsheets/d/1fpsE_0655xguD48cGK6n1ZqSLnI-tw9aHzhb"&amp;"PM9kZ-k/edit#gid=0"", ""Monitoring Summary!C:C""),0)),""Not Monitored"")"),45198.0)</f>
        <v>45198</v>
      </c>
      <c r="AF290" s="263">
        <f>IFERROR(__xludf.DUMMYFUNCTION("IFERROR(INDEX(IMPORTRANGE(""https://docs.google.com/spreadsheets/d/1fpsE_0655xguD48cGK6n1ZqSLnI-tw9aHzhbPM9kZ-k/edit#gid=0"", ""Monitoring Summary!E:E""),MATCH(D290,IMPORTRANGE(""https://docs.google.com/spreadsheets/d/1fpsE_0655xguD48cGK6n1ZqSLnI-tw9aHzhb"&amp;"PM9kZ-k/edit#gid=0"", ""Monitoring Summary!C:C""),0)),""Not Monitored"")"),0.0)</f>
        <v>0</v>
      </c>
      <c r="AG290" s="264">
        <f t="shared" si="1"/>
        <v>0</v>
      </c>
      <c r="AH290" s="265" t="str">
        <f>IFERROR(__xludf.DUMMYFUNCTION("JOIN("","",TRANSPOSE(UNIQUE(INDEX(IMPORTRANGE(""https://docs.google.com/spreadsheets/d/11AU_oXqRaaUJQrahv-HbvnaYMVN-yEOQFYTKChh5U04/edit#gid=402952771"", D290),,9))))"),"38,36,CU-035,55,CU-076,DT-1")</f>
        <v>38,36,CU-035,55,CU-076,DT-1</v>
      </c>
    </row>
    <row r="291">
      <c r="A291" s="352">
        <v>2023.0</v>
      </c>
      <c r="B291" s="670">
        <v>45035.0</v>
      </c>
      <c r="C291" s="352" t="s">
        <v>345</v>
      </c>
      <c r="D291" s="352" t="s">
        <v>950</v>
      </c>
      <c r="E291" s="352" t="s">
        <v>170</v>
      </c>
      <c r="F291" s="352" t="s">
        <v>161</v>
      </c>
      <c r="G291" s="714" t="s">
        <v>78</v>
      </c>
      <c r="H291" s="352">
        <v>300.0</v>
      </c>
      <c r="I291" s="352" t="s">
        <v>951</v>
      </c>
      <c r="J291" s="709">
        <v>24.51045</v>
      </c>
      <c r="K291" s="709">
        <v>-81.56986</v>
      </c>
      <c r="L291" s="352"/>
      <c r="M291" s="667">
        <v>45069.0</v>
      </c>
      <c r="N291" s="567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96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96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96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96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95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294">
        <v>45198.0</v>
      </c>
      <c r="U291" s="569">
        <f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stats!C:C""),0))"),0.0)</f>
        <v>0</v>
      </c>
      <c r="V291" s="298">
        <f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stats!C3:C""),0))))"),1.0)</f>
        <v>1</v>
      </c>
      <c r="W291" s="298">
        <f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stats!C3:C""),0)))"),0.0)</f>
        <v>0</v>
      </c>
      <c r="X291" s="627">
        <f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stats!C3:C""),0))"),0.0)</f>
        <v>0</v>
      </c>
      <c r="Y291" s="290"/>
      <c r="Z291" s="300"/>
      <c r="AA291" s="301"/>
      <c r="AB291" s="299"/>
      <c r="AC291" s="300"/>
      <c r="AD291" s="301"/>
      <c r="AE291" s="262">
        <f>IFERROR(__xludf.DUMMYFUNCTION("IFERROR(INDEX(IMPORTRANGE(""https://docs.google.com/spreadsheets/d/1fpsE_0655xguD48cGK6n1ZqSLnI-tw9aHzhbPM9kZ-k/edit#gid=0"", ""Monitoring Summary!B:B""),MATCH(D291,IMPORTRANGE(""https://docs.google.com/spreadsheets/d/1fpsE_0655xguD48cGK6n1ZqSLnI-tw9aHzhb"&amp;"PM9kZ-k/edit#gid=0"", ""Monitoring Summary!C:C""),0)),""Not Monitored"")"),45198.0)</f>
        <v>45198</v>
      </c>
      <c r="AF291" s="263">
        <f>IFERROR(__xludf.DUMMYFUNCTION("IFERROR(INDEX(IMPORTRANGE(""https://docs.google.com/spreadsheets/d/1fpsE_0655xguD48cGK6n1ZqSLnI-tw9aHzhbPM9kZ-k/edit#gid=0"", ""Monitoring Summary!E:E""),MATCH(D291,IMPORTRANGE(""https://docs.google.com/spreadsheets/d/1fpsE_0655xguD48cGK6n1ZqSLnI-tw9aHzhb"&amp;"PM9kZ-k/edit#gid=0"", ""Monitoring Summary!C:C""),0)),""Not Monitored"")"),0.0)</f>
        <v>0</v>
      </c>
      <c r="AG291" s="264">
        <f t="shared" si="1"/>
        <v>0</v>
      </c>
      <c r="AH291" s="265" t="str">
        <f>IFERROR(__xludf.DUMMYFUNCTION("JOIN("","",TRANSPOSE(UNIQUE(INDEX(IMPORTRANGE(""https://docs.google.com/spreadsheets/d/11AU_oXqRaaUJQrahv-HbvnaYMVN-yEOQFYTKChh5U04/edit#gid=402952771"", D291),,9))))"),"CU-066,76,54,80,386,469")</f>
        <v>CU-066,76,54,80,386,469</v>
      </c>
    </row>
    <row r="292">
      <c r="A292" s="352">
        <v>2023.0</v>
      </c>
      <c r="B292" s="670">
        <v>45036.0</v>
      </c>
      <c r="C292" s="352" t="s">
        <v>350</v>
      </c>
      <c r="D292" s="352" t="s">
        <v>952</v>
      </c>
      <c r="E292" s="352" t="s">
        <v>170</v>
      </c>
      <c r="F292" s="352" t="s">
        <v>161</v>
      </c>
      <c r="G292" s="714" t="s">
        <v>76</v>
      </c>
      <c r="H292" s="352">
        <v>400.0</v>
      </c>
      <c r="I292" s="352" t="s">
        <v>953</v>
      </c>
      <c r="J292" s="709">
        <v>24.47325</v>
      </c>
      <c r="K292" s="709">
        <v>-81.74539</v>
      </c>
      <c r="L292" s="352"/>
      <c r="M292" s="667">
        <v>45069.0</v>
      </c>
      <c r="N292" s="567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96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96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96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96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95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294">
        <v>45208.0</v>
      </c>
      <c r="U292" s="569">
        <f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stats!C:C""),0))"),0.0)</f>
        <v>0</v>
      </c>
      <c r="V292" s="298">
        <f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stats!C3:C""),0))))"),1.0)</f>
        <v>1</v>
      </c>
      <c r="W292" s="298">
        <f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stats!C3:C""),0)))"),0.0)</f>
        <v>0</v>
      </c>
      <c r="X292" s="627">
        <f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stats!C3:C""),0))"),0.0)</f>
        <v>0</v>
      </c>
      <c r="Y292" s="290"/>
      <c r="Z292" s="300"/>
      <c r="AA292" s="301"/>
      <c r="AB292" s="299"/>
      <c r="AC292" s="300"/>
      <c r="AD292" s="301"/>
      <c r="AE292" s="262">
        <f>IFERROR(__xludf.DUMMYFUNCTION("IFERROR(INDEX(IMPORTRANGE(""https://docs.google.com/spreadsheets/d/1fpsE_0655xguD48cGK6n1ZqSLnI-tw9aHzhbPM9kZ-k/edit#gid=0"", ""Monitoring Summary!B:B""),MATCH(D292,IMPORTRANGE(""https://docs.google.com/spreadsheets/d/1fpsE_0655xguD48cGK6n1ZqSLnI-tw9aHzhb"&amp;"PM9kZ-k/edit#gid=0"", ""Monitoring Summary!C:C""),0)),""Not Monitored"")"),45208.0)</f>
        <v>45208</v>
      </c>
      <c r="AF292" s="263">
        <f>IFERROR(__xludf.DUMMYFUNCTION("IFERROR(INDEX(IMPORTRANGE(""https://docs.google.com/spreadsheets/d/1fpsE_0655xguD48cGK6n1ZqSLnI-tw9aHzhbPM9kZ-k/edit#gid=0"", ""Monitoring Summary!E:E""),MATCH(D292,IMPORTRANGE(""https://docs.google.com/spreadsheets/d/1fpsE_0655xguD48cGK6n1ZqSLnI-tw9aHzhb"&amp;"PM9kZ-k/edit#gid=0"", ""Monitoring Summary!C:C""),0)),""Not Monitored"")"),0.0)</f>
        <v>0</v>
      </c>
      <c r="AG292" s="264">
        <f t="shared" si="1"/>
        <v>0</v>
      </c>
      <c r="AH292" s="265" t="str">
        <f>IFERROR(__xludf.DUMMYFUNCTION("JOIN("","",TRANSPOSE(UNIQUE(INDEX(IMPORTRANGE(""https://docs.google.com/spreadsheets/d/11AU_oXqRaaUJQrahv-HbvnaYMVN-yEOQFYTKChh5U04/edit#gid=402952771"", D292),,9))))"),"77,CM-032,34,50,38,88,56,FM-5")</f>
        <v>77,CM-032,34,50,38,88,56,FM-5</v>
      </c>
    </row>
    <row r="293">
      <c r="A293" s="352">
        <v>2023.0</v>
      </c>
      <c r="B293" s="670">
        <v>45036.0</v>
      </c>
      <c r="C293" s="352" t="s">
        <v>340</v>
      </c>
      <c r="D293" s="352" t="s">
        <v>954</v>
      </c>
      <c r="E293" s="352" t="s">
        <v>170</v>
      </c>
      <c r="F293" s="352" t="s">
        <v>161</v>
      </c>
      <c r="G293" s="714" t="s">
        <v>78</v>
      </c>
      <c r="H293" s="352">
        <v>400.0</v>
      </c>
      <c r="I293" s="352" t="s">
        <v>955</v>
      </c>
      <c r="J293" s="709">
        <v>24.48226</v>
      </c>
      <c r="K293" s="709">
        <v>-81.70522</v>
      </c>
      <c r="L293" s="352"/>
      <c r="M293" s="667">
        <v>45069.0</v>
      </c>
      <c r="N293" s="567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96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96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96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96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95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294">
        <v>45208.0</v>
      </c>
      <c r="U293" s="569">
        <f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stats!C:C""),0))"),0.0)</f>
        <v>0</v>
      </c>
      <c r="V293" s="298">
        <f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stats!C3:C""),0))))"),1.0)</f>
        <v>1</v>
      </c>
      <c r="W293" s="298">
        <f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stats!C3:C""),0)))"),0.0)</f>
        <v>0</v>
      </c>
      <c r="X293" s="627">
        <f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stats!C3:C""),0))"),0.0)</f>
        <v>0</v>
      </c>
      <c r="Y293" s="290"/>
      <c r="Z293" s="300"/>
      <c r="AA293" s="301"/>
      <c r="AB293" s="299"/>
      <c r="AC293" s="300"/>
      <c r="AD293" s="301"/>
      <c r="AE293" s="262">
        <f>IFERROR(__xludf.DUMMYFUNCTION("IFERROR(INDEX(IMPORTRANGE(""https://docs.google.com/spreadsheets/d/1fpsE_0655xguD48cGK6n1ZqSLnI-tw9aHzhbPM9kZ-k/edit#gid=0"", ""Monitoring Summary!B:B""),MATCH(D293,IMPORTRANGE(""https://docs.google.com/spreadsheets/d/1fpsE_0655xguD48cGK6n1ZqSLnI-tw9aHzhb"&amp;"PM9kZ-k/edit#gid=0"", ""Monitoring Summary!C:C""),0)),""Not Monitored"")"),45208.0)</f>
        <v>45208</v>
      </c>
      <c r="AF293" s="263">
        <f>IFERROR(__xludf.DUMMYFUNCTION("IFERROR(INDEX(IMPORTRANGE(""https://docs.google.com/spreadsheets/d/1fpsE_0655xguD48cGK6n1ZqSLnI-tw9aHzhbPM9kZ-k/edit#gid=0"", ""Monitoring Summary!E:E""),MATCH(D293,IMPORTRANGE(""https://docs.google.com/spreadsheets/d/1fpsE_0655xguD48cGK6n1ZqSLnI-tw9aHzhb"&amp;"PM9kZ-k/edit#gid=0"", ""Monitoring Summary!C:C""),0)),""Not Monitored"")"),0.0)</f>
        <v>0</v>
      </c>
      <c r="AG293" s="264">
        <f t="shared" si="1"/>
        <v>0</v>
      </c>
      <c r="AH293" s="265" t="str">
        <f>IFERROR(__xludf.DUMMYFUNCTION("JOIN("","",TRANSPOSE(UNIQUE(INDEX(IMPORTRANGE(""https://docs.google.com/spreadsheets/d/11AU_oXqRaaUJQrahv-HbvnaYMVN-yEOQFYTKChh5U04/edit#gid=402952771"", D293),,9))))"),"77,CM-032,34,50,38,88,56,FM-5")</f>
        <v>77,CM-032,34,50,38,88,56,FM-5</v>
      </c>
    </row>
    <row r="294">
      <c r="A294" s="359">
        <v>2023.0</v>
      </c>
      <c r="B294" s="668">
        <v>45040.0</v>
      </c>
      <c r="C294" s="359" t="s">
        <v>268</v>
      </c>
      <c r="D294" s="359" t="s">
        <v>956</v>
      </c>
      <c r="E294" s="359" t="s">
        <v>170</v>
      </c>
      <c r="F294" s="359" t="s">
        <v>161</v>
      </c>
      <c r="G294" s="715" t="s">
        <v>76</v>
      </c>
      <c r="H294" s="359">
        <v>300.0</v>
      </c>
      <c r="I294" s="359" t="s">
        <v>957</v>
      </c>
      <c r="J294" s="716">
        <v>24.45174</v>
      </c>
      <c r="K294" s="716">
        <v>-81.87912</v>
      </c>
      <c r="L294" s="359"/>
      <c r="M294" s="717">
        <v>45065.0</v>
      </c>
      <c r="N294" s="575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56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56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56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56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55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271">
        <v>45204.0</v>
      </c>
      <c r="U294" s="576">
        <f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stats!C:C""),0))"),0.0)</f>
        <v>0</v>
      </c>
      <c r="V294" s="258">
        <f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stats!C3:C""),0))))"),1.0)</f>
        <v>1</v>
      </c>
      <c r="W294" s="258">
        <f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stats!C3:C""),0)))"),0.0)</f>
        <v>0</v>
      </c>
      <c r="X294" s="640">
        <f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stats!C3:C""),0))"),0.0)</f>
        <v>0</v>
      </c>
      <c r="Y294" s="250"/>
      <c r="Z294" s="260"/>
      <c r="AA294" s="261"/>
      <c r="AB294" s="259"/>
      <c r="AC294" s="260"/>
      <c r="AD294" s="261"/>
      <c r="AE294" s="262">
        <f>IFERROR(__xludf.DUMMYFUNCTION("IFERROR(INDEX(IMPORTRANGE(""https://docs.google.com/spreadsheets/d/1fpsE_0655xguD48cGK6n1ZqSLnI-tw9aHzhbPM9kZ-k/edit#gid=0"", ""Monitoring Summary!B:B""),MATCH(D294,IMPORTRANGE(""https://docs.google.com/spreadsheets/d/1fpsE_0655xguD48cGK6n1ZqSLnI-tw9aHzhb"&amp;"PM9kZ-k/edit#gid=0"", ""Monitoring Summary!C:C""),0)),""Not Monitored"")"),45204.0)</f>
        <v>45204</v>
      </c>
      <c r="AF294" s="263">
        <f>IFERROR(__xludf.DUMMYFUNCTION("IFERROR(INDEX(IMPORTRANGE(""https://docs.google.com/spreadsheets/d/1fpsE_0655xguD48cGK6n1ZqSLnI-tw9aHzhbPM9kZ-k/edit#gid=0"", ""Monitoring Summary!E:E""),MATCH(D294,IMPORTRANGE(""https://docs.google.com/spreadsheets/d/1fpsE_0655xguD48cGK6n1ZqSLnI-tw9aHzhb"&amp;"PM9kZ-k/edit#gid=0"", ""Monitoring Summary!C:C""),0)),""Not Monitored"")"),8.0)</f>
        <v>8</v>
      </c>
      <c r="AG294" s="264">
        <f t="shared" si="1"/>
        <v>0.02666666667</v>
      </c>
      <c r="AH294" s="265" t="str">
        <f>IFERROR(__xludf.DUMMYFUNCTION("JOIN("","",TRANSPOSE(UNIQUE(INDEX(IMPORTRANGE(""https://docs.google.com/spreadsheets/d/11AU_oXqRaaUJQrahv-HbvnaYMVN-yEOQFYTKChh5U04/edit#gid=402952771"", D294),,9))))"),"6,84,57,29,36,1")</f>
        <v>6,84,57,29,36,1</v>
      </c>
    </row>
    <row r="295">
      <c r="A295" s="352">
        <v>2023.0</v>
      </c>
      <c r="B295" s="670">
        <v>45040.0</v>
      </c>
      <c r="C295" s="352" t="s">
        <v>286</v>
      </c>
      <c r="D295" s="352" t="s">
        <v>958</v>
      </c>
      <c r="E295" s="352" t="s">
        <v>170</v>
      </c>
      <c r="F295" s="352" t="s">
        <v>161</v>
      </c>
      <c r="G295" s="714" t="s">
        <v>76</v>
      </c>
      <c r="H295" s="352">
        <v>300.0</v>
      </c>
      <c r="I295" s="352" t="s">
        <v>959</v>
      </c>
      <c r="J295" s="709">
        <v>24.45491</v>
      </c>
      <c r="K295" s="709">
        <v>-81.85671</v>
      </c>
      <c r="L295" s="352"/>
      <c r="M295" s="667">
        <v>45065.0</v>
      </c>
      <c r="N295" s="567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96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96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96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96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95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294">
        <v>45204.0</v>
      </c>
      <c r="U295" s="569">
        <f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stats!C:C""),0))"),0.0)</f>
        <v>0</v>
      </c>
      <c r="V295" s="298">
        <f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stats!C3:C""),0))))"),1.0)</f>
        <v>1</v>
      </c>
      <c r="W295" s="298">
        <f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stats!C3:C""),0)))"),0.0)</f>
        <v>0</v>
      </c>
      <c r="X295" s="627">
        <f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stats!C3:C""),0))"),0.0)</f>
        <v>0</v>
      </c>
      <c r="Y295" s="290"/>
      <c r="Z295" s="300"/>
      <c r="AA295" s="301"/>
      <c r="AB295" s="299"/>
      <c r="AC295" s="300"/>
      <c r="AD295" s="301"/>
      <c r="AE295" s="262">
        <f>IFERROR(__xludf.DUMMYFUNCTION("IFERROR(INDEX(IMPORTRANGE(""https://docs.google.com/spreadsheets/d/1fpsE_0655xguD48cGK6n1ZqSLnI-tw9aHzhbPM9kZ-k/edit#gid=0"", ""Monitoring Summary!B:B""),MATCH(D295,IMPORTRANGE(""https://docs.google.com/spreadsheets/d/1fpsE_0655xguD48cGK6n1ZqSLnI-tw9aHzhb"&amp;"PM9kZ-k/edit#gid=0"", ""Monitoring Summary!C:C""),0)),""Not Monitored"")"),45204.0)</f>
        <v>45204</v>
      </c>
      <c r="AF295" s="263">
        <f>IFERROR(__xludf.DUMMYFUNCTION("IFERROR(INDEX(IMPORTRANGE(""https://docs.google.com/spreadsheets/d/1fpsE_0655xguD48cGK6n1ZqSLnI-tw9aHzhbPM9kZ-k/edit#gid=0"", ""Monitoring Summary!E:E""),MATCH(D295,IMPORTRANGE(""https://docs.google.com/spreadsheets/d/1fpsE_0655xguD48cGK6n1ZqSLnI-tw9aHzhb"&amp;"PM9kZ-k/edit#gid=0"", ""Monitoring Summary!C:C""),0)),""Not Monitored"")"),0.0)</f>
        <v>0</v>
      </c>
      <c r="AG295" s="264">
        <f t="shared" si="1"/>
        <v>0</v>
      </c>
      <c r="AH295" s="265" t="str">
        <f>IFERROR(__xludf.DUMMYFUNCTION("JOIN("","",TRANSPOSE(UNIQUE(INDEX(IMPORTRANGE(""https://docs.google.com/spreadsheets/d/11AU_oXqRaaUJQrahv-HbvnaYMVN-yEOQFYTKChh5U04/edit#gid=402952771"", D295),,9))))"),"6,84,57,29,36,1")</f>
        <v>6,84,57,29,36,1</v>
      </c>
    </row>
    <row r="296">
      <c r="A296" s="664">
        <v>2023.0</v>
      </c>
      <c r="B296" s="665">
        <v>45056.0</v>
      </c>
      <c r="C296" s="664" t="s">
        <v>292</v>
      </c>
      <c r="D296" s="664" t="s">
        <v>960</v>
      </c>
      <c r="E296" s="664" t="s">
        <v>170</v>
      </c>
      <c r="F296" s="664" t="s">
        <v>161</v>
      </c>
      <c r="G296" s="621" t="s">
        <v>92</v>
      </c>
      <c r="H296" s="664">
        <v>500.0</v>
      </c>
      <c r="I296" s="664" t="s">
        <v>961</v>
      </c>
      <c r="J296" s="623">
        <v>24.45895</v>
      </c>
      <c r="K296" s="623">
        <v>-81.84429</v>
      </c>
      <c r="L296" s="664"/>
      <c r="M296" s="667">
        <v>45085.0</v>
      </c>
      <c r="N296" s="567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96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96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96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96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95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294">
        <v>45293.0</v>
      </c>
      <c r="U296" s="569">
        <f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stats!C:C""),0))"),0.0)</f>
        <v>0</v>
      </c>
      <c r="V296" s="298">
        <f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stats!C3:C""),0))))"),1.0)</f>
        <v>1</v>
      </c>
      <c r="W296" s="298">
        <f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stats!C3:C""),0)))"),0.0)</f>
        <v>0</v>
      </c>
      <c r="X296" s="627">
        <f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stats!C3:C""),0))"),0.0)</f>
        <v>0</v>
      </c>
      <c r="Y296" s="667">
        <v>45293.0</v>
      </c>
      <c r="Z296" s="300"/>
      <c r="AA296" s="301"/>
      <c r="AB296" s="299"/>
      <c r="AC296" s="300"/>
      <c r="AD296" s="301"/>
      <c r="AE296" s="262">
        <f>IFERROR(__xludf.DUMMYFUNCTION("IFERROR(INDEX(IMPORTRANGE(""https://docs.google.com/spreadsheets/d/1fpsE_0655xguD48cGK6n1ZqSLnI-tw9aHzhbPM9kZ-k/edit#gid=0"", ""Monitoring Summary!B:B""),MATCH(D296,IMPORTRANGE(""https://docs.google.com/spreadsheets/d/1fpsE_0655xguD48cGK6n1ZqSLnI-tw9aHzhb"&amp;"PM9kZ-k/edit#gid=0"", ""Monitoring Summary!C:C""),0)),""Not Monitored"")"),45293.0)</f>
        <v>45293</v>
      </c>
      <c r="AF296" s="263">
        <f>IFERROR(__xludf.DUMMYFUNCTION("IFERROR(INDEX(IMPORTRANGE(""https://docs.google.com/spreadsheets/d/1fpsE_0655xguD48cGK6n1ZqSLnI-tw9aHzhbPM9kZ-k/edit#gid=0"", ""Monitoring Summary!E:E""),MATCH(D296,IMPORTRANGE(""https://docs.google.com/spreadsheets/d/1fpsE_0655xguD48cGK6n1ZqSLnI-tw9aHzhb"&amp;"PM9kZ-k/edit#gid=0"", ""Monitoring Summary!C:C""),0)),""Not Monitored"")"),0.0)</f>
        <v>0</v>
      </c>
      <c r="AG296" s="264">
        <f t="shared" si="1"/>
        <v>0</v>
      </c>
      <c r="AH296" s="265" t="str">
        <f>IFERROR(__xludf.DUMMYFUNCTION("JOIN("","",TRANSPOSE(UNIQUE(INDEX(IMPORTRANGE(""https://docs.google.com/spreadsheets/d/11AU_oXqRaaUJQrahv-HbvnaYMVN-yEOQFYTKChh5U04/edit#gid=402952771"", D296),,9))))"),"CU-103,RD-2,92,80,CM-032,78,RD-5,88,47,41")</f>
        <v>CU-103,RD-2,92,80,CM-032,78,RD-5,88,47,41</v>
      </c>
    </row>
    <row r="297">
      <c r="A297" s="352">
        <v>2023.0</v>
      </c>
      <c r="B297" s="670">
        <v>45062.0</v>
      </c>
      <c r="C297" s="352" t="s">
        <v>962</v>
      </c>
      <c r="D297" s="352" t="s">
        <v>963</v>
      </c>
      <c r="E297" s="352" t="s">
        <v>170</v>
      </c>
      <c r="F297" s="352" t="s">
        <v>161</v>
      </c>
      <c r="G297" s="707" t="s">
        <v>80</v>
      </c>
      <c r="H297" s="352">
        <v>300.0</v>
      </c>
      <c r="I297" s="352" t="s">
        <v>235</v>
      </c>
      <c r="J297" s="709">
        <v>24.62621</v>
      </c>
      <c r="K297" s="709">
        <v>-81.10946</v>
      </c>
      <c r="L297" s="352"/>
      <c r="M297" s="667">
        <v>45106.0</v>
      </c>
      <c r="N297" s="567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96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96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96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96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95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294">
        <v>45205.0</v>
      </c>
      <c r="U297" s="569">
        <f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stats!C:C""),0))"),0.0)</f>
        <v>0</v>
      </c>
      <c r="V297" s="298">
        <f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stats!C3:C""),0))))"),1.0)</f>
        <v>1</v>
      </c>
      <c r="W297" s="298">
        <f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stats!C3:C""),0)))"),0.0)</f>
        <v>0</v>
      </c>
      <c r="X297" s="627">
        <f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stats!C3:C""),0))"),0.0)</f>
        <v>0</v>
      </c>
      <c r="Y297" s="667"/>
      <c r="Z297" s="300"/>
      <c r="AA297" s="301"/>
      <c r="AB297" s="299"/>
      <c r="AC297" s="300"/>
      <c r="AD297" s="301"/>
      <c r="AE297" s="262">
        <f>IFERROR(__xludf.DUMMYFUNCTION("IFERROR(INDEX(IMPORTRANGE(""https://docs.google.com/spreadsheets/d/1fpsE_0655xguD48cGK6n1ZqSLnI-tw9aHzhbPM9kZ-k/edit#gid=0"", ""Monitoring Summary!B:B""),MATCH(D297,IMPORTRANGE(""https://docs.google.com/spreadsheets/d/1fpsE_0655xguD48cGK6n1ZqSLnI-tw9aHzhb"&amp;"PM9kZ-k/edit#gid=0"", ""Monitoring Summary!C:C""),0)),""Not Monitored"")"),45205.0)</f>
        <v>45205</v>
      </c>
      <c r="AF297" s="263">
        <f>IFERROR(__xludf.DUMMYFUNCTION("IFERROR(INDEX(IMPORTRANGE(""https://docs.google.com/spreadsheets/d/1fpsE_0655xguD48cGK6n1ZqSLnI-tw9aHzhbPM9kZ-k/edit#gid=0"", ""Monitoring Summary!E:E""),MATCH(D297,IMPORTRANGE(""https://docs.google.com/spreadsheets/d/1fpsE_0655xguD48cGK6n1ZqSLnI-tw9aHzhb"&amp;"PM9kZ-k/edit#gid=0"", ""Monitoring Summary!C:C""),0)),""Not Monitored"")"),0.0)</f>
        <v>0</v>
      </c>
      <c r="AG297" s="264">
        <f t="shared" si="1"/>
        <v>0</v>
      </c>
      <c r="AH297" s="265" t="str">
        <f>IFERROR(__xludf.DUMMYFUNCTION("JOIN("","",TRANSPOSE(UNIQUE(INDEX(IMPORTRANGE(""https://docs.google.com/spreadsheets/d/11AU_oXqRaaUJQrahv-HbvnaYMVN-yEOQFYTKChh5U04/edit#gid=402952771"", D297),,9))))"),"95,62,249,48,214,47")</f>
        <v>95,62,249,48,214,47</v>
      </c>
    </row>
    <row r="298">
      <c r="A298" s="352">
        <v>2023.0</v>
      </c>
      <c r="B298" s="670">
        <v>45062.0</v>
      </c>
      <c r="C298" s="352" t="s">
        <v>964</v>
      </c>
      <c r="D298" s="352" t="s">
        <v>965</v>
      </c>
      <c r="E298" s="352" t="s">
        <v>170</v>
      </c>
      <c r="F298" s="352" t="s">
        <v>161</v>
      </c>
      <c r="G298" s="707" t="s">
        <v>80</v>
      </c>
      <c r="H298" s="352">
        <v>400.0</v>
      </c>
      <c r="I298" s="352" t="s">
        <v>176</v>
      </c>
      <c r="J298" s="709">
        <v>24.68441</v>
      </c>
      <c r="K298" s="709">
        <v>-80.96599</v>
      </c>
      <c r="L298" s="352"/>
      <c r="M298" s="667">
        <v>45106.0</v>
      </c>
      <c r="N298" s="567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96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96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96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96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95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294">
        <v>45205.0</v>
      </c>
      <c r="U298" s="569">
        <f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stats!C:C""),0))"),0.0)</f>
        <v>0</v>
      </c>
      <c r="V298" s="298">
        <f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stats!C3:C""),0))))"),1.0)</f>
        <v>1</v>
      </c>
      <c r="W298" s="298">
        <f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stats!C3:C""),0)))"),0.0)</f>
        <v>0</v>
      </c>
      <c r="X298" s="627">
        <f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stats!C3:C""),0))"),0.0)</f>
        <v>0</v>
      </c>
      <c r="Y298" s="667"/>
      <c r="Z298" s="300"/>
      <c r="AA298" s="301"/>
      <c r="AB298" s="299"/>
      <c r="AC298" s="300"/>
      <c r="AD298" s="301"/>
      <c r="AE298" s="262">
        <f>IFERROR(__xludf.DUMMYFUNCTION("IFERROR(INDEX(IMPORTRANGE(""https://docs.google.com/spreadsheets/d/1fpsE_0655xguD48cGK6n1ZqSLnI-tw9aHzhbPM9kZ-k/edit#gid=0"", ""Monitoring Summary!B:B""),MATCH(D298,IMPORTRANGE(""https://docs.google.com/spreadsheets/d/1fpsE_0655xguD48cGK6n1ZqSLnI-tw9aHzhb"&amp;"PM9kZ-k/edit#gid=0"", ""Monitoring Summary!C:C""),0)),""Not Monitored"")"),45205.0)</f>
        <v>45205</v>
      </c>
      <c r="AF298" s="263">
        <f>IFERROR(__xludf.DUMMYFUNCTION("IFERROR(INDEX(IMPORTRANGE(""https://docs.google.com/spreadsheets/d/1fpsE_0655xguD48cGK6n1ZqSLnI-tw9aHzhbPM9kZ-k/edit#gid=0"", ""Monitoring Summary!E:E""),MATCH(D298,IMPORTRANGE(""https://docs.google.com/spreadsheets/d/1fpsE_0655xguD48cGK6n1ZqSLnI-tw9aHzhb"&amp;"PM9kZ-k/edit#gid=0"", ""Monitoring Summary!C:C""),0)),""Not Monitored"")"),0.0)</f>
        <v>0</v>
      </c>
      <c r="AG298" s="264">
        <f t="shared" si="1"/>
        <v>0</v>
      </c>
      <c r="AH298" s="265" t="str">
        <f>IFERROR(__xludf.DUMMYFUNCTION("JOIN("","",TRANSPOSE(UNIQUE(INDEX(IMPORTRANGE(""https://docs.google.com/spreadsheets/d/11AU_oXqRaaUJQrahv-HbvnaYMVN-yEOQFYTKChh5U04/edit#gid=402952771"", D298),,9))))"),"95,62,393,CU-030,75,212,CU-076,CU-020")</f>
        <v>95,62,393,CU-030,75,212,CU-076,CU-020</v>
      </c>
    </row>
    <row r="299">
      <c r="A299" s="352">
        <v>2023.0</v>
      </c>
      <c r="B299" s="670">
        <v>45068.0</v>
      </c>
      <c r="C299" s="352" t="s">
        <v>966</v>
      </c>
      <c r="D299" s="352" t="s">
        <v>967</v>
      </c>
      <c r="E299" s="352" t="s">
        <v>170</v>
      </c>
      <c r="F299" s="352" t="s">
        <v>161</v>
      </c>
      <c r="G299" s="707" t="s">
        <v>80</v>
      </c>
      <c r="H299" s="352">
        <v>300.0</v>
      </c>
      <c r="I299" s="352" t="s">
        <v>235</v>
      </c>
      <c r="J299" s="709">
        <v>24.77622</v>
      </c>
      <c r="K299" s="709">
        <v>-80.73689</v>
      </c>
      <c r="L299" s="352"/>
      <c r="M299" s="667">
        <v>45106.0</v>
      </c>
      <c r="N299" s="567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96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96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96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96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95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294">
        <v>45205.0</v>
      </c>
      <c r="U299" s="569">
        <f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stats!C:C""),0))"),0.0)</f>
        <v>0</v>
      </c>
      <c r="V299" s="298">
        <f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stats!C3:C""),0))))"),1.0)</f>
        <v>1</v>
      </c>
      <c r="W299" s="298">
        <f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stats!C3:C""),0)))"),0.0)</f>
        <v>0</v>
      </c>
      <c r="X299" s="627">
        <f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stats!C3:C""),0))"),0.0)</f>
        <v>0</v>
      </c>
      <c r="Y299" s="667"/>
      <c r="Z299" s="300"/>
      <c r="AA299" s="301"/>
      <c r="AB299" s="299"/>
      <c r="AC299" s="300"/>
      <c r="AD299" s="301"/>
      <c r="AE299" s="262">
        <f>IFERROR(__xludf.DUMMYFUNCTION("IFERROR(INDEX(IMPORTRANGE(""https://docs.google.com/spreadsheets/d/1fpsE_0655xguD48cGK6n1ZqSLnI-tw9aHzhbPM9kZ-k/edit#gid=0"", ""Monitoring Summary!B:B""),MATCH(D299,IMPORTRANGE(""https://docs.google.com/spreadsheets/d/1fpsE_0655xguD48cGK6n1ZqSLnI-tw9aHzhb"&amp;"PM9kZ-k/edit#gid=0"", ""Monitoring Summary!C:C""),0)),""Not Monitored"")"),45205.0)</f>
        <v>45205</v>
      </c>
      <c r="AF299" s="263">
        <f>IFERROR(__xludf.DUMMYFUNCTION("IFERROR(INDEX(IMPORTRANGE(""https://docs.google.com/spreadsheets/d/1fpsE_0655xguD48cGK6n1ZqSLnI-tw9aHzhbPM9kZ-k/edit#gid=0"", ""Monitoring Summary!E:E""),MATCH(D299,IMPORTRANGE(""https://docs.google.com/spreadsheets/d/1fpsE_0655xguD48cGK6n1ZqSLnI-tw9aHzhb"&amp;"PM9kZ-k/edit#gid=0"", ""Monitoring Summary!C:C""),0)),""Not Monitored"")"),0.0)</f>
        <v>0</v>
      </c>
      <c r="AG299" s="264">
        <f t="shared" si="1"/>
        <v>0</v>
      </c>
      <c r="AH299" s="265" t="str">
        <f>IFERROR(__xludf.DUMMYFUNCTION("JOIN("","",TRANSPOSE(UNIQUE(INDEX(IMPORTRANGE(""https://docs.google.com/spreadsheets/d/11AU_oXqRaaUJQrahv-HbvnaYMVN-yEOQFYTKChh5U04/edit#gid=402952771"", D299),,9))))"),"1,3,13,FM-5,31,7")</f>
        <v>1,3,13,FM-5,31,7</v>
      </c>
    </row>
    <row r="300">
      <c r="A300" s="664">
        <v>2023.0</v>
      </c>
      <c r="B300" s="665">
        <v>45078.0</v>
      </c>
      <c r="C300" s="664" t="s">
        <v>292</v>
      </c>
      <c r="D300" s="664" t="s">
        <v>968</v>
      </c>
      <c r="E300" s="664" t="s">
        <v>170</v>
      </c>
      <c r="F300" s="664" t="s">
        <v>161</v>
      </c>
      <c r="G300" s="621" t="s">
        <v>92</v>
      </c>
      <c r="H300" s="664">
        <v>500.0</v>
      </c>
      <c r="I300" s="664" t="s">
        <v>969</v>
      </c>
      <c r="J300" s="623">
        <v>24.45901</v>
      </c>
      <c r="K300" s="623">
        <v>-81.84425</v>
      </c>
      <c r="L300" s="664"/>
      <c r="M300" s="667">
        <v>45112.0</v>
      </c>
      <c r="N300" s="567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96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96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96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96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95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294">
        <v>45293.0</v>
      </c>
      <c r="U300" s="569">
        <f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stats!C:C""),0))"),0.0)</f>
        <v>0</v>
      </c>
      <c r="V300" s="298">
        <f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stats!C3:C""),0))))"),1.0)</f>
        <v>1</v>
      </c>
      <c r="W300" s="298">
        <f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stats!C3:C""),0)))"),0.0)</f>
        <v>0</v>
      </c>
      <c r="X300" s="627">
        <f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stats!C3:C""),0))"),0.0)</f>
        <v>0</v>
      </c>
      <c r="Y300" s="667">
        <v>45293.0</v>
      </c>
      <c r="Z300" s="300"/>
      <c r="AA300" s="301"/>
      <c r="AB300" s="299"/>
      <c r="AC300" s="300"/>
      <c r="AD300" s="301"/>
      <c r="AE300" s="262">
        <f>IFERROR(__xludf.DUMMYFUNCTION("IFERROR(INDEX(IMPORTRANGE(""https://docs.google.com/spreadsheets/d/1fpsE_0655xguD48cGK6n1ZqSLnI-tw9aHzhbPM9kZ-k/edit#gid=0"", ""Monitoring Summary!B:B""),MATCH(D300,IMPORTRANGE(""https://docs.google.com/spreadsheets/d/1fpsE_0655xguD48cGK6n1ZqSLnI-tw9aHzhb"&amp;"PM9kZ-k/edit#gid=0"", ""Monitoring Summary!C:C""),0)),""Not Monitored"")"),45293.0)</f>
        <v>45293</v>
      </c>
      <c r="AF300" s="263">
        <f>IFERROR(__xludf.DUMMYFUNCTION("IFERROR(INDEX(IMPORTRANGE(""https://docs.google.com/spreadsheets/d/1fpsE_0655xguD48cGK6n1ZqSLnI-tw9aHzhbPM9kZ-k/edit#gid=0"", ""Monitoring Summary!E:E""),MATCH(D300,IMPORTRANGE(""https://docs.google.com/spreadsheets/d/1fpsE_0655xguD48cGK6n1ZqSLnI-tw9aHzhb"&amp;"PM9kZ-k/edit#gid=0"", ""Monitoring Summary!C:C""),0)),""Not Monitored"")"),0.0)</f>
        <v>0</v>
      </c>
      <c r="AG300" s="264">
        <f t="shared" si="1"/>
        <v>0</v>
      </c>
      <c r="AH300" s="265" t="str">
        <f>IFERROR(__xludf.DUMMYFUNCTION("JOIN("","",TRANSPOSE(UNIQUE(INDEX(IMPORTRANGE(""https://docs.google.com/spreadsheets/d/11AU_oXqRaaUJQrahv-HbvnaYMVN-yEOQFYTKChh5U04/edit#gid=402952771"", D300),,9))))"),"89,80,78,84,75,48,4,46,96,20")</f>
        <v>89,80,78,84,75,48,4,46,96,20</v>
      </c>
    </row>
    <row r="301">
      <c r="A301" s="352">
        <v>2023.0</v>
      </c>
      <c r="B301" s="670">
        <v>45082.0</v>
      </c>
      <c r="C301" s="352" t="s">
        <v>337</v>
      </c>
      <c r="D301" s="352" t="s">
        <v>970</v>
      </c>
      <c r="E301" s="352" t="s">
        <v>170</v>
      </c>
      <c r="F301" s="352" t="s">
        <v>161</v>
      </c>
      <c r="G301" s="707" t="s">
        <v>89</v>
      </c>
      <c r="H301" s="352">
        <v>500.0</v>
      </c>
      <c r="I301" s="352" t="s">
        <v>517</v>
      </c>
      <c r="J301" s="709">
        <v>24.49289</v>
      </c>
      <c r="K301" s="709">
        <v>-81.65966</v>
      </c>
      <c r="L301" s="352"/>
      <c r="M301" s="667">
        <v>45113.0</v>
      </c>
      <c r="N301" s="567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96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96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96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96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95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294">
        <v>45240.0</v>
      </c>
      <c r="U301" s="569">
        <f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stats!C:C""),0))"),0.0)</f>
        <v>0</v>
      </c>
      <c r="V301" s="298">
        <f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stats!C3:C""),0))))"),1.0)</f>
        <v>1</v>
      </c>
      <c r="W301" s="298">
        <f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stats!C3:C""),0)))"),0.0)</f>
        <v>0</v>
      </c>
      <c r="X301" s="627">
        <f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stats!C3:C""),0))"),0.0)</f>
        <v>0</v>
      </c>
      <c r="Y301" s="290"/>
      <c r="Z301" s="300"/>
      <c r="AA301" s="301"/>
      <c r="AB301" s="299"/>
      <c r="AC301" s="300"/>
      <c r="AD301" s="301"/>
      <c r="AE301" s="262">
        <f>IFERROR(__xludf.DUMMYFUNCTION("IFERROR(INDEX(IMPORTRANGE(""https://docs.google.com/spreadsheets/d/1fpsE_0655xguD48cGK6n1ZqSLnI-tw9aHzhbPM9kZ-k/edit#gid=0"", ""Monitoring Summary!B:B""),MATCH(D301,IMPORTRANGE(""https://docs.google.com/spreadsheets/d/1fpsE_0655xguD48cGK6n1ZqSLnI-tw9aHzhb"&amp;"PM9kZ-k/edit#gid=0"", ""Monitoring Summary!C:C""),0)),""Not Monitored"")"),45240.0)</f>
        <v>45240</v>
      </c>
      <c r="AF301" s="263">
        <f>IFERROR(__xludf.DUMMYFUNCTION("IFERROR(INDEX(IMPORTRANGE(""https://docs.google.com/spreadsheets/d/1fpsE_0655xguD48cGK6n1ZqSLnI-tw9aHzhbPM9kZ-k/edit#gid=0"", ""Monitoring Summary!E:E""),MATCH(D301,IMPORTRANGE(""https://docs.google.com/spreadsheets/d/1fpsE_0655xguD48cGK6n1ZqSLnI-tw9aHzhb"&amp;"PM9kZ-k/edit#gid=0"", ""Monitoring Summary!C:C""),0)),""Not Monitored"")"),0.0)</f>
        <v>0</v>
      </c>
      <c r="AG301" s="264">
        <f t="shared" si="1"/>
        <v>0</v>
      </c>
      <c r="AH301" s="265" t="str">
        <f>IFERROR(__xludf.DUMMYFUNCTION("JOIN("","",TRANSPOSE(UNIQUE(INDEX(IMPORTRANGE(""https://docs.google.com/spreadsheets/d/11AU_oXqRaaUJQrahv-HbvnaYMVN-yEOQFYTKChh5U04/edit#gid=402952771"", D301),,9))))"),"3,RD-4,RD-2,RD-5,CU-041,78,51,8,77,20")</f>
        <v>3,RD-4,RD-2,RD-5,CU-041,78,51,8,77,20</v>
      </c>
    </row>
    <row r="302">
      <c r="A302" s="352">
        <v>2023.0</v>
      </c>
      <c r="B302" s="670">
        <v>45087.0</v>
      </c>
      <c r="C302" s="352" t="s">
        <v>275</v>
      </c>
      <c r="D302" s="352" t="s">
        <v>971</v>
      </c>
      <c r="E302" s="352" t="s">
        <v>170</v>
      </c>
      <c r="F302" s="352" t="s">
        <v>161</v>
      </c>
      <c r="G302" s="707" t="s">
        <v>89</v>
      </c>
      <c r="H302" s="352">
        <v>500.0</v>
      </c>
      <c r="I302" s="352" t="s">
        <v>972</v>
      </c>
      <c r="J302" s="709">
        <v>24.54021</v>
      </c>
      <c r="K302" s="709">
        <v>-81.44872</v>
      </c>
      <c r="L302" s="352" t="s">
        <v>973</v>
      </c>
      <c r="M302" s="667">
        <v>45117.0</v>
      </c>
      <c r="N302" s="567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96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96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96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96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95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294">
        <v>45247.0</v>
      </c>
      <c r="U302" s="569">
        <f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stats!C:C""),0))"),0.0)</f>
        <v>0</v>
      </c>
      <c r="V302" s="298">
        <f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stats!C3:C""),0))))"),1.0)</f>
        <v>1</v>
      </c>
      <c r="W302" s="298">
        <f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stats!C3:C""),0)))"),0.0)</f>
        <v>0</v>
      </c>
      <c r="X302" s="627">
        <f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stats!C3:C""),0))"),0.0)</f>
        <v>0</v>
      </c>
      <c r="Y302" s="290"/>
      <c r="Z302" s="300"/>
      <c r="AA302" s="301"/>
      <c r="AB302" s="299"/>
      <c r="AC302" s="300"/>
      <c r="AD302" s="301"/>
      <c r="AE302" s="262">
        <f>IFERROR(__xludf.DUMMYFUNCTION("IFERROR(INDEX(IMPORTRANGE(""https://docs.google.com/spreadsheets/d/1fpsE_0655xguD48cGK6n1ZqSLnI-tw9aHzhbPM9kZ-k/edit#gid=0"", ""Monitoring Summary!B:B""),MATCH(D302,IMPORTRANGE(""https://docs.google.com/spreadsheets/d/1fpsE_0655xguD48cGK6n1ZqSLnI-tw9aHzhb"&amp;"PM9kZ-k/edit#gid=0"", ""Monitoring Summary!C:C""),0)),""Not Monitored"")"),45247.0)</f>
        <v>45247</v>
      </c>
      <c r="AF302" s="263">
        <f>IFERROR(__xludf.DUMMYFUNCTION("IFERROR(INDEX(IMPORTRANGE(""https://docs.google.com/spreadsheets/d/1fpsE_0655xguD48cGK6n1ZqSLnI-tw9aHzhbPM9kZ-k/edit#gid=0"", ""Monitoring Summary!E:E""),MATCH(D302,IMPORTRANGE(""https://docs.google.com/spreadsheets/d/1fpsE_0655xguD48cGK6n1ZqSLnI-tw9aHzhb"&amp;"PM9kZ-k/edit#gid=0"", ""Monitoring Summary!C:C""),0)),""Not Monitored"")"),0.0)</f>
        <v>0</v>
      </c>
      <c r="AG302" s="264">
        <f t="shared" si="1"/>
        <v>0</v>
      </c>
      <c r="AH302" s="265" t="str">
        <f>IFERROR(__xludf.DUMMYFUNCTION("JOIN("","",TRANSPOSE(UNIQUE(INDEX(IMPORTRANGE(""https://docs.google.com/spreadsheets/d/11AU_oXqRaaUJQrahv-HbvnaYMVN-yEOQFYTKChh5U04/edit#gid=402952771"", D302),,9))))"),"249,469,250,213,214,222,385,386,487,212")</f>
        <v>249,469,250,213,214,222,385,386,487,212</v>
      </c>
    </row>
    <row r="303">
      <c r="A303" s="359"/>
      <c r="B303" s="668"/>
      <c r="C303" s="359"/>
      <c r="D303" s="359"/>
      <c r="E303" s="359"/>
      <c r="F303" s="359"/>
      <c r="G303" s="718"/>
      <c r="H303" s="359"/>
      <c r="I303" s="359"/>
      <c r="J303" s="716"/>
      <c r="K303" s="716"/>
      <c r="L303" s="359"/>
      <c r="M303" s="717"/>
      <c r="N303" s="687"/>
      <c r="O303" s="256"/>
      <c r="P303" s="256"/>
      <c r="Q303" s="256"/>
      <c r="R303" s="256"/>
      <c r="S303" s="256"/>
      <c r="T303" s="719"/>
      <c r="U303" s="720"/>
      <c r="V303" s="258"/>
      <c r="W303" s="258"/>
      <c r="X303" s="258"/>
      <c r="Y303" s="250"/>
      <c r="Z303" s="260"/>
      <c r="AA303" s="261"/>
      <c r="AB303" s="250"/>
      <c r="AC303" s="260"/>
      <c r="AD303" s="261"/>
      <c r="AE303" s="721"/>
      <c r="AF303" s="722"/>
      <c r="AG303" s="723"/>
      <c r="AH303" s="265"/>
    </row>
  </sheetData>
  <customSheetViews>
    <customSheetView guid="{F40789E8-4FAD-4723-AD63-EA79B6E74457}" filter="1" showAutoFilter="1">
      <autoFilter ref="$C$1:$C$278"/>
    </customSheetView>
  </customSheetViews>
  <conditionalFormatting sqref="D1:D303">
    <cfRule type="expression" dxfId="8" priority="1">
      <formula>AF1&lt;1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9" width="12.86"/>
    <col customWidth="1" min="30" max="30" width="6.43"/>
    <col customWidth="1" min="31" max="41" width="6.14"/>
    <col customWidth="1" min="42" max="43" width="5.14"/>
    <col customWidth="1" min="44" max="44" width="6.14"/>
    <col customWidth="1" min="45" max="51" width="5.14"/>
    <col customWidth="1" min="52" max="55" width="6.14"/>
    <col customWidth="1" min="56" max="64" width="5.14"/>
  </cols>
  <sheetData>
    <row r="1">
      <c r="A1" s="724" t="s">
        <v>2</v>
      </c>
      <c r="B1" s="725" t="s">
        <v>113</v>
      </c>
      <c r="C1" s="724" t="s">
        <v>974</v>
      </c>
      <c r="D1" s="726" t="s">
        <v>115</v>
      </c>
      <c r="E1" s="724" t="s">
        <v>116</v>
      </c>
      <c r="F1" s="724" t="s">
        <v>117</v>
      </c>
      <c r="G1" s="724" t="s">
        <v>118</v>
      </c>
      <c r="H1" s="724" t="s">
        <v>975</v>
      </c>
      <c r="I1" s="727" t="s">
        <v>976</v>
      </c>
      <c r="J1" s="728" t="s">
        <v>121</v>
      </c>
      <c r="K1" s="728" t="s">
        <v>122</v>
      </c>
      <c r="L1" s="729" t="s">
        <v>108</v>
      </c>
      <c r="M1" s="730" t="s">
        <v>977</v>
      </c>
      <c r="N1" s="234" t="s">
        <v>124</v>
      </c>
      <c r="O1" s="235" t="s">
        <v>125</v>
      </c>
      <c r="P1" s="235" t="s">
        <v>126</v>
      </c>
      <c r="Q1" s="235" t="s">
        <v>127</v>
      </c>
      <c r="R1" s="235" t="s">
        <v>128</v>
      </c>
      <c r="S1" s="235" t="s">
        <v>129</v>
      </c>
      <c r="T1" s="731" t="s">
        <v>978</v>
      </c>
      <c r="U1" s="732" t="s">
        <v>131</v>
      </c>
      <c r="V1" s="239" t="s">
        <v>132</v>
      </c>
      <c r="W1" s="239" t="s">
        <v>133</v>
      </c>
      <c r="X1" s="239" t="s">
        <v>134</v>
      </c>
      <c r="Y1" s="231" t="s">
        <v>979</v>
      </c>
      <c r="Z1" s="729" t="s">
        <v>980</v>
      </c>
      <c r="AA1" s="231" t="s">
        <v>139</v>
      </c>
      <c r="AB1" s="231" t="s">
        <v>981</v>
      </c>
      <c r="AC1" s="231" t="s">
        <v>141</v>
      </c>
      <c r="AD1" s="733" t="s">
        <v>982</v>
      </c>
      <c r="AE1" s="734"/>
      <c r="AF1" s="734"/>
      <c r="AG1" s="734"/>
      <c r="AH1" s="734"/>
      <c r="AI1" s="734"/>
      <c r="AJ1" s="734"/>
      <c r="AK1" s="734"/>
      <c r="AL1" s="734"/>
      <c r="AM1" s="734"/>
      <c r="AN1" s="734"/>
      <c r="AO1" s="735"/>
      <c r="AP1" s="735"/>
      <c r="AQ1" s="735"/>
      <c r="AR1" s="735"/>
      <c r="AS1" s="735"/>
      <c r="AT1" s="735"/>
      <c r="AU1" s="735"/>
      <c r="AV1" s="735"/>
      <c r="AW1" s="735"/>
      <c r="AX1" s="735"/>
      <c r="AY1" s="735"/>
      <c r="AZ1" s="735"/>
      <c r="BA1" s="735"/>
      <c r="BB1" s="735"/>
      <c r="BC1" s="735"/>
      <c r="BD1" s="735"/>
      <c r="BE1" s="735"/>
      <c r="BF1" s="735"/>
      <c r="BG1" s="735"/>
      <c r="BH1" s="735"/>
      <c r="BI1" s="735"/>
      <c r="BJ1" s="735"/>
      <c r="BK1" s="735"/>
      <c r="BL1" s="735"/>
    </row>
    <row r="2" ht="17.25" customHeight="1">
      <c r="A2" s="736">
        <f t="shared" ref="A2:A23" si="1">YEAR(B2)</f>
        <v>2018</v>
      </c>
      <c r="B2" s="737">
        <v>43209.0</v>
      </c>
      <c r="C2" s="738" t="s">
        <v>327</v>
      </c>
      <c r="D2" s="739" t="s">
        <v>983</v>
      </c>
      <c r="E2" s="738" t="s">
        <v>984</v>
      </c>
      <c r="F2" s="738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38" t="s">
        <v>41</v>
      </c>
      <c r="H2" s="738">
        <v>15.0</v>
      </c>
      <c r="I2" s="740" t="s">
        <v>985</v>
      </c>
      <c r="J2" s="741">
        <v>24.54667</v>
      </c>
      <c r="K2" s="741">
        <v>-81.40214</v>
      </c>
      <c r="L2" s="742"/>
      <c r="M2" s="743">
        <v>43238.0</v>
      </c>
      <c r="N2" s="744">
        <v>1.0</v>
      </c>
      <c r="O2" s="744">
        <v>0.0</v>
      </c>
      <c r="P2" s="744">
        <v>0.0</v>
      </c>
      <c r="Q2" s="744">
        <v>1.0</v>
      </c>
      <c r="R2" s="744">
        <v>0.0</v>
      </c>
      <c r="S2" s="744">
        <v>0.0</v>
      </c>
      <c r="T2" s="745">
        <v>43601.0</v>
      </c>
      <c r="U2" s="746">
        <v>0.8</v>
      </c>
      <c r="V2" s="746">
        <v>0.13333333333333333</v>
      </c>
      <c r="W2" s="746">
        <v>0.06666666666666667</v>
      </c>
      <c r="X2" s="746">
        <v>0.8</v>
      </c>
      <c r="Y2" s="747">
        <v>44299.0</v>
      </c>
      <c r="Z2" s="742"/>
      <c r="AA2" s="262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Monitored"")"),45310.0)</f>
        <v>45310</v>
      </c>
      <c r="AB2" s="263">
        <f>IFERROR(__xludf.DUMMYFUNCTION("IFERROR(INDEX(IMPORTRANGE(""https://docs.google.com/spreadsheets/d/1fpsE_0655xguD48cGK6n1ZqSLnI-tw9aHzhbPM9kZ-k/edit#gid=0"", ""Monitoring Summary!F:F""),MATCH(D2,IMPORTRANGE(""https://docs.google.com/spreadsheets/d/1fpsE_0655xguD48cGK6n1ZqSLnI-tw9aHzhbPM"&amp;"9kZ-k/edit#gid=0"", ""Monitoring Summary!C:C""),0)),""Not Monitored"")"),1.0)</f>
        <v>1</v>
      </c>
      <c r="AC2" s="264">
        <f t="shared" ref="AC2:AC114" si="2">IFERROR(AB2/H2,"Not Monitored")</f>
        <v>0.06666666667</v>
      </c>
      <c r="AD2" s="748" t="s">
        <v>986</v>
      </c>
      <c r="AE2" s="749" t="s">
        <v>987</v>
      </c>
      <c r="AF2" s="749" t="s">
        <v>988</v>
      </c>
      <c r="AG2" s="749" t="s">
        <v>989</v>
      </c>
      <c r="AH2" s="749" t="s">
        <v>990</v>
      </c>
      <c r="AI2" s="749"/>
      <c r="AJ2" s="749"/>
      <c r="AK2" s="749"/>
      <c r="AL2" s="749"/>
      <c r="AM2" s="749"/>
      <c r="AN2" s="749"/>
      <c r="AO2" s="749"/>
      <c r="AP2" s="749"/>
      <c r="AQ2" s="749"/>
      <c r="AR2" s="749"/>
      <c r="AS2" s="749"/>
      <c r="AT2" s="749"/>
      <c r="AU2" s="749"/>
      <c r="AV2" s="749"/>
      <c r="AW2" s="749"/>
      <c r="AX2" s="749"/>
      <c r="AY2" s="749"/>
      <c r="AZ2" s="749"/>
      <c r="BA2" s="749"/>
      <c r="BB2" s="749"/>
      <c r="BC2" s="749"/>
      <c r="BD2" s="749"/>
      <c r="BE2" s="749"/>
      <c r="BF2" s="749"/>
      <c r="BG2" s="749"/>
      <c r="BH2" s="749"/>
      <c r="BI2" s="749"/>
      <c r="BJ2" s="749"/>
      <c r="BK2" s="749"/>
      <c r="BL2" s="749"/>
    </row>
    <row r="3">
      <c r="A3" s="736">
        <f t="shared" si="1"/>
        <v>2018</v>
      </c>
      <c r="B3" s="737">
        <v>43210.0</v>
      </c>
      <c r="C3" s="750" t="s">
        <v>332</v>
      </c>
      <c r="D3" s="739" t="s">
        <v>991</v>
      </c>
      <c r="E3" s="738" t="s">
        <v>984</v>
      </c>
      <c r="F3" s="738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38" t="s">
        <v>41</v>
      </c>
      <c r="H3" s="738">
        <v>15.0</v>
      </c>
      <c r="I3" s="740" t="s">
        <v>985</v>
      </c>
      <c r="J3" s="741">
        <v>24.58908</v>
      </c>
      <c r="K3" s="741">
        <v>-81.24203</v>
      </c>
      <c r="L3" s="742"/>
      <c r="M3" s="743">
        <v>43254.0</v>
      </c>
      <c r="N3" s="744">
        <v>1.0</v>
      </c>
      <c r="O3" s="744">
        <v>0.0</v>
      </c>
      <c r="P3" s="744">
        <v>0.0</v>
      </c>
      <c r="Q3" s="744">
        <v>1.0</v>
      </c>
      <c r="R3" s="744">
        <v>0.0</v>
      </c>
      <c r="S3" s="744">
        <v>0.0</v>
      </c>
      <c r="T3" s="745">
        <v>43654.0</v>
      </c>
      <c r="U3" s="746">
        <v>0.6</v>
      </c>
      <c r="V3" s="746">
        <v>0.26666666666666666</v>
      </c>
      <c r="W3" s="746">
        <v>0.13333333333333333</v>
      </c>
      <c r="X3" s="746">
        <v>0.6</v>
      </c>
      <c r="Y3" s="751"/>
      <c r="Z3" s="742"/>
      <c r="AA3" s="262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Monitored"")"),45014.0)</f>
        <v>45014</v>
      </c>
      <c r="AB3" s="263">
        <f>IFERROR(__xludf.DUMMYFUNCTION("IFERROR(INDEX(IMPORTRANGE(""https://docs.google.com/spreadsheets/d/1fpsE_0655xguD48cGK6n1ZqSLnI-tw9aHzhbPM9kZ-k/edit#gid=0"", ""Monitoring Summary!F:F""),MATCH(D3,IMPORTRANGE(""https://docs.google.com/spreadsheets/d/1fpsE_0655xguD48cGK6n1ZqSLnI-tw9aHzhbPM"&amp;"9kZ-k/edit#gid=0"", ""Monitoring Summary!C:C""),0)),""Not Monitored"")"),0.0)</f>
        <v>0</v>
      </c>
      <c r="AC3" s="264">
        <f t="shared" si="2"/>
        <v>0</v>
      </c>
      <c r="AD3" s="748" t="s">
        <v>986</v>
      </c>
      <c r="AE3" s="749" t="s">
        <v>987</v>
      </c>
      <c r="AF3" s="752" t="s">
        <v>988</v>
      </c>
      <c r="AG3" s="752" t="s">
        <v>989</v>
      </c>
      <c r="AH3" s="749" t="s">
        <v>990</v>
      </c>
      <c r="AI3" s="749"/>
      <c r="AJ3" s="749"/>
      <c r="AK3" s="749"/>
      <c r="AL3" s="749"/>
      <c r="AM3" s="749"/>
      <c r="AN3" s="749"/>
      <c r="AO3" s="749"/>
      <c r="AP3" s="749"/>
      <c r="AQ3" s="749"/>
      <c r="AR3" s="749"/>
      <c r="AS3" s="749"/>
      <c r="AT3" s="749"/>
      <c r="AU3" s="749"/>
      <c r="AV3" s="749"/>
      <c r="AW3" s="749"/>
      <c r="AX3" s="749"/>
      <c r="AY3" s="749"/>
      <c r="AZ3" s="749"/>
      <c r="BA3" s="749"/>
      <c r="BB3" s="749"/>
      <c r="BC3" s="749"/>
      <c r="BD3" s="749"/>
      <c r="BE3" s="749"/>
      <c r="BF3" s="749"/>
      <c r="BG3" s="749"/>
      <c r="BH3" s="749"/>
      <c r="BI3" s="749"/>
      <c r="BJ3" s="749"/>
      <c r="BK3" s="749"/>
      <c r="BL3" s="749"/>
    </row>
    <row r="4">
      <c r="A4" s="736">
        <f t="shared" si="1"/>
        <v>2018</v>
      </c>
      <c r="B4" s="737">
        <v>43210.0</v>
      </c>
      <c r="C4" s="750" t="s">
        <v>215</v>
      </c>
      <c r="D4" s="739" t="s">
        <v>992</v>
      </c>
      <c r="E4" s="738" t="s">
        <v>984</v>
      </c>
      <c r="F4" s="738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38" t="s">
        <v>41</v>
      </c>
      <c r="H4" s="738">
        <v>15.0</v>
      </c>
      <c r="I4" s="740" t="s">
        <v>985</v>
      </c>
      <c r="J4" s="741">
        <v>24.56867</v>
      </c>
      <c r="K4" s="741">
        <v>-81.32655</v>
      </c>
      <c r="L4" s="742"/>
      <c r="M4" s="743">
        <v>43254.0</v>
      </c>
      <c r="N4" s="744">
        <v>1.0</v>
      </c>
      <c r="O4" s="744">
        <v>0.0</v>
      </c>
      <c r="P4" s="744">
        <v>0.0</v>
      </c>
      <c r="Q4" s="744">
        <v>1.0</v>
      </c>
      <c r="R4" s="744">
        <v>0.06666666666666667</v>
      </c>
      <c r="S4" s="744">
        <v>0.8</v>
      </c>
      <c r="T4" s="745">
        <v>43654.0</v>
      </c>
      <c r="U4" s="746">
        <v>1.0</v>
      </c>
      <c r="V4" s="746">
        <v>0.0</v>
      </c>
      <c r="W4" s="746">
        <v>0.0</v>
      </c>
      <c r="X4" s="746">
        <v>1.0</v>
      </c>
      <c r="Y4" s="751"/>
      <c r="Z4" s="742"/>
      <c r="AA4" s="262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Monitored"")"),45014.0)</f>
        <v>45014</v>
      </c>
      <c r="AB4" s="263">
        <f>IFERROR(__xludf.DUMMYFUNCTION("IFERROR(INDEX(IMPORTRANGE(""https://docs.google.com/spreadsheets/d/1fpsE_0655xguD48cGK6n1ZqSLnI-tw9aHzhbPM9kZ-k/edit#gid=0"", ""Monitoring Summary!F:F""),MATCH(D4,IMPORTRANGE(""https://docs.google.com/spreadsheets/d/1fpsE_0655xguD48cGK6n1ZqSLnI-tw9aHzhbPM"&amp;"9kZ-k/edit#gid=0"", ""Monitoring Summary!C:C""),0)),""Not Monitored"")"),0.0)</f>
        <v>0</v>
      </c>
      <c r="AC4" s="264">
        <f t="shared" si="2"/>
        <v>0</v>
      </c>
      <c r="AD4" s="748" t="s">
        <v>986</v>
      </c>
      <c r="AE4" s="749" t="s">
        <v>987</v>
      </c>
      <c r="AF4" s="749" t="s">
        <v>988</v>
      </c>
      <c r="AG4" s="749" t="s">
        <v>989</v>
      </c>
      <c r="AH4" s="749" t="s">
        <v>990</v>
      </c>
      <c r="AI4" s="749"/>
      <c r="AJ4" s="749"/>
      <c r="AK4" s="749"/>
      <c r="AL4" s="749"/>
      <c r="AM4" s="749"/>
      <c r="AN4" s="749"/>
      <c r="AO4" s="749"/>
      <c r="AP4" s="749"/>
      <c r="AQ4" s="749"/>
      <c r="AR4" s="749"/>
      <c r="AS4" s="749"/>
      <c r="AT4" s="749"/>
      <c r="AU4" s="749"/>
      <c r="AV4" s="749"/>
      <c r="AW4" s="749"/>
      <c r="AX4" s="749"/>
      <c r="AY4" s="749"/>
      <c r="AZ4" s="749"/>
      <c r="BA4" s="749"/>
      <c r="BB4" s="749"/>
      <c r="BC4" s="749"/>
      <c r="BD4" s="749"/>
      <c r="BE4" s="749"/>
      <c r="BF4" s="749"/>
      <c r="BG4" s="749"/>
      <c r="BH4" s="749"/>
      <c r="BI4" s="749"/>
      <c r="BJ4" s="749"/>
      <c r="BK4" s="749"/>
      <c r="BL4" s="749"/>
    </row>
    <row r="5">
      <c r="A5" s="736">
        <f t="shared" si="1"/>
        <v>2018</v>
      </c>
      <c r="B5" s="737">
        <v>43211.0</v>
      </c>
      <c r="C5" s="750" t="s">
        <v>337</v>
      </c>
      <c r="D5" s="739" t="s">
        <v>993</v>
      </c>
      <c r="E5" s="738" t="s">
        <v>984</v>
      </c>
      <c r="F5" s="738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38" t="s">
        <v>41</v>
      </c>
      <c r="H5" s="738">
        <v>15.0</v>
      </c>
      <c r="I5" s="740" t="s">
        <v>985</v>
      </c>
      <c r="J5" s="741">
        <v>24.49305</v>
      </c>
      <c r="K5" s="741">
        <v>-81.65961</v>
      </c>
      <c r="L5" s="742"/>
      <c r="M5" s="743">
        <v>43238.0</v>
      </c>
      <c r="N5" s="744">
        <v>1.0</v>
      </c>
      <c r="O5" s="744">
        <v>0.0</v>
      </c>
      <c r="P5" s="744">
        <v>0.0</v>
      </c>
      <c r="Q5" s="744">
        <v>1.0</v>
      </c>
      <c r="R5" s="744">
        <v>0.0</v>
      </c>
      <c r="S5" s="744">
        <v>0.0</v>
      </c>
      <c r="T5" s="745">
        <v>43657.0</v>
      </c>
      <c r="U5" s="746">
        <v>0.9333333333333333</v>
      </c>
      <c r="V5" s="746">
        <v>0.06666666666666667</v>
      </c>
      <c r="W5" s="746">
        <v>0.0</v>
      </c>
      <c r="X5" s="746">
        <v>0.9333333333333333</v>
      </c>
      <c r="Y5" s="747">
        <v>44312.0</v>
      </c>
      <c r="Z5" s="742"/>
      <c r="AA5" s="262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B5" s="263" t="str">
        <f>IFERROR(__xludf.DUMMYFUNCTION("IFERROR(INDEX(IMPORTRANGE(""https://docs.google.com/spreadsheets/d/1fpsE_0655xguD48cGK6n1ZqSLnI-tw9aHzhbPM9kZ-k/edit#gid=0"", ""Monitoring Summary!F:F""),MATCH(D5,IMPORTRANGE(""https://docs.google.com/spreadsheets/d/1fpsE_0655xguD48cGK6n1ZqSLnI-tw9aHzhbPM"&amp;"9kZ-k/edit#gid=0"", ""Monitoring Summary!C:C""),0)),""Not Monitored"")"),"Not Monitored")</f>
        <v>Not Monitored</v>
      </c>
      <c r="AC5" s="264" t="str">
        <f t="shared" si="2"/>
        <v>Not Monitored</v>
      </c>
      <c r="AD5" s="748" t="s">
        <v>986</v>
      </c>
      <c r="AE5" s="749" t="s">
        <v>987</v>
      </c>
      <c r="AF5" s="749" t="s">
        <v>988</v>
      </c>
      <c r="AG5" s="749" t="s">
        <v>989</v>
      </c>
      <c r="AH5" s="749" t="s">
        <v>990</v>
      </c>
      <c r="AI5" s="749"/>
      <c r="AJ5" s="749"/>
      <c r="AK5" s="749"/>
      <c r="AL5" s="749"/>
      <c r="AM5" s="749"/>
      <c r="AN5" s="749"/>
      <c r="AO5" s="749"/>
      <c r="AP5" s="749"/>
      <c r="AQ5" s="749"/>
      <c r="AR5" s="749"/>
      <c r="AS5" s="749"/>
      <c r="AT5" s="749"/>
      <c r="AU5" s="749"/>
      <c r="AV5" s="749"/>
      <c r="AW5" s="749"/>
      <c r="AX5" s="749"/>
      <c r="AY5" s="749"/>
      <c r="AZ5" s="749"/>
      <c r="BA5" s="749"/>
      <c r="BB5" s="749"/>
      <c r="BC5" s="749"/>
      <c r="BD5" s="749"/>
      <c r="BE5" s="749"/>
      <c r="BF5" s="749"/>
      <c r="BG5" s="749"/>
      <c r="BH5" s="749"/>
      <c r="BI5" s="749"/>
      <c r="BJ5" s="749"/>
      <c r="BK5" s="749"/>
      <c r="BL5" s="749"/>
    </row>
    <row r="6">
      <c r="A6" s="736">
        <f t="shared" si="1"/>
        <v>2018</v>
      </c>
      <c r="B6" s="737">
        <v>43211.0</v>
      </c>
      <c r="C6" s="750" t="s">
        <v>340</v>
      </c>
      <c r="D6" s="739" t="s">
        <v>994</v>
      </c>
      <c r="E6" s="738" t="s">
        <v>984</v>
      </c>
      <c r="F6" s="738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38" t="s">
        <v>41</v>
      </c>
      <c r="H6" s="738">
        <v>15.0</v>
      </c>
      <c r="I6" s="740" t="s">
        <v>985</v>
      </c>
      <c r="J6" s="741">
        <v>24.48268</v>
      </c>
      <c r="K6" s="741">
        <v>-81.70334</v>
      </c>
      <c r="L6" s="742"/>
      <c r="M6" s="743">
        <v>43238.0</v>
      </c>
      <c r="N6" s="744">
        <v>1.0</v>
      </c>
      <c r="O6" s="744">
        <v>0.0</v>
      </c>
      <c r="P6" s="744">
        <v>0.0</v>
      </c>
      <c r="Q6" s="744">
        <v>1.0</v>
      </c>
      <c r="R6" s="744">
        <v>0.0</v>
      </c>
      <c r="S6" s="744">
        <v>0.0</v>
      </c>
      <c r="T6" s="745">
        <v>43657.0</v>
      </c>
      <c r="U6" s="746">
        <v>0.9333333333333333</v>
      </c>
      <c r="V6" s="746">
        <v>0.0</v>
      </c>
      <c r="W6" s="746">
        <v>0.06666666666666667</v>
      </c>
      <c r="X6" s="746">
        <v>0.9333333333333333</v>
      </c>
      <c r="Y6" s="747">
        <v>44312.0</v>
      </c>
      <c r="Z6" s="742"/>
      <c r="AA6" s="262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B6" s="263" t="str">
        <f>IFERROR(__xludf.DUMMYFUNCTION("IFERROR(INDEX(IMPORTRANGE(""https://docs.google.com/spreadsheets/d/1fpsE_0655xguD48cGK6n1ZqSLnI-tw9aHzhbPM9kZ-k/edit#gid=0"", ""Monitoring Summary!F:F""),MATCH(D6,IMPORTRANGE(""https://docs.google.com/spreadsheets/d/1fpsE_0655xguD48cGK6n1ZqSLnI-tw9aHzhbPM"&amp;"9kZ-k/edit#gid=0"", ""Monitoring Summary!C:C""),0)),""Not Monitored"")"),"Not Monitored")</f>
        <v>Not Monitored</v>
      </c>
      <c r="AC6" s="264" t="str">
        <f t="shared" si="2"/>
        <v>Not Monitored</v>
      </c>
      <c r="AD6" s="748" t="s">
        <v>986</v>
      </c>
      <c r="AE6" s="749" t="s">
        <v>987</v>
      </c>
      <c r="AF6" s="749" t="s">
        <v>988</v>
      </c>
      <c r="AG6" s="749" t="s">
        <v>989</v>
      </c>
      <c r="AH6" s="749" t="s">
        <v>990</v>
      </c>
      <c r="AI6" s="749"/>
      <c r="AJ6" s="749"/>
      <c r="AK6" s="749"/>
      <c r="AL6" s="749"/>
      <c r="AM6" s="749"/>
      <c r="AN6" s="749"/>
      <c r="AO6" s="749"/>
      <c r="AP6" s="749"/>
      <c r="AQ6" s="749"/>
      <c r="AR6" s="749"/>
      <c r="AS6" s="749"/>
      <c r="AT6" s="749"/>
      <c r="AU6" s="749"/>
      <c r="AV6" s="749"/>
      <c r="AW6" s="749"/>
      <c r="AX6" s="749"/>
      <c r="AY6" s="749"/>
      <c r="AZ6" s="749"/>
      <c r="BA6" s="749"/>
      <c r="BB6" s="749"/>
      <c r="BC6" s="749"/>
      <c r="BD6" s="749"/>
      <c r="BE6" s="749"/>
      <c r="BF6" s="749"/>
      <c r="BG6" s="749"/>
      <c r="BH6" s="749"/>
      <c r="BI6" s="749"/>
      <c r="BJ6" s="749"/>
      <c r="BK6" s="749"/>
      <c r="BL6" s="749"/>
    </row>
    <row r="7">
      <c r="A7" s="753">
        <f t="shared" si="1"/>
        <v>2018</v>
      </c>
      <c r="B7" s="754">
        <v>43213.0</v>
      </c>
      <c r="C7" s="755" t="s">
        <v>164</v>
      </c>
      <c r="D7" s="756" t="s">
        <v>995</v>
      </c>
      <c r="E7" s="757" t="s">
        <v>984</v>
      </c>
      <c r="F7" s="757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57" t="s">
        <v>41</v>
      </c>
      <c r="H7" s="757">
        <v>15.0</v>
      </c>
      <c r="I7" s="758" t="s">
        <v>985</v>
      </c>
      <c r="J7" s="759">
        <v>24.53051</v>
      </c>
      <c r="K7" s="759">
        <v>-81.48734</v>
      </c>
      <c r="L7" s="760"/>
      <c r="M7" s="761">
        <v>43238.0</v>
      </c>
      <c r="N7" s="762">
        <v>1.0</v>
      </c>
      <c r="O7" s="762">
        <v>0.0</v>
      </c>
      <c r="P7" s="762">
        <v>0.0</v>
      </c>
      <c r="Q7" s="762">
        <v>1.0</v>
      </c>
      <c r="R7" s="762">
        <v>0.0</v>
      </c>
      <c r="S7" s="762">
        <v>0.0</v>
      </c>
      <c r="T7" s="763">
        <v>43654.0</v>
      </c>
      <c r="U7" s="764">
        <v>0.9333333333333333</v>
      </c>
      <c r="V7" s="764">
        <v>0.0</v>
      </c>
      <c r="W7" s="764">
        <v>0.06666666666666667</v>
      </c>
      <c r="X7" s="764">
        <v>0.9333333333333333</v>
      </c>
      <c r="Y7" s="765">
        <v>44294.0</v>
      </c>
      <c r="Z7" s="760"/>
      <c r="AA7" s="262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Monitored"")"),45009.0)</f>
        <v>45009</v>
      </c>
      <c r="AB7" s="263">
        <f>IFERROR(__xludf.DUMMYFUNCTION("IFERROR(INDEX(IMPORTRANGE(""https://docs.google.com/spreadsheets/d/1fpsE_0655xguD48cGK6n1ZqSLnI-tw9aHzhbPM9kZ-k/edit#gid=0"", ""Monitoring Summary!F:F""),MATCH(D7,IMPORTRANGE(""https://docs.google.com/spreadsheets/d/1fpsE_0655xguD48cGK6n1ZqSLnI-tw9aHzhbPM"&amp;"9kZ-k/edit#gid=0"", ""Monitoring Summary!C:C""),0)),""Not Monitored"")"),0.0)</f>
        <v>0</v>
      </c>
      <c r="AC7" s="264">
        <f t="shared" si="2"/>
        <v>0</v>
      </c>
      <c r="AD7" s="766" t="s">
        <v>986</v>
      </c>
      <c r="AE7" s="767" t="s">
        <v>987</v>
      </c>
      <c r="AF7" s="767" t="s">
        <v>988</v>
      </c>
      <c r="AG7" s="767" t="s">
        <v>989</v>
      </c>
      <c r="AH7" s="767" t="s">
        <v>990</v>
      </c>
      <c r="AI7" s="767"/>
      <c r="AJ7" s="767"/>
      <c r="AK7" s="767"/>
      <c r="AL7" s="767"/>
      <c r="AM7" s="767"/>
      <c r="AN7" s="767"/>
      <c r="AO7" s="767"/>
      <c r="AP7" s="767"/>
      <c r="AQ7" s="767"/>
      <c r="AR7" s="767"/>
      <c r="AS7" s="767"/>
      <c r="AT7" s="767"/>
      <c r="AU7" s="767"/>
      <c r="AV7" s="767"/>
      <c r="AW7" s="767"/>
      <c r="AX7" s="767"/>
      <c r="AY7" s="767"/>
      <c r="AZ7" s="767"/>
      <c r="BA7" s="767"/>
      <c r="BB7" s="767"/>
      <c r="BC7" s="767"/>
      <c r="BD7" s="767"/>
      <c r="BE7" s="767"/>
      <c r="BF7" s="767"/>
      <c r="BG7" s="767"/>
      <c r="BH7" s="767"/>
      <c r="BI7" s="767"/>
      <c r="BJ7" s="767"/>
      <c r="BK7" s="767"/>
      <c r="BL7" s="767"/>
    </row>
    <row r="8">
      <c r="A8" s="736">
        <f t="shared" si="1"/>
        <v>2018</v>
      </c>
      <c r="B8" s="737">
        <v>43213.0</v>
      </c>
      <c r="C8" s="750" t="s">
        <v>345</v>
      </c>
      <c r="D8" s="739" t="s">
        <v>996</v>
      </c>
      <c r="E8" s="738" t="s">
        <v>984</v>
      </c>
      <c r="F8" s="738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38" t="s">
        <v>41</v>
      </c>
      <c r="H8" s="738">
        <v>15.0</v>
      </c>
      <c r="I8" s="740" t="s">
        <v>985</v>
      </c>
      <c r="J8" s="741">
        <v>24.51036</v>
      </c>
      <c r="K8" s="741">
        <v>-81.56991</v>
      </c>
      <c r="L8" s="742"/>
      <c r="M8" s="743">
        <v>43238.0</v>
      </c>
      <c r="N8" s="744">
        <v>1.0</v>
      </c>
      <c r="O8" s="744">
        <v>0.0</v>
      </c>
      <c r="P8" s="744">
        <v>0.0</v>
      </c>
      <c r="Q8" s="744">
        <v>1.0</v>
      </c>
      <c r="R8" s="744">
        <v>0.0</v>
      </c>
      <c r="S8" s="744">
        <v>0.0</v>
      </c>
      <c r="T8" s="745">
        <v>43656.0</v>
      </c>
      <c r="U8" s="746">
        <v>0.8666666666666667</v>
      </c>
      <c r="V8" s="746">
        <v>0.13333333333333333</v>
      </c>
      <c r="W8" s="746">
        <v>0.0</v>
      </c>
      <c r="X8" s="746">
        <v>0.8666666666666667</v>
      </c>
      <c r="Y8" s="747">
        <v>44293.0</v>
      </c>
      <c r="Z8" s="742"/>
      <c r="AA8" s="262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Monitored"")"),45264.0)</f>
        <v>45264</v>
      </c>
      <c r="AB8" s="263">
        <f>IFERROR(__xludf.DUMMYFUNCTION("IFERROR(INDEX(IMPORTRANGE(""https://docs.google.com/spreadsheets/d/1fpsE_0655xguD48cGK6n1ZqSLnI-tw9aHzhbPM9kZ-k/edit#gid=0"", ""Monitoring Summary!F:F""),MATCH(D8,IMPORTRANGE(""https://docs.google.com/spreadsheets/d/1fpsE_0655xguD48cGK6n1ZqSLnI-tw9aHzhbPM"&amp;"9kZ-k/edit#gid=0"", ""Monitoring Summary!C:C""),0)),""Not Monitored"")"),0.0)</f>
        <v>0</v>
      </c>
      <c r="AC8" s="264">
        <f t="shared" si="2"/>
        <v>0</v>
      </c>
      <c r="AD8" s="748" t="s">
        <v>986</v>
      </c>
      <c r="AE8" s="749" t="s">
        <v>987</v>
      </c>
      <c r="AF8" s="749" t="s">
        <v>988</v>
      </c>
      <c r="AG8" s="749" t="s">
        <v>989</v>
      </c>
      <c r="AH8" s="749" t="s">
        <v>990</v>
      </c>
      <c r="AI8" s="749"/>
      <c r="AJ8" s="749"/>
      <c r="AK8" s="749"/>
      <c r="AL8" s="749"/>
      <c r="AM8" s="749"/>
      <c r="AN8" s="749"/>
      <c r="AO8" s="749"/>
      <c r="AP8" s="749"/>
      <c r="AQ8" s="749"/>
      <c r="AR8" s="749"/>
      <c r="AS8" s="749"/>
      <c r="AT8" s="749"/>
      <c r="AU8" s="749"/>
      <c r="AV8" s="749"/>
      <c r="AW8" s="749"/>
      <c r="AX8" s="749"/>
      <c r="AY8" s="749"/>
      <c r="AZ8" s="749"/>
      <c r="BA8" s="749"/>
      <c r="BB8" s="749"/>
      <c r="BC8" s="749"/>
      <c r="BD8" s="749"/>
      <c r="BE8" s="749"/>
      <c r="BF8" s="749"/>
      <c r="BG8" s="749"/>
      <c r="BH8" s="749"/>
      <c r="BI8" s="749"/>
      <c r="BJ8" s="749"/>
      <c r="BK8" s="749"/>
      <c r="BL8" s="749"/>
    </row>
    <row r="9">
      <c r="A9" s="736">
        <f t="shared" si="1"/>
        <v>2018</v>
      </c>
      <c r="B9" s="737">
        <v>43215.0</v>
      </c>
      <c r="C9" s="750" t="s">
        <v>997</v>
      </c>
      <c r="D9" s="739" t="s">
        <v>998</v>
      </c>
      <c r="E9" s="738" t="s">
        <v>984</v>
      </c>
      <c r="F9" s="738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38" t="s">
        <v>41</v>
      </c>
      <c r="H9" s="738">
        <v>15.0</v>
      </c>
      <c r="I9" s="740" t="s">
        <v>985</v>
      </c>
      <c r="J9" s="741">
        <v>24.47408</v>
      </c>
      <c r="K9" s="741">
        <v>-81.7426</v>
      </c>
      <c r="L9" s="742"/>
      <c r="M9" s="743">
        <v>43238.0</v>
      </c>
      <c r="N9" s="744">
        <v>0.9333333333333333</v>
      </c>
      <c r="O9" s="744">
        <v>0.0</v>
      </c>
      <c r="P9" s="744">
        <v>0.06666666666666667</v>
      </c>
      <c r="Q9" s="744">
        <v>0.9333333333333333</v>
      </c>
      <c r="R9" s="744">
        <v>0.0</v>
      </c>
      <c r="S9" s="744">
        <v>0.0</v>
      </c>
      <c r="T9" s="745">
        <v>43657.0</v>
      </c>
      <c r="U9" s="746">
        <v>0.8666666666666667</v>
      </c>
      <c r="V9" s="746">
        <v>0.06666666666666667</v>
      </c>
      <c r="W9" s="746">
        <v>0.06666666666666667</v>
      </c>
      <c r="X9" s="746">
        <v>0.8666666666666667</v>
      </c>
      <c r="Y9" s="747">
        <v>44312.0</v>
      </c>
      <c r="Z9" s="742"/>
      <c r="AA9" s="262" t="str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B9" s="263" t="str">
        <f>IFERROR(__xludf.DUMMYFUNCTION("IFERROR(INDEX(IMPORTRANGE(""https://docs.google.com/spreadsheets/d/1fpsE_0655xguD48cGK6n1ZqSLnI-tw9aHzhbPM9kZ-k/edit#gid=0"", ""Monitoring Summary!F:F""),MATCH(D9,IMPORTRANGE(""https://docs.google.com/spreadsheets/d/1fpsE_0655xguD48cGK6n1ZqSLnI-tw9aHzhbPM"&amp;"9kZ-k/edit#gid=0"", ""Monitoring Summary!C:C""),0)),""Not Monitored"")"),"Not Monitored")</f>
        <v>Not Monitored</v>
      </c>
      <c r="AC9" s="264" t="str">
        <f t="shared" si="2"/>
        <v>Not Monitored</v>
      </c>
      <c r="AD9" s="748" t="s">
        <v>986</v>
      </c>
      <c r="AE9" s="749" t="s">
        <v>987</v>
      </c>
      <c r="AF9" s="749" t="s">
        <v>988</v>
      </c>
      <c r="AG9" s="749" t="s">
        <v>989</v>
      </c>
      <c r="AH9" s="749" t="s">
        <v>990</v>
      </c>
      <c r="AI9" s="749"/>
      <c r="AJ9" s="749"/>
      <c r="AK9" s="749"/>
      <c r="AL9" s="749"/>
      <c r="AM9" s="749"/>
      <c r="AN9" s="749"/>
      <c r="AO9" s="749"/>
      <c r="AP9" s="749"/>
      <c r="AQ9" s="749"/>
      <c r="AR9" s="749"/>
      <c r="AS9" s="749"/>
      <c r="AT9" s="749"/>
      <c r="AU9" s="749"/>
      <c r="AV9" s="749"/>
      <c r="AW9" s="749"/>
      <c r="AX9" s="749"/>
      <c r="AY9" s="749"/>
      <c r="AZ9" s="749"/>
      <c r="BA9" s="749"/>
      <c r="BB9" s="749"/>
      <c r="BC9" s="749"/>
      <c r="BD9" s="749"/>
      <c r="BE9" s="749"/>
      <c r="BF9" s="749"/>
      <c r="BG9" s="749"/>
      <c r="BH9" s="749"/>
      <c r="BI9" s="749"/>
      <c r="BJ9" s="749"/>
      <c r="BK9" s="749"/>
      <c r="BL9" s="749"/>
    </row>
    <row r="10">
      <c r="A10" s="736">
        <f t="shared" si="1"/>
        <v>2018</v>
      </c>
      <c r="B10" s="737">
        <v>43215.0</v>
      </c>
      <c r="C10" s="768" t="s">
        <v>292</v>
      </c>
      <c r="D10" s="739" t="s">
        <v>999</v>
      </c>
      <c r="E10" s="738" t="s">
        <v>984</v>
      </c>
      <c r="F10" s="738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38" t="s">
        <v>41</v>
      </c>
      <c r="H10" s="738">
        <v>15.0</v>
      </c>
      <c r="I10" s="740" t="s">
        <v>985</v>
      </c>
      <c r="J10" s="769">
        <v>24.45949</v>
      </c>
      <c r="K10" s="769">
        <v>-81.84421</v>
      </c>
      <c r="L10" s="742"/>
      <c r="M10" s="743">
        <v>43237.0</v>
      </c>
      <c r="N10" s="744">
        <v>0.8666666666666667</v>
      </c>
      <c r="O10" s="744">
        <v>0.06666666666666667</v>
      </c>
      <c r="P10" s="744">
        <v>0.06666666666666667</v>
      </c>
      <c r="Q10" s="744">
        <v>0.8666666666666667</v>
      </c>
      <c r="R10" s="744">
        <v>0.0</v>
      </c>
      <c r="S10" s="744">
        <v>0.0</v>
      </c>
      <c r="T10" s="745">
        <v>43657.0</v>
      </c>
      <c r="U10" s="746">
        <v>0.6666666666666667</v>
      </c>
      <c r="V10" s="746">
        <v>0.06666666666666667</v>
      </c>
      <c r="W10" s="746">
        <v>0.26666666666666666</v>
      </c>
      <c r="X10" s="746">
        <v>0.6666666666666666</v>
      </c>
      <c r="Y10" s="747">
        <v>44302.0</v>
      </c>
      <c r="Z10" s="742"/>
      <c r="AA10" s="262" t="str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Monitored"")"),"Not Monitored")</f>
        <v>Not Monitored</v>
      </c>
      <c r="AB10" s="263" t="str">
        <f>IFERROR(__xludf.DUMMYFUNCTION("IFERROR(INDEX(IMPORTRANGE(""https://docs.google.com/spreadsheets/d/1fpsE_0655xguD48cGK6n1ZqSLnI-tw9aHzhbPM9kZ-k/edit#gid=0"", ""Monitoring Summary!F:F""),MATCH(D10,IMPORTRANGE(""https://docs.google.com/spreadsheets/d/1fpsE_0655xguD48cGK6n1ZqSLnI-tw9aHzhbP"&amp;"M9kZ-k/edit#gid=0"", ""Monitoring Summary!C:C""),0)),""Not Monitored"")"),"Not Monitored")</f>
        <v>Not Monitored</v>
      </c>
      <c r="AC10" s="264" t="str">
        <f t="shared" si="2"/>
        <v>Not Monitored</v>
      </c>
      <c r="AD10" s="748" t="s">
        <v>986</v>
      </c>
      <c r="AE10" s="749" t="s">
        <v>987</v>
      </c>
      <c r="AF10" s="749" t="s">
        <v>988</v>
      </c>
      <c r="AG10" s="749" t="s">
        <v>989</v>
      </c>
      <c r="AH10" s="749" t="s">
        <v>990</v>
      </c>
      <c r="AI10" s="749"/>
      <c r="AJ10" s="749"/>
      <c r="AK10" s="749"/>
      <c r="AL10" s="749"/>
      <c r="AM10" s="749"/>
      <c r="AN10" s="749"/>
      <c r="AO10" s="749"/>
      <c r="AP10" s="749"/>
      <c r="AQ10" s="749"/>
      <c r="AR10" s="749"/>
      <c r="AS10" s="749"/>
      <c r="AT10" s="749"/>
      <c r="AU10" s="749"/>
      <c r="AV10" s="749"/>
      <c r="AW10" s="749"/>
      <c r="AX10" s="749"/>
      <c r="AY10" s="749"/>
      <c r="AZ10" s="749"/>
      <c r="BA10" s="749"/>
      <c r="BB10" s="749"/>
      <c r="BC10" s="749"/>
      <c r="BD10" s="749"/>
      <c r="BE10" s="749"/>
      <c r="BF10" s="749"/>
      <c r="BG10" s="749"/>
      <c r="BH10" s="749"/>
      <c r="BI10" s="749"/>
      <c r="BJ10" s="749"/>
      <c r="BK10" s="749"/>
      <c r="BL10" s="749"/>
    </row>
    <row r="11">
      <c r="A11" s="738">
        <f t="shared" si="1"/>
        <v>2018</v>
      </c>
      <c r="B11" s="770">
        <v>43256.0</v>
      </c>
      <c r="C11" s="752" t="s">
        <v>327</v>
      </c>
      <c r="D11" s="739" t="s">
        <v>1000</v>
      </c>
      <c r="E11" s="752" t="s">
        <v>170</v>
      </c>
      <c r="F11" s="738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38" t="s">
        <v>41</v>
      </c>
      <c r="H11" s="752">
        <v>60.0</v>
      </c>
      <c r="I11" s="771">
        <v>43477.0</v>
      </c>
      <c r="J11" s="772">
        <v>24.54659</v>
      </c>
      <c r="K11" s="772">
        <v>-81.40197</v>
      </c>
      <c r="L11" s="742"/>
      <c r="M11" s="743">
        <v>43291.0</v>
      </c>
      <c r="N11" s="744">
        <v>1.0</v>
      </c>
      <c r="O11" s="744">
        <v>0.0</v>
      </c>
      <c r="P11" s="744">
        <v>0.0</v>
      </c>
      <c r="Q11" s="744">
        <v>1.0</v>
      </c>
      <c r="R11" s="744">
        <v>0.0</v>
      </c>
      <c r="S11" s="744">
        <v>0.0</v>
      </c>
      <c r="T11" s="745">
        <v>43663.0</v>
      </c>
      <c r="U11" s="746">
        <v>0.9166666666666666</v>
      </c>
      <c r="V11" s="746">
        <v>0.06666666666666667</v>
      </c>
      <c r="W11" s="746">
        <v>0.016666666666666666</v>
      </c>
      <c r="X11" s="746">
        <v>1.0</v>
      </c>
      <c r="Y11" s="747">
        <v>44558.0</v>
      </c>
      <c r="Z11" s="742"/>
      <c r="AA11" s="262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Monitored"")"),45309.0)</f>
        <v>45309</v>
      </c>
      <c r="AB11" s="263">
        <f>IFERROR(__xludf.DUMMYFUNCTION("IFERROR(INDEX(IMPORTRANGE(""https://docs.google.com/spreadsheets/d/1fpsE_0655xguD48cGK6n1ZqSLnI-tw9aHzhbPM9kZ-k/edit#gid=0"", ""Monitoring Summary!F:F""),MATCH(D11,IMPORTRANGE(""https://docs.google.com/spreadsheets/d/1fpsE_0655xguD48cGK6n1ZqSLnI-tw9aHzhbP"&amp;"M9kZ-k/edit#gid=0"", ""Monitoring Summary!C:C""),0)),""Not Monitored"")"),0.0)</f>
        <v>0</v>
      </c>
      <c r="AC11" s="264">
        <f t="shared" si="2"/>
        <v>0</v>
      </c>
      <c r="AD11" s="748" t="s">
        <v>989</v>
      </c>
      <c r="AE11" s="749" t="s">
        <v>990</v>
      </c>
      <c r="AF11" s="749"/>
      <c r="AG11" s="749"/>
      <c r="AH11" s="749"/>
      <c r="AI11" s="749"/>
      <c r="AJ11" s="749"/>
      <c r="AK11" s="749"/>
      <c r="AL11" s="749"/>
      <c r="AM11" s="749"/>
      <c r="AN11" s="749"/>
      <c r="AO11" s="749"/>
      <c r="AP11" s="749"/>
      <c r="AQ11" s="749"/>
      <c r="AR11" s="749"/>
      <c r="AS11" s="749"/>
      <c r="AT11" s="749"/>
      <c r="AU11" s="749"/>
      <c r="AV11" s="749"/>
      <c r="AW11" s="749"/>
      <c r="AX11" s="749"/>
      <c r="AY11" s="749"/>
      <c r="AZ11" s="749"/>
      <c r="BA11" s="749"/>
      <c r="BB11" s="749"/>
      <c r="BC11" s="749"/>
      <c r="BD11" s="749"/>
      <c r="BE11" s="749"/>
      <c r="BF11" s="749"/>
      <c r="BG11" s="749"/>
      <c r="BH11" s="749"/>
      <c r="BI11" s="749"/>
      <c r="BJ11" s="749"/>
      <c r="BK11" s="749"/>
      <c r="BL11" s="749"/>
    </row>
    <row r="12">
      <c r="A12" s="738">
        <f t="shared" si="1"/>
        <v>2018</v>
      </c>
      <c r="B12" s="770">
        <v>43333.0</v>
      </c>
      <c r="C12" s="752" t="s">
        <v>327</v>
      </c>
      <c r="D12" s="739" t="s">
        <v>1001</v>
      </c>
      <c r="E12" s="752" t="s">
        <v>170</v>
      </c>
      <c r="F12" s="738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38" t="s">
        <v>41</v>
      </c>
      <c r="H12" s="752">
        <v>75.0</v>
      </c>
      <c r="I12" s="752" t="s">
        <v>1002</v>
      </c>
      <c r="J12" s="772">
        <v>24.54677</v>
      </c>
      <c r="K12" s="772">
        <v>-81.40176</v>
      </c>
      <c r="L12" s="742"/>
      <c r="M12" s="743">
        <v>43393.0</v>
      </c>
      <c r="N12" s="744">
        <v>0.9733333333333334</v>
      </c>
      <c r="O12" s="744">
        <v>0.02666666666666667</v>
      </c>
      <c r="P12" s="744">
        <v>0.0</v>
      </c>
      <c r="Q12" s="744">
        <v>1.0</v>
      </c>
      <c r="R12" s="744">
        <v>0.13333333333333333</v>
      </c>
      <c r="S12" s="744">
        <v>0.225</v>
      </c>
      <c r="T12" s="745">
        <v>43663.0</v>
      </c>
      <c r="U12" s="746">
        <v>0.5866666666666667</v>
      </c>
      <c r="V12" s="746">
        <v>0.41333333333333333</v>
      </c>
      <c r="W12" s="746">
        <v>0.0</v>
      </c>
      <c r="X12" s="746">
        <v>0.7333333333333333</v>
      </c>
      <c r="Y12" s="747">
        <v>44558.0</v>
      </c>
      <c r="Z12" s="742"/>
      <c r="AA12" s="262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Monitored"")"),45309.0)</f>
        <v>45309</v>
      </c>
      <c r="AB12" s="263">
        <f>IFERROR(__xludf.DUMMYFUNCTION("IFERROR(INDEX(IMPORTRANGE(""https://docs.google.com/spreadsheets/d/1fpsE_0655xguD48cGK6n1ZqSLnI-tw9aHzhbPM9kZ-k/edit#gid=0"", ""Monitoring Summary!F:F""),MATCH(D12,IMPORTRANGE(""https://docs.google.com/spreadsheets/d/1fpsE_0655xguD48cGK6n1ZqSLnI-tw9aHzhbP"&amp;"M9kZ-k/edit#gid=0"", ""Monitoring Summary!C:C""),0)),""Not Monitored"")"),1.0)</f>
        <v>1</v>
      </c>
      <c r="AC12" s="264">
        <f t="shared" si="2"/>
        <v>0.01333333333</v>
      </c>
      <c r="AD12" s="748" t="s">
        <v>1003</v>
      </c>
      <c r="AE12" s="749" t="s">
        <v>990</v>
      </c>
      <c r="AF12" s="749"/>
      <c r="AG12" s="749"/>
      <c r="AH12" s="749"/>
      <c r="AI12" s="749"/>
      <c r="AJ12" s="749"/>
      <c r="AK12" s="749"/>
      <c r="AL12" s="749"/>
      <c r="AM12" s="749"/>
      <c r="AN12" s="749"/>
      <c r="AO12" s="749"/>
      <c r="AP12" s="749"/>
      <c r="AQ12" s="749"/>
      <c r="AR12" s="749"/>
      <c r="AS12" s="749"/>
      <c r="AT12" s="749"/>
      <c r="AU12" s="749"/>
      <c r="AV12" s="749"/>
      <c r="AW12" s="749"/>
      <c r="AX12" s="749"/>
      <c r="AY12" s="749"/>
      <c r="AZ12" s="749"/>
      <c r="BA12" s="749"/>
      <c r="BB12" s="749"/>
      <c r="BC12" s="749"/>
      <c r="BD12" s="749"/>
      <c r="BE12" s="749"/>
      <c r="BF12" s="749"/>
      <c r="BG12" s="749"/>
      <c r="BH12" s="749"/>
      <c r="BI12" s="749"/>
      <c r="BJ12" s="749"/>
      <c r="BK12" s="749"/>
      <c r="BL12" s="749"/>
    </row>
    <row r="13">
      <c r="A13" s="738">
        <f t="shared" si="1"/>
        <v>2018</v>
      </c>
      <c r="B13" s="770">
        <v>43335.0</v>
      </c>
      <c r="C13" s="752" t="s">
        <v>168</v>
      </c>
      <c r="D13" s="739" t="s">
        <v>1004</v>
      </c>
      <c r="E13" s="752" t="s">
        <v>170</v>
      </c>
      <c r="F13" s="738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38" t="s">
        <v>41</v>
      </c>
      <c r="H13" s="752">
        <v>75.0</v>
      </c>
      <c r="I13" s="773" t="s">
        <v>1005</v>
      </c>
      <c r="J13" s="772">
        <v>24.52292</v>
      </c>
      <c r="K13" s="772">
        <v>-81.51683</v>
      </c>
      <c r="L13" s="742"/>
      <c r="M13" s="743">
        <v>43398.0</v>
      </c>
      <c r="N13" s="744">
        <v>0.9866666666666667</v>
      </c>
      <c r="O13" s="744">
        <v>0.0</v>
      </c>
      <c r="P13" s="744">
        <v>0.013333333333333334</v>
      </c>
      <c r="Q13" s="744">
        <v>1.0</v>
      </c>
      <c r="R13" s="744">
        <v>0.13333333333333333</v>
      </c>
      <c r="S13" s="744">
        <v>0.35</v>
      </c>
      <c r="T13" s="745">
        <v>43748.0</v>
      </c>
      <c r="U13" s="746">
        <v>0.92</v>
      </c>
      <c r="V13" s="746">
        <v>0.06666666666666667</v>
      </c>
      <c r="W13" s="746">
        <v>0.013333333333333334</v>
      </c>
      <c r="X13" s="746">
        <v>1.0</v>
      </c>
      <c r="Y13" s="751"/>
      <c r="Z13" s="742"/>
      <c r="AA13" s="262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B13" s="263" t="str">
        <f>IFERROR(__xludf.DUMMYFUNCTION("IFERROR(INDEX(IMPORTRANGE(""https://docs.google.com/spreadsheets/d/1fpsE_0655xguD48cGK6n1ZqSLnI-tw9aHzhbPM9kZ-k/edit#gid=0"", ""Monitoring Summary!F:F""),MATCH(D13,IMPORTRANGE(""https://docs.google.com/spreadsheets/d/1fpsE_0655xguD48cGK6n1ZqSLnI-tw9aHzhbP"&amp;"M9kZ-k/edit#gid=0"", ""Monitoring Summary!C:C""),0)),""Not Monitored"")"),"Not Monitored")</f>
        <v>Not Monitored</v>
      </c>
      <c r="AC13" s="264" t="str">
        <f t="shared" si="2"/>
        <v>Not Monitored</v>
      </c>
      <c r="AD13" s="748" t="s">
        <v>989</v>
      </c>
      <c r="AE13" s="749" t="s">
        <v>990</v>
      </c>
      <c r="AF13" s="749"/>
      <c r="AG13" s="749"/>
      <c r="AH13" s="749"/>
      <c r="AI13" s="749"/>
      <c r="AJ13" s="749"/>
      <c r="AK13" s="749"/>
      <c r="AL13" s="749"/>
      <c r="AM13" s="749"/>
      <c r="AN13" s="749"/>
      <c r="AO13" s="749"/>
      <c r="AP13" s="749"/>
      <c r="AQ13" s="749"/>
      <c r="AR13" s="749"/>
      <c r="AS13" s="749"/>
      <c r="AT13" s="749"/>
      <c r="AU13" s="749"/>
      <c r="AV13" s="749"/>
      <c r="AW13" s="749"/>
      <c r="AX13" s="749"/>
      <c r="AY13" s="749"/>
      <c r="AZ13" s="749"/>
      <c r="BA13" s="749"/>
      <c r="BB13" s="749"/>
      <c r="BC13" s="749"/>
      <c r="BD13" s="749"/>
      <c r="BE13" s="749"/>
      <c r="BF13" s="749"/>
      <c r="BG13" s="749"/>
      <c r="BH13" s="749"/>
      <c r="BI13" s="749"/>
      <c r="BJ13" s="749"/>
      <c r="BK13" s="749"/>
      <c r="BL13" s="749"/>
    </row>
    <row r="14">
      <c r="A14" s="774">
        <f t="shared" si="1"/>
        <v>2018</v>
      </c>
      <c r="B14" s="775">
        <v>43418.0</v>
      </c>
      <c r="C14" s="776" t="s">
        <v>327</v>
      </c>
      <c r="D14" s="777" t="s">
        <v>1006</v>
      </c>
      <c r="E14" s="776" t="s">
        <v>1007</v>
      </c>
      <c r="F14" s="774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74" t="s">
        <v>41</v>
      </c>
      <c r="H14" s="776">
        <v>30.0</v>
      </c>
      <c r="I14" s="778" t="s">
        <v>1008</v>
      </c>
      <c r="J14" s="779">
        <v>24.54641</v>
      </c>
      <c r="K14" s="779">
        <v>-81.40331</v>
      </c>
      <c r="L14" s="780"/>
      <c r="M14" s="781">
        <v>43438.0</v>
      </c>
      <c r="N14" s="782">
        <v>0.9666666666666667</v>
      </c>
      <c r="O14" s="782">
        <v>0.0</v>
      </c>
      <c r="P14" s="782">
        <v>0.03333333333333333</v>
      </c>
      <c r="Q14" s="782">
        <v>0.9666666666666667</v>
      </c>
      <c r="R14" s="782">
        <v>0.3</v>
      </c>
      <c r="S14" s="782">
        <v>0.24888888888888888</v>
      </c>
      <c r="T14" s="783">
        <v>43801.0</v>
      </c>
      <c r="U14" s="784" t="s">
        <v>149</v>
      </c>
      <c r="V14" s="784" t="s">
        <v>149</v>
      </c>
      <c r="W14" s="784" t="s">
        <v>149</v>
      </c>
      <c r="X14" s="784" t="s">
        <v>149</v>
      </c>
      <c r="Y14" s="785"/>
      <c r="Z14" s="780"/>
      <c r="AA14" s="262" t="str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Monitored"")"),"Not Monitored")</f>
        <v>Not Monitored</v>
      </c>
      <c r="AB14" s="263" t="str">
        <f>IFERROR(__xludf.DUMMYFUNCTION("IFERROR(INDEX(IMPORTRANGE(""https://docs.google.com/spreadsheets/d/1fpsE_0655xguD48cGK6n1ZqSLnI-tw9aHzhbPM9kZ-k/edit#gid=0"", ""Monitoring Summary!F:F""),MATCH(D14,IMPORTRANGE(""https://docs.google.com/spreadsheets/d/1fpsE_0655xguD48cGK6n1ZqSLnI-tw9aHzhbP"&amp;"M9kZ-k/edit#gid=0"", ""Monitoring Summary!C:C""),0)),""Not Monitored"")"),"Not Monitored")</f>
        <v>Not Monitored</v>
      </c>
      <c r="AC14" s="264" t="str">
        <f t="shared" si="2"/>
        <v>Not Monitored</v>
      </c>
      <c r="AD14" s="786" t="s">
        <v>1009</v>
      </c>
      <c r="AE14" s="787" t="s">
        <v>987</v>
      </c>
      <c r="AF14" s="787" t="s">
        <v>1010</v>
      </c>
      <c r="AG14" s="787" t="s">
        <v>989</v>
      </c>
      <c r="AH14" s="787" t="s">
        <v>1011</v>
      </c>
      <c r="AI14" s="787"/>
      <c r="AJ14" s="787"/>
      <c r="AK14" s="787"/>
      <c r="AL14" s="787"/>
      <c r="AM14" s="787"/>
      <c r="AN14" s="787"/>
      <c r="AO14" s="787"/>
      <c r="AP14" s="787"/>
      <c r="AQ14" s="787"/>
      <c r="AR14" s="787"/>
      <c r="AS14" s="787"/>
      <c r="AT14" s="787"/>
      <c r="AU14" s="787"/>
      <c r="AV14" s="787"/>
      <c r="AW14" s="787"/>
      <c r="AX14" s="787"/>
      <c r="AY14" s="787"/>
      <c r="AZ14" s="787"/>
      <c r="BA14" s="787"/>
      <c r="BB14" s="787"/>
      <c r="BC14" s="787"/>
      <c r="BD14" s="787"/>
      <c r="BE14" s="787"/>
      <c r="BF14" s="787"/>
      <c r="BG14" s="787"/>
      <c r="BH14" s="787"/>
      <c r="BI14" s="787"/>
      <c r="BJ14" s="787"/>
      <c r="BK14" s="787"/>
      <c r="BL14" s="787"/>
    </row>
    <row r="15">
      <c r="A15" s="738">
        <f t="shared" si="1"/>
        <v>2019</v>
      </c>
      <c r="B15" s="770">
        <v>43481.0</v>
      </c>
      <c r="C15" s="768" t="s">
        <v>292</v>
      </c>
      <c r="D15" s="739" t="s">
        <v>1012</v>
      </c>
      <c r="E15" s="752" t="s">
        <v>160</v>
      </c>
      <c r="F15" s="738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38" t="s">
        <v>41</v>
      </c>
      <c r="H15" s="752">
        <v>120.0</v>
      </c>
      <c r="I15" s="752" t="s">
        <v>1013</v>
      </c>
      <c r="J15" s="772">
        <v>24.45937</v>
      </c>
      <c r="K15" s="772">
        <v>-81.84455</v>
      </c>
      <c r="L15" s="742"/>
      <c r="M15" s="743">
        <v>43524.0</v>
      </c>
      <c r="N15" s="744">
        <v>1.0</v>
      </c>
      <c r="O15" s="744">
        <v>0.0</v>
      </c>
      <c r="P15" s="744">
        <v>0.0</v>
      </c>
      <c r="Q15" s="744">
        <v>1.0</v>
      </c>
      <c r="R15" s="744">
        <v>0.625</v>
      </c>
      <c r="S15" s="744">
        <v>0.14</v>
      </c>
      <c r="T15" s="745">
        <v>43859.0</v>
      </c>
      <c r="U15" s="746">
        <v>0.9416666666666667</v>
      </c>
      <c r="V15" s="746">
        <v>0.058333333333333334</v>
      </c>
      <c r="W15" s="746">
        <v>0.0</v>
      </c>
      <c r="X15" s="746">
        <v>1.0</v>
      </c>
      <c r="Y15" s="747">
        <v>44550.0</v>
      </c>
      <c r="Z15" s="742"/>
      <c r="AA15" s="262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Monitored"")"),45293.0)</f>
        <v>45293</v>
      </c>
      <c r="AB15" s="263">
        <f>IFERROR(__xludf.DUMMYFUNCTION("IFERROR(INDEX(IMPORTRANGE(""https://docs.google.com/spreadsheets/d/1fpsE_0655xguD48cGK6n1ZqSLnI-tw9aHzhbPM9kZ-k/edit#gid=0"", ""Monitoring Summary!F:F""),MATCH(D15,IMPORTRANGE(""https://docs.google.com/spreadsheets/d/1fpsE_0655xguD48cGK6n1ZqSLnI-tw9aHzhbP"&amp;"M9kZ-k/edit#gid=0"", ""Monitoring Summary!C:C""),0)),""Not Monitored"")"),0.0)</f>
        <v>0</v>
      </c>
      <c r="AC15" s="264">
        <f t="shared" si="2"/>
        <v>0</v>
      </c>
      <c r="AD15" s="748" t="s">
        <v>989</v>
      </c>
      <c r="AE15" s="749" t="s">
        <v>990</v>
      </c>
      <c r="AF15" s="749" t="s">
        <v>1014</v>
      </c>
      <c r="AG15" s="749" t="s">
        <v>987</v>
      </c>
      <c r="AH15" s="749"/>
      <c r="AI15" s="749"/>
      <c r="AJ15" s="749"/>
      <c r="AK15" s="749"/>
      <c r="AL15" s="749"/>
      <c r="AM15" s="749"/>
      <c r="AN15" s="749"/>
      <c r="AO15" s="749"/>
      <c r="AP15" s="749"/>
      <c r="AQ15" s="749"/>
      <c r="AR15" s="749"/>
      <c r="AS15" s="749"/>
      <c r="AT15" s="749"/>
      <c r="AU15" s="749"/>
      <c r="AV15" s="749"/>
      <c r="AW15" s="749"/>
      <c r="AX15" s="749"/>
      <c r="AY15" s="749"/>
      <c r="AZ15" s="749"/>
      <c r="BA15" s="749"/>
      <c r="BB15" s="749"/>
      <c r="BC15" s="749"/>
      <c r="BD15" s="749"/>
      <c r="BE15" s="749"/>
      <c r="BF15" s="749"/>
      <c r="BG15" s="749"/>
      <c r="BH15" s="749"/>
      <c r="BI15" s="749"/>
      <c r="BJ15" s="749"/>
      <c r="BK15" s="749"/>
      <c r="BL15" s="749"/>
    </row>
    <row r="16">
      <c r="A16" s="738">
        <f t="shared" si="1"/>
        <v>2019</v>
      </c>
      <c r="B16" s="770">
        <v>43511.0</v>
      </c>
      <c r="C16" s="752" t="s">
        <v>168</v>
      </c>
      <c r="D16" s="739" t="s">
        <v>1015</v>
      </c>
      <c r="E16" s="752" t="s">
        <v>170</v>
      </c>
      <c r="F16" s="738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38" t="s">
        <v>41</v>
      </c>
      <c r="H16" s="752">
        <v>275.0</v>
      </c>
      <c r="I16" s="752" t="s">
        <v>1016</v>
      </c>
      <c r="J16" s="772">
        <v>24.52289</v>
      </c>
      <c r="K16" s="772">
        <v>-81.51879</v>
      </c>
      <c r="L16" s="742"/>
      <c r="M16" s="743">
        <v>43529.0</v>
      </c>
      <c r="N16" s="744">
        <v>0.8836363636363637</v>
      </c>
      <c r="O16" s="744">
        <v>0.02909090909090909</v>
      </c>
      <c r="P16" s="744">
        <v>0.08727272727272728</v>
      </c>
      <c r="Q16" s="744">
        <v>0.9818181818181818</v>
      </c>
      <c r="R16" s="744">
        <v>0.9818181818181818</v>
      </c>
      <c r="S16" s="744">
        <v>0.7148148148148148</v>
      </c>
      <c r="T16" s="745">
        <v>43873.0</v>
      </c>
      <c r="U16" s="746">
        <v>0.7163636363636363</v>
      </c>
      <c r="V16" s="746">
        <v>0.19636363636363635</v>
      </c>
      <c r="W16" s="746">
        <v>0.08727272727272728</v>
      </c>
      <c r="X16" s="746">
        <v>0.8727272727272727</v>
      </c>
      <c r="Y16" s="751"/>
      <c r="Z16" s="742"/>
      <c r="AA16" s="262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Monitored"")"),45264.0)</f>
        <v>45264</v>
      </c>
      <c r="AB16" s="263">
        <f>IFERROR(__xludf.DUMMYFUNCTION("IFERROR(INDEX(IMPORTRANGE(""https://docs.google.com/spreadsheets/d/1fpsE_0655xguD48cGK6n1ZqSLnI-tw9aHzhbPM9kZ-k/edit#gid=0"", ""Monitoring Summary!F:F""),MATCH(D16,IMPORTRANGE(""https://docs.google.com/spreadsheets/d/1fpsE_0655xguD48cGK6n1ZqSLnI-tw9aHzhbP"&amp;"M9kZ-k/edit#gid=0"", ""Monitoring Summary!C:C""),0)),""Not Monitored"")"),0.0)</f>
        <v>0</v>
      </c>
      <c r="AC16" s="264">
        <f t="shared" si="2"/>
        <v>0</v>
      </c>
      <c r="AD16" s="748" t="s">
        <v>1017</v>
      </c>
      <c r="AE16" s="749" t="s">
        <v>1018</v>
      </c>
      <c r="AF16" s="749" t="s">
        <v>1019</v>
      </c>
      <c r="AG16" s="749" t="s">
        <v>1020</v>
      </c>
      <c r="AH16" s="749" t="s">
        <v>989</v>
      </c>
      <c r="AI16" s="749" t="s">
        <v>1021</v>
      </c>
      <c r="AJ16" s="749" t="s">
        <v>1010</v>
      </c>
      <c r="AK16" s="749" t="s">
        <v>987</v>
      </c>
      <c r="AL16" s="749" t="s">
        <v>1003</v>
      </c>
      <c r="AM16" s="749" t="s">
        <v>1022</v>
      </c>
      <c r="AN16" s="749" t="s">
        <v>1023</v>
      </c>
      <c r="AO16" s="749"/>
      <c r="AP16" s="749"/>
      <c r="AQ16" s="749"/>
      <c r="AR16" s="749"/>
      <c r="AS16" s="749"/>
      <c r="AT16" s="749"/>
      <c r="AU16" s="749"/>
      <c r="AV16" s="749"/>
      <c r="AW16" s="749"/>
      <c r="AX16" s="749"/>
      <c r="AY16" s="749"/>
      <c r="AZ16" s="749"/>
      <c r="BA16" s="749"/>
      <c r="BB16" s="749"/>
      <c r="BC16" s="749"/>
      <c r="BD16" s="749"/>
      <c r="BE16" s="749"/>
      <c r="BF16" s="749"/>
      <c r="BG16" s="749"/>
      <c r="BH16" s="749"/>
      <c r="BI16" s="749"/>
      <c r="BJ16" s="749"/>
      <c r="BK16" s="749"/>
      <c r="BL16" s="749"/>
    </row>
    <row r="17">
      <c r="A17" s="752">
        <f t="shared" si="1"/>
        <v>2019</v>
      </c>
      <c r="B17" s="788">
        <v>43521.0</v>
      </c>
      <c r="C17" s="752" t="s">
        <v>158</v>
      </c>
      <c r="D17" s="739" t="s">
        <v>1024</v>
      </c>
      <c r="E17" s="752" t="s">
        <v>170</v>
      </c>
      <c r="F17" s="738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38" t="s">
        <v>41</v>
      </c>
      <c r="H17" s="752">
        <v>275.0</v>
      </c>
      <c r="I17" s="752" t="s">
        <v>1025</v>
      </c>
      <c r="J17" s="772">
        <v>24.55245</v>
      </c>
      <c r="K17" s="772">
        <v>-81.38409</v>
      </c>
      <c r="L17" s="742"/>
      <c r="M17" s="743">
        <v>43541.0</v>
      </c>
      <c r="N17" s="744">
        <v>0.9163636363636364</v>
      </c>
      <c r="O17" s="744">
        <v>0.08</v>
      </c>
      <c r="P17" s="744">
        <v>0.0036363636363636364</v>
      </c>
      <c r="Q17" s="744">
        <v>0.9818181818181818</v>
      </c>
      <c r="R17" s="744">
        <v>0.9818181818181818</v>
      </c>
      <c r="S17" s="744">
        <v>0.6111111111111112</v>
      </c>
      <c r="T17" s="745">
        <v>43873.0</v>
      </c>
      <c r="U17" s="746">
        <v>0.7672727272727273</v>
      </c>
      <c r="V17" s="746">
        <v>0.2290909090909091</v>
      </c>
      <c r="W17" s="746">
        <v>0.0036363636363636364</v>
      </c>
      <c r="X17" s="746">
        <v>0.8909090909090909</v>
      </c>
      <c r="Y17" s="751"/>
      <c r="Z17" s="742"/>
      <c r="AA17" s="262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Monitored"")"),45310.0)</f>
        <v>45310</v>
      </c>
      <c r="AB17" s="263">
        <f>IFERROR(__xludf.DUMMYFUNCTION("IFERROR(INDEX(IMPORTRANGE(""https://docs.google.com/spreadsheets/d/1fpsE_0655xguD48cGK6n1ZqSLnI-tw9aHzhbPM9kZ-k/edit#gid=0"", ""Monitoring Summary!F:F""),MATCH(D17,IMPORTRANGE(""https://docs.google.com/spreadsheets/d/1fpsE_0655xguD48cGK6n1ZqSLnI-tw9aHzhbP"&amp;"M9kZ-k/edit#gid=0"", ""Monitoring Summary!C:C""),0)),""Not Monitored"")"),0.0)</f>
        <v>0</v>
      </c>
      <c r="AC17" s="264">
        <f t="shared" si="2"/>
        <v>0</v>
      </c>
      <c r="AD17" s="748" t="s">
        <v>990</v>
      </c>
      <c r="AE17" s="749" t="s">
        <v>1018</v>
      </c>
      <c r="AF17" s="749" t="s">
        <v>1009</v>
      </c>
      <c r="AG17" s="749" t="s">
        <v>987</v>
      </c>
      <c r="AH17" s="749" t="s">
        <v>1021</v>
      </c>
      <c r="AI17" s="749" t="s">
        <v>1003</v>
      </c>
      <c r="AJ17" s="749" t="s">
        <v>1010</v>
      </c>
      <c r="AK17" s="749" t="s">
        <v>1017</v>
      </c>
      <c r="AL17" s="749" t="s">
        <v>1022</v>
      </c>
      <c r="AM17" s="749" t="s">
        <v>1023</v>
      </c>
      <c r="AN17" s="749" t="s">
        <v>989</v>
      </c>
      <c r="AO17" s="749"/>
      <c r="AP17" s="749"/>
      <c r="AQ17" s="749"/>
      <c r="AR17" s="749"/>
      <c r="AS17" s="749"/>
      <c r="AT17" s="749"/>
      <c r="AU17" s="749"/>
      <c r="AV17" s="749"/>
      <c r="AW17" s="749"/>
      <c r="AX17" s="749"/>
      <c r="AY17" s="749"/>
      <c r="AZ17" s="749"/>
      <c r="BA17" s="749"/>
      <c r="BB17" s="749"/>
      <c r="BC17" s="749"/>
      <c r="BD17" s="749"/>
      <c r="BE17" s="749"/>
      <c r="BF17" s="749"/>
      <c r="BG17" s="749"/>
      <c r="BH17" s="749"/>
      <c r="BI17" s="749"/>
      <c r="BJ17" s="749"/>
      <c r="BK17" s="749"/>
      <c r="BL17" s="749"/>
    </row>
    <row r="18">
      <c r="A18" s="738">
        <f t="shared" si="1"/>
        <v>2019</v>
      </c>
      <c r="B18" s="770">
        <v>43557.0</v>
      </c>
      <c r="C18" s="738" t="s">
        <v>327</v>
      </c>
      <c r="D18" s="739" t="s">
        <v>1026</v>
      </c>
      <c r="E18" s="738" t="s">
        <v>170</v>
      </c>
      <c r="F18" s="738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38" t="s">
        <v>41</v>
      </c>
      <c r="H18" s="738">
        <v>305.0</v>
      </c>
      <c r="I18" s="738" t="s">
        <v>1027</v>
      </c>
      <c r="J18" s="769">
        <v>24.54687</v>
      </c>
      <c r="K18" s="769">
        <v>-81.40167</v>
      </c>
      <c r="L18" s="742"/>
      <c r="M18" s="743">
        <v>43591.0</v>
      </c>
      <c r="N18" s="744">
        <v>0.8721311475409836</v>
      </c>
      <c r="O18" s="744">
        <v>0.12131147540983607</v>
      </c>
      <c r="P18" s="744">
        <v>0.006557377049180328</v>
      </c>
      <c r="Q18" s="744">
        <v>0.9180327868852459</v>
      </c>
      <c r="R18" s="744">
        <v>0.9180327868852459</v>
      </c>
      <c r="S18" s="744">
        <v>0.18803571428571428</v>
      </c>
      <c r="T18" s="745">
        <v>43930.0</v>
      </c>
      <c r="U18" s="746">
        <v>0.39344262295081966</v>
      </c>
      <c r="V18" s="746">
        <v>0.6</v>
      </c>
      <c r="W18" s="746">
        <v>0.006557377049180328</v>
      </c>
      <c r="X18" s="746">
        <v>0.47540983606557374</v>
      </c>
      <c r="Y18" s="751"/>
      <c r="Z18" s="742"/>
      <c r="AA18" s="262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Monitored"")"),45309.0)</f>
        <v>45309</v>
      </c>
      <c r="AB18" s="263">
        <f>IFERROR(__xludf.DUMMYFUNCTION("IFERROR(INDEX(IMPORTRANGE(""https://docs.google.com/spreadsheets/d/1fpsE_0655xguD48cGK6n1ZqSLnI-tw9aHzhbPM9kZ-k/edit#gid=0"", ""Monitoring Summary!F:F""),MATCH(D18,IMPORTRANGE(""https://docs.google.com/spreadsheets/d/1fpsE_0655xguD48cGK6n1ZqSLnI-tw9aHzhbP"&amp;"M9kZ-k/edit#gid=0"", ""Monitoring Summary!C:C""),0)),""Not Monitored"")"),0.0)</f>
        <v>0</v>
      </c>
      <c r="AC18" s="264">
        <f t="shared" si="2"/>
        <v>0</v>
      </c>
      <c r="AD18" s="748" t="s">
        <v>1023</v>
      </c>
      <c r="AE18" s="749" t="s">
        <v>1020</v>
      </c>
      <c r="AF18" s="749" t="s">
        <v>989</v>
      </c>
      <c r="AG18" s="749" t="s">
        <v>1009</v>
      </c>
      <c r="AH18" s="749" t="s">
        <v>990</v>
      </c>
      <c r="AI18" s="749" t="s">
        <v>988</v>
      </c>
      <c r="AJ18" s="749" t="s">
        <v>1028</v>
      </c>
      <c r="AK18" s="749" t="s">
        <v>987</v>
      </c>
      <c r="AL18" s="749" t="s">
        <v>1014</v>
      </c>
      <c r="AM18" s="749"/>
      <c r="AN18" s="749"/>
      <c r="AO18" s="749"/>
      <c r="AP18" s="749"/>
      <c r="AQ18" s="749"/>
      <c r="AR18" s="749"/>
      <c r="AS18" s="749"/>
      <c r="AT18" s="749"/>
      <c r="AU18" s="749"/>
      <c r="AV18" s="749"/>
      <c r="AW18" s="749"/>
      <c r="AX18" s="749"/>
      <c r="AY18" s="749"/>
      <c r="AZ18" s="749"/>
      <c r="BA18" s="749"/>
      <c r="BB18" s="749"/>
      <c r="BC18" s="749"/>
      <c r="BD18" s="749"/>
      <c r="BE18" s="749"/>
      <c r="BF18" s="749"/>
      <c r="BG18" s="749"/>
      <c r="BH18" s="749"/>
      <c r="BI18" s="749"/>
      <c r="BJ18" s="749"/>
      <c r="BK18" s="749"/>
      <c r="BL18" s="749"/>
    </row>
    <row r="19">
      <c r="A19" s="738">
        <f t="shared" si="1"/>
        <v>2019</v>
      </c>
      <c r="B19" s="770">
        <v>43592.0</v>
      </c>
      <c r="C19" s="738" t="s">
        <v>172</v>
      </c>
      <c r="D19" s="739" t="s">
        <v>1029</v>
      </c>
      <c r="E19" s="738" t="s">
        <v>170</v>
      </c>
      <c r="F19" s="738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38" t="s">
        <v>41</v>
      </c>
      <c r="H19" s="738">
        <v>330.0</v>
      </c>
      <c r="I19" s="740" t="s">
        <v>1030</v>
      </c>
      <c r="J19" s="772">
        <v>24.55296</v>
      </c>
      <c r="K19" s="772">
        <v>-81.37977</v>
      </c>
      <c r="L19" s="742"/>
      <c r="M19" s="743">
        <v>43627.0</v>
      </c>
      <c r="N19" s="744">
        <v>0.9848484848484849</v>
      </c>
      <c r="O19" s="744">
        <v>0.006060606060606061</v>
      </c>
      <c r="P19" s="744">
        <v>0.00909090909090909</v>
      </c>
      <c r="Q19" s="744">
        <v>1.0</v>
      </c>
      <c r="R19" s="744">
        <v>1.0</v>
      </c>
      <c r="S19" s="744">
        <v>0.22651515151515153</v>
      </c>
      <c r="T19" s="745">
        <v>43950.0</v>
      </c>
      <c r="U19" s="746">
        <v>0.9181818181818182</v>
      </c>
      <c r="V19" s="746">
        <v>0.07272727272727272</v>
      </c>
      <c r="W19" s="746">
        <v>0.00909090909090909</v>
      </c>
      <c r="X19" s="746">
        <v>0.9848484848484849</v>
      </c>
      <c r="Y19" s="751"/>
      <c r="Z19" s="742"/>
      <c r="AA19" s="262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Monitored"")"),45239.0)</f>
        <v>45239</v>
      </c>
      <c r="AB19" s="263">
        <f>IFERROR(__xludf.DUMMYFUNCTION("IFERROR(INDEX(IMPORTRANGE(""https://docs.google.com/spreadsheets/d/1fpsE_0655xguD48cGK6n1ZqSLnI-tw9aHzhbPM9kZ-k/edit#gid=0"", ""Monitoring Summary!F:F""),MATCH(D19,IMPORTRANGE(""https://docs.google.com/spreadsheets/d/1fpsE_0655xguD48cGK6n1ZqSLnI-tw9aHzhbP"&amp;"M9kZ-k/edit#gid=0"", ""Monitoring Summary!C:C""),0)),""Not Monitored"")"),0.0)</f>
        <v>0</v>
      </c>
      <c r="AC19" s="264">
        <f t="shared" si="2"/>
        <v>0</v>
      </c>
      <c r="AD19" s="748" t="s">
        <v>989</v>
      </c>
      <c r="AE19" s="749" t="s">
        <v>1021</v>
      </c>
      <c r="AF19" s="749" t="s">
        <v>1023</v>
      </c>
      <c r="AG19" s="749" t="s">
        <v>1003</v>
      </c>
      <c r="AH19" s="749" t="s">
        <v>986</v>
      </c>
      <c r="AI19" s="749" t="s">
        <v>1017</v>
      </c>
      <c r="AJ19" s="749" t="s">
        <v>987</v>
      </c>
      <c r="AK19" s="749" t="s">
        <v>1009</v>
      </c>
      <c r="AL19" s="749" t="s">
        <v>1010</v>
      </c>
      <c r="AM19" s="749" t="s">
        <v>988</v>
      </c>
      <c r="AN19" s="749" t="s">
        <v>1028</v>
      </c>
      <c r="AO19" s="749" t="s">
        <v>1022</v>
      </c>
      <c r="AP19" s="749" t="s">
        <v>1020</v>
      </c>
      <c r="AQ19" s="749" t="s">
        <v>990</v>
      </c>
      <c r="AR19" s="749"/>
      <c r="AS19" s="749"/>
      <c r="AT19" s="749"/>
      <c r="AU19" s="749"/>
      <c r="AV19" s="749"/>
      <c r="AW19" s="749"/>
      <c r="AX19" s="749"/>
      <c r="AY19" s="749"/>
      <c r="AZ19" s="749"/>
      <c r="BA19" s="749"/>
      <c r="BB19" s="749"/>
      <c r="BC19" s="749"/>
      <c r="BD19" s="749"/>
      <c r="BE19" s="749"/>
      <c r="BF19" s="749"/>
      <c r="BG19" s="749"/>
      <c r="BH19" s="749"/>
      <c r="BI19" s="749"/>
      <c r="BJ19" s="749"/>
      <c r="BK19" s="749"/>
      <c r="BL19" s="749"/>
    </row>
    <row r="20">
      <c r="A20" s="752">
        <f t="shared" si="1"/>
        <v>2019</v>
      </c>
      <c r="B20" s="788">
        <v>43593.0</v>
      </c>
      <c r="C20" s="752" t="s">
        <v>997</v>
      </c>
      <c r="D20" s="739" t="s">
        <v>1031</v>
      </c>
      <c r="E20" s="738" t="s">
        <v>170</v>
      </c>
      <c r="F20" s="738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38" t="s">
        <v>41</v>
      </c>
      <c r="H20" s="752">
        <v>105.0</v>
      </c>
      <c r="I20" s="771">
        <v>43486.0</v>
      </c>
      <c r="J20" s="772">
        <v>24.47392</v>
      </c>
      <c r="K20" s="772">
        <v>-81.74287</v>
      </c>
      <c r="L20" s="742"/>
      <c r="M20" s="743">
        <v>43623.0</v>
      </c>
      <c r="N20" s="744">
        <v>1.0</v>
      </c>
      <c r="O20" s="744">
        <v>0.0</v>
      </c>
      <c r="P20" s="744">
        <v>0.0</v>
      </c>
      <c r="Q20" s="744">
        <v>1.0</v>
      </c>
      <c r="R20" s="744">
        <v>1.0</v>
      </c>
      <c r="S20" s="744">
        <v>0.29095238095238096</v>
      </c>
      <c r="T20" s="745">
        <v>43947.0</v>
      </c>
      <c r="U20" s="746">
        <v>0.9428571428571428</v>
      </c>
      <c r="V20" s="746">
        <v>0.047619047619047616</v>
      </c>
      <c r="W20" s="746">
        <v>0.009523809523809525</v>
      </c>
      <c r="X20" s="746">
        <v>1.0</v>
      </c>
      <c r="Y20" s="751"/>
      <c r="Z20" s="742"/>
      <c r="AA20" s="262" t="str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Monitored"")"),"Not Monitored")</f>
        <v>Not Monitored</v>
      </c>
      <c r="AB20" s="263" t="str">
        <f>IFERROR(__xludf.DUMMYFUNCTION("IFERROR(INDEX(IMPORTRANGE(""https://docs.google.com/spreadsheets/d/1fpsE_0655xguD48cGK6n1ZqSLnI-tw9aHzhbPM9kZ-k/edit#gid=0"", ""Monitoring Summary!F:F""),MATCH(D20,IMPORTRANGE(""https://docs.google.com/spreadsheets/d/1fpsE_0655xguD48cGK6n1ZqSLnI-tw9aHzhbP"&amp;"M9kZ-k/edit#gid=0"", ""Monitoring Summary!C:C""),0)),""Not Monitored"")"),"Not Monitored")</f>
        <v>Not Monitored</v>
      </c>
      <c r="AC20" s="264" t="str">
        <f t="shared" si="2"/>
        <v>Not Monitored</v>
      </c>
      <c r="AD20" s="748" t="s">
        <v>1032</v>
      </c>
      <c r="AE20" s="749" t="s">
        <v>1011</v>
      </c>
      <c r="AF20" s="749" t="s">
        <v>989</v>
      </c>
      <c r="AG20" s="749" t="s">
        <v>987</v>
      </c>
      <c r="AH20" s="749" t="s">
        <v>1010</v>
      </c>
      <c r="AI20" s="749" t="s">
        <v>1028</v>
      </c>
      <c r="AJ20" s="749" t="s">
        <v>990</v>
      </c>
      <c r="AK20" s="749"/>
      <c r="AL20" s="749"/>
      <c r="AM20" s="749"/>
      <c r="AN20" s="749"/>
      <c r="AO20" s="749"/>
      <c r="AP20" s="749"/>
      <c r="AQ20" s="749"/>
      <c r="AR20" s="749"/>
      <c r="AS20" s="749"/>
      <c r="AT20" s="749"/>
      <c r="AU20" s="749"/>
      <c r="AV20" s="749"/>
      <c r="AW20" s="749"/>
      <c r="AX20" s="749"/>
      <c r="AY20" s="749"/>
      <c r="AZ20" s="749"/>
      <c r="BA20" s="749"/>
      <c r="BB20" s="749"/>
      <c r="BC20" s="749"/>
      <c r="BD20" s="749"/>
      <c r="BE20" s="749"/>
      <c r="BF20" s="749"/>
      <c r="BG20" s="749"/>
      <c r="BH20" s="749"/>
      <c r="BI20" s="749"/>
      <c r="BJ20" s="749"/>
      <c r="BK20" s="749"/>
      <c r="BL20" s="749"/>
    </row>
    <row r="21">
      <c r="A21" s="789">
        <f t="shared" si="1"/>
        <v>2019</v>
      </c>
      <c r="B21" s="790">
        <v>43598.0</v>
      </c>
      <c r="C21" s="789" t="s">
        <v>164</v>
      </c>
      <c r="D21" s="791" t="s">
        <v>1033</v>
      </c>
      <c r="E21" s="792" t="s">
        <v>170</v>
      </c>
      <c r="F21" s="792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792" t="s">
        <v>41</v>
      </c>
      <c r="H21" s="789">
        <v>350.0</v>
      </c>
      <c r="I21" s="789" t="s">
        <v>208</v>
      </c>
      <c r="J21" s="793">
        <v>24.53057</v>
      </c>
      <c r="K21" s="793">
        <v>-81.48781</v>
      </c>
      <c r="L21" s="794"/>
      <c r="M21" s="795">
        <v>43634.0</v>
      </c>
      <c r="N21" s="744">
        <v>0.76</v>
      </c>
      <c r="O21" s="744">
        <v>0.19142857142857142</v>
      </c>
      <c r="P21" s="744">
        <v>0.04857142857142857</v>
      </c>
      <c r="Q21" s="744">
        <v>0.9714285714285714</v>
      </c>
      <c r="R21" s="744">
        <v>0.9714285714285714</v>
      </c>
      <c r="S21" s="744">
        <v>0.3426470588235294</v>
      </c>
      <c r="T21" s="796">
        <v>43950.0</v>
      </c>
      <c r="U21" s="746">
        <v>0.6085714285714285</v>
      </c>
      <c r="V21" s="746">
        <v>0.34857142857142853</v>
      </c>
      <c r="W21" s="746">
        <v>0.04285714285714286</v>
      </c>
      <c r="X21" s="746">
        <v>0.8571428571428571</v>
      </c>
      <c r="Y21" s="751"/>
      <c r="Z21" s="742"/>
      <c r="AA21" s="262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Monitored"")"),45258.0)</f>
        <v>45258</v>
      </c>
      <c r="AB21" s="263">
        <f>IFERROR(__xludf.DUMMYFUNCTION("IFERROR(INDEX(IMPORTRANGE(""https://docs.google.com/spreadsheets/d/1fpsE_0655xguD48cGK6n1ZqSLnI-tw9aHzhbPM9kZ-k/edit#gid=0"", ""Monitoring Summary!F:F""),MATCH(D21,IMPORTRANGE(""https://docs.google.com/spreadsheets/d/1fpsE_0655xguD48cGK6n1ZqSLnI-tw9aHzhbP"&amp;"M9kZ-k/edit#gid=0"", ""Monitoring Summary!C:C""),0)),""Not Monitored"")"),0.0)</f>
        <v>0</v>
      </c>
      <c r="AC21" s="264">
        <f t="shared" si="2"/>
        <v>0</v>
      </c>
      <c r="AD21" s="748" t="s">
        <v>989</v>
      </c>
      <c r="AE21" s="749" t="s">
        <v>990</v>
      </c>
      <c r="AF21" s="749" t="s">
        <v>1018</v>
      </c>
      <c r="AG21" s="749" t="s">
        <v>1003</v>
      </c>
      <c r="AH21" s="749" t="s">
        <v>1019</v>
      </c>
      <c r="AI21" s="749" t="s">
        <v>1009</v>
      </c>
      <c r="AJ21" s="749" t="s">
        <v>1014</v>
      </c>
      <c r="AK21" s="749" t="s">
        <v>1032</v>
      </c>
      <c r="AL21" s="749" t="s">
        <v>1023</v>
      </c>
      <c r="AM21" s="749" t="s">
        <v>987</v>
      </c>
      <c r="AN21" s="749"/>
      <c r="AO21" s="749"/>
      <c r="AP21" s="749"/>
      <c r="AQ21" s="749"/>
      <c r="AR21" s="749"/>
      <c r="AS21" s="749"/>
      <c r="AT21" s="749"/>
      <c r="AU21" s="749"/>
      <c r="AV21" s="749"/>
      <c r="AW21" s="749"/>
      <c r="AX21" s="749"/>
      <c r="AY21" s="749"/>
      <c r="AZ21" s="749"/>
      <c r="BA21" s="749"/>
      <c r="BB21" s="749"/>
      <c r="BC21" s="749"/>
      <c r="BD21" s="749"/>
      <c r="BE21" s="749"/>
      <c r="BF21" s="749"/>
      <c r="BG21" s="749"/>
      <c r="BH21" s="749"/>
      <c r="BI21" s="749"/>
      <c r="BJ21" s="749"/>
      <c r="BK21" s="749"/>
      <c r="BL21" s="749"/>
    </row>
    <row r="22">
      <c r="A22" s="752">
        <f t="shared" si="1"/>
        <v>2019</v>
      </c>
      <c r="B22" s="788">
        <v>43648.0</v>
      </c>
      <c r="C22" s="752" t="s">
        <v>268</v>
      </c>
      <c r="D22" s="739" t="s">
        <v>1034</v>
      </c>
      <c r="E22" s="738" t="s">
        <v>170</v>
      </c>
      <c r="F22" s="752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52" t="s">
        <v>47</v>
      </c>
      <c r="H22" s="752">
        <v>285.0</v>
      </c>
      <c r="I22" s="752" t="s">
        <v>1035</v>
      </c>
      <c r="J22" s="772">
        <v>24.45269</v>
      </c>
      <c r="K22" s="797">
        <v>-81.87616</v>
      </c>
      <c r="L22" s="742"/>
      <c r="M22" s="743">
        <v>43684.0</v>
      </c>
      <c r="N22" s="744">
        <v>0.7789473684210526</v>
      </c>
      <c r="O22" s="744">
        <v>0.1543859649122807</v>
      </c>
      <c r="P22" s="744">
        <v>0.06666666666666667</v>
      </c>
      <c r="Q22" s="744">
        <v>0.9649122807017544</v>
      </c>
      <c r="R22" s="744">
        <v>0.9649122807017544</v>
      </c>
      <c r="S22" s="744">
        <v>0.24545454545454548</v>
      </c>
      <c r="T22" s="745">
        <v>43992.0</v>
      </c>
      <c r="U22" s="746">
        <v>0.8210526315789474</v>
      </c>
      <c r="V22" s="746">
        <v>0.10877192982456141</v>
      </c>
      <c r="W22" s="746">
        <v>0.07017543859649122</v>
      </c>
      <c r="X22" s="746">
        <v>0.9649122807017544</v>
      </c>
      <c r="Y22" s="751"/>
      <c r="Z22" s="742"/>
      <c r="AA22" s="262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Monitored"")"),45294.0)</f>
        <v>45294</v>
      </c>
      <c r="AB22" s="263">
        <f>IFERROR(__xludf.DUMMYFUNCTION("IFERROR(INDEX(IMPORTRANGE(""https://docs.google.com/spreadsheets/d/1fpsE_0655xguD48cGK6n1ZqSLnI-tw9aHzhbPM9kZ-k/edit#gid=0"", ""Monitoring Summary!F:F""),MATCH(D22,IMPORTRANGE(""https://docs.google.com/spreadsheets/d/1fpsE_0655xguD48cGK6n1ZqSLnI-tw9aHzhbP"&amp;"M9kZ-k/edit#gid=0"", ""Monitoring Summary!C:C""),0)),""Not Monitored"")"),0.0)</f>
        <v>0</v>
      </c>
      <c r="AC22" s="264">
        <f t="shared" si="2"/>
        <v>0</v>
      </c>
      <c r="AD22" s="748" t="s">
        <v>1017</v>
      </c>
      <c r="AE22" s="749" t="s">
        <v>1036</v>
      </c>
      <c r="AF22" s="749" t="s">
        <v>1021</v>
      </c>
      <c r="AG22" s="749" t="s">
        <v>989</v>
      </c>
      <c r="AH22" s="749" t="s">
        <v>1037</v>
      </c>
      <c r="AI22" s="749" t="s">
        <v>1010</v>
      </c>
      <c r="AJ22" s="749" t="s">
        <v>1038</v>
      </c>
      <c r="AK22" s="749" t="s">
        <v>987</v>
      </c>
      <c r="AL22" s="749" t="s">
        <v>1020</v>
      </c>
      <c r="AM22" s="749" t="s">
        <v>1039</v>
      </c>
      <c r="AN22" s="749"/>
      <c r="AO22" s="749"/>
      <c r="AP22" s="749"/>
      <c r="AQ22" s="749"/>
      <c r="AR22" s="749"/>
      <c r="AS22" s="749"/>
      <c r="AT22" s="749"/>
      <c r="AU22" s="749"/>
      <c r="AV22" s="749"/>
      <c r="AW22" s="749"/>
      <c r="AX22" s="749"/>
      <c r="AY22" s="749"/>
      <c r="AZ22" s="749"/>
      <c r="BA22" s="749"/>
      <c r="BB22" s="749"/>
      <c r="BC22" s="749"/>
      <c r="BD22" s="749"/>
      <c r="BE22" s="749"/>
      <c r="BF22" s="749"/>
      <c r="BG22" s="749"/>
      <c r="BH22" s="749"/>
      <c r="BI22" s="749"/>
      <c r="BJ22" s="749"/>
      <c r="BK22" s="749"/>
      <c r="BL22" s="749"/>
    </row>
    <row r="23">
      <c r="A23" s="789">
        <f t="shared" si="1"/>
        <v>2019</v>
      </c>
      <c r="B23" s="790">
        <v>43689.0</v>
      </c>
      <c r="C23" s="789" t="s">
        <v>327</v>
      </c>
      <c r="D23" s="791" t="s">
        <v>1040</v>
      </c>
      <c r="E23" s="792" t="s">
        <v>170</v>
      </c>
      <c r="F23" s="789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789" t="s">
        <v>47</v>
      </c>
      <c r="H23" s="789">
        <v>320.0</v>
      </c>
      <c r="I23" s="789" t="s">
        <v>1041</v>
      </c>
      <c r="J23" s="793">
        <v>24.54672</v>
      </c>
      <c r="K23" s="793">
        <v>-81.40201</v>
      </c>
      <c r="L23" s="798" t="s">
        <v>1042</v>
      </c>
      <c r="M23" s="795">
        <v>43727.0</v>
      </c>
      <c r="N23" s="744">
        <v>0.853125</v>
      </c>
      <c r="O23" s="744">
        <v>0.121875</v>
      </c>
      <c r="P23" s="744">
        <v>0.025</v>
      </c>
      <c r="Q23" s="744">
        <v>0.96875</v>
      </c>
      <c r="R23" s="744">
        <v>0.0</v>
      </c>
      <c r="S23" s="744">
        <v>0.0</v>
      </c>
      <c r="T23" s="796">
        <v>44082.0</v>
      </c>
      <c r="U23" s="746">
        <v>0.55625</v>
      </c>
      <c r="V23" s="746">
        <v>0.41875</v>
      </c>
      <c r="W23" s="746">
        <v>0.025</v>
      </c>
      <c r="X23" s="746">
        <v>0.75</v>
      </c>
      <c r="Y23" s="799"/>
      <c r="Z23" s="800"/>
      <c r="AA23" s="262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Monitored"")"),45309.0)</f>
        <v>45309</v>
      </c>
      <c r="AB23" s="263">
        <f>IFERROR(__xludf.DUMMYFUNCTION("IFERROR(INDEX(IMPORTRANGE(""https://docs.google.com/spreadsheets/d/1fpsE_0655xguD48cGK6n1ZqSLnI-tw9aHzhbPM9kZ-k/edit#gid=0"", ""Monitoring Summary!F:F""),MATCH(D23,IMPORTRANGE(""https://docs.google.com/spreadsheets/d/1fpsE_0655xguD48cGK6n1ZqSLnI-tw9aHzhbP"&amp;"M9kZ-k/edit#gid=0"", ""Monitoring Summary!C:C""),0)),""Not Monitored"")"),0.0)</f>
        <v>0</v>
      </c>
      <c r="AC23" s="264">
        <f t="shared" si="2"/>
        <v>0</v>
      </c>
      <c r="AD23" s="748" t="s">
        <v>989</v>
      </c>
      <c r="AE23" s="749" t="s">
        <v>1014</v>
      </c>
      <c r="AF23" s="749" t="s">
        <v>987</v>
      </c>
      <c r="AG23" s="749" t="s">
        <v>1023</v>
      </c>
      <c r="AH23" s="749" t="s">
        <v>1021</v>
      </c>
      <c r="AI23" s="749" t="s">
        <v>990</v>
      </c>
      <c r="AJ23" s="749" t="s">
        <v>1020</v>
      </c>
      <c r="AK23" s="749" t="s">
        <v>988</v>
      </c>
      <c r="AL23" s="749" t="s">
        <v>1003</v>
      </c>
      <c r="AM23" s="749" t="s">
        <v>1032</v>
      </c>
      <c r="AN23" s="749" t="s">
        <v>1017</v>
      </c>
      <c r="AO23" s="749" t="s">
        <v>1043</v>
      </c>
      <c r="AP23" s="749" t="s">
        <v>1044</v>
      </c>
      <c r="AQ23" s="749"/>
      <c r="AR23" s="749"/>
      <c r="AS23" s="749"/>
      <c r="AT23" s="749"/>
      <c r="AU23" s="749"/>
      <c r="AV23" s="749"/>
      <c r="AW23" s="749"/>
      <c r="AX23" s="749"/>
      <c r="AY23" s="749"/>
      <c r="AZ23" s="749"/>
      <c r="BA23" s="749"/>
      <c r="BB23" s="749"/>
      <c r="BC23" s="749"/>
      <c r="BD23" s="749"/>
      <c r="BE23" s="749"/>
      <c r="BF23" s="749"/>
      <c r="BG23" s="749"/>
      <c r="BH23" s="749"/>
      <c r="BI23" s="749"/>
      <c r="BJ23" s="749"/>
      <c r="BK23" s="749"/>
      <c r="BL23" s="749"/>
    </row>
    <row r="24">
      <c r="A24" s="752">
        <v>2019.0</v>
      </c>
      <c r="B24" s="801">
        <v>43724.0</v>
      </c>
      <c r="C24" s="752" t="s">
        <v>327</v>
      </c>
      <c r="D24" s="739" t="s">
        <v>1045</v>
      </c>
      <c r="E24" s="752" t="s">
        <v>170</v>
      </c>
      <c r="F24" s="752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52" t="s">
        <v>49</v>
      </c>
      <c r="H24" s="752">
        <v>370.0</v>
      </c>
      <c r="I24" s="752" t="s">
        <v>1046</v>
      </c>
      <c r="J24" s="772">
        <v>24.54659</v>
      </c>
      <c r="K24" s="772">
        <v>-81.40272</v>
      </c>
      <c r="L24" s="800" t="s">
        <v>1047</v>
      </c>
      <c r="M24" s="743">
        <v>43760.0</v>
      </c>
      <c r="N24" s="744">
        <v>0.9378378378378378</v>
      </c>
      <c r="O24" s="744">
        <v>0.05675675675675676</v>
      </c>
      <c r="P24" s="744">
        <v>0.005405405405405406</v>
      </c>
      <c r="Q24" s="744">
        <v>0.7027027027027027</v>
      </c>
      <c r="R24" s="744">
        <v>1.0</v>
      </c>
      <c r="S24" s="744">
        <v>0.22503494060097826</v>
      </c>
      <c r="T24" s="745">
        <v>44082.0</v>
      </c>
      <c r="U24" s="746">
        <v>0.5459459459459459</v>
      </c>
      <c r="V24" s="746">
        <v>0.4486486486486487</v>
      </c>
      <c r="W24" s="746">
        <v>0.005405405405405406</v>
      </c>
      <c r="X24" s="746">
        <v>0.7162162162162162</v>
      </c>
      <c r="Y24" s="799"/>
      <c r="Z24" s="800"/>
      <c r="AA24" s="262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Monitored"")"),45295.0)</f>
        <v>45295</v>
      </c>
      <c r="AB24" s="263">
        <f>IFERROR(__xludf.DUMMYFUNCTION("IFERROR(INDEX(IMPORTRANGE(""https://docs.google.com/spreadsheets/d/1fpsE_0655xguD48cGK6n1ZqSLnI-tw9aHzhbPM9kZ-k/edit#gid=0"", ""Monitoring Summary!F:F""),MATCH(D24,IMPORTRANGE(""https://docs.google.com/spreadsheets/d/1fpsE_0655xguD48cGK6n1ZqSLnI-tw9aHzhbP"&amp;"M9kZ-k/edit#gid=0"", ""Monitoring Summary!C:C""),0)),""Not Monitored"")"),0.0)</f>
        <v>0</v>
      </c>
      <c r="AC24" s="264">
        <f t="shared" si="2"/>
        <v>0</v>
      </c>
      <c r="AD24" s="748" t="s">
        <v>989</v>
      </c>
      <c r="AE24" s="749" t="s">
        <v>1014</v>
      </c>
      <c r="AF24" s="749" t="s">
        <v>1048</v>
      </c>
      <c r="AG24" s="749" t="s">
        <v>1021</v>
      </c>
      <c r="AH24" s="749" t="s">
        <v>1018</v>
      </c>
      <c r="AI24" s="749" t="s">
        <v>1023</v>
      </c>
      <c r="AJ24" s="749" t="s">
        <v>1022</v>
      </c>
      <c r="AK24" s="749"/>
      <c r="AL24" s="749"/>
      <c r="AM24" s="749"/>
      <c r="AN24" s="749"/>
      <c r="AO24" s="749"/>
      <c r="AP24" s="749"/>
      <c r="AQ24" s="749"/>
      <c r="AR24" s="749"/>
      <c r="AS24" s="749"/>
      <c r="AT24" s="749"/>
      <c r="AU24" s="749"/>
      <c r="AV24" s="749"/>
      <c r="AW24" s="749"/>
      <c r="AX24" s="749"/>
      <c r="AY24" s="749"/>
      <c r="AZ24" s="749"/>
      <c r="BA24" s="749"/>
      <c r="BB24" s="749"/>
      <c r="BC24" s="749"/>
      <c r="BD24" s="749"/>
      <c r="BE24" s="749"/>
      <c r="BF24" s="749"/>
      <c r="BG24" s="749"/>
      <c r="BH24" s="749"/>
      <c r="BI24" s="749"/>
      <c r="BJ24" s="749"/>
      <c r="BK24" s="749"/>
      <c r="BL24" s="749"/>
    </row>
    <row r="25">
      <c r="A25" s="752">
        <f t="shared" ref="A25:A44" si="3">YEAR(B25)</f>
        <v>2019</v>
      </c>
      <c r="B25" s="788">
        <v>43724.0</v>
      </c>
      <c r="C25" s="752" t="s">
        <v>327</v>
      </c>
      <c r="D25" s="739" t="s">
        <v>1049</v>
      </c>
      <c r="E25" s="752" t="s">
        <v>170</v>
      </c>
      <c r="F25" s="752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52" t="s">
        <v>49</v>
      </c>
      <c r="H25" s="752">
        <v>345.0</v>
      </c>
      <c r="I25" s="752" t="s">
        <v>1050</v>
      </c>
      <c r="J25" s="772">
        <v>24.54638</v>
      </c>
      <c r="K25" s="772">
        <v>-81.4036</v>
      </c>
      <c r="L25" s="800" t="s">
        <v>1051</v>
      </c>
      <c r="M25" s="745">
        <v>43760.0</v>
      </c>
      <c r="N25" s="744">
        <v>0.8898550724637682</v>
      </c>
      <c r="O25" s="744">
        <v>0.08695652173913045</v>
      </c>
      <c r="P25" s="744">
        <v>0.02318840579710145</v>
      </c>
      <c r="Q25" s="744">
        <v>1.0</v>
      </c>
      <c r="R25" s="744">
        <v>1.0</v>
      </c>
      <c r="S25" s="744">
        <v>0.21231884057971015</v>
      </c>
      <c r="T25" s="745">
        <v>44082.0</v>
      </c>
      <c r="U25" s="746">
        <v>0.7014492753623188</v>
      </c>
      <c r="V25" s="746">
        <v>0.28695652173913044</v>
      </c>
      <c r="W25" s="746">
        <v>0.011594202898550725</v>
      </c>
      <c r="X25" s="746">
        <v>0.8405797101449275</v>
      </c>
      <c r="Y25" s="799"/>
      <c r="Z25" s="800"/>
      <c r="AA25" s="262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Monitored"")"),45309.0)</f>
        <v>45309</v>
      </c>
      <c r="AB25" s="263">
        <f>IFERROR(__xludf.DUMMYFUNCTION("IFERROR(INDEX(IMPORTRANGE(""https://docs.google.com/spreadsheets/d/1fpsE_0655xguD48cGK6n1ZqSLnI-tw9aHzhbPM9kZ-k/edit#gid=0"", ""Monitoring Summary!F:F""),MATCH(D25,IMPORTRANGE(""https://docs.google.com/spreadsheets/d/1fpsE_0655xguD48cGK6n1ZqSLnI-tw9aHzhbP"&amp;"M9kZ-k/edit#gid=0"", ""Monitoring Summary!C:C""),0)),""Not Monitored"")"),0.0)</f>
        <v>0</v>
      </c>
      <c r="AC25" s="264">
        <f t="shared" si="2"/>
        <v>0</v>
      </c>
      <c r="AD25" s="748" t="s">
        <v>989</v>
      </c>
      <c r="AE25" s="749" t="s">
        <v>1021</v>
      </c>
      <c r="AF25" s="749" t="s">
        <v>1014</v>
      </c>
      <c r="AG25" s="749" t="s">
        <v>1043</v>
      </c>
      <c r="AH25" s="749" t="s">
        <v>1003</v>
      </c>
      <c r="AI25" s="749" t="s">
        <v>1052</v>
      </c>
      <c r="AJ25" s="749" t="s">
        <v>1032</v>
      </c>
      <c r="AK25" s="749"/>
      <c r="AL25" s="749"/>
      <c r="AM25" s="749"/>
      <c r="AN25" s="749"/>
      <c r="AO25" s="749"/>
      <c r="AP25" s="749"/>
      <c r="AQ25" s="749"/>
      <c r="AR25" s="749"/>
      <c r="AS25" s="749"/>
      <c r="AT25" s="749"/>
      <c r="AU25" s="749"/>
      <c r="AV25" s="749"/>
      <c r="AW25" s="749"/>
      <c r="AX25" s="749"/>
      <c r="AY25" s="749"/>
      <c r="AZ25" s="749"/>
      <c r="BA25" s="749"/>
      <c r="BB25" s="749"/>
      <c r="BC25" s="749"/>
      <c r="BD25" s="749"/>
      <c r="BE25" s="749"/>
      <c r="BF25" s="749"/>
      <c r="BG25" s="749"/>
      <c r="BH25" s="749"/>
      <c r="BI25" s="749"/>
      <c r="BJ25" s="749"/>
      <c r="BK25" s="749"/>
      <c r="BL25" s="749"/>
    </row>
    <row r="26">
      <c r="A26" s="776">
        <f t="shared" si="3"/>
        <v>2019</v>
      </c>
      <c r="B26" s="802">
        <v>43770.0</v>
      </c>
      <c r="C26" s="776" t="s">
        <v>1053</v>
      </c>
      <c r="D26" s="777" t="s">
        <v>1054</v>
      </c>
      <c r="E26" s="776" t="s">
        <v>1055</v>
      </c>
      <c r="F26" s="776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76" t="s">
        <v>49</v>
      </c>
      <c r="H26" s="776">
        <v>505.0</v>
      </c>
      <c r="I26" s="776" t="s">
        <v>1056</v>
      </c>
      <c r="J26" s="779">
        <v>25.31886</v>
      </c>
      <c r="K26" s="779">
        <v>-80.18461</v>
      </c>
      <c r="L26" s="803" t="s">
        <v>1057</v>
      </c>
      <c r="M26" s="781">
        <v>43809.0</v>
      </c>
      <c r="N26" s="782">
        <v>0.9524752475247524</v>
      </c>
      <c r="O26" s="782">
        <v>0.04356435643564357</v>
      </c>
      <c r="P26" s="782">
        <v>0.0039603960396039604</v>
      </c>
      <c r="Q26" s="782">
        <v>1.0</v>
      </c>
      <c r="R26" s="782">
        <v>1.0</v>
      </c>
      <c r="S26" s="782">
        <v>0.24504950495049507</v>
      </c>
      <c r="T26" s="783">
        <v>44222.0</v>
      </c>
      <c r="U26" s="784">
        <v>0.8178217821782179</v>
      </c>
      <c r="V26" s="784">
        <v>0.1782178217821782</v>
      </c>
      <c r="W26" s="784">
        <v>0.0039603960396039604</v>
      </c>
      <c r="X26" s="784">
        <v>0.9702970297029703</v>
      </c>
      <c r="Y26" s="804"/>
      <c r="Z26" s="803"/>
      <c r="AA26" s="262" t="str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Monitored"")"),"Not Monitored")</f>
        <v>Not Monitored</v>
      </c>
      <c r="AB26" s="263" t="str">
        <f>IFERROR(__xludf.DUMMYFUNCTION("IFERROR(INDEX(IMPORTRANGE(""https://docs.google.com/spreadsheets/d/1fpsE_0655xguD48cGK6n1ZqSLnI-tw9aHzhbPM9kZ-k/edit#gid=0"", ""Monitoring Summary!F:F""),MATCH(D26,IMPORTRANGE(""https://docs.google.com/spreadsheets/d/1fpsE_0655xguD48cGK6n1ZqSLnI-tw9aHzhbP"&amp;"M9kZ-k/edit#gid=0"", ""Monitoring Summary!C:C""),0)),""Not Monitored"")"),"Not Monitored")</f>
        <v>Not Monitored</v>
      </c>
      <c r="AC26" s="264" t="str">
        <f t="shared" si="2"/>
        <v>Not Monitored</v>
      </c>
      <c r="AD26" s="786" t="s">
        <v>986</v>
      </c>
      <c r="AE26" s="787" t="s">
        <v>989</v>
      </c>
      <c r="AF26" s="787" t="s">
        <v>1023</v>
      </c>
      <c r="AG26" s="787" t="s">
        <v>1044</v>
      </c>
      <c r="AH26" s="787" t="s">
        <v>1010</v>
      </c>
      <c r="AI26" s="787" t="s">
        <v>1017</v>
      </c>
      <c r="AJ26" s="787" t="s">
        <v>1036</v>
      </c>
      <c r="AK26" s="787" t="s">
        <v>1018</v>
      </c>
      <c r="AL26" s="787" t="s">
        <v>1058</v>
      </c>
      <c r="AM26" s="787" t="s">
        <v>1059</v>
      </c>
      <c r="AN26" s="787" t="s">
        <v>1060</v>
      </c>
      <c r="AO26" s="787" t="s">
        <v>1061</v>
      </c>
      <c r="AP26" s="787" t="s">
        <v>1062</v>
      </c>
      <c r="AQ26" s="787" t="s">
        <v>1063</v>
      </c>
      <c r="AR26" s="787" t="s">
        <v>1064</v>
      </c>
      <c r="AS26" s="787" t="s">
        <v>1065</v>
      </c>
      <c r="AT26" s="787" t="s">
        <v>1066</v>
      </c>
      <c r="AU26" s="787" t="s">
        <v>1067</v>
      </c>
      <c r="AV26" s="787" t="s">
        <v>1068</v>
      </c>
      <c r="AW26" s="787" t="s">
        <v>1069</v>
      </c>
      <c r="AX26" s="787" t="s">
        <v>1070</v>
      </c>
      <c r="AY26" s="787" t="s">
        <v>1071</v>
      </c>
      <c r="AZ26" s="787" t="s">
        <v>1072</v>
      </c>
      <c r="BA26" s="787" t="s">
        <v>1073</v>
      </c>
      <c r="BB26" s="787" t="s">
        <v>1074</v>
      </c>
      <c r="BC26" s="787"/>
      <c r="BD26" s="787"/>
      <c r="BE26" s="787"/>
      <c r="BF26" s="787"/>
      <c r="BG26" s="787"/>
      <c r="BH26" s="787"/>
      <c r="BI26" s="787"/>
      <c r="BJ26" s="787"/>
      <c r="BK26" s="787"/>
      <c r="BL26" s="787"/>
    </row>
    <row r="27" ht="17.25" customHeight="1">
      <c r="A27" s="805">
        <f t="shared" si="3"/>
        <v>2020</v>
      </c>
      <c r="B27" s="806">
        <v>43860.0</v>
      </c>
      <c r="C27" s="805" t="s">
        <v>1075</v>
      </c>
      <c r="D27" s="807" t="s">
        <v>1076</v>
      </c>
      <c r="E27" s="805" t="s">
        <v>1055</v>
      </c>
      <c r="F27" s="805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05" t="s">
        <v>51</v>
      </c>
      <c r="H27" s="805">
        <v>545.0</v>
      </c>
      <c r="I27" s="805" t="s">
        <v>1077</v>
      </c>
      <c r="J27" s="808">
        <v>25.31633</v>
      </c>
      <c r="K27" s="809">
        <v>-80.18793</v>
      </c>
      <c r="L27" s="800" t="s">
        <v>1078</v>
      </c>
      <c r="M27" s="745">
        <v>43903.0</v>
      </c>
      <c r="N27" s="744">
        <v>0.9743119266055046</v>
      </c>
      <c r="O27" s="744">
        <v>0.014678899082568808</v>
      </c>
      <c r="P27" s="744">
        <v>0.011009174311926606</v>
      </c>
      <c r="Q27" s="744">
        <v>0.9908256880733946</v>
      </c>
      <c r="R27" s="744">
        <v>1.0</v>
      </c>
      <c r="S27" s="744">
        <v>0.3128440366972477</v>
      </c>
      <c r="T27" s="745">
        <v>44222.0</v>
      </c>
      <c r="U27" s="746">
        <v>0.7779816513761468</v>
      </c>
      <c r="V27" s="746">
        <v>0.20733944954128442</v>
      </c>
      <c r="W27" s="746">
        <v>0.014678899082568808</v>
      </c>
      <c r="X27" s="746">
        <v>0.908256880733945</v>
      </c>
      <c r="Y27" s="799"/>
      <c r="Z27" s="800"/>
      <c r="AA27" s="262" t="str">
        <f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Monitored"")"),"Not Monitored")</f>
        <v>Not Monitored</v>
      </c>
      <c r="AB27" s="263" t="str">
        <f>IFERROR(__xludf.DUMMYFUNCTION("IFERROR(INDEX(IMPORTRANGE(""https://docs.google.com/spreadsheets/d/1fpsE_0655xguD48cGK6n1ZqSLnI-tw9aHzhbPM9kZ-k/edit#gid=0"", ""Monitoring Summary!F:F""),MATCH(D27,IMPORTRANGE(""https://docs.google.com/spreadsheets/d/1fpsE_0655xguD48cGK6n1ZqSLnI-tw9aHzhbP"&amp;"M9kZ-k/edit#gid=0"", ""Monitoring Summary!C:C""),0)),""Not Monitored"")"),"Not Monitored")</f>
        <v>Not Monitored</v>
      </c>
      <c r="AC27" s="264" t="str">
        <f t="shared" si="2"/>
        <v>Not Monitored</v>
      </c>
      <c r="AD27" s="748" t="s">
        <v>1014</v>
      </c>
      <c r="AE27" s="749" t="s">
        <v>989</v>
      </c>
      <c r="AF27" s="749" t="s">
        <v>1003</v>
      </c>
      <c r="AG27" s="749" t="s">
        <v>1018</v>
      </c>
      <c r="AH27" s="749" t="s">
        <v>986</v>
      </c>
      <c r="AI27" s="749" t="s">
        <v>987</v>
      </c>
      <c r="AJ27" s="749" t="s">
        <v>1017</v>
      </c>
      <c r="AK27" s="749" t="s">
        <v>1044</v>
      </c>
      <c r="AL27" s="749" t="s">
        <v>1023</v>
      </c>
      <c r="AM27" s="749" t="s">
        <v>1079</v>
      </c>
      <c r="AN27" s="749" t="s">
        <v>1074</v>
      </c>
      <c r="AO27" s="749" t="s">
        <v>1063</v>
      </c>
      <c r="AP27" s="749" t="s">
        <v>1080</v>
      </c>
      <c r="AQ27" s="749" t="s">
        <v>1081</v>
      </c>
      <c r="AR27" s="749" t="s">
        <v>1071</v>
      </c>
      <c r="AS27" s="749" t="s">
        <v>1082</v>
      </c>
      <c r="AT27" s="749" t="s">
        <v>1083</v>
      </c>
      <c r="AU27" s="749" t="s">
        <v>1068</v>
      </c>
      <c r="AV27" s="749" t="s">
        <v>1084</v>
      </c>
      <c r="AW27" s="749" t="s">
        <v>1085</v>
      </c>
      <c r="AX27" s="749" t="s">
        <v>1072</v>
      </c>
      <c r="AY27" s="749" t="s">
        <v>1036</v>
      </c>
      <c r="AZ27" s="749" t="s">
        <v>1086</v>
      </c>
      <c r="BA27" s="749" t="s">
        <v>1087</v>
      </c>
      <c r="BB27" s="749" t="s">
        <v>1069</v>
      </c>
      <c r="BC27" s="749" t="s">
        <v>1064</v>
      </c>
      <c r="BD27" s="749" t="s">
        <v>1088</v>
      </c>
      <c r="BE27" s="749" t="s">
        <v>1089</v>
      </c>
      <c r="BF27" s="749" t="s">
        <v>1062</v>
      </c>
      <c r="BG27" s="749" t="s">
        <v>1090</v>
      </c>
      <c r="BH27" s="749" t="s">
        <v>1091</v>
      </c>
      <c r="BI27" s="749" t="s">
        <v>1092</v>
      </c>
      <c r="BJ27" s="749" t="s">
        <v>1073</v>
      </c>
      <c r="BK27" s="749" t="s">
        <v>1093</v>
      </c>
      <c r="BL27" s="749" t="s">
        <v>1094</v>
      </c>
    </row>
    <row r="28">
      <c r="A28" s="805">
        <f t="shared" si="3"/>
        <v>2020</v>
      </c>
      <c r="B28" s="806">
        <v>43916.0</v>
      </c>
      <c r="C28" s="805" t="s">
        <v>327</v>
      </c>
      <c r="D28" s="807" t="s">
        <v>1095</v>
      </c>
      <c r="E28" s="805" t="s">
        <v>170</v>
      </c>
      <c r="F28" s="805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05" t="s">
        <v>51</v>
      </c>
      <c r="H28" s="805">
        <v>375.0</v>
      </c>
      <c r="I28" s="805" t="s">
        <v>1096</v>
      </c>
      <c r="J28" s="808">
        <v>24.54698</v>
      </c>
      <c r="K28" s="809">
        <v>-81.40292</v>
      </c>
      <c r="L28" s="800" t="s">
        <v>1047</v>
      </c>
      <c r="M28" s="745">
        <v>43950.0</v>
      </c>
      <c r="N28" s="744">
        <v>0.984</v>
      </c>
      <c r="O28" s="744">
        <v>0.013333333333333332</v>
      </c>
      <c r="P28" s="744">
        <v>0.0026666666666666666</v>
      </c>
      <c r="Q28" s="744">
        <v>1.0</v>
      </c>
      <c r="R28" s="744">
        <v>1.0</v>
      </c>
      <c r="S28" s="744">
        <v>0.256</v>
      </c>
      <c r="T28" s="745">
        <v>44287.0</v>
      </c>
      <c r="U28" s="746">
        <v>0.6106666666666667</v>
      </c>
      <c r="V28" s="746">
        <v>0.3866666666666667</v>
      </c>
      <c r="W28" s="746">
        <v>0.0026666666666666666</v>
      </c>
      <c r="X28" s="746">
        <v>0.8533333333333334</v>
      </c>
      <c r="Y28" s="799"/>
      <c r="Z28" s="800"/>
      <c r="AA28" s="262">
        <f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Monitored"")"),45295.0)</f>
        <v>45295</v>
      </c>
      <c r="AB28" s="263">
        <f>IFERROR(__xludf.DUMMYFUNCTION("IFERROR(INDEX(IMPORTRANGE(""https://docs.google.com/spreadsheets/d/1fpsE_0655xguD48cGK6n1ZqSLnI-tw9aHzhbPM9kZ-k/edit#gid=0"", ""Monitoring Summary!F:F""),MATCH(D28,IMPORTRANGE(""https://docs.google.com/spreadsheets/d/1fpsE_0655xguD48cGK6n1ZqSLnI-tw9aHzhbP"&amp;"M9kZ-k/edit#gid=0"", ""Monitoring Summary!C:C""),0)),""Not Monitored"")"),7.0)</f>
        <v>7</v>
      </c>
      <c r="AC28" s="264">
        <f t="shared" si="2"/>
        <v>0.01866666667</v>
      </c>
      <c r="AD28" s="748" t="s">
        <v>1036</v>
      </c>
      <c r="AE28" s="752" t="s">
        <v>1010</v>
      </c>
      <c r="AF28" s="752" t="s">
        <v>1052</v>
      </c>
      <c r="AG28" s="752" t="s">
        <v>990</v>
      </c>
      <c r="AH28" s="752" t="s">
        <v>989</v>
      </c>
      <c r="AI28" s="752" t="s">
        <v>1023</v>
      </c>
      <c r="AJ28" s="752" t="s">
        <v>1014</v>
      </c>
      <c r="AK28" s="752" t="s">
        <v>987</v>
      </c>
      <c r="AL28" s="752" t="s">
        <v>986</v>
      </c>
      <c r="AM28" s="752" t="s">
        <v>1021</v>
      </c>
      <c r="AN28" s="752" t="s">
        <v>1018</v>
      </c>
      <c r="AO28" s="752" t="s">
        <v>1044</v>
      </c>
      <c r="AP28" s="749"/>
      <c r="AQ28" s="749"/>
      <c r="AR28" s="749"/>
      <c r="AS28" s="749"/>
      <c r="AT28" s="749"/>
      <c r="AU28" s="749"/>
      <c r="AV28" s="749"/>
      <c r="AW28" s="749"/>
      <c r="AX28" s="749"/>
      <c r="AY28" s="749"/>
      <c r="AZ28" s="749"/>
      <c r="BA28" s="749"/>
      <c r="BB28" s="749"/>
      <c r="BC28" s="749"/>
      <c r="BD28" s="749"/>
      <c r="BE28" s="749"/>
      <c r="BF28" s="749"/>
      <c r="BG28" s="749"/>
      <c r="BH28" s="749"/>
      <c r="BI28" s="749"/>
      <c r="BJ28" s="749"/>
      <c r="BK28" s="749"/>
      <c r="BL28" s="749"/>
    </row>
    <row r="29">
      <c r="A29" s="805">
        <f t="shared" si="3"/>
        <v>2020</v>
      </c>
      <c r="B29" s="806">
        <v>43921.0</v>
      </c>
      <c r="C29" s="805" t="s">
        <v>327</v>
      </c>
      <c r="D29" s="807" t="s">
        <v>1097</v>
      </c>
      <c r="E29" s="805" t="s">
        <v>170</v>
      </c>
      <c r="F29" s="805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05" t="s">
        <v>51</v>
      </c>
      <c r="H29" s="805">
        <v>300.0</v>
      </c>
      <c r="I29" s="805" t="s">
        <v>1098</v>
      </c>
      <c r="J29" s="808">
        <v>24.54696</v>
      </c>
      <c r="K29" s="809">
        <v>-81.40284</v>
      </c>
      <c r="L29" s="800" t="s">
        <v>1047</v>
      </c>
      <c r="M29" s="745">
        <v>43950.0</v>
      </c>
      <c r="N29" s="744">
        <v>0.9433333333333334</v>
      </c>
      <c r="O29" s="744">
        <v>0.05</v>
      </c>
      <c r="P29" s="744">
        <v>0.006666666666666667</v>
      </c>
      <c r="Q29" s="744">
        <v>1.0</v>
      </c>
      <c r="R29" s="744">
        <v>0.9833333333333333</v>
      </c>
      <c r="S29" s="744">
        <v>0.18050847457627117</v>
      </c>
      <c r="T29" s="796">
        <v>44287.0</v>
      </c>
      <c r="U29" s="746">
        <v>0.2433333333333333</v>
      </c>
      <c r="V29" s="746">
        <v>0.7433333333333333</v>
      </c>
      <c r="W29" s="746">
        <v>0.013333333333333334</v>
      </c>
      <c r="X29" s="746">
        <v>0.4</v>
      </c>
      <c r="Y29" s="799"/>
      <c r="Z29" s="800"/>
      <c r="AA29" s="262">
        <f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Monitored"")"),45295.0)</f>
        <v>45295</v>
      </c>
      <c r="AB29" s="263">
        <f>IFERROR(__xludf.DUMMYFUNCTION("IFERROR(INDEX(IMPORTRANGE(""https://docs.google.com/spreadsheets/d/1fpsE_0655xguD48cGK6n1ZqSLnI-tw9aHzhbPM9kZ-k/edit#gid=0"", ""Monitoring Summary!F:F""),MATCH(D29,IMPORTRANGE(""https://docs.google.com/spreadsheets/d/1fpsE_0655xguD48cGK6n1ZqSLnI-tw9aHzhbP"&amp;"M9kZ-k/edit#gid=0"", ""Monitoring Summary!C:C""),0)),""Not Monitored"")"),1.0)</f>
        <v>1</v>
      </c>
      <c r="AC29" s="264">
        <f t="shared" si="2"/>
        <v>0.003333333333</v>
      </c>
      <c r="AD29" s="748" t="s">
        <v>989</v>
      </c>
      <c r="AE29" s="749" t="s">
        <v>1009</v>
      </c>
      <c r="AF29" s="749" t="s">
        <v>987</v>
      </c>
      <c r="AG29" s="749" t="s">
        <v>1011</v>
      </c>
      <c r="AH29" s="749" t="s">
        <v>1010</v>
      </c>
      <c r="AI29" s="749" t="s">
        <v>1043</v>
      </c>
      <c r="AJ29" s="749" t="s">
        <v>1014</v>
      </c>
      <c r="AK29" s="749" t="s">
        <v>1021</v>
      </c>
      <c r="AL29" s="749"/>
      <c r="AM29" s="749"/>
      <c r="AN29" s="749"/>
      <c r="AO29" s="749"/>
      <c r="AP29" s="749"/>
      <c r="AQ29" s="749"/>
      <c r="AR29" s="749"/>
      <c r="AS29" s="749"/>
      <c r="AT29" s="749"/>
      <c r="AU29" s="749"/>
      <c r="AV29" s="749"/>
      <c r="AW29" s="749"/>
      <c r="AX29" s="749"/>
      <c r="AY29" s="749"/>
      <c r="AZ29" s="749"/>
      <c r="BA29" s="749"/>
      <c r="BB29" s="749"/>
      <c r="BC29" s="749"/>
      <c r="BD29" s="749"/>
      <c r="BE29" s="749"/>
      <c r="BF29" s="749"/>
      <c r="BG29" s="749"/>
      <c r="BH29" s="749"/>
      <c r="BI29" s="749"/>
      <c r="BJ29" s="749"/>
      <c r="BK29" s="749"/>
      <c r="BL29" s="749"/>
    </row>
    <row r="30">
      <c r="A30" s="810">
        <f t="shared" si="3"/>
        <v>2020</v>
      </c>
      <c r="B30" s="811">
        <v>43937.0</v>
      </c>
      <c r="C30" s="810" t="s">
        <v>327</v>
      </c>
      <c r="D30" s="812" t="s">
        <v>1099</v>
      </c>
      <c r="E30" s="810" t="s">
        <v>170</v>
      </c>
      <c r="F30" s="810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10" t="s">
        <v>51</v>
      </c>
      <c r="H30" s="810">
        <v>300.0</v>
      </c>
      <c r="I30" s="810" t="s">
        <v>1100</v>
      </c>
      <c r="J30" s="813">
        <v>24.54631</v>
      </c>
      <c r="K30" s="814">
        <v>-81.40481</v>
      </c>
      <c r="L30" s="815" t="s">
        <v>1101</v>
      </c>
      <c r="M30" s="816">
        <v>43961.0</v>
      </c>
      <c r="N30" s="744">
        <v>0.94</v>
      </c>
      <c r="O30" s="744">
        <v>0.06</v>
      </c>
      <c r="P30" s="744">
        <v>0.0</v>
      </c>
      <c r="Q30" s="744">
        <v>1.0</v>
      </c>
      <c r="R30" s="744">
        <v>1.0</v>
      </c>
      <c r="S30" s="744">
        <v>0.26416666666666666</v>
      </c>
      <c r="T30" s="816">
        <v>44287.0</v>
      </c>
      <c r="U30" s="746">
        <v>0.6333333333333333</v>
      </c>
      <c r="V30" s="746">
        <v>0.36666666666666664</v>
      </c>
      <c r="W30" s="746">
        <v>0.0</v>
      </c>
      <c r="X30" s="746">
        <v>0.7833333333333333</v>
      </c>
      <c r="Y30" s="799"/>
      <c r="Z30" s="800"/>
      <c r="AA30" s="262">
        <f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Monitored"")"),45309.0)</f>
        <v>45309</v>
      </c>
      <c r="AB30" s="263">
        <f>IFERROR(__xludf.DUMMYFUNCTION("IFERROR(INDEX(IMPORTRANGE(""https://docs.google.com/spreadsheets/d/1fpsE_0655xguD48cGK6n1ZqSLnI-tw9aHzhbPM9kZ-k/edit#gid=0"", ""Monitoring Summary!F:F""),MATCH(D30,IMPORTRANGE(""https://docs.google.com/spreadsheets/d/1fpsE_0655xguD48cGK6n1ZqSLnI-tw9aHzhbP"&amp;"M9kZ-k/edit#gid=0"", ""Monitoring Summary!C:C""),0)),""Not Monitored"")"),0.0)</f>
        <v>0</v>
      </c>
      <c r="AC30" s="264">
        <f t="shared" si="2"/>
        <v>0</v>
      </c>
      <c r="AD30" s="817" t="s">
        <v>989</v>
      </c>
      <c r="AE30" s="818" t="s">
        <v>1021</v>
      </c>
      <c r="AF30" s="818" t="s">
        <v>990</v>
      </c>
      <c r="AG30" s="818" t="s">
        <v>987</v>
      </c>
      <c r="AH30" s="818" t="s">
        <v>1003</v>
      </c>
      <c r="AI30" s="818" t="s">
        <v>1023</v>
      </c>
      <c r="AJ30" s="818"/>
      <c r="AK30" s="818"/>
      <c r="AL30" s="818"/>
      <c r="AM30" s="818"/>
      <c r="AN30" s="818"/>
      <c r="AO30" s="818"/>
      <c r="AP30" s="818"/>
      <c r="AQ30" s="818"/>
      <c r="AR30" s="818"/>
      <c r="AS30" s="818"/>
      <c r="AT30" s="818"/>
      <c r="AU30" s="818"/>
      <c r="AV30" s="818"/>
      <c r="AW30" s="818"/>
      <c r="AX30" s="818"/>
      <c r="AY30" s="818"/>
      <c r="AZ30" s="818"/>
      <c r="BA30" s="818"/>
      <c r="BB30" s="818"/>
      <c r="BC30" s="818"/>
      <c r="BD30" s="818"/>
      <c r="BE30" s="818"/>
      <c r="BF30" s="818"/>
      <c r="BG30" s="818"/>
      <c r="BH30" s="818"/>
      <c r="BI30" s="818"/>
      <c r="BJ30" s="818"/>
      <c r="BK30" s="818"/>
      <c r="BL30" s="818"/>
    </row>
    <row r="31">
      <c r="A31" s="752">
        <f t="shared" si="3"/>
        <v>2020</v>
      </c>
      <c r="B31" s="788">
        <v>43955.0</v>
      </c>
      <c r="C31" s="752" t="s">
        <v>327</v>
      </c>
      <c r="D31" s="739" t="s">
        <v>1102</v>
      </c>
      <c r="E31" s="752" t="s">
        <v>170</v>
      </c>
      <c r="F31" s="752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52" t="s">
        <v>47</v>
      </c>
      <c r="H31" s="752">
        <v>300.0</v>
      </c>
      <c r="I31" s="752" t="s">
        <v>1103</v>
      </c>
      <c r="J31" s="772">
        <v>24.54676</v>
      </c>
      <c r="K31" s="772">
        <v>-81.40281</v>
      </c>
      <c r="L31" s="800" t="s">
        <v>1047</v>
      </c>
      <c r="M31" s="743">
        <v>43999.0</v>
      </c>
      <c r="N31" s="744">
        <v>0.85</v>
      </c>
      <c r="O31" s="744">
        <v>0.14333333333333334</v>
      </c>
      <c r="P31" s="744">
        <v>0.006666666666666667</v>
      </c>
      <c r="Q31" s="744">
        <v>0.9666666666666667</v>
      </c>
      <c r="R31" s="744">
        <v>0.9833333333333333</v>
      </c>
      <c r="S31" s="744">
        <v>0.25084745762711863</v>
      </c>
      <c r="T31" s="745">
        <v>44299.0</v>
      </c>
      <c r="U31" s="746">
        <v>0.5900000000000001</v>
      </c>
      <c r="V31" s="746">
        <v>0.4033333333333334</v>
      </c>
      <c r="W31" s="746">
        <v>0.006666666666666667</v>
      </c>
      <c r="X31" s="746">
        <v>0.75</v>
      </c>
      <c r="Y31" s="799"/>
      <c r="Z31" s="800"/>
      <c r="AA31" s="262">
        <f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Monitored"")"),45295.0)</f>
        <v>45295</v>
      </c>
      <c r="AB31" s="263">
        <f>IFERROR(__xludf.DUMMYFUNCTION("IFERROR(INDEX(IMPORTRANGE(""https://docs.google.com/spreadsheets/d/1fpsE_0655xguD48cGK6n1ZqSLnI-tw9aHzhbPM9kZ-k/edit#gid=0"", ""Monitoring Summary!F:F""),MATCH(D31,IMPORTRANGE(""https://docs.google.com/spreadsheets/d/1fpsE_0655xguD48cGK6n1ZqSLnI-tw9aHzhbP"&amp;"M9kZ-k/edit#gid=0"", ""Monitoring Summary!C:C""),0)),""Not Monitored"")"),0.0)</f>
        <v>0</v>
      </c>
      <c r="AC31" s="264">
        <f t="shared" si="2"/>
        <v>0</v>
      </c>
      <c r="AD31" s="748" t="s">
        <v>1044</v>
      </c>
      <c r="AE31" s="749" t="s">
        <v>1009</v>
      </c>
      <c r="AF31" s="749" t="s">
        <v>1017</v>
      </c>
      <c r="AG31" s="749" t="s">
        <v>1003</v>
      </c>
      <c r="AH31" s="749" t="s">
        <v>986</v>
      </c>
      <c r="AI31" s="749" t="s">
        <v>1011</v>
      </c>
      <c r="AJ31" s="749" t="s">
        <v>1023</v>
      </c>
      <c r="AK31" s="749"/>
      <c r="AL31" s="749"/>
      <c r="AM31" s="749"/>
      <c r="AN31" s="749"/>
      <c r="AO31" s="749"/>
      <c r="AP31" s="749"/>
      <c r="AQ31" s="749"/>
      <c r="AR31" s="749"/>
      <c r="AS31" s="749"/>
      <c r="AT31" s="749"/>
      <c r="AU31" s="749"/>
      <c r="AV31" s="749"/>
      <c r="AW31" s="749"/>
      <c r="AX31" s="749"/>
      <c r="AY31" s="749"/>
      <c r="AZ31" s="749"/>
      <c r="BA31" s="749"/>
      <c r="BB31" s="749"/>
      <c r="BC31" s="749"/>
      <c r="BD31" s="749"/>
      <c r="BE31" s="749"/>
      <c r="BF31" s="749"/>
      <c r="BG31" s="749"/>
      <c r="BH31" s="749"/>
      <c r="BI31" s="749"/>
      <c r="BJ31" s="749"/>
      <c r="BK31" s="749"/>
      <c r="BL31" s="749"/>
    </row>
    <row r="32" ht="15.75" customHeight="1">
      <c r="A32" s="752">
        <f t="shared" si="3"/>
        <v>2020</v>
      </c>
      <c r="B32" s="788">
        <v>43979.0</v>
      </c>
      <c r="C32" s="752" t="s">
        <v>502</v>
      </c>
      <c r="D32" s="739" t="s">
        <v>1104</v>
      </c>
      <c r="E32" s="752" t="s">
        <v>170</v>
      </c>
      <c r="F32" s="752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52" t="s">
        <v>47</v>
      </c>
      <c r="H32" s="752">
        <v>500.0</v>
      </c>
      <c r="I32" s="752" t="s">
        <v>1105</v>
      </c>
      <c r="J32" s="772">
        <v>24.55274</v>
      </c>
      <c r="K32" s="772">
        <v>-81.38103</v>
      </c>
      <c r="L32" s="800"/>
      <c r="M32" s="743">
        <v>44012.0</v>
      </c>
      <c r="N32" s="744">
        <v>0.908</v>
      </c>
      <c r="O32" s="744">
        <v>0.092</v>
      </c>
      <c r="P32" s="744">
        <v>0.0</v>
      </c>
      <c r="Q32" s="744">
        <v>0.97</v>
      </c>
      <c r="R32" s="744">
        <v>0.99</v>
      </c>
      <c r="S32" s="744">
        <v>0.41414141414141414</v>
      </c>
      <c r="T32" s="745">
        <v>44328.0</v>
      </c>
      <c r="U32" s="746">
        <v>0.698</v>
      </c>
      <c r="V32" s="746">
        <v>0.302</v>
      </c>
      <c r="W32" s="746">
        <v>0.0</v>
      </c>
      <c r="X32" s="746">
        <v>0.87</v>
      </c>
      <c r="Y32" s="799" t="s">
        <v>1106</v>
      </c>
      <c r="Z32" s="800"/>
      <c r="AA32" s="262">
        <f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Monitored"")"),45036.0)</f>
        <v>45036</v>
      </c>
      <c r="AB32" s="263">
        <f>IFERROR(__xludf.DUMMYFUNCTION("IFERROR(INDEX(IMPORTRANGE(""https://docs.google.com/spreadsheets/d/1fpsE_0655xguD48cGK6n1ZqSLnI-tw9aHzhbPM9kZ-k/edit#gid=0"", ""Monitoring Summary!F:F""),MATCH(D32,IMPORTRANGE(""https://docs.google.com/spreadsheets/d/1fpsE_0655xguD48cGK6n1ZqSLnI-tw9aHzhbP"&amp;"M9kZ-k/edit#gid=0"", ""Monitoring Summary!C:C""),0)),""Not Monitored"")"),0.0)</f>
        <v>0</v>
      </c>
      <c r="AC32" s="264">
        <f t="shared" si="2"/>
        <v>0</v>
      </c>
      <c r="AD32" s="748" t="s">
        <v>989</v>
      </c>
      <c r="AE32" s="749" t="s">
        <v>990</v>
      </c>
      <c r="AF32" s="749" t="s">
        <v>1017</v>
      </c>
      <c r="AG32" s="749" t="s">
        <v>1014</v>
      </c>
      <c r="AH32" s="749" t="s">
        <v>1009</v>
      </c>
      <c r="AI32" s="749" t="s">
        <v>1020</v>
      </c>
      <c r="AJ32" s="749" t="s">
        <v>1023</v>
      </c>
      <c r="AK32" s="749" t="s">
        <v>987</v>
      </c>
      <c r="AL32" s="749" t="s">
        <v>1021</v>
      </c>
      <c r="AM32" s="749" t="s">
        <v>1019</v>
      </c>
      <c r="AN32" s="749" t="s">
        <v>1018</v>
      </c>
      <c r="AO32" s="749" t="s">
        <v>1039</v>
      </c>
      <c r="AP32" s="749" t="s">
        <v>1036</v>
      </c>
      <c r="AQ32" s="749"/>
      <c r="AR32" s="749"/>
      <c r="AS32" s="749"/>
      <c r="AT32" s="749"/>
      <c r="AU32" s="749"/>
      <c r="AV32" s="749"/>
      <c r="AW32" s="749"/>
      <c r="AX32" s="749"/>
      <c r="AY32" s="749"/>
      <c r="AZ32" s="749"/>
      <c r="BA32" s="749"/>
      <c r="BB32" s="749"/>
      <c r="BC32" s="749"/>
      <c r="BD32" s="749"/>
      <c r="BE32" s="749"/>
      <c r="BF32" s="749"/>
      <c r="BG32" s="749"/>
      <c r="BH32" s="749"/>
      <c r="BI32" s="749"/>
      <c r="BJ32" s="749"/>
      <c r="BK32" s="749"/>
      <c r="BL32" s="749"/>
    </row>
    <row r="33">
      <c r="A33" s="752">
        <f t="shared" si="3"/>
        <v>2020</v>
      </c>
      <c r="B33" s="788">
        <v>43993.0</v>
      </c>
      <c r="C33" s="752" t="s">
        <v>318</v>
      </c>
      <c r="D33" s="739" t="s">
        <v>1107</v>
      </c>
      <c r="E33" s="752" t="s">
        <v>170</v>
      </c>
      <c r="F33" s="752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52" t="s">
        <v>47</v>
      </c>
      <c r="H33" s="752">
        <v>305.0</v>
      </c>
      <c r="I33" s="752" t="s">
        <v>1108</v>
      </c>
      <c r="J33" s="819">
        <v>24.52646</v>
      </c>
      <c r="K33" s="819">
        <v>-81.50442</v>
      </c>
      <c r="L33" s="800" t="s">
        <v>1109</v>
      </c>
      <c r="M33" s="743">
        <v>44019.0</v>
      </c>
      <c r="N33" s="744">
        <v>0.980327868852459</v>
      </c>
      <c r="O33" s="744">
        <v>0.01639344262295082</v>
      </c>
      <c r="P33" s="744">
        <v>0.003278688524590164</v>
      </c>
      <c r="Q33" s="744">
        <v>1.0</v>
      </c>
      <c r="R33" s="744">
        <v>1.0</v>
      </c>
      <c r="S33" s="744">
        <v>0.3467213114754098</v>
      </c>
      <c r="T33" s="745">
        <v>44328.0</v>
      </c>
      <c r="U33" s="746">
        <v>0.9737704918032787</v>
      </c>
      <c r="V33" s="746">
        <v>0.022950819672131147</v>
      </c>
      <c r="W33" s="746">
        <v>0.003278688524590164</v>
      </c>
      <c r="X33" s="746">
        <v>1.0</v>
      </c>
      <c r="Y33" s="799"/>
      <c r="Z33" s="800"/>
      <c r="AA33" s="262">
        <f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Monitored"")"),45265.0)</f>
        <v>45265</v>
      </c>
      <c r="AB33" s="263">
        <f>IFERROR(__xludf.DUMMYFUNCTION("IFERROR(INDEX(IMPORTRANGE(""https://docs.google.com/spreadsheets/d/1fpsE_0655xguD48cGK6n1ZqSLnI-tw9aHzhbPM9kZ-k/edit#gid=0"", ""Monitoring Summary!F:F""),MATCH(D33,IMPORTRANGE(""https://docs.google.com/spreadsheets/d/1fpsE_0655xguD48cGK6n1ZqSLnI-tw9aHzhbP"&amp;"M9kZ-k/edit#gid=0"", ""Monitoring Summary!C:C""),0)),""Not Monitored"")"),3.0)</f>
        <v>3</v>
      </c>
      <c r="AC33" s="264">
        <f t="shared" si="2"/>
        <v>0.009836065574</v>
      </c>
      <c r="AD33" s="748" t="s">
        <v>1010</v>
      </c>
      <c r="AE33" s="749" t="s">
        <v>1048</v>
      </c>
      <c r="AF33" s="749" t="s">
        <v>1011</v>
      </c>
      <c r="AG33" s="749" t="s">
        <v>986</v>
      </c>
      <c r="AH33" s="749" t="s">
        <v>1023</v>
      </c>
      <c r="AI33" s="749" t="s">
        <v>1052</v>
      </c>
      <c r="AJ33" s="749" t="s">
        <v>987</v>
      </c>
      <c r="AK33" s="749" t="s">
        <v>1003</v>
      </c>
      <c r="AL33" s="749" t="s">
        <v>1014</v>
      </c>
      <c r="AM33" s="749"/>
      <c r="AN33" s="749"/>
      <c r="AO33" s="749"/>
      <c r="AP33" s="749"/>
      <c r="AQ33" s="749"/>
      <c r="AR33" s="749"/>
      <c r="AS33" s="749"/>
      <c r="AT33" s="749"/>
      <c r="AU33" s="749"/>
      <c r="AV33" s="749"/>
      <c r="AW33" s="749"/>
      <c r="AX33" s="749"/>
      <c r="AY33" s="749"/>
      <c r="AZ33" s="749"/>
      <c r="BA33" s="749"/>
      <c r="BB33" s="749"/>
      <c r="BC33" s="749"/>
      <c r="BD33" s="749"/>
      <c r="BE33" s="749"/>
      <c r="BF33" s="749"/>
      <c r="BG33" s="749"/>
      <c r="BH33" s="749"/>
      <c r="BI33" s="749"/>
      <c r="BJ33" s="749"/>
      <c r="BK33" s="749"/>
      <c r="BL33" s="749"/>
    </row>
    <row r="34">
      <c r="A34" s="805">
        <f t="shared" si="3"/>
        <v>2020</v>
      </c>
      <c r="B34" s="806">
        <v>44000.0</v>
      </c>
      <c r="C34" s="805" t="s">
        <v>327</v>
      </c>
      <c r="D34" s="807" t="s">
        <v>1110</v>
      </c>
      <c r="E34" s="805" t="s">
        <v>170</v>
      </c>
      <c r="F34" s="805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05" t="s">
        <v>51</v>
      </c>
      <c r="H34" s="805">
        <v>300.0</v>
      </c>
      <c r="I34" s="805" t="s">
        <v>1111</v>
      </c>
      <c r="J34" s="808">
        <v>24.54598</v>
      </c>
      <c r="K34" s="808">
        <v>-81.40552</v>
      </c>
      <c r="L34" s="800" t="s">
        <v>1112</v>
      </c>
      <c r="M34" s="743">
        <v>44027.0</v>
      </c>
      <c r="N34" s="744">
        <v>0.94</v>
      </c>
      <c r="O34" s="744">
        <v>0.05666666666666667</v>
      </c>
      <c r="P34" s="744">
        <v>0.0033333333333333335</v>
      </c>
      <c r="Q34" s="744">
        <v>0.9833333333333333</v>
      </c>
      <c r="R34" s="744">
        <v>0.9833333333333333</v>
      </c>
      <c r="S34" s="744">
        <v>0.3813559322033898</v>
      </c>
      <c r="T34" s="745">
        <v>44347.0</v>
      </c>
      <c r="U34" s="746">
        <v>0.91</v>
      </c>
      <c r="V34" s="746">
        <v>0.08666666666666667</v>
      </c>
      <c r="W34" s="746">
        <v>0.0033333333333333335</v>
      </c>
      <c r="X34" s="746">
        <v>0.95</v>
      </c>
      <c r="Y34" s="799"/>
      <c r="Z34" s="800"/>
      <c r="AA34" s="262">
        <f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Monitored"")"),45295.0)</f>
        <v>45295</v>
      </c>
      <c r="AB34" s="263">
        <f>IFERROR(__xludf.DUMMYFUNCTION("IFERROR(INDEX(IMPORTRANGE(""https://docs.google.com/spreadsheets/d/1fpsE_0655xguD48cGK6n1ZqSLnI-tw9aHzhbPM9kZ-k/edit#gid=0"", ""Monitoring Summary!F:F""),MATCH(D34,IMPORTRANGE(""https://docs.google.com/spreadsheets/d/1fpsE_0655xguD48cGK6n1ZqSLnI-tw9aHzhbP"&amp;"M9kZ-k/edit#gid=0"", ""Monitoring Summary!C:C""),0)),""Not Monitored"")"),6.0)</f>
        <v>6</v>
      </c>
      <c r="AC34" s="264">
        <f t="shared" si="2"/>
        <v>0.02</v>
      </c>
      <c r="AD34" s="748" t="s">
        <v>988</v>
      </c>
      <c r="AE34" s="749" t="s">
        <v>1048</v>
      </c>
      <c r="AF34" s="749" t="s">
        <v>1044</v>
      </c>
      <c r="AG34" s="749" t="s">
        <v>1036</v>
      </c>
      <c r="AH34" s="749" t="s">
        <v>1009</v>
      </c>
      <c r="AI34" s="749" t="s">
        <v>1020</v>
      </c>
      <c r="AJ34" s="749" t="s">
        <v>1014</v>
      </c>
      <c r="AK34" s="749" t="s">
        <v>1021</v>
      </c>
      <c r="AL34" s="749" t="s">
        <v>987</v>
      </c>
      <c r="AM34" s="749" t="s">
        <v>1023</v>
      </c>
      <c r="AN34" s="749" t="s">
        <v>989</v>
      </c>
      <c r="AO34" s="749" t="s">
        <v>1017</v>
      </c>
      <c r="AP34" s="749"/>
      <c r="AQ34" s="749"/>
      <c r="AR34" s="749"/>
      <c r="AS34" s="749"/>
      <c r="AT34" s="749"/>
      <c r="AU34" s="749"/>
      <c r="AV34" s="749"/>
      <c r="AW34" s="749"/>
      <c r="AX34" s="749"/>
      <c r="AY34" s="749"/>
      <c r="AZ34" s="749"/>
      <c r="BA34" s="749"/>
      <c r="BB34" s="749"/>
      <c r="BC34" s="749"/>
      <c r="BD34" s="749"/>
      <c r="BE34" s="749"/>
      <c r="BF34" s="749"/>
      <c r="BG34" s="749"/>
      <c r="BH34" s="749"/>
      <c r="BI34" s="749"/>
      <c r="BJ34" s="749"/>
      <c r="BK34" s="749"/>
      <c r="BL34" s="749"/>
    </row>
    <row r="35">
      <c r="A35" s="805">
        <f t="shared" si="3"/>
        <v>2020</v>
      </c>
      <c r="B35" s="806">
        <v>44012.0</v>
      </c>
      <c r="C35" s="805" t="s">
        <v>327</v>
      </c>
      <c r="D35" s="807" t="s">
        <v>1113</v>
      </c>
      <c r="E35" s="805" t="s">
        <v>170</v>
      </c>
      <c r="F35" s="805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05" t="s">
        <v>51</v>
      </c>
      <c r="H35" s="805">
        <v>310.0</v>
      </c>
      <c r="I35" s="805" t="s">
        <v>1114</v>
      </c>
      <c r="J35" s="808">
        <v>24.54609</v>
      </c>
      <c r="K35" s="808">
        <v>-81.4053</v>
      </c>
      <c r="L35" s="800" t="s">
        <v>1112</v>
      </c>
      <c r="M35" s="745">
        <v>44039.0</v>
      </c>
      <c r="N35" s="744">
        <v>0.8096774193548387</v>
      </c>
      <c r="O35" s="744">
        <v>0.18709677419354837</v>
      </c>
      <c r="P35" s="744">
        <v>0.0032258064516129032</v>
      </c>
      <c r="Q35" s="744">
        <v>0.967741935483871</v>
      </c>
      <c r="R35" s="744">
        <v>0.967741935483871</v>
      </c>
      <c r="S35" s="744">
        <v>0.37833333333333335</v>
      </c>
      <c r="T35" s="745">
        <v>44347.0</v>
      </c>
      <c r="U35" s="746">
        <v>0.6516129032258065</v>
      </c>
      <c r="V35" s="746">
        <v>0.34516129032258064</v>
      </c>
      <c r="W35" s="746">
        <v>0.0032258064516129032</v>
      </c>
      <c r="X35" s="746">
        <v>0.8064516129032258</v>
      </c>
      <c r="Y35" s="799"/>
      <c r="Z35" s="800"/>
      <c r="AA35" s="262">
        <f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Monitored"")"),45295.0)</f>
        <v>45295</v>
      </c>
      <c r="AB35" s="263">
        <f>IFERROR(__xludf.DUMMYFUNCTION("IFERROR(INDEX(IMPORTRANGE(""https://docs.google.com/spreadsheets/d/1fpsE_0655xguD48cGK6n1ZqSLnI-tw9aHzhbPM9kZ-k/edit#gid=0"", ""Monitoring Summary!F:F""),MATCH(D35,IMPORTRANGE(""https://docs.google.com/spreadsheets/d/1fpsE_0655xguD48cGK6n1ZqSLnI-tw9aHzhbP"&amp;"M9kZ-k/edit#gid=0"", ""Monitoring Summary!C:C""),0)),""Not Monitored"")"),1.0)</f>
        <v>1</v>
      </c>
      <c r="AC35" s="264">
        <f t="shared" si="2"/>
        <v>0.003225806452</v>
      </c>
      <c r="AD35" s="748" t="s">
        <v>987</v>
      </c>
      <c r="AE35" s="749" t="s">
        <v>1003</v>
      </c>
      <c r="AF35" s="749" t="s">
        <v>1023</v>
      </c>
      <c r="AG35" s="749" t="s">
        <v>986</v>
      </c>
      <c r="AH35" s="749" t="s">
        <v>1115</v>
      </c>
      <c r="AI35" s="749" t="s">
        <v>1116</v>
      </c>
      <c r="AJ35" s="749" t="s">
        <v>1117</v>
      </c>
      <c r="AK35" s="749" t="s">
        <v>1118</v>
      </c>
      <c r="AL35" s="749" t="s">
        <v>989</v>
      </c>
      <c r="AM35" s="749" t="s">
        <v>1011</v>
      </c>
      <c r="AN35" s="749" t="s">
        <v>1048</v>
      </c>
      <c r="AO35" s="749" t="s">
        <v>1020</v>
      </c>
      <c r="AP35" s="749"/>
      <c r="AQ35" s="749"/>
      <c r="AR35" s="749"/>
      <c r="AS35" s="749"/>
      <c r="AT35" s="749"/>
      <c r="AU35" s="749"/>
      <c r="AV35" s="749"/>
      <c r="AW35" s="749"/>
      <c r="AX35" s="749"/>
      <c r="AY35" s="749"/>
      <c r="AZ35" s="749"/>
      <c r="BA35" s="749"/>
      <c r="BB35" s="749"/>
      <c r="BC35" s="749"/>
      <c r="BD35" s="749"/>
      <c r="BE35" s="749"/>
      <c r="BF35" s="749"/>
      <c r="BG35" s="749"/>
      <c r="BH35" s="749"/>
      <c r="BI35" s="749"/>
      <c r="BJ35" s="749"/>
      <c r="BK35" s="749"/>
      <c r="BL35" s="749"/>
    </row>
    <row r="36">
      <c r="A36" s="805">
        <f t="shared" si="3"/>
        <v>2020</v>
      </c>
      <c r="B36" s="806">
        <v>44048.0</v>
      </c>
      <c r="C36" s="805" t="s">
        <v>268</v>
      </c>
      <c r="D36" s="807" t="s">
        <v>1119</v>
      </c>
      <c r="E36" s="805" t="s">
        <v>170</v>
      </c>
      <c r="F36" s="805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05" t="s">
        <v>51</v>
      </c>
      <c r="H36" s="805">
        <v>500.0</v>
      </c>
      <c r="I36" s="805" t="s">
        <v>1120</v>
      </c>
      <c r="J36" s="808">
        <v>24.45276</v>
      </c>
      <c r="K36" s="808">
        <v>-81.87598</v>
      </c>
      <c r="L36" s="742"/>
      <c r="M36" s="820">
        <v>44075.0</v>
      </c>
      <c r="N36" s="744">
        <v>0.86</v>
      </c>
      <c r="O36" s="744">
        <v>0.136</v>
      </c>
      <c r="P36" s="744">
        <v>0.004</v>
      </c>
      <c r="Q36" s="744">
        <v>0.98</v>
      </c>
      <c r="R36" s="744">
        <v>1.0</v>
      </c>
      <c r="S36" s="744">
        <v>0.429</v>
      </c>
      <c r="T36" s="745">
        <v>44468.0</v>
      </c>
      <c r="U36" s="746">
        <v>0.15000000000000002</v>
      </c>
      <c r="V36" s="746">
        <v>0.846</v>
      </c>
      <c r="W36" s="746">
        <v>0.004</v>
      </c>
      <c r="X36" s="746">
        <v>0.35</v>
      </c>
      <c r="Y36" s="751"/>
      <c r="Z36" s="742"/>
      <c r="AA36" s="262">
        <f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Monitored"")"),45294.0)</f>
        <v>45294</v>
      </c>
      <c r="AB36" s="263">
        <f>IFERROR(__xludf.DUMMYFUNCTION("IFERROR(INDEX(IMPORTRANGE(""https://docs.google.com/spreadsheets/d/1fpsE_0655xguD48cGK6n1ZqSLnI-tw9aHzhbPM9kZ-k/edit#gid=0"", ""Monitoring Summary!F:F""),MATCH(D36,IMPORTRANGE(""https://docs.google.com/spreadsheets/d/1fpsE_0655xguD48cGK6n1ZqSLnI-tw9aHzhbP"&amp;"M9kZ-k/edit#gid=0"", ""Monitoring Summary!C:C""),0)),""Not Monitored"")"),2.0)</f>
        <v>2</v>
      </c>
      <c r="AC36" s="264">
        <f t="shared" si="2"/>
        <v>0.004</v>
      </c>
      <c r="AD36" s="748" t="s">
        <v>1009</v>
      </c>
      <c r="AE36" s="749" t="s">
        <v>1017</v>
      </c>
      <c r="AF36" s="749" t="s">
        <v>1067</v>
      </c>
      <c r="AG36" s="749" t="s">
        <v>1121</v>
      </c>
      <c r="AH36" s="749" t="s">
        <v>1092</v>
      </c>
      <c r="AI36" s="749" t="s">
        <v>1115</v>
      </c>
      <c r="AJ36" s="749" t="s">
        <v>1089</v>
      </c>
      <c r="AK36" s="749" t="s">
        <v>986</v>
      </c>
      <c r="AL36" s="749" t="s">
        <v>1091</v>
      </c>
      <c r="AM36" s="749" t="s">
        <v>1117</v>
      </c>
      <c r="AN36" s="749" t="s">
        <v>1082</v>
      </c>
      <c r="AO36" s="749" t="s">
        <v>1087</v>
      </c>
      <c r="AP36" s="749" t="s">
        <v>987</v>
      </c>
      <c r="AQ36" s="749" t="s">
        <v>1085</v>
      </c>
      <c r="AR36" s="749" t="s">
        <v>989</v>
      </c>
      <c r="AS36" s="749" t="s">
        <v>1010</v>
      </c>
      <c r="AT36" s="749" t="s">
        <v>1039</v>
      </c>
      <c r="AU36" s="749" t="s">
        <v>1021</v>
      </c>
      <c r="AV36" s="749" t="s">
        <v>1014</v>
      </c>
      <c r="AW36" s="749" t="s">
        <v>1088</v>
      </c>
      <c r="AX36" s="749" t="s">
        <v>1118</v>
      </c>
      <c r="AY36" s="749" t="s">
        <v>1122</v>
      </c>
      <c r="AZ36" s="749" t="s">
        <v>1123</v>
      </c>
      <c r="BA36" s="749" t="s">
        <v>1124</v>
      </c>
      <c r="BB36" s="749" t="s">
        <v>1125</v>
      </c>
      <c r="BC36" s="749" t="s">
        <v>1126</v>
      </c>
      <c r="BD36" s="749" t="s">
        <v>1127</v>
      </c>
      <c r="BE36" s="749" t="s">
        <v>1048</v>
      </c>
      <c r="BF36" s="749" t="s">
        <v>1128</v>
      </c>
      <c r="BG36" s="749" t="s">
        <v>1052</v>
      </c>
      <c r="BH36" s="749" t="s">
        <v>1129</v>
      </c>
      <c r="BI36" s="749" t="s">
        <v>1130</v>
      </c>
      <c r="BJ36" s="749" t="s">
        <v>1131</v>
      </c>
      <c r="BK36" s="749" t="s">
        <v>1086</v>
      </c>
      <c r="BL36" s="749"/>
    </row>
    <row r="37">
      <c r="A37" s="752">
        <f t="shared" si="3"/>
        <v>2020</v>
      </c>
      <c r="B37" s="788">
        <v>44060.0</v>
      </c>
      <c r="C37" s="752" t="s">
        <v>318</v>
      </c>
      <c r="D37" s="739" t="s">
        <v>1132</v>
      </c>
      <c r="E37" s="752" t="s">
        <v>170</v>
      </c>
      <c r="F37" s="752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52" t="s">
        <v>47</v>
      </c>
      <c r="H37" s="752">
        <v>170.0</v>
      </c>
      <c r="I37" s="752" t="s">
        <v>1133</v>
      </c>
      <c r="J37" s="772">
        <v>24.52638</v>
      </c>
      <c r="K37" s="772">
        <v>-81.50422</v>
      </c>
      <c r="L37" s="742"/>
      <c r="M37" s="820">
        <v>44091.0</v>
      </c>
      <c r="N37" s="744">
        <v>0.888235294117647</v>
      </c>
      <c r="O37" s="744">
        <v>0.10588235294117648</v>
      </c>
      <c r="P37" s="744">
        <v>0.0058823529411764705</v>
      </c>
      <c r="Q37" s="744">
        <v>1.0</v>
      </c>
      <c r="R37" s="744">
        <v>1.0</v>
      </c>
      <c r="S37" s="744">
        <v>0.38382352941176473</v>
      </c>
      <c r="T37" s="745">
        <v>44440.0</v>
      </c>
      <c r="U37" s="746">
        <v>0.8411764705882353</v>
      </c>
      <c r="V37" s="746">
        <v>0.13529411764705881</v>
      </c>
      <c r="W37" s="746">
        <v>0.023529411764705882</v>
      </c>
      <c r="X37" s="746">
        <v>1.0</v>
      </c>
      <c r="Y37" s="751"/>
      <c r="Z37" s="742"/>
      <c r="AA37" s="262">
        <f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Monitored"")"),45265.0)</f>
        <v>45265</v>
      </c>
      <c r="AB37" s="263">
        <f>IFERROR(__xludf.DUMMYFUNCTION("IFERROR(INDEX(IMPORTRANGE(""https://docs.google.com/spreadsheets/d/1fpsE_0655xguD48cGK6n1ZqSLnI-tw9aHzhbPM9kZ-k/edit#gid=0"", ""Monitoring Summary!F:F""),MATCH(D37,IMPORTRANGE(""https://docs.google.com/spreadsheets/d/1fpsE_0655xguD48cGK6n1ZqSLnI-tw9aHzhbP"&amp;"M9kZ-k/edit#gid=0"", ""Monitoring Summary!C:C""),0)),""Not Monitored"")"),4.0)</f>
        <v>4</v>
      </c>
      <c r="AC37" s="264">
        <f t="shared" si="2"/>
        <v>0.02352941176</v>
      </c>
      <c r="AD37" s="748" t="s">
        <v>1011</v>
      </c>
      <c r="AE37" s="749" t="s">
        <v>1022</v>
      </c>
      <c r="AF37" s="749" t="s">
        <v>1023</v>
      </c>
      <c r="AG37" s="749" t="s">
        <v>1020</v>
      </c>
      <c r="AH37" s="749" t="s">
        <v>986</v>
      </c>
      <c r="AI37" s="749" t="s">
        <v>990</v>
      </c>
      <c r="AJ37" s="749" t="s">
        <v>989</v>
      </c>
      <c r="AK37" s="749" t="s">
        <v>1017</v>
      </c>
      <c r="AL37" s="749"/>
      <c r="AM37" s="749"/>
      <c r="AN37" s="749"/>
      <c r="AO37" s="749"/>
      <c r="AP37" s="749"/>
      <c r="AQ37" s="749"/>
      <c r="AR37" s="749"/>
      <c r="AS37" s="749"/>
      <c r="AT37" s="749"/>
      <c r="AU37" s="749"/>
      <c r="AV37" s="749"/>
      <c r="AW37" s="749"/>
      <c r="AX37" s="749"/>
      <c r="AY37" s="749"/>
      <c r="AZ37" s="749"/>
      <c r="BA37" s="749"/>
      <c r="BB37" s="749"/>
      <c r="BC37" s="749"/>
      <c r="BD37" s="749"/>
      <c r="BE37" s="749"/>
      <c r="BF37" s="749"/>
      <c r="BG37" s="749"/>
      <c r="BH37" s="749"/>
      <c r="BI37" s="749"/>
      <c r="BJ37" s="749"/>
      <c r="BK37" s="749"/>
      <c r="BL37" s="749"/>
    </row>
    <row r="38">
      <c r="A38" s="752">
        <f t="shared" si="3"/>
        <v>2020</v>
      </c>
      <c r="B38" s="788">
        <v>44091.0</v>
      </c>
      <c r="C38" s="752" t="s">
        <v>577</v>
      </c>
      <c r="D38" s="739" t="s">
        <v>1134</v>
      </c>
      <c r="E38" s="752" t="s">
        <v>170</v>
      </c>
      <c r="F38" s="752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52" t="s">
        <v>47</v>
      </c>
      <c r="H38" s="752">
        <v>240.0</v>
      </c>
      <c r="I38" s="752" t="s">
        <v>1135</v>
      </c>
      <c r="J38" s="772">
        <v>24.52682</v>
      </c>
      <c r="K38" s="772">
        <v>-81.50012</v>
      </c>
      <c r="L38" s="742"/>
      <c r="M38" s="821">
        <v>44133.0</v>
      </c>
      <c r="N38" s="744">
        <v>0.9833333333333333</v>
      </c>
      <c r="O38" s="744">
        <v>0.0125</v>
      </c>
      <c r="P38" s="744">
        <v>0.004166666666666667</v>
      </c>
      <c r="Q38" s="744">
        <v>1.0</v>
      </c>
      <c r="R38" s="744">
        <v>1.0</v>
      </c>
      <c r="S38" s="744">
        <v>0.20354166666666668</v>
      </c>
      <c r="T38" s="745">
        <v>44459.0</v>
      </c>
      <c r="U38" s="746">
        <v>0.975</v>
      </c>
      <c r="V38" s="746">
        <v>0.020833333333333332</v>
      </c>
      <c r="W38" s="746">
        <v>0.004166666666666667</v>
      </c>
      <c r="X38" s="746">
        <v>1.0</v>
      </c>
      <c r="Y38" s="751"/>
      <c r="Z38" s="742"/>
      <c r="AA38" s="305">
        <f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Monitored"")"),45264.0)</f>
        <v>45264</v>
      </c>
      <c r="AB38" s="263">
        <f>IFERROR(__xludf.DUMMYFUNCTION("IFERROR(INDEX(IMPORTRANGE(""https://docs.google.com/spreadsheets/d/1fpsE_0655xguD48cGK6n1ZqSLnI-tw9aHzhbPM9kZ-k/edit#gid=0"", ""Monitoring Summary!F:F""),MATCH(D38,IMPORTRANGE(""https://docs.google.com/spreadsheets/d/1fpsE_0655xguD48cGK6n1ZqSLnI-tw9aHzhbP"&amp;"M9kZ-k/edit#gid=0"", ""Monitoring Summary!C:C""),0)),""Not Monitored"")"),15.0)</f>
        <v>15</v>
      </c>
      <c r="AC38" s="264">
        <f t="shared" si="2"/>
        <v>0.0625</v>
      </c>
      <c r="AD38" s="748" t="s">
        <v>1009</v>
      </c>
      <c r="AE38" s="749" t="s">
        <v>1136</v>
      </c>
      <c r="AF38" s="749" t="s">
        <v>989</v>
      </c>
      <c r="AG38" s="749" t="s">
        <v>1071</v>
      </c>
      <c r="AH38" s="749" t="s">
        <v>1028</v>
      </c>
      <c r="AI38" s="749" t="s">
        <v>1018</v>
      </c>
      <c r="AJ38" s="749" t="s">
        <v>1021</v>
      </c>
      <c r="AK38" s="749" t="s">
        <v>1014</v>
      </c>
      <c r="AL38" s="749" t="s">
        <v>990</v>
      </c>
      <c r="AM38" s="749" t="s">
        <v>1023</v>
      </c>
      <c r="AN38" s="749" t="s">
        <v>1067</v>
      </c>
      <c r="AO38" s="749" t="s">
        <v>1084</v>
      </c>
      <c r="AP38" s="749" t="s">
        <v>1044</v>
      </c>
      <c r="AQ38" s="749"/>
      <c r="AR38" s="749"/>
      <c r="AS38" s="749"/>
      <c r="AT38" s="749"/>
      <c r="AU38" s="749"/>
      <c r="AV38" s="749"/>
      <c r="AW38" s="749"/>
      <c r="AX38" s="749"/>
      <c r="AY38" s="749"/>
      <c r="AZ38" s="749"/>
      <c r="BA38" s="749"/>
      <c r="BB38" s="749"/>
      <c r="BC38" s="749"/>
      <c r="BD38" s="749"/>
      <c r="BE38" s="749"/>
      <c r="BF38" s="749"/>
      <c r="BG38" s="749"/>
      <c r="BH38" s="749"/>
      <c r="BI38" s="749"/>
      <c r="BJ38" s="749"/>
      <c r="BK38" s="749"/>
      <c r="BL38" s="749"/>
    </row>
    <row r="39">
      <c r="A39" s="789">
        <f t="shared" si="3"/>
        <v>2020</v>
      </c>
      <c r="B39" s="790">
        <v>44116.0</v>
      </c>
      <c r="C39" s="789" t="s">
        <v>577</v>
      </c>
      <c r="D39" s="791" t="s">
        <v>1137</v>
      </c>
      <c r="E39" s="789" t="s">
        <v>170</v>
      </c>
      <c r="F39" s="789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789" t="s">
        <v>47</v>
      </c>
      <c r="H39" s="789">
        <v>200.0</v>
      </c>
      <c r="I39" s="789" t="s">
        <v>1138</v>
      </c>
      <c r="J39" s="793">
        <v>24.52679</v>
      </c>
      <c r="K39" s="793">
        <v>-81.50066</v>
      </c>
      <c r="L39" s="794"/>
      <c r="M39" s="822">
        <v>44158.0</v>
      </c>
      <c r="N39" s="744">
        <v>0.845</v>
      </c>
      <c r="O39" s="744">
        <v>0.155</v>
      </c>
      <c r="P39" s="744">
        <v>0.0</v>
      </c>
      <c r="Q39" s="744">
        <v>1.0</v>
      </c>
      <c r="R39" s="744">
        <v>1.0</v>
      </c>
      <c r="S39" s="744">
        <v>0.30875</v>
      </c>
      <c r="T39" s="796">
        <v>44459.0</v>
      </c>
      <c r="U39" s="746">
        <v>0.5449999999999999</v>
      </c>
      <c r="V39" s="746">
        <v>0.44499999999999995</v>
      </c>
      <c r="W39" s="746">
        <v>0.01</v>
      </c>
      <c r="X39" s="746">
        <v>0.8</v>
      </c>
      <c r="Y39" s="751"/>
      <c r="Z39" s="742"/>
      <c r="AA39" s="262">
        <f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Monitored"")"),45264.0)</f>
        <v>45264</v>
      </c>
      <c r="AB39" s="263">
        <f>IFERROR(__xludf.DUMMYFUNCTION("IFERROR(INDEX(IMPORTRANGE(""https://docs.google.com/spreadsheets/d/1fpsE_0655xguD48cGK6n1ZqSLnI-tw9aHzhbPM9kZ-k/edit#gid=0"", ""Monitoring Summary!F:F""),MATCH(D39,IMPORTRANGE(""https://docs.google.com/spreadsheets/d/1fpsE_0655xguD48cGK6n1ZqSLnI-tw9aHzhbP"&amp;"M9kZ-k/edit#gid=0"", ""Monitoring Summary!C:C""),0)),""Not Monitored"")"),2.0)</f>
        <v>2</v>
      </c>
      <c r="AC39" s="264">
        <f t="shared" si="2"/>
        <v>0.01</v>
      </c>
      <c r="AD39" s="823" t="s">
        <v>989</v>
      </c>
      <c r="AE39" s="824" t="s">
        <v>990</v>
      </c>
      <c r="AF39" s="824" t="s">
        <v>1023</v>
      </c>
      <c r="AG39" s="824" t="s">
        <v>1009</v>
      </c>
      <c r="AH39" s="824" t="s">
        <v>987</v>
      </c>
      <c r="AI39" s="824"/>
      <c r="AJ39" s="824"/>
      <c r="AK39" s="824"/>
      <c r="AL39" s="824"/>
      <c r="AM39" s="824"/>
      <c r="AN39" s="824"/>
      <c r="AO39" s="824"/>
      <c r="AP39" s="824"/>
      <c r="AQ39" s="824"/>
      <c r="AR39" s="824"/>
      <c r="AS39" s="824"/>
      <c r="AT39" s="824"/>
      <c r="AU39" s="824"/>
      <c r="AV39" s="824"/>
      <c r="AW39" s="824"/>
      <c r="AX39" s="824"/>
      <c r="AY39" s="824"/>
      <c r="AZ39" s="824"/>
      <c r="BA39" s="824"/>
      <c r="BB39" s="824"/>
      <c r="BC39" s="824"/>
      <c r="BD39" s="824"/>
      <c r="BE39" s="824"/>
      <c r="BF39" s="824"/>
      <c r="BG39" s="824"/>
      <c r="BH39" s="824"/>
      <c r="BI39" s="824"/>
      <c r="BJ39" s="824"/>
      <c r="BK39" s="824"/>
      <c r="BL39" s="824"/>
    </row>
    <row r="40">
      <c r="A40" s="825">
        <f t="shared" si="3"/>
        <v>2020</v>
      </c>
      <c r="B40" s="826">
        <v>44118.0</v>
      </c>
      <c r="C40" s="825" t="s">
        <v>997</v>
      </c>
      <c r="D40" s="827" t="s">
        <v>1139</v>
      </c>
      <c r="E40" s="825" t="s">
        <v>170</v>
      </c>
      <c r="F40" s="825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25" t="s">
        <v>51</v>
      </c>
      <c r="H40" s="825">
        <v>200.0</v>
      </c>
      <c r="I40" s="825" t="s">
        <v>1140</v>
      </c>
      <c r="J40" s="828">
        <v>24.47412</v>
      </c>
      <c r="K40" s="828">
        <v>-81.7427</v>
      </c>
      <c r="L40" s="780"/>
      <c r="M40" s="829">
        <v>44163.0</v>
      </c>
      <c r="N40" s="782">
        <v>0.92</v>
      </c>
      <c r="O40" s="782">
        <v>0.07500000000000001</v>
      </c>
      <c r="P40" s="782">
        <v>0.005</v>
      </c>
      <c r="Q40" s="782">
        <v>1.0</v>
      </c>
      <c r="R40" s="782">
        <v>0.975</v>
      </c>
      <c r="S40" s="782">
        <v>0.22435897435897434</v>
      </c>
      <c r="T40" s="783">
        <v>44474.0</v>
      </c>
      <c r="U40" s="784">
        <v>0.78</v>
      </c>
      <c r="V40" s="784">
        <v>0.215</v>
      </c>
      <c r="W40" s="784">
        <v>0.005</v>
      </c>
      <c r="X40" s="784">
        <v>0.925</v>
      </c>
      <c r="Y40" s="785"/>
      <c r="Z40" s="780"/>
      <c r="AA40" s="305">
        <f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Monitored"")"),45240.0)</f>
        <v>45240</v>
      </c>
      <c r="AB40" s="263">
        <f>IFERROR(__xludf.DUMMYFUNCTION("IFERROR(INDEX(IMPORTRANGE(""https://docs.google.com/spreadsheets/d/1fpsE_0655xguD48cGK6n1ZqSLnI-tw9aHzhbPM9kZ-k/edit#gid=0"", ""Monitoring Summary!F:F""),MATCH(D40,IMPORTRANGE(""https://docs.google.com/spreadsheets/d/1fpsE_0655xguD48cGK6n1ZqSLnI-tw9aHzhbP"&amp;"M9kZ-k/edit#gid=0"", ""Monitoring Summary!C:C""),0)),""Not Monitored"")"),5.0)</f>
        <v>5</v>
      </c>
      <c r="AC40" s="264">
        <f t="shared" si="2"/>
        <v>0.025</v>
      </c>
      <c r="AD40" s="786" t="s">
        <v>1009</v>
      </c>
      <c r="AE40" s="787" t="s">
        <v>990</v>
      </c>
      <c r="AF40" s="787" t="s">
        <v>1023</v>
      </c>
      <c r="AG40" s="787" t="s">
        <v>987</v>
      </c>
      <c r="AH40" s="787" t="s">
        <v>989</v>
      </c>
      <c r="AI40" s="787"/>
      <c r="AJ40" s="787"/>
      <c r="AK40" s="787"/>
      <c r="AL40" s="787"/>
      <c r="AM40" s="787"/>
      <c r="AN40" s="787"/>
      <c r="AO40" s="787"/>
      <c r="AP40" s="787"/>
      <c r="AQ40" s="787"/>
      <c r="AR40" s="787"/>
      <c r="AS40" s="787"/>
      <c r="AT40" s="787"/>
      <c r="AU40" s="787"/>
      <c r="AV40" s="787"/>
      <c r="AW40" s="787"/>
      <c r="AX40" s="787"/>
      <c r="AY40" s="787"/>
      <c r="AZ40" s="787"/>
      <c r="BA40" s="787"/>
      <c r="BB40" s="787"/>
      <c r="BC40" s="787"/>
      <c r="BD40" s="787"/>
      <c r="BE40" s="787"/>
      <c r="BF40" s="787"/>
      <c r="BG40" s="787"/>
      <c r="BH40" s="787"/>
      <c r="BI40" s="787"/>
      <c r="BJ40" s="787"/>
      <c r="BK40" s="787"/>
      <c r="BL40" s="787"/>
    </row>
    <row r="41">
      <c r="A41" s="752">
        <f t="shared" si="3"/>
        <v>2021</v>
      </c>
      <c r="B41" s="788">
        <v>44203.0</v>
      </c>
      <c r="C41" s="752" t="s">
        <v>577</v>
      </c>
      <c r="D41" s="830" t="s">
        <v>1141</v>
      </c>
      <c r="E41" s="752" t="s">
        <v>170</v>
      </c>
      <c r="F41" s="752" t="s">
        <v>161</v>
      </c>
      <c r="G41" s="752" t="s">
        <v>58</v>
      </c>
      <c r="H41" s="752">
        <v>500.0</v>
      </c>
      <c r="I41" s="752" t="s">
        <v>1142</v>
      </c>
      <c r="J41" s="772">
        <v>24.52643</v>
      </c>
      <c r="K41" s="772">
        <v>-81.50198</v>
      </c>
      <c r="L41" s="742"/>
      <c r="M41" s="821">
        <v>44239.0</v>
      </c>
      <c r="N41" s="744">
        <v>0.884</v>
      </c>
      <c r="O41" s="744">
        <v>0.044</v>
      </c>
      <c r="P41" s="744">
        <v>0.072</v>
      </c>
      <c r="Q41" s="744">
        <v>0.92</v>
      </c>
      <c r="R41" s="744">
        <v>0.96</v>
      </c>
      <c r="S41" s="744">
        <v>0.2661458333333333</v>
      </c>
      <c r="T41" s="745">
        <v>44561.0</v>
      </c>
      <c r="U41" s="746">
        <v>0.802</v>
      </c>
      <c r="V41" s="746">
        <v>0.118</v>
      </c>
      <c r="W41" s="746">
        <v>0.08</v>
      </c>
      <c r="X41" s="746">
        <v>0.86</v>
      </c>
      <c r="Y41" s="751"/>
      <c r="Z41" s="742"/>
      <c r="AA41" s="262">
        <f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Monitored"")"),45264.0)</f>
        <v>45264</v>
      </c>
      <c r="AB41" s="263">
        <f>IFERROR(__xludf.DUMMYFUNCTION("IFERROR(INDEX(IMPORTRANGE(""https://docs.google.com/spreadsheets/d/1fpsE_0655xguD48cGK6n1ZqSLnI-tw9aHzhbPM9kZ-k/edit#gid=0"", ""Monitoring Summary!F:F""),MATCH(D41,IMPORTRANGE(""https://docs.google.com/spreadsheets/d/1fpsE_0655xguD48cGK6n1ZqSLnI-tw9aHzhbP"&amp;"M9kZ-k/edit#gid=0"", ""Monitoring Summary!C:C""),0)),""Not Monitored"")"),5.0)</f>
        <v>5</v>
      </c>
      <c r="AC41" s="264">
        <f t="shared" si="2"/>
        <v>0.01</v>
      </c>
      <c r="AD41" s="748" t="s">
        <v>1018</v>
      </c>
      <c r="AE41" s="749" t="s">
        <v>990</v>
      </c>
      <c r="AF41" s="749" t="s">
        <v>1090</v>
      </c>
      <c r="AG41" s="749" t="s">
        <v>1073</v>
      </c>
      <c r="AH41" s="749" t="s">
        <v>1066</v>
      </c>
      <c r="AI41" s="749" t="s">
        <v>1070</v>
      </c>
      <c r="AJ41" s="749" t="s">
        <v>1082</v>
      </c>
      <c r="AK41" s="749" t="s">
        <v>1064</v>
      </c>
      <c r="AL41" s="749" t="s">
        <v>1061</v>
      </c>
      <c r="AM41" s="749" t="s">
        <v>1060</v>
      </c>
      <c r="AN41" s="749" t="s">
        <v>1136</v>
      </c>
      <c r="AO41" s="749" t="s">
        <v>1086</v>
      </c>
      <c r="AP41" s="749" t="s">
        <v>1065</v>
      </c>
      <c r="AQ41" s="749" t="s">
        <v>1080</v>
      </c>
      <c r="AR41" s="749" t="s">
        <v>1019</v>
      </c>
      <c r="AS41" s="749" t="s">
        <v>1028</v>
      </c>
      <c r="AT41" s="749" t="s">
        <v>1009</v>
      </c>
      <c r="AU41" s="749" t="s">
        <v>1003</v>
      </c>
      <c r="AV41" s="749"/>
      <c r="AW41" s="749"/>
      <c r="AX41" s="749"/>
      <c r="AY41" s="749"/>
      <c r="AZ41" s="749"/>
      <c r="BA41" s="749"/>
      <c r="BB41" s="749"/>
      <c r="BC41" s="749"/>
      <c r="BD41" s="749"/>
      <c r="BE41" s="749"/>
      <c r="BF41" s="749"/>
      <c r="BG41" s="749"/>
      <c r="BH41" s="749"/>
      <c r="BI41" s="749"/>
      <c r="BJ41" s="749"/>
      <c r="BK41" s="749"/>
      <c r="BL41" s="749"/>
    </row>
    <row r="42">
      <c r="A42" s="831">
        <f t="shared" si="3"/>
        <v>2021</v>
      </c>
      <c r="B42" s="832">
        <v>44218.0</v>
      </c>
      <c r="C42" s="831" t="s">
        <v>1143</v>
      </c>
      <c r="D42" s="833" t="s">
        <v>1144</v>
      </c>
      <c r="E42" s="831" t="s">
        <v>1145</v>
      </c>
      <c r="F42" s="831" t="s">
        <v>186</v>
      </c>
      <c r="G42" s="831" t="s">
        <v>54</v>
      </c>
      <c r="H42" s="831">
        <v>50.0</v>
      </c>
      <c r="I42" s="831" t="s">
        <v>1146</v>
      </c>
      <c r="J42" s="834"/>
      <c r="K42" s="835"/>
      <c r="L42" s="742"/>
      <c r="M42" s="821">
        <v>44264.0</v>
      </c>
      <c r="N42" s="744">
        <v>1.0</v>
      </c>
      <c r="O42" s="744">
        <v>0.0</v>
      </c>
      <c r="P42" s="744">
        <v>0.0</v>
      </c>
      <c r="Q42" s="744">
        <v>1.0</v>
      </c>
      <c r="R42" s="744">
        <v>0.4</v>
      </c>
      <c r="S42" s="744">
        <v>0.025</v>
      </c>
      <c r="T42" s="799"/>
      <c r="U42" s="746" t="s">
        <v>149</v>
      </c>
      <c r="V42" s="746" t="s">
        <v>149</v>
      </c>
      <c r="W42" s="746" t="s">
        <v>149</v>
      </c>
      <c r="X42" s="746" t="s">
        <v>149</v>
      </c>
      <c r="Y42" s="751"/>
      <c r="Z42" s="742"/>
      <c r="AA42" s="262" t="str">
        <f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B42" s="263" t="str">
        <f>IFERROR(__xludf.DUMMYFUNCTION("IFERROR(INDEX(IMPORTRANGE(""https://docs.google.com/spreadsheets/d/1fpsE_0655xguD48cGK6n1ZqSLnI-tw9aHzhbPM9kZ-k/edit#gid=0"", ""Monitoring Summary!F:F""),MATCH(D42,IMPORTRANGE(""https://docs.google.com/spreadsheets/d/1fpsE_0655xguD48cGK6n1ZqSLnI-tw9aHzhbP"&amp;"M9kZ-k/edit#gid=0"", ""Monitoring Summary!C:C""),0)),""Not Monitored"")"),"Not Monitored")</f>
        <v>Not Monitored</v>
      </c>
      <c r="AC42" s="264" t="str">
        <f t="shared" si="2"/>
        <v>Not Monitored</v>
      </c>
      <c r="AD42" s="748" t="s">
        <v>987</v>
      </c>
      <c r="AE42" s="749" t="s">
        <v>989</v>
      </c>
      <c r="AF42" s="749"/>
      <c r="AG42" s="749"/>
      <c r="AH42" s="749"/>
      <c r="AI42" s="749"/>
      <c r="AJ42" s="749"/>
      <c r="AK42" s="749"/>
      <c r="AL42" s="749"/>
      <c r="AM42" s="749"/>
      <c r="AN42" s="749"/>
      <c r="AO42" s="749"/>
      <c r="AP42" s="749"/>
      <c r="AQ42" s="749"/>
      <c r="AR42" s="749"/>
      <c r="AS42" s="749"/>
      <c r="AT42" s="749"/>
      <c r="AU42" s="749"/>
      <c r="AV42" s="749"/>
      <c r="AW42" s="749"/>
      <c r="AX42" s="749"/>
      <c r="AY42" s="749"/>
      <c r="AZ42" s="749"/>
      <c r="BA42" s="749"/>
      <c r="BB42" s="749"/>
      <c r="BC42" s="749"/>
      <c r="BD42" s="749"/>
      <c r="BE42" s="749"/>
      <c r="BF42" s="749"/>
      <c r="BG42" s="749"/>
      <c r="BH42" s="749"/>
      <c r="BI42" s="749"/>
      <c r="BJ42" s="749"/>
      <c r="BK42" s="749"/>
      <c r="BL42" s="749"/>
    </row>
    <row r="43">
      <c r="A43" s="752">
        <f t="shared" si="3"/>
        <v>2021</v>
      </c>
      <c r="B43" s="788">
        <v>44223.0</v>
      </c>
      <c r="C43" s="752" t="s">
        <v>268</v>
      </c>
      <c r="D43" s="830" t="s">
        <v>1147</v>
      </c>
      <c r="E43" s="752" t="s">
        <v>170</v>
      </c>
      <c r="F43" s="752" t="s">
        <v>161</v>
      </c>
      <c r="G43" s="752" t="s">
        <v>58</v>
      </c>
      <c r="H43" s="752">
        <v>390.0</v>
      </c>
      <c r="I43" s="752" t="s">
        <v>1148</v>
      </c>
      <c r="J43" s="772">
        <v>24.45292</v>
      </c>
      <c r="K43" s="772">
        <v>-81.87505</v>
      </c>
      <c r="L43" s="742"/>
      <c r="M43" s="821">
        <v>44253.0</v>
      </c>
      <c r="N43" s="744">
        <v>0.8384615384615385</v>
      </c>
      <c r="O43" s="744">
        <v>0.01282051282051282</v>
      </c>
      <c r="P43" s="744">
        <v>0.14871794871794872</v>
      </c>
      <c r="Q43" s="744">
        <v>1.0</v>
      </c>
      <c r="R43" s="744">
        <v>1.0</v>
      </c>
      <c r="S43" s="744">
        <v>0.3692307692307692</v>
      </c>
      <c r="T43" s="745">
        <v>44560.0</v>
      </c>
      <c r="U43" s="746">
        <v>0.5205128205128204</v>
      </c>
      <c r="V43" s="746">
        <v>0.31794871794871793</v>
      </c>
      <c r="W43" s="746">
        <v>0.16153846153846155</v>
      </c>
      <c r="X43" s="746">
        <v>0.8205128205128205</v>
      </c>
      <c r="Y43" s="751"/>
      <c r="Z43" s="742"/>
      <c r="AA43" s="262">
        <f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Monitored"")"),45294.0)</f>
        <v>45294</v>
      </c>
      <c r="AB43" s="263">
        <f>IFERROR(__xludf.DUMMYFUNCTION("IFERROR(INDEX(IMPORTRANGE(""https://docs.google.com/spreadsheets/d/1fpsE_0655xguD48cGK6n1ZqSLnI-tw9aHzhbPM9kZ-k/edit#gid=0"", ""Monitoring Summary!F:F""),MATCH(D43,IMPORTRANGE(""https://docs.google.com/spreadsheets/d/1fpsE_0655xguD48cGK6n1ZqSLnI-tw9aHzhbP"&amp;"M9kZ-k/edit#gid=0"", ""Monitoring Summary!C:C""),0)),""Not Monitored"")"),0.0)</f>
        <v>0</v>
      </c>
      <c r="AC43" s="264">
        <f t="shared" si="2"/>
        <v>0</v>
      </c>
      <c r="AD43" s="748" t="s">
        <v>1009</v>
      </c>
      <c r="AE43" s="749" t="s">
        <v>987</v>
      </c>
      <c r="AF43" s="749" t="s">
        <v>1017</v>
      </c>
      <c r="AG43" s="749" t="s">
        <v>1020</v>
      </c>
      <c r="AH43" s="749" t="s">
        <v>1010</v>
      </c>
      <c r="AI43" s="749" t="s">
        <v>989</v>
      </c>
      <c r="AJ43" s="749" t="s">
        <v>986</v>
      </c>
      <c r="AK43" s="749"/>
      <c r="AL43" s="749"/>
      <c r="AM43" s="749"/>
      <c r="AN43" s="749"/>
      <c r="AO43" s="749"/>
      <c r="AP43" s="749"/>
      <c r="AQ43" s="749"/>
      <c r="AR43" s="749"/>
      <c r="AS43" s="749"/>
      <c r="AT43" s="749"/>
      <c r="AU43" s="749"/>
      <c r="AV43" s="749"/>
      <c r="AW43" s="749"/>
      <c r="AX43" s="749"/>
      <c r="AY43" s="749"/>
      <c r="AZ43" s="749"/>
      <c r="BA43" s="749"/>
      <c r="BB43" s="749"/>
      <c r="BC43" s="749"/>
      <c r="BD43" s="749"/>
      <c r="BE43" s="749"/>
      <c r="BF43" s="749"/>
      <c r="BG43" s="749"/>
      <c r="BH43" s="749"/>
      <c r="BI43" s="749"/>
      <c r="BJ43" s="749"/>
      <c r="BK43" s="749"/>
      <c r="BL43" s="749"/>
    </row>
    <row r="44">
      <c r="A44" s="831">
        <f t="shared" si="3"/>
        <v>2021</v>
      </c>
      <c r="B44" s="832">
        <v>44222.0</v>
      </c>
      <c r="C44" s="831" t="s">
        <v>1143</v>
      </c>
      <c r="D44" s="833" t="s">
        <v>1149</v>
      </c>
      <c r="E44" s="831" t="s">
        <v>1145</v>
      </c>
      <c r="F44" s="831" t="s">
        <v>186</v>
      </c>
      <c r="G44" s="831" t="s">
        <v>54</v>
      </c>
      <c r="H44" s="831">
        <v>35.0</v>
      </c>
      <c r="I44" s="831" t="s">
        <v>1146</v>
      </c>
      <c r="J44" s="834"/>
      <c r="K44" s="835"/>
      <c r="L44" s="742"/>
      <c r="M44" s="821">
        <v>44264.0</v>
      </c>
      <c r="N44" s="744">
        <v>0.9714285714285714</v>
      </c>
      <c r="O44" s="744">
        <v>0.0</v>
      </c>
      <c r="P44" s="744">
        <v>0.02857142857142857</v>
      </c>
      <c r="Q44" s="744">
        <v>1.0</v>
      </c>
      <c r="R44" s="744">
        <v>0.8571428571428571</v>
      </c>
      <c r="S44" s="744">
        <v>0.2383333333333333</v>
      </c>
      <c r="T44" s="799"/>
      <c r="U44" s="746" t="s">
        <v>149</v>
      </c>
      <c r="V44" s="746" t="s">
        <v>149</v>
      </c>
      <c r="W44" s="746" t="s">
        <v>149</v>
      </c>
      <c r="X44" s="746" t="s">
        <v>149</v>
      </c>
      <c r="Y44" s="751"/>
      <c r="Z44" s="742"/>
      <c r="AA44" s="262" t="str">
        <f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Monitored"")"),"Not Monitored")</f>
        <v>Not Monitored</v>
      </c>
      <c r="AB44" s="263" t="str">
        <f>IFERROR(__xludf.DUMMYFUNCTION("IFERROR(INDEX(IMPORTRANGE(""https://docs.google.com/spreadsheets/d/1fpsE_0655xguD48cGK6n1ZqSLnI-tw9aHzhbPM9kZ-k/edit#gid=0"", ""Monitoring Summary!F:F""),MATCH(D44,IMPORTRANGE(""https://docs.google.com/spreadsheets/d/1fpsE_0655xguD48cGK6n1ZqSLnI-tw9aHzhbP"&amp;"M9kZ-k/edit#gid=0"", ""Monitoring Summary!C:C""),0)),""Not Monitored"")"),"Not Monitored")</f>
        <v>Not Monitored</v>
      </c>
      <c r="AC44" s="264" t="str">
        <f t="shared" si="2"/>
        <v>Not Monitored</v>
      </c>
      <c r="AD44" s="748" t="s">
        <v>1009</v>
      </c>
      <c r="AE44" s="749"/>
      <c r="AF44" s="749"/>
      <c r="AG44" s="749"/>
      <c r="AH44" s="749"/>
      <c r="AI44" s="749"/>
      <c r="AJ44" s="749"/>
      <c r="AK44" s="749"/>
      <c r="AL44" s="749"/>
      <c r="AM44" s="749"/>
      <c r="AN44" s="749"/>
      <c r="AO44" s="749"/>
      <c r="AP44" s="749"/>
      <c r="AQ44" s="749"/>
      <c r="AR44" s="749"/>
      <c r="AS44" s="749"/>
      <c r="AT44" s="749"/>
      <c r="AU44" s="749"/>
      <c r="AV44" s="749"/>
      <c r="AW44" s="749"/>
      <c r="AX44" s="749"/>
      <c r="AY44" s="749"/>
      <c r="AZ44" s="749"/>
      <c r="BA44" s="749"/>
      <c r="BB44" s="749"/>
      <c r="BC44" s="749"/>
      <c r="BD44" s="749"/>
      <c r="BE44" s="749"/>
      <c r="BF44" s="749"/>
      <c r="BG44" s="749"/>
      <c r="BH44" s="749"/>
      <c r="BI44" s="749"/>
      <c r="BJ44" s="749"/>
      <c r="BK44" s="749"/>
      <c r="BL44" s="749"/>
    </row>
    <row r="45">
      <c r="A45" s="752">
        <v>2021.0</v>
      </c>
      <c r="B45" s="788">
        <v>44253.0</v>
      </c>
      <c r="C45" s="752" t="s">
        <v>268</v>
      </c>
      <c r="D45" s="830" t="s">
        <v>1150</v>
      </c>
      <c r="E45" s="752" t="s">
        <v>170</v>
      </c>
      <c r="F45" s="752" t="s">
        <v>161</v>
      </c>
      <c r="G45" s="752" t="s">
        <v>58</v>
      </c>
      <c r="H45" s="752">
        <v>345.0</v>
      </c>
      <c r="I45" s="752" t="s">
        <v>1151</v>
      </c>
      <c r="J45" s="772">
        <v>24.453</v>
      </c>
      <c r="K45" s="772">
        <v>-81.87498</v>
      </c>
      <c r="L45" s="742"/>
      <c r="M45" s="821">
        <v>44343.0</v>
      </c>
      <c r="N45" s="744">
        <v>0.8260869565217391</v>
      </c>
      <c r="O45" s="744">
        <v>0.020289855072463767</v>
      </c>
      <c r="P45" s="744">
        <v>0.1536231884057971</v>
      </c>
      <c r="Q45" s="744">
        <v>0.9855072463768116</v>
      </c>
      <c r="R45" s="744">
        <v>0.2608695652173913</v>
      </c>
      <c r="S45" s="744">
        <v>0.275</v>
      </c>
      <c r="T45" s="745">
        <v>44621.0</v>
      </c>
      <c r="U45" s="746">
        <v>0.7478260869565218</v>
      </c>
      <c r="V45" s="746">
        <v>0.10144927536231885</v>
      </c>
      <c r="W45" s="746">
        <v>0.15072463768115943</v>
      </c>
      <c r="X45" s="746">
        <v>0.8985507246376812</v>
      </c>
      <c r="Y45" s="751"/>
      <c r="Z45" s="742"/>
      <c r="AA45" s="262">
        <f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Monitored"")"),45294.0)</f>
        <v>45294</v>
      </c>
      <c r="AB45" s="263">
        <f>IFERROR(__xludf.DUMMYFUNCTION("IFERROR(INDEX(IMPORTRANGE(""https://docs.google.com/spreadsheets/d/1fpsE_0655xguD48cGK6n1ZqSLnI-tw9aHzhbPM9kZ-k/edit#gid=0"", ""Monitoring Summary!F:F""),MATCH(D45,IMPORTRANGE(""https://docs.google.com/spreadsheets/d/1fpsE_0655xguD48cGK6n1ZqSLnI-tw9aHzhbP"&amp;"M9kZ-k/edit#gid=0"", ""Monitoring Summary!C:C""),0)),""Not Monitored"")"),0.0)</f>
        <v>0</v>
      </c>
      <c r="AC45" s="264">
        <f t="shared" si="2"/>
        <v>0</v>
      </c>
      <c r="AD45" s="748" t="s">
        <v>990</v>
      </c>
      <c r="AE45" s="749" t="s">
        <v>1021</v>
      </c>
      <c r="AF45" s="749" t="s">
        <v>1072</v>
      </c>
      <c r="AG45" s="749" t="s">
        <v>1014</v>
      </c>
      <c r="AH45" s="749" t="s">
        <v>1087</v>
      </c>
      <c r="AI45" s="749" t="s">
        <v>1023</v>
      </c>
      <c r="AJ45" s="749"/>
      <c r="AK45" s="749"/>
      <c r="AL45" s="749"/>
      <c r="AM45" s="749"/>
      <c r="AN45" s="749"/>
      <c r="AO45" s="749"/>
      <c r="AP45" s="749"/>
      <c r="AQ45" s="749"/>
      <c r="AR45" s="749"/>
      <c r="AS45" s="749"/>
      <c r="AT45" s="749"/>
      <c r="AU45" s="749"/>
      <c r="AV45" s="749"/>
      <c r="AW45" s="749"/>
      <c r="AX45" s="749"/>
      <c r="AY45" s="749"/>
      <c r="AZ45" s="749"/>
      <c r="BA45" s="749"/>
      <c r="BB45" s="749"/>
      <c r="BC45" s="749"/>
      <c r="BD45" s="749"/>
      <c r="BE45" s="749"/>
      <c r="BF45" s="749"/>
      <c r="BG45" s="749"/>
      <c r="BH45" s="749"/>
      <c r="BI45" s="749"/>
      <c r="BJ45" s="749"/>
      <c r="BK45" s="749"/>
      <c r="BL45" s="749"/>
    </row>
    <row r="46">
      <c r="A46" s="805">
        <v>2021.0</v>
      </c>
      <c r="B46" s="806">
        <v>44271.0</v>
      </c>
      <c r="C46" s="805" t="s">
        <v>345</v>
      </c>
      <c r="D46" s="836" t="s">
        <v>1152</v>
      </c>
      <c r="E46" s="805" t="s">
        <v>170</v>
      </c>
      <c r="F46" s="805" t="s">
        <v>161</v>
      </c>
      <c r="G46" s="805" t="s">
        <v>53</v>
      </c>
      <c r="H46" s="805">
        <v>490.0</v>
      </c>
      <c r="I46" s="805" t="s">
        <v>1153</v>
      </c>
      <c r="J46" s="808">
        <v>24.51081</v>
      </c>
      <c r="K46" s="808">
        <v>-81.56949</v>
      </c>
      <c r="L46" s="742"/>
      <c r="M46" s="820">
        <v>44301.0</v>
      </c>
      <c r="N46" s="744">
        <v>0.9897959183673469</v>
      </c>
      <c r="O46" s="744">
        <v>0.00816326530612245</v>
      </c>
      <c r="P46" s="744">
        <v>0.0020408163265306124</v>
      </c>
      <c r="Q46" s="744">
        <v>1.0</v>
      </c>
      <c r="R46" s="744">
        <v>0.9897959183673469</v>
      </c>
      <c r="S46" s="744">
        <v>0.2020618556701031</v>
      </c>
      <c r="T46" s="745">
        <v>44603.0</v>
      </c>
      <c r="U46" s="746">
        <v>0.926530612244898</v>
      </c>
      <c r="V46" s="746">
        <v>0.07142857142857142</v>
      </c>
      <c r="W46" s="746">
        <v>0.0020408163265306124</v>
      </c>
      <c r="X46" s="746">
        <v>0.9489795918367347</v>
      </c>
      <c r="Y46" s="751"/>
      <c r="Z46" s="742"/>
      <c r="AA46" s="305">
        <f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Monitored"")"),45264.0)</f>
        <v>45264</v>
      </c>
      <c r="AB46" s="263">
        <f>IFERROR(__xludf.DUMMYFUNCTION("IFERROR(INDEX(IMPORTRANGE(""https://docs.google.com/spreadsheets/d/1fpsE_0655xguD48cGK6n1ZqSLnI-tw9aHzhbPM9kZ-k/edit#gid=0"", ""Monitoring Summary!F:F""),MATCH(D46,IMPORTRANGE(""https://docs.google.com/spreadsheets/d/1fpsE_0655xguD48cGK6n1ZqSLnI-tw9aHzhbP"&amp;"M9kZ-k/edit#gid=0"", ""Monitoring Summary!C:C""),0)),""Not Monitored"")"),9.0)</f>
        <v>9</v>
      </c>
      <c r="AC46" s="264">
        <f t="shared" si="2"/>
        <v>0.01836734694</v>
      </c>
      <c r="AD46" s="748" t="s">
        <v>990</v>
      </c>
      <c r="AE46" s="749" t="s">
        <v>1011</v>
      </c>
      <c r="AF46" s="749" t="s">
        <v>1043</v>
      </c>
      <c r="AG46" s="749" t="s">
        <v>1020</v>
      </c>
      <c r="AH46" s="749" t="s">
        <v>1003</v>
      </c>
      <c r="AI46" s="749" t="s">
        <v>1036</v>
      </c>
      <c r="AJ46" s="749" t="s">
        <v>989</v>
      </c>
      <c r="AK46" s="749" t="s">
        <v>1009</v>
      </c>
      <c r="AL46" s="749"/>
      <c r="AM46" s="749"/>
      <c r="AN46" s="749"/>
      <c r="AO46" s="749"/>
      <c r="AP46" s="749"/>
      <c r="AQ46" s="749"/>
      <c r="AR46" s="749"/>
      <c r="AS46" s="749"/>
      <c r="AT46" s="749"/>
      <c r="AU46" s="749"/>
      <c r="AV46" s="749"/>
      <c r="AW46" s="749"/>
      <c r="AX46" s="749"/>
      <c r="AY46" s="749"/>
      <c r="AZ46" s="749"/>
      <c r="BA46" s="749"/>
      <c r="BB46" s="749"/>
      <c r="BC46" s="749"/>
      <c r="BD46" s="749"/>
      <c r="BE46" s="749"/>
      <c r="BF46" s="749"/>
      <c r="BG46" s="749"/>
      <c r="BH46" s="749"/>
      <c r="BI46" s="749"/>
      <c r="BJ46" s="749"/>
      <c r="BK46" s="749"/>
      <c r="BL46" s="749"/>
    </row>
    <row r="47">
      <c r="A47" s="837">
        <v>2021.0</v>
      </c>
      <c r="B47" s="838">
        <v>44278.0</v>
      </c>
      <c r="C47" s="837" t="s">
        <v>292</v>
      </c>
      <c r="D47" s="839" t="s">
        <v>1154</v>
      </c>
      <c r="E47" s="837" t="s">
        <v>170</v>
      </c>
      <c r="F47" s="837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37" t="s">
        <v>60</v>
      </c>
      <c r="H47" s="837">
        <v>600.0</v>
      </c>
      <c r="I47" s="837" t="s">
        <v>1155</v>
      </c>
      <c r="J47" s="840">
        <v>24.45947</v>
      </c>
      <c r="K47" s="840">
        <v>-81.84441</v>
      </c>
      <c r="L47" s="742"/>
      <c r="M47" s="841">
        <v>44323.0</v>
      </c>
      <c r="N47" s="744">
        <v>0.935</v>
      </c>
      <c r="O47" s="744">
        <v>0.06166666666666667</v>
      </c>
      <c r="P47" s="744">
        <v>0.0033333333333333335</v>
      </c>
      <c r="Q47" s="744">
        <v>0.9866666666666667</v>
      </c>
      <c r="R47" s="744">
        <v>0.2</v>
      </c>
      <c r="S47" s="744">
        <v>0.19466666666666665</v>
      </c>
      <c r="T47" s="842">
        <v>44621.0</v>
      </c>
      <c r="U47" s="746">
        <v>0.17000000000000004</v>
      </c>
      <c r="V47" s="746">
        <v>0.8266666666666667</v>
      </c>
      <c r="W47" s="746">
        <v>0.0033333333333333335</v>
      </c>
      <c r="X47" s="746">
        <v>0.29333333333333333</v>
      </c>
      <c r="Y47" s="751"/>
      <c r="Z47" s="742"/>
      <c r="AA47" s="262" t="str">
        <f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Monitored"")"),"Not Monitored")</f>
        <v>Not Monitored</v>
      </c>
      <c r="AB47" s="263" t="str">
        <f>IFERROR(__xludf.DUMMYFUNCTION("IFERROR(INDEX(IMPORTRANGE(""https://docs.google.com/spreadsheets/d/1fpsE_0655xguD48cGK6n1ZqSLnI-tw9aHzhbPM9kZ-k/edit#gid=0"", ""Monitoring Summary!F:F""),MATCH(D47,IMPORTRANGE(""https://docs.google.com/spreadsheets/d/1fpsE_0655xguD48cGK6n1ZqSLnI-tw9aHzhbP"&amp;"M9kZ-k/edit#gid=0"", ""Monitoring Summary!C:C""),0)),""Not Monitored"")"),"Not Monitored")</f>
        <v>Not Monitored</v>
      </c>
      <c r="AC47" s="264" t="str">
        <f t="shared" si="2"/>
        <v>Not Monitored</v>
      </c>
      <c r="AD47" s="748" t="s">
        <v>987</v>
      </c>
      <c r="AE47" s="749" t="s">
        <v>989</v>
      </c>
      <c r="AF47" s="749" t="s">
        <v>1032</v>
      </c>
      <c r="AG47" s="749" t="s">
        <v>1021</v>
      </c>
      <c r="AH47" s="749" t="s">
        <v>1014</v>
      </c>
      <c r="AI47" s="749" t="s">
        <v>1039</v>
      </c>
      <c r="AJ47" s="749" t="s">
        <v>986</v>
      </c>
      <c r="AK47" s="749" t="s">
        <v>1003</v>
      </c>
      <c r="AL47" s="749" t="s">
        <v>1063</v>
      </c>
      <c r="AM47" s="749" t="s">
        <v>1009</v>
      </c>
      <c r="AN47" s="749"/>
      <c r="AO47" s="749"/>
      <c r="AP47" s="749"/>
      <c r="AQ47" s="749"/>
      <c r="AR47" s="749"/>
      <c r="AS47" s="749"/>
      <c r="AT47" s="749"/>
      <c r="AU47" s="749"/>
      <c r="AV47" s="749"/>
      <c r="AW47" s="749"/>
      <c r="AX47" s="749"/>
      <c r="AY47" s="749"/>
      <c r="AZ47" s="749"/>
      <c r="BA47" s="749"/>
      <c r="BB47" s="749"/>
      <c r="BC47" s="749"/>
      <c r="BD47" s="749"/>
      <c r="BE47" s="749"/>
      <c r="BF47" s="749"/>
      <c r="BG47" s="749"/>
      <c r="BH47" s="749"/>
      <c r="BI47" s="749"/>
      <c r="BJ47" s="749"/>
      <c r="BK47" s="749"/>
      <c r="BL47" s="749"/>
    </row>
    <row r="48">
      <c r="A48" s="805">
        <v>2021.0</v>
      </c>
      <c r="B48" s="806">
        <v>44294.0</v>
      </c>
      <c r="C48" s="805" t="s">
        <v>327</v>
      </c>
      <c r="D48" s="836" t="s">
        <v>1156</v>
      </c>
      <c r="E48" s="805" t="s">
        <v>1157</v>
      </c>
      <c r="F48" s="805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05" t="s">
        <v>53</v>
      </c>
      <c r="H48" s="805">
        <v>216.0</v>
      </c>
      <c r="I48" s="805" t="s">
        <v>1158</v>
      </c>
      <c r="J48" s="808">
        <v>24.54585</v>
      </c>
      <c r="K48" s="808">
        <v>-81.40506</v>
      </c>
      <c r="L48" s="742"/>
      <c r="M48" s="821">
        <v>44344.0</v>
      </c>
      <c r="N48" s="744">
        <v>0.9537037037037037</v>
      </c>
      <c r="O48" s="744">
        <v>0.018518518518518517</v>
      </c>
      <c r="P48" s="744">
        <v>0.027777777777777776</v>
      </c>
      <c r="Q48" s="744" t="s">
        <v>149</v>
      </c>
      <c r="R48" s="744" t="e">
        <v>#DIV/0!</v>
      </c>
      <c r="S48" s="744" t="s">
        <v>149</v>
      </c>
      <c r="T48" s="799"/>
      <c r="U48" s="746" t="s">
        <v>149</v>
      </c>
      <c r="V48" s="746" t="s">
        <v>149</v>
      </c>
      <c r="W48" s="746" t="s">
        <v>149</v>
      </c>
      <c r="X48" s="746" t="s">
        <v>149</v>
      </c>
      <c r="Y48" s="751"/>
      <c r="Z48" s="742"/>
      <c r="AA48" s="262" t="str">
        <f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B48" s="263" t="str">
        <f>IFERROR(__xludf.DUMMYFUNCTION("IFERROR(INDEX(IMPORTRANGE(""https://docs.google.com/spreadsheets/d/1fpsE_0655xguD48cGK6n1ZqSLnI-tw9aHzhbPM9kZ-k/edit#gid=0"", ""Monitoring Summary!F:F""),MATCH(D48,IMPORTRANGE(""https://docs.google.com/spreadsheets/d/1fpsE_0655xguD48cGK6n1ZqSLnI-tw9aHzhbP"&amp;"M9kZ-k/edit#gid=0"", ""Monitoring Summary!C:C""),0)),""Not Monitored"")"),"Not Monitored")</f>
        <v>Not Monitored</v>
      </c>
      <c r="AC48" s="264" t="str">
        <f t="shared" si="2"/>
        <v>Not Monitored</v>
      </c>
      <c r="AD48" s="748" t="s">
        <v>987</v>
      </c>
      <c r="AE48" s="749" t="s">
        <v>986</v>
      </c>
      <c r="AF48" s="749" t="s">
        <v>990</v>
      </c>
      <c r="AG48" s="749"/>
      <c r="AH48" s="749"/>
      <c r="AI48" s="749"/>
      <c r="AJ48" s="749"/>
      <c r="AK48" s="749"/>
      <c r="AL48" s="749"/>
      <c r="AM48" s="749"/>
      <c r="AN48" s="749"/>
      <c r="AO48" s="749"/>
      <c r="AP48" s="749"/>
      <c r="AQ48" s="749"/>
      <c r="AR48" s="749"/>
      <c r="AS48" s="749"/>
      <c r="AT48" s="749"/>
      <c r="AU48" s="749"/>
      <c r="AV48" s="749"/>
      <c r="AW48" s="749"/>
      <c r="AX48" s="749"/>
      <c r="AY48" s="749"/>
      <c r="AZ48" s="749"/>
      <c r="BA48" s="749"/>
      <c r="BB48" s="749"/>
      <c r="BC48" s="749"/>
      <c r="BD48" s="749"/>
      <c r="BE48" s="749"/>
      <c r="BF48" s="749"/>
      <c r="BG48" s="749"/>
      <c r="BH48" s="749"/>
      <c r="BI48" s="749"/>
      <c r="BJ48" s="749"/>
      <c r="BK48" s="749"/>
      <c r="BL48" s="749"/>
    </row>
    <row r="49">
      <c r="A49" s="837">
        <v>2021.0</v>
      </c>
      <c r="B49" s="838">
        <v>44308.0</v>
      </c>
      <c r="C49" s="843" t="s">
        <v>292</v>
      </c>
      <c r="D49" s="839" t="s">
        <v>1159</v>
      </c>
      <c r="E49" s="837" t="s">
        <v>170</v>
      </c>
      <c r="F49" s="837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44" t="s">
        <v>60</v>
      </c>
      <c r="H49" s="837">
        <v>600.0</v>
      </c>
      <c r="I49" s="837" t="s">
        <v>1160</v>
      </c>
      <c r="J49" s="840">
        <v>24.45984</v>
      </c>
      <c r="K49" s="840">
        <v>-81.84345</v>
      </c>
      <c r="L49" s="742"/>
      <c r="M49" s="841">
        <v>44323.0</v>
      </c>
      <c r="N49" s="744">
        <v>0.9933333333333333</v>
      </c>
      <c r="O49" s="744">
        <v>0.005</v>
      </c>
      <c r="P49" s="744">
        <v>0.0016666666666666668</v>
      </c>
      <c r="Q49" s="744">
        <v>1.0</v>
      </c>
      <c r="R49" s="744">
        <v>0.18</v>
      </c>
      <c r="S49" s="744">
        <v>0.08222222222222221</v>
      </c>
      <c r="T49" s="842">
        <v>44679.0</v>
      </c>
      <c r="U49" s="746">
        <v>0.21999999999999997</v>
      </c>
      <c r="V49" s="746">
        <v>0.7766666666666667</v>
      </c>
      <c r="W49" s="746">
        <v>0.0033333333333333335</v>
      </c>
      <c r="X49" s="746">
        <v>0.3</v>
      </c>
      <c r="Y49" s="751"/>
      <c r="Z49" s="742"/>
      <c r="AA49" s="262">
        <f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Monitored"")"),45293.0)</f>
        <v>45293</v>
      </c>
      <c r="AB49" s="263">
        <f>IFERROR(__xludf.DUMMYFUNCTION("IFERROR(INDEX(IMPORTRANGE(""https://docs.google.com/spreadsheets/d/1fpsE_0655xguD48cGK6n1ZqSLnI-tw9aHzhbPM9kZ-k/edit#gid=0"", ""Monitoring Summary!F:F""),MATCH(D49,IMPORTRANGE(""https://docs.google.com/spreadsheets/d/1fpsE_0655xguD48cGK6n1ZqSLnI-tw9aHzhbP"&amp;"M9kZ-k/edit#gid=0"", ""Monitoring Summary!C:C""),0)),""Not Monitored"")"),0.0)</f>
        <v>0</v>
      </c>
      <c r="AC49" s="264">
        <f t="shared" si="2"/>
        <v>0</v>
      </c>
      <c r="AD49" s="748" t="s">
        <v>1010</v>
      </c>
      <c r="AE49" s="749" t="s">
        <v>1003</v>
      </c>
      <c r="AF49" s="749" t="s">
        <v>1014</v>
      </c>
      <c r="AG49" s="749" t="s">
        <v>990</v>
      </c>
      <c r="AH49" s="749" t="s">
        <v>1044</v>
      </c>
      <c r="AI49" s="749" t="s">
        <v>1017</v>
      </c>
      <c r="AJ49" s="749" t="s">
        <v>989</v>
      </c>
      <c r="AK49" s="749" t="s">
        <v>1021</v>
      </c>
      <c r="AL49" s="749" t="s">
        <v>1069</v>
      </c>
      <c r="AM49" s="749" t="s">
        <v>1036</v>
      </c>
      <c r="AN49" s="749" t="s">
        <v>1094</v>
      </c>
      <c r="AO49" s="749" t="s">
        <v>987</v>
      </c>
      <c r="AP49" s="749" t="s">
        <v>1023</v>
      </c>
      <c r="AQ49" s="749" t="s">
        <v>986</v>
      </c>
      <c r="AR49" s="749"/>
      <c r="AS49" s="749"/>
      <c r="AT49" s="749"/>
      <c r="AU49" s="749"/>
      <c r="AV49" s="749"/>
      <c r="AW49" s="749"/>
      <c r="AX49" s="749"/>
      <c r="AY49" s="749"/>
      <c r="AZ49" s="749"/>
      <c r="BA49" s="749"/>
      <c r="BB49" s="749"/>
      <c r="BC49" s="749"/>
      <c r="BD49" s="749"/>
      <c r="BE49" s="749"/>
      <c r="BF49" s="749"/>
      <c r="BG49" s="749"/>
      <c r="BH49" s="749"/>
      <c r="BI49" s="749"/>
      <c r="BJ49" s="749"/>
      <c r="BK49" s="749"/>
      <c r="BL49" s="749"/>
    </row>
    <row r="50">
      <c r="A50" s="805">
        <v>2021.0</v>
      </c>
      <c r="B50" s="845">
        <v>44329.0</v>
      </c>
      <c r="C50" s="805" t="s">
        <v>1161</v>
      </c>
      <c r="D50" s="836" t="s">
        <v>1162</v>
      </c>
      <c r="E50" s="805" t="s">
        <v>1157</v>
      </c>
      <c r="F50" s="805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05" t="s">
        <v>53</v>
      </c>
      <c r="H50" s="805">
        <v>216.0</v>
      </c>
      <c r="I50" s="805" t="s">
        <v>1158</v>
      </c>
      <c r="J50" s="808">
        <v>24.626</v>
      </c>
      <c r="K50" s="808">
        <v>-81.11029</v>
      </c>
      <c r="L50" s="742"/>
      <c r="M50" s="821">
        <v>44368.0</v>
      </c>
      <c r="N50" s="744">
        <v>0.9490740740740741</v>
      </c>
      <c r="O50" s="744">
        <v>0.05092592592592592</v>
      </c>
      <c r="P50" s="744">
        <v>0.0</v>
      </c>
      <c r="Q50" s="744" t="s">
        <v>149</v>
      </c>
      <c r="R50" s="744" t="e">
        <v>#DIV/0!</v>
      </c>
      <c r="S50" s="744" t="s">
        <v>149</v>
      </c>
      <c r="T50" s="799"/>
      <c r="U50" s="746" t="s">
        <v>149</v>
      </c>
      <c r="V50" s="746" t="s">
        <v>149</v>
      </c>
      <c r="W50" s="746" t="s">
        <v>149</v>
      </c>
      <c r="X50" s="746" t="s">
        <v>149</v>
      </c>
      <c r="Y50" s="751"/>
      <c r="Z50" s="742"/>
      <c r="AA50" s="262" t="str">
        <f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Monitored"")"),"Not Monitored")</f>
        <v>Not Monitored</v>
      </c>
      <c r="AB50" s="263" t="str">
        <f>IFERROR(__xludf.DUMMYFUNCTION("IFERROR(INDEX(IMPORTRANGE(""https://docs.google.com/spreadsheets/d/1fpsE_0655xguD48cGK6n1ZqSLnI-tw9aHzhbPM9kZ-k/edit#gid=0"", ""Monitoring Summary!F:F""),MATCH(D50,IMPORTRANGE(""https://docs.google.com/spreadsheets/d/1fpsE_0655xguD48cGK6n1ZqSLnI-tw9aHzhbP"&amp;"M9kZ-k/edit#gid=0"", ""Monitoring Summary!C:C""),0)),""Not Monitored"")"),"Not Monitored")</f>
        <v>Not Monitored</v>
      </c>
      <c r="AC50" s="264" t="str">
        <f t="shared" si="2"/>
        <v>Not Monitored</v>
      </c>
      <c r="AD50" s="748" t="s">
        <v>987</v>
      </c>
      <c r="AE50" s="749" t="s">
        <v>986</v>
      </c>
      <c r="AF50" s="749" t="s">
        <v>990</v>
      </c>
      <c r="AG50" s="749"/>
      <c r="AH50" s="749"/>
      <c r="AI50" s="749"/>
      <c r="AJ50" s="749"/>
      <c r="AK50" s="749"/>
      <c r="AL50" s="749"/>
      <c r="AM50" s="749"/>
      <c r="AN50" s="749"/>
      <c r="AO50" s="749"/>
      <c r="AP50" s="749"/>
      <c r="AQ50" s="749"/>
      <c r="AR50" s="749"/>
      <c r="AS50" s="749"/>
      <c r="AT50" s="749"/>
      <c r="AU50" s="749"/>
      <c r="AV50" s="749"/>
      <c r="AW50" s="749"/>
      <c r="AX50" s="749"/>
      <c r="AY50" s="749"/>
      <c r="AZ50" s="749"/>
      <c r="BA50" s="749"/>
      <c r="BB50" s="749"/>
      <c r="BC50" s="749"/>
      <c r="BD50" s="749"/>
      <c r="BE50" s="749"/>
      <c r="BF50" s="749"/>
      <c r="BG50" s="749"/>
      <c r="BH50" s="749"/>
      <c r="BI50" s="749"/>
      <c r="BJ50" s="749"/>
      <c r="BK50" s="749"/>
      <c r="BL50" s="749"/>
    </row>
    <row r="51">
      <c r="A51" s="837">
        <v>2021.0</v>
      </c>
      <c r="B51" s="838">
        <v>44344.0</v>
      </c>
      <c r="C51" s="837" t="s">
        <v>292</v>
      </c>
      <c r="D51" s="839" t="s">
        <v>1163</v>
      </c>
      <c r="E51" s="837" t="s">
        <v>170</v>
      </c>
      <c r="F51" s="837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44" t="s">
        <v>60</v>
      </c>
      <c r="H51" s="837">
        <v>500.0</v>
      </c>
      <c r="I51" s="837" t="s">
        <v>1164</v>
      </c>
      <c r="J51" s="840">
        <v>24.45918</v>
      </c>
      <c r="K51" s="840">
        <v>-81.84584</v>
      </c>
      <c r="L51" s="742"/>
      <c r="M51" s="841">
        <v>44378.0</v>
      </c>
      <c r="N51" s="744">
        <v>0.9</v>
      </c>
      <c r="O51" s="744">
        <v>0.098</v>
      </c>
      <c r="P51" s="744">
        <v>0.002</v>
      </c>
      <c r="Q51" s="744">
        <v>0.992</v>
      </c>
      <c r="R51" s="744">
        <v>0.992</v>
      </c>
      <c r="S51" s="744">
        <v>0.17508064516129032</v>
      </c>
      <c r="T51" s="842">
        <v>44679.0</v>
      </c>
      <c r="U51" s="746">
        <v>0.382</v>
      </c>
      <c r="V51" s="746">
        <v>0.61</v>
      </c>
      <c r="W51" s="746">
        <v>0.008</v>
      </c>
      <c r="X51" s="746">
        <v>0.616</v>
      </c>
      <c r="Y51" s="751"/>
      <c r="Z51" s="742"/>
      <c r="AA51" s="262">
        <f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Monitored"")"),45293.0)</f>
        <v>45293</v>
      </c>
      <c r="AB51" s="263">
        <f>IFERROR(__xludf.DUMMYFUNCTION("IFERROR(INDEX(IMPORTRANGE(""https://docs.google.com/spreadsheets/d/1fpsE_0655xguD48cGK6n1ZqSLnI-tw9aHzhbPM9kZ-k/edit#gid=0"", ""Monitoring Summary!F:F""),MATCH(D51,IMPORTRANGE(""https://docs.google.com/spreadsheets/d/1fpsE_0655xguD48cGK6n1ZqSLnI-tw9aHzhbP"&amp;"M9kZ-k/edit#gid=0"", ""Monitoring Summary!C:C""),0)),""Not Monitored"")"),4.0)</f>
        <v>4</v>
      </c>
      <c r="AC51" s="264">
        <f t="shared" si="2"/>
        <v>0.008</v>
      </c>
      <c r="AD51" s="748" t="s">
        <v>1021</v>
      </c>
      <c r="AE51" s="749" t="s">
        <v>1011</v>
      </c>
      <c r="AF51" s="749" t="s">
        <v>989</v>
      </c>
      <c r="AG51" s="749" t="s">
        <v>986</v>
      </c>
      <c r="AH51" s="749" t="s">
        <v>1023</v>
      </c>
      <c r="AI51" s="749" t="s">
        <v>987</v>
      </c>
      <c r="AJ51" s="749" t="s">
        <v>1014</v>
      </c>
      <c r="AK51" s="749" t="s">
        <v>1009</v>
      </c>
      <c r="AL51" s="749" t="s">
        <v>1036</v>
      </c>
      <c r="AM51" s="749" t="s">
        <v>1003</v>
      </c>
      <c r="AN51" s="749"/>
      <c r="AO51" s="749"/>
      <c r="AP51" s="749"/>
      <c r="AQ51" s="749"/>
      <c r="AR51" s="749"/>
      <c r="AS51" s="749"/>
      <c r="AT51" s="749"/>
      <c r="AU51" s="749"/>
      <c r="AV51" s="749"/>
      <c r="AW51" s="749"/>
      <c r="AX51" s="749"/>
      <c r="AY51" s="749"/>
      <c r="AZ51" s="749"/>
      <c r="BA51" s="749"/>
      <c r="BB51" s="749"/>
      <c r="BC51" s="749"/>
      <c r="BD51" s="749"/>
      <c r="BE51" s="749"/>
      <c r="BF51" s="749"/>
      <c r="BG51" s="749"/>
      <c r="BH51" s="749"/>
      <c r="BI51" s="749"/>
      <c r="BJ51" s="749"/>
      <c r="BK51" s="749"/>
      <c r="BL51" s="749"/>
    </row>
    <row r="52">
      <c r="A52" s="837">
        <v>2021.0</v>
      </c>
      <c r="B52" s="838">
        <v>44349.0</v>
      </c>
      <c r="C52" s="837" t="s">
        <v>292</v>
      </c>
      <c r="D52" s="839" t="s">
        <v>1165</v>
      </c>
      <c r="E52" s="837" t="s">
        <v>170</v>
      </c>
      <c r="F52" s="837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44" t="s">
        <v>60</v>
      </c>
      <c r="H52" s="837">
        <v>500.0</v>
      </c>
      <c r="I52" s="837" t="s">
        <v>1166</v>
      </c>
      <c r="J52" s="840">
        <v>24.45931</v>
      </c>
      <c r="K52" s="840">
        <v>-81.84484</v>
      </c>
      <c r="L52" s="742"/>
      <c r="M52" s="841">
        <v>44378.0</v>
      </c>
      <c r="N52" s="744">
        <v>0.948</v>
      </c>
      <c r="O52" s="744">
        <v>0.05</v>
      </c>
      <c r="P52" s="744">
        <v>0.002</v>
      </c>
      <c r="Q52" s="744">
        <v>1.0</v>
      </c>
      <c r="R52" s="744">
        <v>0.984</v>
      </c>
      <c r="S52" s="744">
        <v>0.1124390243902439</v>
      </c>
      <c r="T52" s="842">
        <v>44722.0</v>
      </c>
      <c r="U52" s="746">
        <v>0.56</v>
      </c>
      <c r="V52" s="746">
        <v>0.43799999999999994</v>
      </c>
      <c r="W52" s="746">
        <v>0.002</v>
      </c>
      <c r="X52" s="746">
        <v>0.784</v>
      </c>
      <c r="Y52" s="751"/>
      <c r="Z52" s="742"/>
      <c r="AA52" s="262">
        <f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Monitored"")"),45293.0)</f>
        <v>45293</v>
      </c>
      <c r="AB52" s="263">
        <f>IFERROR(__xludf.DUMMYFUNCTION("IFERROR(INDEX(IMPORTRANGE(""https://docs.google.com/spreadsheets/d/1fpsE_0655xguD48cGK6n1ZqSLnI-tw9aHzhbPM9kZ-k/edit#gid=0"", ""Monitoring Summary!F:F""),MATCH(D52,IMPORTRANGE(""https://docs.google.com/spreadsheets/d/1fpsE_0655xguD48cGK6n1ZqSLnI-tw9aHzhbP"&amp;"M9kZ-k/edit#gid=0"", ""Monitoring Summary!C:C""),0)),""Not Monitored"")"),0.0)</f>
        <v>0</v>
      </c>
      <c r="AC52" s="264">
        <f t="shared" si="2"/>
        <v>0</v>
      </c>
      <c r="AD52" s="748" t="s">
        <v>1124</v>
      </c>
      <c r="AE52" s="749" t="s">
        <v>1123</v>
      </c>
      <c r="AF52" s="749" t="s">
        <v>1023</v>
      </c>
      <c r="AG52" s="749" t="s">
        <v>987</v>
      </c>
      <c r="AH52" s="749" t="s">
        <v>1003</v>
      </c>
      <c r="AI52" s="749" t="s">
        <v>1009</v>
      </c>
      <c r="AJ52" s="749" t="s">
        <v>1020</v>
      </c>
      <c r="AK52" s="749" t="s">
        <v>1021</v>
      </c>
      <c r="AL52" s="749" t="s">
        <v>989</v>
      </c>
      <c r="AM52" s="749" t="s">
        <v>986</v>
      </c>
      <c r="AN52" s="749"/>
      <c r="AO52" s="749"/>
      <c r="AP52" s="749"/>
      <c r="AQ52" s="749"/>
      <c r="AR52" s="749"/>
      <c r="AS52" s="749"/>
      <c r="AT52" s="749"/>
      <c r="AU52" s="749"/>
      <c r="AV52" s="749"/>
      <c r="AW52" s="749"/>
      <c r="AX52" s="749"/>
      <c r="AY52" s="749"/>
      <c r="AZ52" s="749"/>
      <c r="BA52" s="749"/>
      <c r="BB52" s="749"/>
      <c r="BC52" s="749"/>
      <c r="BD52" s="749"/>
      <c r="BE52" s="749"/>
      <c r="BF52" s="749"/>
      <c r="BG52" s="749"/>
      <c r="BH52" s="749"/>
      <c r="BI52" s="749"/>
      <c r="BJ52" s="749"/>
      <c r="BK52" s="749"/>
      <c r="BL52" s="749"/>
    </row>
    <row r="53">
      <c r="A53" s="831">
        <v>2021.0</v>
      </c>
      <c r="B53" s="832">
        <v>44350.0</v>
      </c>
      <c r="C53" s="831" t="s">
        <v>327</v>
      </c>
      <c r="D53" s="833" t="s">
        <v>1167</v>
      </c>
      <c r="E53" s="831" t="s">
        <v>1157</v>
      </c>
      <c r="F53" s="831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31" t="s">
        <v>54</v>
      </c>
      <c r="H53" s="831">
        <v>11.0</v>
      </c>
      <c r="I53" s="831" t="s">
        <v>1158</v>
      </c>
      <c r="J53" s="834">
        <v>24.54585</v>
      </c>
      <c r="K53" s="846">
        <v>-81.40506</v>
      </c>
      <c r="L53" s="742"/>
      <c r="M53" s="821">
        <v>44424.0</v>
      </c>
      <c r="N53" s="744">
        <v>0.7272727272727273</v>
      </c>
      <c r="O53" s="744">
        <v>0.2727272727272727</v>
      </c>
      <c r="P53" s="744">
        <v>0.0</v>
      </c>
      <c r="Q53" s="744" t="s">
        <v>149</v>
      </c>
      <c r="R53" s="744" t="e">
        <v>#DIV/0!</v>
      </c>
      <c r="S53" s="744" t="s">
        <v>149</v>
      </c>
      <c r="T53" s="799"/>
      <c r="U53" s="746" t="s">
        <v>149</v>
      </c>
      <c r="V53" s="746" t="s">
        <v>149</v>
      </c>
      <c r="W53" s="746" t="s">
        <v>149</v>
      </c>
      <c r="X53" s="746" t="s">
        <v>149</v>
      </c>
      <c r="Y53" s="751"/>
      <c r="Z53" s="742"/>
      <c r="AA53" s="262" t="str">
        <f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Monitored"")"),"Not Monitored")</f>
        <v>Not Monitored</v>
      </c>
      <c r="AB53" s="263" t="str">
        <f>IFERROR(__xludf.DUMMYFUNCTION("IFERROR(INDEX(IMPORTRANGE(""https://docs.google.com/spreadsheets/d/1fpsE_0655xguD48cGK6n1ZqSLnI-tw9aHzhbPM9kZ-k/edit#gid=0"", ""Monitoring Summary!F:F""),MATCH(D53,IMPORTRANGE(""https://docs.google.com/spreadsheets/d/1fpsE_0655xguD48cGK6n1ZqSLnI-tw9aHzhbP"&amp;"M9kZ-k/edit#gid=0"", ""Monitoring Summary!C:C""),0)),""Not Monitored"")"),"Not Monitored")</f>
        <v>Not Monitored</v>
      </c>
      <c r="AC53" s="264" t="str">
        <f t="shared" si="2"/>
        <v>Not Monitored</v>
      </c>
      <c r="AD53" s="748" t="s">
        <v>987</v>
      </c>
      <c r="AE53" s="749" t="s">
        <v>986</v>
      </c>
      <c r="AF53" s="749" t="s">
        <v>990</v>
      </c>
      <c r="AG53" s="749"/>
      <c r="AH53" s="749"/>
      <c r="AI53" s="749"/>
      <c r="AJ53" s="749"/>
      <c r="AK53" s="749"/>
      <c r="AL53" s="749"/>
      <c r="AM53" s="749"/>
      <c r="AN53" s="749"/>
      <c r="AO53" s="749"/>
      <c r="AP53" s="749"/>
      <c r="AQ53" s="749"/>
      <c r="AR53" s="749"/>
      <c r="AS53" s="749"/>
      <c r="AT53" s="749"/>
      <c r="AU53" s="749"/>
      <c r="AV53" s="749"/>
      <c r="AW53" s="749"/>
      <c r="AX53" s="749"/>
      <c r="AY53" s="749"/>
      <c r="AZ53" s="749"/>
      <c r="BA53" s="749"/>
      <c r="BB53" s="749"/>
      <c r="BC53" s="749"/>
      <c r="BD53" s="749"/>
      <c r="BE53" s="749"/>
      <c r="BF53" s="749"/>
      <c r="BG53" s="749"/>
      <c r="BH53" s="749"/>
      <c r="BI53" s="749"/>
      <c r="BJ53" s="749"/>
      <c r="BK53" s="749"/>
      <c r="BL53" s="749"/>
    </row>
    <row r="54">
      <c r="A54" s="805">
        <v>2021.0</v>
      </c>
      <c r="B54" s="845">
        <v>44359.0</v>
      </c>
      <c r="C54" s="805" t="s">
        <v>1168</v>
      </c>
      <c r="D54" s="836" t="s">
        <v>1169</v>
      </c>
      <c r="E54" s="805" t="s">
        <v>1170</v>
      </c>
      <c r="F54" s="805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05" t="s">
        <v>53</v>
      </c>
      <c r="H54" s="805">
        <v>50.0</v>
      </c>
      <c r="I54" s="805" t="s">
        <v>1146</v>
      </c>
      <c r="J54" s="808">
        <v>24.845575</v>
      </c>
      <c r="K54" s="847">
        <v>-80.623905</v>
      </c>
      <c r="L54" s="742"/>
      <c r="M54" s="821">
        <v>44393.0</v>
      </c>
      <c r="N54" s="744">
        <v>0.92</v>
      </c>
      <c r="O54" s="744">
        <v>0.0</v>
      </c>
      <c r="P54" s="744">
        <v>0.08</v>
      </c>
      <c r="Q54" s="744">
        <v>1.0</v>
      </c>
      <c r="R54" s="744">
        <v>1.0</v>
      </c>
      <c r="S54" s="744">
        <v>0.14</v>
      </c>
      <c r="T54" s="799"/>
      <c r="U54" s="746" t="s">
        <v>149</v>
      </c>
      <c r="V54" s="746" t="s">
        <v>149</v>
      </c>
      <c r="W54" s="746" t="s">
        <v>149</v>
      </c>
      <c r="X54" s="746" t="s">
        <v>149</v>
      </c>
      <c r="Y54" s="751"/>
      <c r="Z54" s="742"/>
      <c r="AA54" s="262" t="str">
        <f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B54" s="263" t="str">
        <f>IFERROR(__xludf.DUMMYFUNCTION("IFERROR(INDEX(IMPORTRANGE(""https://docs.google.com/spreadsheets/d/1fpsE_0655xguD48cGK6n1ZqSLnI-tw9aHzhbPM9kZ-k/edit#gid=0"", ""Monitoring Summary!F:F""),MATCH(D54,IMPORTRANGE(""https://docs.google.com/spreadsheets/d/1fpsE_0655xguD48cGK6n1ZqSLnI-tw9aHzhbP"&amp;"M9kZ-k/edit#gid=0"", ""Monitoring Summary!C:C""),0)),""Not Monitored"")"),"Not Monitored")</f>
        <v>Not Monitored</v>
      </c>
      <c r="AC54" s="264" t="str">
        <f t="shared" si="2"/>
        <v>Not Monitored</v>
      </c>
      <c r="AD54" s="748" t="s">
        <v>1052</v>
      </c>
      <c r="AE54" s="749" t="s">
        <v>1014</v>
      </c>
      <c r="AF54" s="749" t="s">
        <v>1092</v>
      </c>
      <c r="AG54" s="749"/>
      <c r="AH54" s="749"/>
      <c r="AI54" s="749"/>
      <c r="AJ54" s="749"/>
      <c r="AK54" s="749"/>
      <c r="AL54" s="749"/>
      <c r="AM54" s="749"/>
      <c r="AN54" s="749"/>
      <c r="AO54" s="749"/>
      <c r="AP54" s="749"/>
      <c r="AQ54" s="749"/>
      <c r="AR54" s="749"/>
      <c r="AS54" s="749"/>
      <c r="AT54" s="749"/>
      <c r="AU54" s="749"/>
      <c r="AV54" s="749"/>
      <c r="AW54" s="749"/>
      <c r="AX54" s="749"/>
      <c r="AY54" s="749"/>
      <c r="AZ54" s="749"/>
      <c r="BA54" s="749"/>
      <c r="BB54" s="749"/>
      <c r="BC54" s="749"/>
      <c r="BD54" s="749"/>
      <c r="BE54" s="749"/>
      <c r="BF54" s="749"/>
      <c r="BG54" s="749"/>
      <c r="BH54" s="749"/>
      <c r="BI54" s="749"/>
      <c r="BJ54" s="749"/>
      <c r="BK54" s="749"/>
      <c r="BL54" s="749"/>
    </row>
    <row r="55">
      <c r="A55" s="752">
        <v>2021.0</v>
      </c>
      <c r="B55" s="801">
        <v>44361.0</v>
      </c>
      <c r="C55" s="752" t="s">
        <v>318</v>
      </c>
      <c r="D55" s="830" t="s">
        <v>1171</v>
      </c>
      <c r="E55" s="752" t="s">
        <v>170</v>
      </c>
      <c r="F55" s="752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52" t="s">
        <v>58</v>
      </c>
      <c r="H55" s="752">
        <v>265.0</v>
      </c>
      <c r="I55" s="752" t="s">
        <v>1172</v>
      </c>
      <c r="J55" s="772">
        <v>24.52501</v>
      </c>
      <c r="K55" s="769">
        <v>-81.50696</v>
      </c>
      <c r="L55" s="742"/>
      <c r="M55" s="821">
        <v>44407.0</v>
      </c>
      <c r="N55" s="744">
        <v>0.9811320754716981</v>
      </c>
      <c r="O55" s="744">
        <v>0.01509433962264151</v>
      </c>
      <c r="P55" s="744">
        <v>0.0037735849056603774</v>
      </c>
      <c r="Q55" s="744">
        <v>1.0</v>
      </c>
      <c r="R55" s="744">
        <v>0.16981132075471697</v>
      </c>
      <c r="S55" s="744">
        <v>0.08888888888888889</v>
      </c>
      <c r="T55" s="745">
        <v>44791.0</v>
      </c>
      <c r="U55" s="746">
        <v>0.02264150943396226</v>
      </c>
      <c r="V55" s="746">
        <v>0.9773584905660377</v>
      </c>
      <c r="W55" s="746">
        <v>0.0</v>
      </c>
      <c r="X55" s="746">
        <v>0.03773584905660377</v>
      </c>
      <c r="Y55" s="751"/>
      <c r="Z55" s="742"/>
      <c r="AA55" s="262">
        <f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Monitored"")"),45264.0)</f>
        <v>45264</v>
      </c>
      <c r="AB55" s="263">
        <f>IFERROR(__xludf.DUMMYFUNCTION("IFERROR(INDEX(IMPORTRANGE(""https://docs.google.com/spreadsheets/d/1fpsE_0655xguD48cGK6n1ZqSLnI-tw9aHzhbPM9kZ-k/edit#gid=0"", ""Monitoring Summary!F:F""),MATCH(D55,IMPORTRANGE(""https://docs.google.com/spreadsheets/d/1fpsE_0655xguD48cGK6n1ZqSLnI-tw9aHzhbP"&amp;"M9kZ-k/edit#gid=0"", ""Monitoring Summary!C:C""),0)),""Not Monitored"")"),0.0)</f>
        <v>0</v>
      </c>
      <c r="AC55" s="264">
        <f t="shared" si="2"/>
        <v>0</v>
      </c>
      <c r="AD55" s="748" t="s">
        <v>1019</v>
      </c>
      <c r="AE55" s="749" t="s">
        <v>1173</v>
      </c>
      <c r="AF55" s="749" t="s">
        <v>1067</v>
      </c>
      <c r="AG55" s="749" t="s">
        <v>1174</v>
      </c>
      <c r="AH55" s="749" t="s">
        <v>1074</v>
      </c>
      <c r="AI55" s="749" t="s">
        <v>1175</v>
      </c>
      <c r="AJ55" s="749" t="s">
        <v>1087</v>
      </c>
      <c r="AK55" s="749" t="s">
        <v>1088</v>
      </c>
      <c r="AL55" s="749" t="s">
        <v>1044</v>
      </c>
      <c r="AM55" s="749" t="s">
        <v>1176</v>
      </c>
      <c r="AN55" s="749" t="s">
        <v>1121</v>
      </c>
      <c r="AO55" s="749"/>
      <c r="AP55" s="749"/>
      <c r="AQ55" s="749"/>
      <c r="AR55" s="749"/>
      <c r="AS55" s="749"/>
      <c r="AT55" s="749"/>
      <c r="AU55" s="749"/>
      <c r="AV55" s="749"/>
      <c r="AW55" s="749"/>
      <c r="AX55" s="749"/>
      <c r="AY55" s="749"/>
      <c r="AZ55" s="749"/>
      <c r="BA55" s="749"/>
      <c r="BB55" s="749"/>
      <c r="BC55" s="749"/>
      <c r="BD55" s="749"/>
      <c r="BE55" s="749"/>
      <c r="BF55" s="749"/>
      <c r="BG55" s="749"/>
      <c r="BH55" s="749"/>
      <c r="BI55" s="749"/>
      <c r="BJ55" s="749"/>
      <c r="BK55" s="749"/>
      <c r="BL55" s="749"/>
    </row>
    <row r="56">
      <c r="A56" s="837">
        <v>2021.0</v>
      </c>
      <c r="B56" s="848">
        <v>44362.0</v>
      </c>
      <c r="C56" s="837" t="s">
        <v>292</v>
      </c>
      <c r="D56" s="839" t="s">
        <v>1177</v>
      </c>
      <c r="E56" s="837" t="s">
        <v>170</v>
      </c>
      <c r="F56" s="837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44" t="s">
        <v>60</v>
      </c>
      <c r="H56" s="837">
        <v>284.0</v>
      </c>
      <c r="I56" s="837" t="s">
        <v>1178</v>
      </c>
      <c r="J56" s="840">
        <v>24.45937</v>
      </c>
      <c r="K56" s="849">
        <v>-81.84497</v>
      </c>
      <c r="L56" s="742"/>
      <c r="M56" s="841">
        <v>44398.0</v>
      </c>
      <c r="N56" s="744">
        <v>0.8028169014084507</v>
      </c>
      <c r="O56" s="744">
        <v>0.17957746478873238</v>
      </c>
      <c r="P56" s="744">
        <v>0.017605633802816902</v>
      </c>
      <c r="Q56" s="744">
        <v>0.9577464788732394</v>
      </c>
      <c r="R56" s="744">
        <v>0.7464788732394366</v>
      </c>
      <c r="S56" s="744">
        <v>0.15622641509433963</v>
      </c>
      <c r="T56" s="842">
        <v>44722.0</v>
      </c>
      <c r="U56" s="746">
        <v>0.4014084507042254</v>
      </c>
      <c r="V56" s="746">
        <v>0.5809859154929577</v>
      </c>
      <c r="W56" s="746">
        <v>0.017605633802816902</v>
      </c>
      <c r="X56" s="746">
        <v>0.5774647887323944</v>
      </c>
      <c r="Y56" s="751"/>
      <c r="Z56" s="742"/>
      <c r="AA56" s="262">
        <f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Monitored"")"),45293.0)</f>
        <v>45293</v>
      </c>
      <c r="AB56" s="263">
        <f>IFERROR(__xludf.DUMMYFUNCTION("IFERROR(INDEX(IMPORTRANGE(""https://docs.google.com/spreadsheets/d/1fpsE_0655xguD48cGK6n1ZqSLnI-tw9aHzhbPM9kZ-k/edit#gid=0"", ""Monitoring Summary!F:F""),MATCH(D56,IMPORTRANGE(""https://docs.google.com/spreadsheets/d/1fpsE_0655xguD48cGK6n1ZqSLnI-tw9aHzhbP"&amp;"M9kZ-k/edit#gid=0"", ""Monitoring Summary!C:C""),0)),""Not Monitored"")"),2.0)</f>
        <v>2</v>
      </c>
      <c r="AC56" s="264">
        <f t="shared" si="2"/>
        <v>0.007042253521</v>
      </c>
      <c r="AD56" s="748" t="s">
        <v>1085</v>
      </c>
      <c r="AE56" s="749" t="s">
        <v>1179</v>
      </c>
      <c r="AF56" s="749" t="s">
        <v>1043</v>
      </c>
      <c r="AG56" s="749" t="s">
        <v>1022</v>
      </c>
      <c r="AH56" s="749" t="s">
        <v>1082</v>
      </c>
      <c r="AI56" s="749" t="s">
        <v>1180</v>
      </c>
      <c r="AJ56" s="749" t="s">
        <v>1020</v>
      </c>
      <c r="AK56" s="749" t="s">
        <v>1003</v>
      </c>
      <c r="AL56" s="749" t="s">
        <v>1032</v>
      </c>
      <c r="AM56" s="749" t="s">
        <v>1079</v>
      </c>
      <c r="AN56" s="749" t="s">
        <v>1072</v>
      </c>
      <c r="AO56" s="749" t="s">
        <v>1063</v>
      </c>
      <c r="AP56" s="749" t="s">
        <v>1086</v>
      </c>
      <c r="AQ56" s="749" t="s">
        <v>1067</v>
      </c>
      <c r="AR56" s="749" t="s">
        <v>1181</v>
      </c>
      <c r="AS56" s="749" t="s">
        <v>1009</v>
      </c>
      <c r="AT56" s="749" t="s">
        <v>987</v>
      </c>
      <c r="AU56" s="749" t="s">
        <v>1011</v>
      </c>
      <c r="AV56" s="749" t="s">
        <v>1021</v>
      </c>
      <c r="AW56" s="749"/>
      <c r="AX56" s="749"/>
      <c r="AY56" s="749"/>
      <c r="AZ56" s="749"/>
      <c r="BA56" s="749"/>
      <c r="BB56" s="749"/>
      <c r="BC56" s="749"/>
      <c r="BD56" s="749"/>
      <c r="BE56" s="749"/>
      <c r="BF56" s="749"/>
      <c r="BG56" s="749"/>
      <c r="BH56" s="749"/>
      <c r="BI56" s="749"/>
      <c r="BJ56" s="749"/>
      <c r="BK56" s="749"/>
      <c r="BL56" s="749"/>
    </row>
    <row r="57">
      <c r="A57" s="805">
        <v>2021.0</v>
      </c>
      <c r="B57" s="845">
        <v>44376.0</v>
      </c>
      <c r="C57" s="805" t="s">
        <v>997</v>
      </c>
      <c r="D57" s="836" t="s">
        <v>1182</v>
      </c>
      <c r="E57" s="805" t="s">
        <v>170</v>
      </c>
      <c r="F57" s="805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05" t="s">
        <v>53</v>
      </c>
      <c r="H57" s="805">
        <v>500.0</v>
      </c>
      <c r="I57" s="805" t="s">
        <v>1183</v>
      </c>
      <c r="J57" s="808">
        <v>24.47415</v>
      </c>
      <c r="K57" s="847">
        <v>-81.74268</v>
      </c>
      <c r="L57" s="742"/>
      <c r="M57" s="747">
        <v>44400.0</v>
      </c>
      <c r="N57" s="744">
        <v>0.9</v>
      </c>
      <c r="O57" s="744">
        <v>0.1</v>
      </c>
      <c r="P57" s="744">
        <v>0.0</v>
      </c>
      <c r="Q57" s="744">
        <v>0.98</v>
      </c>
      <c r="R57" s="744">
        <v>0.98</v>
      </c>
      <c r="S57" s="744">
        <v>0.12928571428571428</v>
      </c>
      <c r="T57" s="745">
        <v>44762.0</v>
      </c>
      <c r="U57" s="746">
        <v>0.61</v>
      </c>
      <c r="V57" s="746">
        <v>0.39</v>
      </c>
      <c r="W57" s="746">
        <v>0.0</v>
      </c>
      <c r="X57" s="746">
        <v>0.82</v>
      </c>
      <c r="Y57" s="751"/>
      <c r="Z57" s="742"/>
      <c r="AA57" s="305">
        <f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Monitored"")"),45240.0)</f>
        <v>45240</v>
      </c>
      <c r="AB57" s="263">
        <f>IFERROR(__xludf.DUMMYFUNCTION("IFERROR(INDEX(IMPORTRANGE(""https://docs.google.com/spreadsheets/d/1fpsE_0655xguD48cGK6n1ZqSLnI-tw9aHzhbPM9kZ-k/edit#gid=0"", ""Monitoring Summary!F:F""),MATCH(D57,IMPORTRANGE(""https://docs.google.com/spreadsheets/d/1fpsE_0655xguD48cGK6n1ZqSLnI-tw9aHzhbP"&amp;"M9kZ-k/edit#gid=0"", ""Monitoring Summary!C:C""),0)),""Not Monitored"")"),5.0)</f>
        <v>5</v>
      </c>
      <c r="AC57" s="264">
        <f t="shared" si="2"/>
        <v>0.01</v>
      </c>
      <c r="AD57" s="748" t="s">
        <v>1009</v>
      </c>
      <c r="AE57" s="749" t="s">
        <v>986</v>
      </c>
      <c r="AF57" s="749" t="s">
        <v>1017</v>
      </c>
      <c r="AG57" s="749" t="s">
        <v>1036</v>
      </c>
      <c r="AH57" s="749" t="s">
        <v>1136</v>
      </c>
      <c r="AI57" s="749" t="s">
        <v>1066</v>
      </c>
      <c r="AJ57" s="749" t="s">
        <v>987</v>
      </c>
      <c r="AK57" s="749" t="s">
        <v>1086</v>
      </c>
      <c r="AL57" s="749" t="s">
        <v>1093</v>
      </c>
      <c r="AM57" s="749" t="s">
        <v>1018</v>
      </c>
      <c r="AN57" s="749" t="s">
        <v>1010</v>
      </c>
      <c r="AO57" s="749" t="s">
        <v>989</v>
      </c>
      <c r="AP57" s="749" t="s">
        <v>1021</v>
      </c>
      <c r="AQ57" s="749" t="s">
        <v>1014</v>
      </c>
      <c r="AR57" s="749"/>
      <c r="AS57" s="749"/>
      <c r="AT57" s="749"/>
      <c r="AU57" s="749"/>
      <c r="AV57" s="749"/>
      <c r="AW57" s="749"/>
      <c r="AX57" s="749"/>
      <c r="AY57" s="749"/>
      <c r="AZ57" s="749"/>
      <c r="BA57" s="749"/>
      <c r="BB57" s="749"/>
      <c r="BC57" s="749"/>
      <c r="BD57" s="749"/>
      <c r="BE57" s="749"/>
      <c r="BF57" s="749"/>
      <c r="BG57" s="749"/>
      <c r="BH57" s="749"/>
      <c r="BI57" s="749"/>
      <c r="BJ57" s="749"/>
      <c r="BK57" s="749"/>
      <c r="BL57" s="749"/>
    </row>
    <row r="58">
      <c r="A58" s="837">
        <v>2021.0</v>
      </c>
      <c r="B58" s="848">
        <v>44378.0</v>
      </c>
      <c r="C58" s="837" t="s">
        <v>292</v>
      </c>
      <c r="D58" s="839" t="s">
        <v>1184</v>
      </c>
      <c r="E58" s="837" t="s">
        <v>170</v>
      </c>
      <c r="F58" s="837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37" t="s">
        <v>60</v>
      </c>
      <c r="H58" s="837">
        <v>500.0</v>
      </c>
      <c r="I58" s="837" t="s">
        <v>1185</v>
      </c>
      <c r="J58" s="840">
        <v>24.45947</v>
      </c>
      <c r="K58" s="849">
        <v>-81.84421</v>
      </c>
      <c r="L58" s="742"/>
      <c r="M58" s="842">
        <v>44400.0</v>
      </c>
      <c r="N58" s="744">
        <v>0.72</v>
      </c>
      <c r="O58" s="744">
        <v>0.28</v>
      </c>
      <c r="P58" s="744">
        <v>0.0</v>
      </c>
      <c r="Q58" s="744">
        <v>0.872</v>
      </c>
      <c r="R58" s="744">
        <v>0.328</v>
      </c>
      <c r="S58" s="744">
        <v>0.13219512195121952</v>
      </c>
      <c r="T58" s="842">
        <v>44785.0</v>
      </c>
      <c r="U58" s="746">
        <v>0.30600000000000005</v>
      </c>
      <c r="V58" s="746">
        <v>0.694</v>
      </c>
      <c r="W58" s="746">
        <v>0.0</v>
      </c>
      <c r="X58" s="746">
        <v>0.504</v>
      </c>
      <c r="Y58" s="751"/>
      <c r="Z58" s="742"/>
      <c r="AA58" s="262">
        <f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Monitored"")"),45239.0)</f>
        <v>45239</v>
      </c>
      <c r="AB58" s="263">
        <f>IFERROR(__xludf.DUMMYFUNCTION("IFERROR(INDEX(IMPORTRANGE(""https://docs.google.com/spreadsheets/d/1fpsE_0655xguD48cGK6n1ZqSLnI-tw9aHzhbPM9kZ-k/edit#gid=0"", ""Monitoring Summary!F:F""),MATCH(D58,IMPORTRANGE(""https://docs.google.com/spreadsheets/d/1fpsE_0655xguD48cGK6n1ZqSLnI-tw9aHzhbP"&amp;"M9kZ-k/edit#gid=0"", ""Monitoring Summary!C:C""),0)),""Not Monitored"")"),2.0)</f>
        <v>2</v>
      </c>
      <c r="AC58" s="264">
        <f t="shared" si="2"/>
        <v>0.004</v>
      </c>
      <c r="AD58" s="748" t="s">
        <v>1043</v>
      </c>
      <c r="AE58" s="749" t="s">
        <v>1003</v>
      </c>
      <c r="AF58" s="749" t="s">
        <v>987</v>
      </c>
      <c r="AG58" s="749" t="s">
        <v>1065</v>
      </c>
      <c r="AH58" s="749" t="s">
        <v>1086</v>
      </c>
      <c r="AI58" s="749" t="s">
        <v>1070</v>
      </c>
      <c r="AJ58" s="749" t="s">
        <v>1128</v>
      </c>
      <c r="AK58" s="749" t="s">
        <v>1073</v>
      </c>
      <c r="AL58" s="749" t="s">
        <v>1186</v>
      </c>
      <c r="AM58" s="749" t="s">
        <v>1187</v>
      </c>
      <c r="AN58" s="749" t="s">
        <v>1039</v>
      </c>
      <c r="AO58" s="749" t="s">
        <v>990</v>
      </c>
      <c r="AP58" s="749" t="s">
        <v>1061</v>
      </c>
      <c r="AQ58" s="749" t="s">
        <v>1044</v>
      </c>
      <c r="AR58" s="749" t="s">
        <v>1082</v>
      </c>
      <c r="AS58" s="749" t="s">
        <v>1022</v>
      </c>
      <c r="AT58" s="749" t="s">
        <v>1020</v>
      </c>
      <c r="AU58" s="749" t="s">
        <v>1009</v>
      </c>
      <c r="AV58" s="749" t="s">
        <v>1188</v>
      </c>
      <c r="AW58" s="749" t="s">
        <v>1010</v>
      </c>
      <c r="AX58" s="749"/>
      <c r="AY58" s="749"/>
      <c r="AZ58" s="749"/>
      <c r="BA58" s="749"/>
      <c r="BB58" s="749"/>
      <c r="BC58" s="749"/>
      <c r="BD58" s="749"/>
      <c r="BE58" s="749"/>
      <c r="BF58" s="749"/>
      <c r="BG58" s="749"/>
      <c r="BH58" s="749"/>
      <c r="BI58" s="749"/>
      <c r="BJ58" s="749"/>
      <c r="BK58" s="749"/>
      <c r="BL58" s="749"/>
    </row>
    <row r="59">
      <c r="A59" s="805">
        <v>2021.0</v>
      </c>
      <c r="B59" s="845">
        <v>44399.0</v>
      </c>
      <c r="C59" s="805" t="s">
        <v>1189</v>
      </c>
      <c r="D59" s="836" t="s">
        <v>1190</v>
      </c>
      <c r="E59" s="805" t="s">
        <v>170</v>
      </c>
      <c r="F59" s="805" t="s">
        <v>161</v>
      </c>
      <c r="G59" s="805" t="s">
        <v>53</v>
      </c>
      <c r="H59" s="805">
        <v>405.0</v>
      </c>
      <c r="I59" s="805" t="s">
        <v>1191</v>
      </c>
      <c r="J59" s="808">
        <v>24.4451</v>
      </c>
      <c r="K59" s="847">
        <v>-81.927</v>
      </c>
      <c r="L59" s="742"/>
      <c r="M59" s="747">
        <v>44438.0</v>
      </c>
      <c r="N59" s="744">
        <v>0.7876543209876543</v>
      </c>
      <c r="O59" s="744">
        <v>0.2123456790123457</v>
      </c>
      <c r="P59" s="744">
        <v>0.0</v>
      </c>
      <c r="Q59" s="744">
        <v>0.9135802469135802</v>
      </c>
      <c r="R59" s="744">
        <v>0.8765432098765432</v>
      </c>
      <c r="S59" s="744">
        <v>0.18028169014084508</v>
      </c>
      <c r="T59" s="745">
        <v>44826.0</v>
      </c>
      <c r="U59" s="746">
        <v>0.2567901234567901</v>
      </c>
      <c r="V59" s="746">
        <v>0.7432098765432099</v>
      </c>
      <c r="W59" s="746">
        <v>0.0</v>
      </c>
      <c r="X59" s="746">
        <v>0.5185185185185185</v>
      </c>
      <c r="Y59" s="799" t="s">
        <v>1192</v>
      </c>
      <c r="Z59" s="742"/>
      <c r="AA59" s="262">
        <f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Monitored"")"),45030.0)</f>
        <v>45030</v>
      </c>
      <c r="AB59" s="263">
        <f>IFERROR(__xludf.DUMMYFUNCTION("IFERROR(INDEX(IMPORTRANGE(""https://docs.google.com/spreadsheets/d/1fpsE_0655xguD48cGK6n1ZqSLnI-tw9aHzhbPM9kZ-k/edit#gid=0"", ""Monitoring Summary!F:F""),MATCH(D59,IMPORTRANGE(""https://docs.google.com/spreadsheets/d/1fpsE_0655xguD48cGK6n1ZqSLnI-tw9aHzhbP"&amp;"M9kZ-k/edit#gid=0"", ""Monitoring Summary!C:C""),0)),""Not Monitored"")"),0.0)</f>
        <v>0</v>
      </c>
      <c r="AC59" s="264">
        <f t="shared" si="2"/>
        <v>0</v>
      </c>
      <c r="AD59" s="748" t="s">
        <v>1020</v>
      </c>
      <c r="AE59" s="749" t="s">
        <v>987</v>
      </c>
      <c r="AF59" s="749" t="s">
        <v>1080</v>
      </c>
      <c r="AG59" s="749" t="s">
        <v>1136</v>
      </c>
      <c r="AH59" s="749" t="s">
        <v>990</v>
      </c>
      <c r="AI59" s="749" t="s">
        <v>1064</v>
      </c>
      <c r="AJ59" s="749" t="s">
        <v>1066</v>
      </c>
      <c r="AK59" s="749" t="s">
        <v>986</v>
      </c>
      <c r="AL59" s="749" t="s">
        <v>989</v>
      </c>
      <c r="AM59" s="749" t="s">
        <v>1028</v>
      </c>
      <c r="AN59" s="749" t="s">
        <v>1060</v>
      </c>
      <c r="AO59" s="749" t="s">
        <v>1010</v>
      </c>
      <c r="AP59" s="749" t="s">
        <v>1073</v>
      </c>
      <c r="AQ59" s="749" t="s">
        <v>1019</v>
      </c>
      <c r="AR59" s="749"/>
      <c r="AS59" s="749"/>
      <c r="AT59" s="749"/>
      <c r="AU59" s="749"/>
      <c r="AV59" s="749"/>
      <c r="AW59" s="749"/>
      <c r="AX59" s="749"/>
      <c r="AY59" s="749"/>
      <c r="AZ59" s="749"/>
      <c r="BA59" s="749"/>
      <c r="BB59" s="749"/>
      <c r="BC59" s="749"/>
      <c r="BD59" s="749"/>
      <c r="BE59" s="749"/>
      <c r="BF59" s="749"/>
      <c r="BG59" s="749"/>
      <c r="BH59" s="749"/>
      <c r="BI59" s="749"/>
      <c r="BJ59" s="749"/>
      <c r="BK59" s="749"/>
      <c r="BL59" s="749"/>
    </row>
    <row r="60">
      <c r="A60" s="831">
        <v>2021.0</v>
      </c>
      <c r="B60" s="850">
        <v>44393.0</v>
      </c>
      <c r="C60" s="831" t="s">
        <v>327</v>
      </c>
      <c r="D60" s="833" t="s">
        <v>1193</v>
      </c>
      <c r="E60" s="831" t="s">
        <v>170</v>
      </c>
      <c r="F60" s="831" t="s">
        <v>186</v>
      </c>
      <c r="G60" s="831" t="s">
        <v>54</v>
      </c>
      <c r="H60" s="831">
        <v>20.0</v>
      </c>
      <c r="I60" s="831" t="s">
        <v>1194</v>
      </c>
      <c r="J60" s="834">
        <v>24.54659</v>
      </c>
      <c r="K60" s="834">
        <v>-81.40197</v>
      </c>
      <c r="L60" s="800" t="s">
        <v>1195</v>
      </c>
      <c r="M60" s="747">
        <v>44449.0</v>
      </c>
      <c r="N60" s="744">
        <v>0.0</v>
      </c>
      <c r="O60" s="744">
        <v>0.0</v>
      </c>
      <c r="P60" s="744">
        <v>1.0</v>
      </c>
      <c r="Q60" s="744">
        <v>0.0</v>
      </c>
      <c r="R60" s="744">
        <v>0.0</v>
      </c>
      <c r="S60" s="744">
        <v>0.0</v>
      </c>
      <c r="T60" s="799"/>
      <c r="U60" s="746" t="s">
        <v>149</v>
      </c>
      <c r="V60" s="746" t="s">
        <v>149</v>
      </c>
      <c r="W60" s="746" t="s">
        <v>149</v>
      </c>
      <c r="X60" s="746" t="s">
        <v>149</v>
      </c>
      <c r="Y60" s="799"/>
      <c r="Z60" s="800"/>
      <c r="AA60" s="262">
        <f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Monitored"")"),45310.0)</f>
        <v>45310</v>
      </c>
      <c r="AB60" s="263">
        <f>IFERROR(__xludf.DUMMYFUNCTION("IFERROR(INDEX(IMPORTRANGE(""https://docs.google.com/spreadsheets/d/1fpsE_0655xguD48cGK6n1ZqSLnI-tw9aHzhbPM9kZ-k/edit#gid=0"", ""Monitoring Summary!F:F""),MATCH(D60,IMPORTRANGE(""https://docs.google.com/spreadsheets/d/1fpsE_0655xguD48cGK6n1ZqSLnI-tw9aHzhbP"&amp;"M9kZ-k/edit#gid=0"", ""Monitoring Summary!C:C""),0)),""Not Monitored"")"),0.0)</f>
        <v>0</v>
      </c>
      <c r="AC60" s="264">
        <f t="shared" si="2"/>
        <v>0</v>
      </c>
      <c r="AD60" s="748" t="s">
        <v>1018</v>
      </c>
      <c r="AE60" s="749" t="s">
        <v>1009</v>
      </c>
      <c r="AF60" s="749"/>
      <c r="AG60" s="749"/>
      <c r="AH60" s="749"/>
      <c r="AI60" s="749"/>
      <c r="AJ60" s="749"/>
      <c r="AK60" s="749"/>
      <c r="AL60" s="749"/>
      <c r="AM60" s="749"/>
      <c r="AN60" s="749"/>
      <c r="AO60" s="749"/>
      <c r="AP60" s="749"/>
      <c r="AQ60" s="749"/>
      <c r="AR60" s="749"/>
      <c r="AS60" s="749"/>
      <c r="AT60" s="749"/>
      <c r="AU60" s="749"/>
      <c r="AV60" s="749"/>
      <c r="AW60" s="749"/>
      <c r="AX60" s="749"/>
      <c r="AY60" s="749"/>
      <c r="AZ60" s="749"/>
      <c r="BA60" s="749"/>
      <c r="BB60" s="749"/>
      <c r="BC60" s="749"/>
      <c r="BD60" s="749"/>
      <c r="BE60" s="749"/>
      <c r="BF60" s="749"/>
      <c r="BG60" s="749"/>
      <c r="BH60" s="749"/>
      <c r="BI60" s="749"/>
      <c r="BJ60" s="749"/>
      <c r="BK60" s="749"/>
      <c r="BL60" s="749"/>
    </row>
    <row r="61">
      <c r="A61" s="837">
        <v>2021.0</v>
      </c>
      <c r="B61" s="848">
        <v>44404.0</v>
      </c>
      <c r="C61" s="837" t="s">
        <v>292</v>
      </c>
      <c r="D61" s="839" t="s">
        <v>1196</v>
      </c>
      <c r="E61" s="837" t="s">
        <v>170</v>
      </c>
      <c r="F61" s="837" t="s">
        <v>161</v>
      </c>
      <c r="G61" s="837" t="s">
        <v>60</v>
      </c>
      <c r="H61" s="837">
        <v>500.0</v>
      </c>
      <c r="I61" s="837" t="s">
        <v>1197</v>
      </c>
      <c r="J61" s="840">
        <v>24.45929</v>
      </c>
      <c r="K61" s="849">
        <v>-81.84468</v>
      </c>
      <c r="L61" s="800"/>
      <c r="M61" s="842">
        <v>44474.0</v>
      </c>
      <c r="N61" s="744">
        <v>0.918</v>
      </c>
      <c r="O61" s="744">
        <v>0.08199999999999999</v>
      </c>
      <c r="P61" s="744">
        <v>0.0</v>
      </c>
      <c r="Q61" s="744">
        <v>0.976</v>
      </c>
      <c r="R61" s="744">
        <v>0.168</v>
      </c>
      <c r="S61" s="744">
        <v>0.058095238095238096</v>
      </c>
      <c r="T61" s="842">
        <v>44785.0</v>
      </c>
      <c r="U61" s="746">
        <v>0.5880000000000001</v>
      </c>
      <c r="V61" s="746">
        <v>0.412</v>
      </c>
      <c r="W61" s="746">
        <v>0.0</v>
      </c>
      <c r="X61" s="746">
        <v>0.728</v>
      </c>
      <c r="Y61" s="799"/>
      <c r="Z61" s="800"/>
      <c r="AA61" s="262">
        <f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Monitored"")"),45293.0)</f>
        <v>45293</v>
      </c>
      <c r="AB61" s="263">
        <f>IFERROR(__xludf.DUMMYFUNCTION("IFERROR(INDEX(IMPORTRANGE(""https://docs.google.com/spreadsheets/d/1fpsE_0655xguD48cGK6n1ZqSLnI-tw9aHzhbPM9kZ-k/edit#gid=0"", ""Monitoring Summary!F:F""),MATCH(D61,IMPORTRANGE(""https://docs.google.com/spreadsheets/d/1fpsE_0655xguD48cGK6n1ZqSLnI-tw9aHzhbP"&amp;"M9kZ-k/edit#gid=0"", ""Monitoring Summary!C:C""),0)),""Not Monitored"")"),0.0)</f>
        <v>0</v>
      </c>
      <c r="AC61" s="264">
        <f t="shared" si="2"/>
        <v>0</v>
      </c>
      <c r="AD61" s="748" t="s">
        <v>1087</v>
      </c>
      <c r="AE61" s="749" t="s">
        <v>1083</v>
      </c>
      <c r="AF61" s="749" t="s">
        <v>1198</v>
      </c>
      <c r="AG61" s="749" t="s">
        <v>1081</v>
      </c>
      <c r="AH61" s="749" t="s">
        <v>1199</v>
      </c>
      <c r="AI61" s="749" t="s">
        <v>1023</v>
      </c>
      <c r="AJ61" s="749" t="s">
        <v>1014</v>
      </c>
      <c r="AK61" s="749" t="s">
        <v>1072</v>
      </c>
      <c r="AL61" s="749" t="s">
        <v>1021</v>
      </c>
      <c r="AM61" s="749"/>
      <c r="AN61" s="749"/>
      <c r="AO61" s="749"/>
      <c r="AP61" s="749"/>
      <c r="AQ61" s="749"/>
      <c r="AR61" s="749"/>
      <c r="AS61" s="749"/>
      <c r="AT61" s="749"/>
      <c r="AU61" s="749"/>
      <c r="AV61" s="749"/>
      <c r="AW61" s="749"/>
      <c r="AX61" s="749"/>
      <c r="AY61" s="749"/>
      <c r="AZ61" s="749"/>
      <c r="BA61" s="749"/>
      <c r="BB61" s="749"/>
      <c r="BC61" s="749"/>
      <c r="BD61" s="749"/>
      <c r="BE61" s="749"/>
      <c r="BF61" s="749"/>
      <c r="BG61" s="749"/>
      <c r="BH61" s="749"/>
      <c r="BI61" s="749"/>
      <c r="BJ61" s="749"/>
      <c r="BK61" s="749"/>
      <c r="BL61" s="749"/>
    </row>
    <row r="62">
      <c r="A62" s="837">
        <v>2021.0</v>
      </c>
      <c r="B62" s="848">
        <v>44455.0</v>
      </c>
      <c r="C62" s="837" t="s">
        <v>292</v>
      </c>
      <c r="D62" s="839" t="s">
        <v>1200</v>
      </c>
      <c r="E62" s="837" t="s">
        <v>170</v>
      </c>
      <c r="F62" s="837" t="s">
        <v>161</v>
      </c>
      <c r="G62" s="837" t="s">
        <v>60</v>
      </c>
      <c r="H62" s="837">
        <v>500.0</v>
      </c>
      <c r="I62" s="837" t="s">
        <v>1201</v>
      </c>
      <c r="J62" s="840">
        <v>24.4596</v>
      </c>
      <c r="K62" s="849">
        <v>-81.84377</v>
      </c>
      <c r="L62" s="800"/>
      <c r="M62" s="842">
        <v>44502.0</v>
      </c>
      <c r="N62" s="744">
        <v>0.366</v>
      </c>
      <c r="O62" s="744">
        <v>0.626</v>
      </c>
      <c r="P62" s="744">
        <v>0.008</v>
      </c>
      <c r="Q62" s="744">
        <v>0.584</v>
      </c>
      <c r="R62" s="744">
        <v>0.16</v>
      </c>
      <c r="S62" s="744">
        <v>0.23550000000000001</v>
      </c>
      <c r="T62" s="842">
        <v>44826.0</v>
      </c>
      <c r="U62" s="746">
        <v>0.15200000000000002</v>
      </c>
      <c r="V62" s="746">
        <v>0.8400000000000001</v>
      </c>
      <c r="W62" s="746">
        <v>0.008</v>
      </c>
      <c r="X62" s="746">
        <v>0.328</v>
      </c>
      <c r="Y62" s="799"/>
      <c r="Z62" s="800"/>
      <c r="AA62" s="262">
        <f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Summary!C:C""),0)),""Not Monitored"")"),45239.0)</f>
        <v>45239</v>
      </c>
      <c r="AB62" s="263">
        <f>IFERROR(__xludf.DUMMYFUNCTION("IFERROR(INDEX(IMPORTRANGE(""https://docs.google.com/spreadsheets/d/1fpsE_0655xguD48cGK6n1ZqSLnI-tw9aHzhbPM9kZ-k/edit#gid=0"", ""Monitoring Summary!F:F""),MATCH(D62,IMPORTRANGE(""https://docs.google.com/spreadsheets/d/1fpsE_0655xguD48cGK6n1ZqSLnI-tw9aHzhbP"&amp;"M9kZ-k/edit#gid=0"", ""Monitoring Summary!C:C""),0)),""Not Monitored"")"),0.0)</f>
        <v>0</v>
      </c>
      <c r="AC62" s="264">
        <f t="shared" si="2"/>
        <v>0</v>
      </c>
      <c r="AD62" s="748" t="s">
        <v>990</v>
      </c>
      <c r="AE62" s="749" t="s">
        <v>1202</v>
      </c>
      <c r="AF62" s="749" t="s">
        <v>1116</v>
      </c>
      <c r="AG62" s="749" t="s">
        <v>1062</v>
      </c>
      <c r="AH62" s="749" t="s">
        <v>1199</v>
      </c>
      <c r="AI62" s="749" t="s">
        <v>987</v>
      </c>
      <c r="AJ62" s="749" t="s">
        <v>1118</v>
      </c>
      <c r="AK62" s="749" t="s">
        <v>1059</v>
      </c>
      <c r="AL62" s="749" t="s">
        <v>1203</v>
      </c>
      <c r="AM62" s="749" t="s">
        <v>1068</v>
      </c>
      <c r="AN62" s="749" t="s">
        <v>1081</v>
      </c>
      <c r="AO62" s="749" t="s">
        <v>1018</v>
      </c>
      <c r="AP62" s="749" t="s">
        <v>1092</v>
      </c>
      <c r="AQ62" s="749" t="s">
        <v>1014</v>
      </c>
      <c r="AR62" s="749" t="s">
        <v>1091</v>
      </c>
      <c r="AS62" s="749" t="s">
        <v>1010</v>
      </c>
      <c r="AT62" s="749"/>
      <c r="AU62" s="749"/>
      <c r="AV62" s="749"/>
      <c r="AW62" s="749"/>
      <c r="AX62" s="749"/>
      <c r="AY62" s="749"/>
      <c r="AZ62" s="749"/>
      <c r="BA62" s="749"/>
      <c r="BB62" s="749"/>
      <c r="BC62" s="749"/>
      <c r="BD62" s="749"/>
      <c r="BE62" s="749"/>
      <c r="BF62" s="749"/>
      <c r="BG62" s="749"/>
      <c r="BH62" s="749"/>
      <c r="BI62" s="749"/>
      <c r="BJ62" s="749"/>
      <c r="BK62" s="749"/>
      <c r="BL62" s="749"/>
    </row>
    <row r="63">
      <c r="A63" s="837">
        <v>2021.0</v>
      </c>
      <c r="B63" s="848">
        <v>44474.0</v>
      </c>
      <c r="C63" s="837" t="s">
        <v>292</v>
      </c>
      <c r="D63" s="839" t="s">
        <v>1204</v>
      </c>
      <c r="E63" s="837" t="s">
        <v>170</v>
      </c>
      <c r="F63" s="837" t="s">
        <v>161</v>
      </c>
      <c r="G63" s="837" t="s">
        <v>60</v>
      </c>
      <c r="H63" s="837">
        <v>300.0</v>
      </c>
      <c r="I63" s="837" t="s">
        <v>1205</v>
      </c>
      <c r="J63" s="840">
        <v>24.46009</v>
      </c>
      <c r="K63" s="849">
        <v>-81.84331</v>
      </c>
      <c r="L63" s="800"/>
      <c r="M63" s="842">
        <v>44502.0</v>
      </c>
      <c r="N63" s="744">
        <v>0.97</v>
      </c>
      <c r="O63" s="744">
        <v>0.02666666666666667</v>
      </c>
      <c r="P63" s="744">
        <v>0.0033333333333333335</v>
      </c>
      <c r="Q63" s="744">
        <v>1.0</v>
      </c>
      <c r="R63" s="744">
        <v>0.6333333333333333</v>
      </c>
      <c r="S63" s="744">
        <v>0.07973684210526316</v>
      </c>
      <c r="T63" s="842">
        <v>44826.0</v>
      </c>
      <c r="U63" s="746">
        <v>0.2366666666666667</v>
      </c>
      <c r="V63" s="746">
        <v>0.76</v>
      </c>
      <c r="W63" s="746">
        <v>0.0033333333333333335</v>
      </c>
      <c r="X63" s="746">
        <v>0.6166666666666667</v>
      </c>
      <c r="Y63" s="799"/>
      <c r="Z63" s="800"/>
      <c r="AA63" s="262">
        <f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Monitored"")"),45293.0)</f>
        <v>45293</v>
      </c>
      <c r="AB63" s="263">
        <f>IFERROR(__xludf.DUMMYFUNCTION("IFERROR(INDEX(IMPORTRANGE(""https://docs.google.com/spreadsheets/d/1fpsE_0655xguD48cGK6n1ZqSLnI-tw9aHzhbPM9kZ-k/edit#gid=0"", ""Monitoring Summary!F:F""),MATCH(D63,IMPORTRANGE(""https://docs.google.com/spreadsheets/d/1fpsE_0655xguD48cGK6n1ZqSLnI-tw9aHzhbP"&amp;"M9kZ-k/edit#gid=0"", ""Monitoring Summary!C:C""),0)),""Not Monitored"")"),0.0)</f>
        <v>0</v>
      </c>
      <c r="AC63" s="264">
        <f t="shared" si="2"/>
        <v>0</v>
      </c>
      <c r="AD63" s="748" t="s">
        <v>987</v>
      </c>
      <c r="AE63" s="749" t="s">
        <v>986</v>
      </c>
      <c r="AF63" s="749" t="s">
        <v>1009</v>
      </c>
      <c r="AG63" s="749" t="s">
        <v>989</v>
      </c>
      <c r="AH63" s="749" t="s">
        <v>1021</v>
      </c>
      <c r="AI63" s="749" t="s">
        <v>990</v>
      </c>
      <c r="AJ63" s="749"/>
      <c r="AK63" s="749"/>
      <c r="AL63" s="749"/>
      <c r="AM63" s="749"/>
      <c r="AN63" s="749"/>
      <c r="AO63" s="749"/>
      <c r="AP63" s="749"/>
      <c r="AQ63" s="749"/>
      <c r="AR63" s="749"/>
      <c r="AS63" s="749"/>
      <c r="AT63" s="749"/>
      <c r="AU63" s="749"/>
      <c r="AV63" s="749"/>
      <c r="AW63" s="749"/>
      <c r="AX63" s="749"/>
      <c r="AY63" s="749"/>
      <c r="AZ63" s="749"/>
      <c r="BA63" s="749"/>
      <c r="BB63" s="749"/>
      <c r="BC63" s="749"/>
      <c r="BD63" s="749"/>
      <c r="BE63" s="749"/>
      <c r="BF63" s="749"/>
      <c r="BG63" s="749"/>
      <c r="BH63" s="749"/>
      <c r="BI63" s="749"/>
      <c r="BJ63" s="749"/>
      <c r="BK63" s="749"/>
      <c r="BL63" s="749"/>
    </row>
    <row r="64">
      <c r="A64" s="805">
        <v>2021.0</v>
      </c>
      <c r="B64" s="845">
        <v>44475.0</v>
      </c>
      <c r="C64" s="805" t="s">
        <v>327</v>
      </c>
      <c r="D64" s="836" t="s">
        <v>1206</v>
      </c>
      <c r="E64" s="805" t="s">
        <v>170</v>
      </c>
      <c r="F64" s="805" t="s">
        <v>161</v>
      </c>
      <c r="G64" s="805" t="s">
        <v>53</v>
      </c>
      <c r="H64" s="805">
        <v>300.0</v>
      </c>
      <c r="I64" s="805" t="s">
        <v>1207</v>
      </c>
      <c r="J64" s="805">
        <v>24.54675</v>
      </c>
      <c r="K64" s="808">
        <v>-81.40189</v>
      </c>
      <c r="L64" s="800"/>
      <c r="M64" s="747">
        <v>44504.0</v>
      </c>
      <c r="N64" s="744">
        <v>0.5166666666666666</v>
      </c>
      <c r="O64" s="744">
        <v>0.48333333333333334</v>
      </c>
      <c r="P64" s="744">
        <v>0.0</v>
      </c>
      <c r="Q64" s="744">
        <v>0.7166666666666667</v>
      </c>
      <c r="R64" s="744">
        <v>0.13333333333333333</v>
      </c>
      <c r="S64" s="744">
        <v>0.275</v>
      </c>
      <c r="T64" s="745">
        <v>44851.0</v>
      </c>
      <c r="U64" s="746">
        <v>0.01666666666666672</v>
      </c>
      <c r="V64" s="746">
        <v>0.9833333333333334</v>
      </c>
      <c r="W64" s="746">
        <v>0.0</v>
      </c>
      <c r="X64" s="746">
        <v>0.08333333333333333</v>
      </c>
      <c r="Y64" s="799"/>
      <c r="Z64" s="800"/>
      <c r="AA64" s="262">
        <f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Monitored"")"),45309.0)</f>
        <v>45309</v>
      </c>
      <c r="AB64" s="263">
        <f>IFERROR(__xludf.DUMMYFUNCTION("IFERROR(INDEX(IMPORTRANGE(""https://docs.google.com/spreadsheets/d/1fpsE_0655xguD48cGK6n1ZqSLnI-tw9aHzhbPM9kZ-k/edit#gid=0"", ""Monitoring Summary!F:F""),MATCH(D64,IMPORTRANGE(""https://docs.google.com/spreadsheets/d/1fpsE_0655xguD48cGK6n1ZqSLnI-tw9aHzhbP"&amp;"M9kZ-k/edit#gid=0"", ""Monitoring Summary!C:C""),0)),""Not Monitored"")"),0.0)</f>
        <v>0</v>
      </c>
      <c r="AC64" s="264">
        <f t="shared" si="2"/>
        <v>0</v>
      </c>
      <c r="AD64" s="748" t="s">
        <v>987</v>
      </c>
      <c r="AE64" s="749" t="s">
        <v>986</v>
      </c>
      <c r="AF64" s="749" t="s">
        <v>1009</v>
      </c>
      <c r="AG64" s="749" t="s">
        <v>989</v>
      </c>
      <c r="AH64" s="749" t="s">
        <v>1021</v>
      </c>
      <c r="AI64" s="749" t="s">
        <v>990</v>
      </c>
      <c r="AJ64" s="749"/>
      <c r="AK64" s="749"/>
      <c r="AL64" s="749"/>
      <c r="AM64" s="749"/>
      <c r="AN64" s="749"/>
      <c r="AO64" s="749"/>
      <c r="AP64" s="749"/>
      <c r="AQ64" s="749"/>
      <c r="AR64" s="749"/>
      <c r="AS64" s="749"/>
      <c r="AT64" s="749"/>
      <c r="AU64" s="749"/>
      <c r="AV64" s="749"/>
      <c r="AW64" s="749"/>
      <c r="AX64" s="749"/>
      <c r="AY64" s="749"/>
      <c r="AZ64" s="749"/>
      <c r="BA64" s="749"/>
      <c r="BB64" s="749"/>
      <c r="BC64" s="749"/>
      <c r="BD64" s="749"/>
      <c r="BE64" s="749"/>
      <c r="BF64" s="749"/>
      <c r="BG64" s="749"/>
      <c r="BH64" s="749"/>
      <c r="BI64" s="749"/>
      <c r="BJ64" s="749"/>
      <c r="BK64" s="749"/>
      <c r="BL64" s="749"/>
    </row>
    <row r="65">
      <c r="A65" s="831">
        <v>2021.0</v>
      </c>
      <c r="B65" s="850">
        <v>44480.0</v>
      </c>
      <c r="C65" s="831" t="s">
        <v>168</v>
      </c>
      <c r="D65" s="833" t="s">
        <v>1208</v>
      </c>
      <c r="E65" s="831" t="s">
        <v>170</v>
      </c>
      <c r="F65" s="831" t="s">
        <v>146</v>
      </c>
      <c r="G65" s="831" t="s">
        <v>54</v>
      </c>
      <c r="H65" s="831">
        <v>30.0</v>
      </c>
      <c r="I65" s="831" t="s">
        <v>1209</v>
      </c>
      <c r="J65" s="831">
        <v>24.52339</v>
      </c>
      <c r="K65" s="834">
        <v>-81.5154</v>
      </c>
      <c r="L65" s="800"/>
      <c r="M65" s="747">
        <v>44511.0</v>
      </c>
      <c r="N65" s="744">
        <v>1.0</v>
      </c>
      <c r="O65" s="744">
        <v>0.0</v>
      </c>
      <c r="P65" s="744">
        <v>0.0</v>
      </c>
      <c r="Q65" s="744">
        <v>1.0</v>
      </c>
      <c r="R65" s="744">
        <v>0.36666666666666664</v>
      </c>
      <c r="S65" s="744">
        <v>0.02090909090909091</v>
      </c>
      <c r="T65" s="799"/>
      <c r="U65" s="746" t="s">
        <v>149</v>
      </c>
      <c r="V65" s="746" t="s">
        <v>149</v>
      </c>
      <c r="W65" s="746" t="s">
        <v>149</v>
      </c>
      <c r="X65" s="746" t="s">
        <v>149</v>
      </c>
      <c r="Y65" s="799"/>
      <c r="Z65" s="800"/>
      <c r="AA65" s="262" t="str">
        <f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Monitored"")"),"Not Monitored")</f>
        <v>Not Monitored</v>
      </c>
      <c r="AB65" s="263" t="str">
        <f>IFERROR(__xludf.DUMMYFUNCTION("IFERROR(INDEX(IMPORTRANGE(""https://docs.google.com/spreadsheets/d/1fpsE_0655xguD48cGK6n1ZqSLnI-tw9aHzhbPM9kZ-k/edit#gid=0"", ""Monitoring Summary!F:F""),MATCH(D65,IMPORTRANGE(""https://docs.google.com/spreadsheets/d/1fpsE_0655xguD48cGK6n1ZqSLnI-tw9aHzhbP"&amp;"M9kZ-k/edit#gid=0"", ""Monitoring Summary!C:C""),0)),""Not Monitored"")"),"Not Monitored")</f>
        <v>Not Monitored</v>
      </c>
      <c r="AC65" s="264" t="str">
        <f t="shared" si="2"/>
        <v>Not Monitored</v>
      </c>
      <c r="AD65" s="748" t="s">
        <v>987</v>
      </c>
      <c r="AE65" s="749" t="s">
        <v>986</v>
      </c>
      <c r="AF65" s="749" t="s">
        <v>989</v>
      </c>
      <c r="AG65" s="749" t="s">
        <v>1021</v>
      </c>
      <c r="AH65" s="749" t="s">
        <v>1014</v>
      </c>
      <c r="AI65" s="749" t="s">
        <v>990</v>
      </c>
      <c r="AJ65" s="749"/>
      <c r="AK65" s="749"/>
      <c r="AL65" s="749"/>
      <c r="AM65" s="749"/>
      <c r="AN65" s="749"/>
      <c r="AO65" s="749"/>
      <c r="AP65" s="749"/>
      <c r="AQ65" s="749"/>
      <c r="AR65" s="749"/>
      <c r="AS65" s="749"/>
      <c r="AT65" s="749"/>
      <c r="AU65" s="749"/>
      <c r="AV65" s="749"/>
      <c r="AW65" s="749"/>
      <c r="AX65" s="749"/>
      <c r="AY65" s="749"/>
      <c r="AZ65" s="749"/>
      <c r="BA65" s="749"/>
      <c r="BB65" s="749"/>
      <c r="BC65" s="749"/>
      <c r="BD65" s="749"/>
      <c r="BE65" s="749"/>
      <c r="BF65" s="749"/>
      <c r="BG65" s="749"/>
      <c r="BH65" s="749"/>
      <c r="BI65" s="749"/>
      <c r="BJ65" s="749"/>
      <c r="BK65" s="749"/>
      <c r="BL65" s="749"/>
    </row>
    <row r="66">
      <c r="A66" s="805">
        <v>2021.0</v>
      </c>
      <c r="B66" s="845">
        <v>44480.0</v>
      </c>
      <c r="C66" s="805" t="s">
        <v>1210</v>
      </c>
      <c r="D66" s="836" t="s">
        <v>1211</v>
      </c>
      <c r="E66" s="805" t="s">
        <v>192</v>
      </c>
      <c r="F66" s="805" t="s">
        <v>161</v>
      </c>
      <c r="G66" s="805" t="s">
        <v>53</v>
      </c>
      <c r="H66" s="805">
        <v>300.0</v>
      </c>
      <c r="I66" s="805" t="s">
        <v>235</v>
      </c>
      <c r="J66" s="805">
        <v>24.62571</v>
      </c>
      <c r="K66" s="847">
        <v>-81.11036</v>
      </c>
      <c r="L66" s="800"/>
      <c r="M66" s="747">
        <v>44480.0</v>
      </c>
      <c r="N66" s="744">
        <v>0.5733333333333333</v>
      </c>
      <c r="O66" s="744">
        <v>0.42</v>
      </c>
      <c r="P66" s="744">
        <v>0.006666666666666667</v>
      </c>
      <c r="Q66" s="744">
        <v>0.8333333333333334</v>
      </c>
      <c r="R66" s="744">
        <v>0.45</v>
      </c>
      <c r="S66" s="744">
        <v>0.08851851851851851</v>
      </c>
      <c r="T66" s="745">
        <v>44901.0</v>
      </c>
      <c r="U66" s="746">
        <v>0.036666666666666625</v>
      </c>
      <c r="V66" s="746">
        <v>0.9566666666666667</v>
      </c>
      <c r="W66" s="746">
        <v>0.006666666666666667</v>
      </c>
      <c r="X66" s="746">
        <v>0.13333333333333333</v>
      </c>
      <c r="Y66" s="799"/>
      <c r="Z66" s="800"/>
      <c r="AA66" s="262" t="str">
        <f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Monitored"")"),"Not Monitored")</f>
        <v>Not Monitored</v>
      </c>
      <c r="AB66" s="263" t="str">
        <f>IFERROR(__xludf.DUMMYFUNCTION("IFERROR(INDEX(IMPORTRANGE(""https://docs.google.com/spreadsheets/d/1fpsE_0655xguD48cGK6n1ZqSLnI-tw9aHzhbPM9kZ-k/edit#gid=0"", ""Monitoring Summary!F:F""),MATCH(D66,IMPORTRANGE(""https://docs.google.com/spreadsheets/d/1fpsE_0655xguD48cGK6n1ZqSLnI-tw9aHzhbP"&amp;"M9kZ-k/edit#gid=0"", ""Monitoring Summary!C:C""),0)),""Not Monitored"")"),"Not Monitored")</f>
        <v>Not Monitored</v>
      </c>
      <c r="AC66" s="264" t="str">
        <f t="shared" si="2"/>
        <v>Not Monitored</v>
      </c>
      <c r="AD66" s="748" t="s">
        <v>987</v>
      </c>
      <c r="AE66" s="749" t="s">
        <v>986</v>
      </c>
      <c r="AF66" s="749" t="s">
        <v>1009</v>
      </c>
      <c r="AG66" s="749" t="s">
        <v>989</v>
      </c>
      <c r="AH66" s="749" t="s">
        <v>1021</v>
      </c>
      <c r="AI66" s="749" t="s">
        <v>990</v>
      </c>
      <c r="AJ66" s="749"/>
      <c r="AK66" s="749"/>
      <c r="AL66" s="749"/>
      <c r="AM66" s="749"/>
      <c r="AN66" s="749"/>
      <c r="AO66" s="749"/>
      <c r="AP66" s="749"/>
      <c r="AQ66" s="749"/>
      <c r="AR66" s="749"/>
      <c r="AS66" s="749"/>
      <c r="AT66" s="749"/>
      <c r="AU66" s="749"/>
      <c r="AV66" s="749"/>
      <c r="AW66" s="749"/>
      <c r="AX66" s="749"/>
      <c r="AY66" s="749"/>
      <c r="AZ66" s="749"/>
      <c r="BA66" s="749"/>
      <c r="BB66" s="749"/>
      <c r="BC66" s="749"/>
      <c r="BD66" s="749"/>
      <c r="BE66" s="749"/>
      <c r="BF66" s="749"/>
      <c r="BG66" s="749"/>
      <c r="BH66" s="749"/>
      <c r="BI66" s="749"/>
      <c r="BJ66" s="749"/>
      <c r="BK66" s="749"/>
      <c r="BL66" s="749"/>
    </row>
    <row r="67">
      <c r="A67" s="805">
        <v>2021.0</v>
      </c>
      <c r="B67" s="845">
        <v>44502.0</v>
      </c>
      <c r="C67" s="805" t="s">
        <v>168</v>
      </c>
      <c r="D67" s="851" t="s">
        <v>1212</v>
      </c>
      <c r="E67" s="805" t="s">
        <v>170</v>
      </c>
      <c r="F67" s="805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05" t="s">
        <v>53</v>
      </c>
      <c r="H67" s="805">
        <v>200.0</v>
      </c>
      <c r="I67" s="805" t="s">
        <v>1213</v>
      </c>
      <c r="J67" s="805">
        <v>24.52181</v>
      </c>
      <c r="K67" s="808">
        <v>-81.52378</v>
      </c>
      <c r="L67" s="800"/>
      <c r="M67" s="747">
        <v>44537.0</v>
      </c>
      <c r="N67" s="744">
        <v>0.865</v>
      </c>
      <c r="O67" s="744">
        <v>0.115</v>
      </c>
      <c r="P67" s="744">
        <v>0.02</v>
      </c>
      <c r="Q67" s="744">
        <v>0.95</v>
      </c>
      <c r="R67" s="744">
        <v>0.65</v>
      </c>
      <c r="S67" s="744">
        <v>0.1573076923076923</v>
      </c>
      <c r="T67" s="745">
        <v>44907.0</v>
      </c>
      <c r="U67" s="746">
        <v>0.025000000000000022</v>
      </c>
      <c r="V67" s="746">
        <v>0.955</v>
      </c>
      <c r="W67" s="746">
        <v>0.02</v>
      </c>
      <c r="X67" s="746">
        <v>0.075</v>
      </c>
      <c r="Y67" s="799"/>
      <c r="Z67" s="800"/>
      <c r="AA67" s="262" t="str">
        <f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Monitored"")"),"Not Monitored")</f>
        <v>Not Monitored</v>
      </c>
      <c r="AB67" s="263" t="str">
        <f>IFERROR(__xludf.DUMMYFUNCTION("IFERROR(INDEX(IMPORTRANGE(""https://docs.google.com/spreadsheets/d/1fpsE_0655xguD48cGK6n1ZqSLnI-tw9aHzhbPM9kZ-k/edit#gid=0"", ""Monitoring Summary!F:F""),MATCH(D67,IMPORTRANGE(""https://docs.google.com/spreadsheets/d/1fpsE_0655xguD48cGK6n1ZqSLnI-tw9aHzhbP"&amp;"M9kZ-k/edit#gid=0"", ""Monitoring Summary!C:C""),0)),""Not Monitored"")"),"Not Monitored")</f>
        <v>Not Monitored</v>
      </c>
      <c r="AC67" s="264" t="str">
        <f t="shared" si="2"/>
        <v>Not Monitored</v>
      </c>
      <c r="AD67" s="748" t="s">
        <v>1125</v>
      </c>
      <c r="AE67" s="749" t="s">
        <v>1122</v>
      </c>
      <c r="AF67" s="749" t="s">
        <v>1021</v>
      </c>
      <c r="AG67" s="749" t="s">
        <v>1117</v>
      </c>
      <c r="AH67" s="749" t="s">
        <v>1019</v>
      </c>
      <c r="AI67" s="749" t="s">
        <v>1018</v>
      </c>
      <c r="AJ67" s="749" t="s">
        <v>1028</v>
      </c>
      <c r="AK67" s="749" t="s">
        <v>1009</v>
      </c>
      <c r="AL67" s="749"/>
      <c r="AM67" s="749"/>
      <c r="AN67" s="749"/>
      <c r="AO67" s="749"/>
      <c r="AP67" s="749"/>
      <c r="AQ67" s="749"/>
      <c r="AR67" s="749"/>
      <c r="AS67" s="749"/>
      <c r="AT67" s="749"/>
      <c r="AU67" s="749"/>
      <c r="AV67" s="749"/>
      <c r="AW67" s="749"/>
      <c r="AX67" s="749"/>
      <c r="AY67" s="749"/>
      <c r="AZ67" s="749"/>
      <c r="BA67" s="749"/>
      <c r="BB67" s="749"/>
      <c r="BC67" s="749"/>
      <c r="BD67" s="749"/>
      <c r="BE67" s="749"/>
      <c r="BF67" s="749"/>
      <c r="BG67" s="749"/>
      <c r="BH67" s="749"/>
      <c r="BI67" s="749"/>
      <c r="BJ67" s="749"/>
      <c r="BK67" s="749"/>
      <c r="BL67" s="749"/>
    </row>
    <row r="68">
      <c r="A68" s="825">
        <v>2021.0</v>
      </c>
      <c r="B68" s="852">
        <v>44511.0</v>
      </c>
      <c r="C68" s="825" t="s">
        <v>168</v>
      </c>
      <c r="D68" s="825" t="s">
        <v>1214</v>
      </c>
      <c r="E68" s="825" t="s">
        <v>170</v>
      </c>
      <c r="F68" s="825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25" t="s">
        <v>53</v>
      </c>
      <c r="H68" s="825">
        <v>300.0</v>
      </c>
      <c r="I68" s="825" t="s">
        <v>1215</v>
      </c>
      <c r="J68" s="825">
        <v>24.52152</v>
      </c>
      <c r="K68" s="828">
        <v>-81.52386</v>
      </c>
      <c r="L68" s="803"/>
      <c r="M68" s="853">
        <v>44537.0</v>
      </c>
      <c r="N68" s="782">
        <v>0.8366666666666667</v>
      </c>
      <c r="O68" s="782">
        <v>0.16333333333333333</v>
      </c>
      <c r="P68" s="782">
        <v>0.0</v>
      </c>
      <c r="Q68" s="782">
        <v>0.9333333333333333</v>
      </c>
      <c r="R68" s="782">
        <v>0.31666666666666665</v>
      </c>
      <c r="S68" s="782">
        <v>0.08684210526315789</v>
      </c>
      <c r="T68" s="783">
        <v>44907.0</v>
      </c>
      <c r="U68" s="784">
        <v>0.06000000000000005</v>
      </c>
      <c r="V68" s="784">
        <v>0.94</v>
      </c>
      <c r="W68" s="784">
        <v>0.0</v>
      </c>
      <c r="X68" s="784">
        <v>0.11666666666666667</v>
      </c>
      <c r="Y68" s="804"/>
      <c r="Z68" s="803"/>
      <c r="AA68" s="262" t="str">
        <f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Monitored"")"),"Not Monitored")</f>
        <v>Not Monitored</v>
      </c>
      <c r="AB68" s="263" t="str">
        <f>IFERROR(__xludf.DUMMYFUNCTION("IFERROR(INDEX(IMPORTRANGE(""https://docs.google.com/spreadsheets/d/1fpsE_0655xguD48cGK6n1ZqSLnI-tw9aHzhbPM9kZ-k/edit#gid=0"", ""Monitoring Summary!F:F""),MATCH(D68,IMPORTRANGE(""https://docs.google.com/spreadsheets/d/1fpsE_0655xguD48cGK6n1ZqSLnI-tw9aHzhbP"&amp;"M9kZ-k/edit#gid=0"", ""Monitoring Summary!C:C""),0)),""Not Monitored"")"),"Not Monitored")</f>
        <v>Not Monitored</v>
      </c>
      <c r="AC68" s="264" t="str">
        <f t="shared" si="2"/>
        <v>Not Monitored</v>
      </c>
      <c r="AD68" s="786" t="s">
        <v>1021</v>
      </c>
      <c r="AE68" s="787" t="s">
        <v>1129</v>
      </c>
      <c r="AF68" s="787" t="s">
        <v>989</v>
      </c>
      <c r="AG68" s="787" t="s">
        <v>987</v>
      </c>
      <c r="AH68" s="787" t="s">
        <v>1065</v>
      </c>
      <c r="AI68" s="787" t="s">
        <v>990</v>
      </c>
      <c r="AJ68" s="787" t="s">
        <v>1023</v>
      </c>
      <c r="AK68" s="787" t="s">
        <v>1059</v>
      </c>
      <c r="AL68" s="787" t="s">
        <v>1216</v>
      </c>
      <c r="AM68" s="787" t="s">
        <v>1010</v>
      </c>
      <c r="AN68" s="787" t="s">
        <v>1017</v>
      </c>
      <c r="AO68" s="787" t="s">
        <v>1217</v>
      </c>
      <c r="AP68" s="787"/>
      <c r="AQ68" s="787"/>
      <c r="AR68" s="787"/>
      <c r="AS68" s="787"/>
      <c r="AT68" s="787"/>
      <c r="AU68" s="787"/>
      <c r="AV68" s="787"/>
      <c r="AW68" s="787"/>
      <c r="AX68" s="787"/>
      <c r="AY68" s="787"/>
      <c r="AZ68" s="787"/>
      <c r="BA68" s="787"/>
      <c r="BB68" s="787"/>
      <c r="BC68" s="787"/>
      <c r="BD68" s="787"/>
      <c r="BE68" s="787"/>
      <c r="BF68" s="787"/>
      <c r="BG68" s="787"/>
      <c r="BH68" s="787"/>
      <c r="BI68" s="787"/>
      <c r="BJ68" s="787"/>
      <c r="BK68" s="787"/>
      <c r="BL68" s="787"/>
    </row>
    <row r="69">
      <c r="A69" s="837">
        <v>2022.0</v>
      </c>
      <c r="B69" s="848">
        <v>44586.0</v>
      </c>
      <c r="C69" s="837" t="s">
        <v>292</v>
      </c>
      <c r="D69" s="837" t="s">
        <v>1218</v>
      </c>
      <c r="E69" s="837" t="s">
        <v>170</v>
      </c>
      <c r="F69" s="837" t="s">
        <v>161</v>
      </c>
      <c r="G69" s="837" t="s">
        <v>71</v>
      </c>
      <c r="H69" s="837">
        <v>599.0</v>
      </c>
      <c r="I69" s="837" t="s">
        <v>1219</v>
      </c>
      <c r="J69" s="840">
        <v>24.45984</v>
      </c>
      <c r="K69" s="840">
        <v>-81.84345</v>
      </c>
      <c r="L69" s="800"/>
      <c r="M69" s="842">
        <v>44621.0</v>
      </c>
      <c r="N69" s="744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44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44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44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44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44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842">
        <v>44927.0</v>
      </c>
      <c r="U69" s="746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46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46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46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799"/>
      <c r="Z69" s="800"/>
      <c r="AA69" s="262">
        <f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Monitored"")"),45293.0)</f>
        <v>45293</v>
      </c>
      <c r="AB69" s="263">
        <f>IFERROR(__xludf.DUMMYFUNCTION("IFERROR(INDEX(IMPORTRANGE(""https://docs.google.com/spreadsheets/d/1fpsE_0655xguD48cGK6n1ZqSLnI-tw9aHzhbPM9kZ-k/edit#gid=0"", ""Monitoring Summary!F:F""),MATCH(D69,IMPORTRANGE(""https://docs.google.com/spreadsheets/d/1fpsE_0655xguD48cGK6n1ZqSLnI-tw9aHzhbP"&amp;"M9kZ-k/edit#gid=0"", ""Monitoring Summary!C:C""),0)),""Not Monitored"")"),0.0)</f>
        <v>0</v>
      </c>
      <c r="AC69" s="264">
        <f t="shared" si="2"/>
        <v>0</v>
      </c>
      <c r="AD69" s="854" t="s">
        <v>1044</v>
      </c>
      <c r="AE69" s="749" t="s">
        <v>1036</v>
      </c>
      <c r="AF69" s="749" t="s">
        <v>1017</v>
      </c>
      <c r="AG69" s="749" t="s">
        <v>989</v>
      </c>
      <c r="AH69" s="749" t="s">
        <v>1021</v>
      </c>
      <c r="AI69" s="749" t="s">
        <v>1014</v>
      </c>
      <c r="AJ69" s="749" t="s">
        <v>990</v>
      </c>
      <c r="AK69" s="749" t="s">
        <v>986</v>
      </c>
      <c r="AL69" s="749" t="s">
        <v>1023</v>
      </c>
      <c r="AM69" s="749" t="s">
        <v>1069</v>
      </c>
      <c r="AN69" s="749" t="s">
        <v>1094</v>
      </c>
      <c r="AO69" s="749" t="s">
        <v>987</v>
      </c>
      <c r="AP69" s="749" t="s">
        <v>1003</v>
      </c>
      <c r="AQ69" s="749" t="s">
        <v>1011</v>
      </c>
      <c r="AR69" s="749"/>
      <c r="AS69" s="749"/>
      <c r="AT69" s="749"/>
      <c r="AU69" s="749"/>
      <c r="AV69" s="749"/>
      <c r="AW69" s="749"/>
      <c r="AX69" s="749"/>
      <c r="AY69" s="749"/>
      <c r="AZ69" s="749"/>
      <c r="BA69" s="749"/>
      <c r="BB69" s="749"/>
      <c r="BC69" s="749"/>
      <c r="BD69" s="749"/>
      <c r="BE69" s="749"/>
      <c r="BF69" s="749"/>
      <c r="BG69" s="749"/>
      <c r="BH69" s="749"/>
      <c r="BI69" s="749"/>
      <c r="BJ69" s="749"/>
      <c r="BK69" s="749"/>
      <c r="BL69" s="749"/>
    </row>
    <row r="70">
      <c r="A70" s="837">
        <v>2022.0</v>
      </c>
      <c r="B70" s="848">
        <v>44600.0</v>
      </c>
      <c r="C70" s="837" t="s">
        <v>292</v>
      </c>
      <c r="D70" s="837" t="s">
        <v>1220</v>
      </c>
      <c r="E70" s="837" t="s">
        <v>170</v>
      </c>
      <c r="F70" s="837" t="s">
        <v>161</v>
      </c>
      <c r="G70" s="837" t="s">
        <v>71</v>
      </c>
      <c r="H70" s="837">
        <v>500.0</v>
      </c>
      <c r="I70" s="837" t="s">
        <v>1221</v>
      </c>
      <c r="J70" s="840">
        <v>24.459367</v>
      </c>
      <c r="K70" s="840">
        <v>-81.844806</v>
      </c>
      <c r="L70" s="800"/>
      <c r="M70" s="842">
        <v>44631.0</v>
      </c>
      <c r="N70" s="744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44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44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44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44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44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842">
        <v>44971.0</v>
      </c>
      <c r="U70" s="746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46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46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46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799"/>
      <c r="Z70" s="800"/>
      <c r="AA70" s="262">
        <f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Monitored"")"),45293.0)</f>
        <v>45293</v>
      </c>
      <c r="AB70" s="263">
        <f>IFERROR(__xludf.DUMMYFUNCTION("IFERROR(INDEX(IMPORTRANGE(""https://docs.google.com/spreadsheets/d/1fpsE_0655xguD48cGK6n1ZqSLnI-tw9aHzhbPM9kZ-k/edit#gid=0"", ""Monitoring Summary!F:F""),MATCH(D70,IMPORTRANGE(""https://docs.google.com/spreadsheets/d/1fpsE_0655xguD48cGK6n1ZqSLnI-tw9aHzhbP"&amp;"M9kZ-k/edit#gid=0"", ""Monitoring Summary!C:C""),0)),""Not Monitored"")"),0.0)</f>
        <v>0</v>
      </c>
      <c r="AC70" s="264">
        <f t="shared" si="2"/>
        <v>0</v>
      </c>
      <c r="AD70" s="750" t="s">
        <v>1020</v>
      </c>
      <c r="AE70" s="749" t="s">
        <v>1222</v>
      </c>
      <c r="AF70" s="749" t="s">
        <v>1223</v>
      </c>
      <c r="AG70" s="749" t="s">
        <v>1224</v>
      </c>
      <c r="AH70" s="749" t="s">
        <v>1044</v>
      </c>
      <c r="AI70" s="749" t="s">
        <v>1225</v>
      </c>
      <c r="AJ70" s="749" t="s">
        <v>1226</v>
      </c>
      <c r="AK70" s="749" t="s">
        <v>1227</v>
      </c>
      <c r="AL70" s="749" t="s">
        <v>1228</v>
      </c>
      <c r="AM70" s="749" t="s">
        <v>1229</v>
      </c>
      <c r="AN70" s="749"/>
      <c r="AO70" s="749"/>
      <c r="AP70" s="749"/>
      <c r="AQ70" s="749"/>
      <c r="AR70" s="749"/>
      <c r="AS70" s="749"/>
      <c r="AT70" s="749"/>
      <c r="AU70" s="749"/>
      <c r="AV70" s="749"/>
      <c r="AW70" s="749"/>
      <c r="AX70" s="749"/>
      <c r="AY70" s="749"/>
      <c r="AZ70" s="749"/>
      <c r="BA70" s="749"/>
      <c r="BB70" s="749"/>
      <c r="BC70" s="749"/>
      <c r="BD70" s="749"/>
      <c r="BE70" s="749"/>
      <c r="BF70" s="749"/>
      <c r="BG70" s="749"/>
      <c r="BH70" s="749"/>
      <c r="BI70" s="749"/>
      <c r="BJ70" s="749"/>
      <c r="BK70" s="749"/>
      <c r="BL70" s="749"/>
    </row>
    <row r="71">
      <c r="A71" s="837">
        <v>2022.0</v>
      </c>
      <c r="B71" s="848">
        <v>44631.0</v>
      </c>
      <c r="C71" s="837" t="s">
        <v>292</v>
      </c>
      <c r="D71" s="837" t="s">
        <v>1230</v>
      </c>
      <c r="E71" s="837" t="s">
        <v>170</v>
      </c>
      <c r="F71" s="837" t="s">
        <v>161</v>
      </c>
      <c r="G71" s="837" t="s">
        <v>71</v>
      </c>
      <c r="H71" s="837">
        <v>500.0</v>
      </c>
      <c r="I71" s="837" t="s">
        <v>1231</v>
      </c>
      <c r="J71" s="840">
        <v>24.45957</v>
      </c>
      <c r="K71" s="840">
        <v>-81.84443</v>
      </c>
      <c r="L71" s="800"/>
      <c r="M71" s="842">
        <v>44678.0</v>
      </c>
      <c r="N71" s="744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44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44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44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44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44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842">
        <v>45014.0</v>
      </c>
      <c r="U71" s="746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46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46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46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799"/>
      <c r="Z71" s="800"/>
      <c r="AA71" s="262" t="str">
        <f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Monitored"")"),"Not Monitored")</f>
        <v>Not Monitored</v>
      </c>
      <c r="AB71" s="263" t="str">
        <f>IFERROR(__xludf.DUMMYFUNCTION("IFERROR(INDEX(IMPORTRANGE(""https://docs.google.com/spreadsheets/d/1fpsE_0655xguD48cGK6n1ZqSLnI-tw9aHzhbPM9kZ-k/edit#gid=0"", ""Monitoring Summary!F:F""),MATCH(D71,IMPORTRANGE(""https://docs.google.com/spreadsheets/d/1fpsE_0655xguD48cGK6n1ZqSLnI-tw9aHzhbP"&amp;"M9kZ-k/edit#gid=0"", ""Monitoring Summary!C:C""),0)),""Not Monitored"")"),"Not Monitored")</f>
        <v>Not Monitored</v>
      </c>
      <c r="AC71" s="264" t="str">
        <f t="shared" si="2"/>
        <v>Not Monitored</v>
      </c>
      <c r="AD71" s="750" t="s">
        <v>1011</v>
      </c>
      <c r="AE71" s="749" t="s">
        <v>1009</v>
      </c>
      <c r="AF71" s="749" t="s">
        <v>1021</v>
      </c>
      <c r="AG71" s="749" t="s">
        <v>1229</v>
      </c>
      <c r="AH71" s="749" t="s">
        <v>1173</v>
      </c>
      <c r="AI71" s="749" t="s">
        <v>1232</v>
      </c>
      <c r="AJ71" s="749" t="s">
        <v>989</v>
      </c>
      <c r="AK71" s="749" t="s">
        <v>1069</v>
      </c>
      <c r="AL71" s="749" t="s">
        <v>1233</v>
      </c>
      <c r="AM71" s="749" t="s">
        <v>1022</v>
      </c>
      <c r="AN71" s="749"/>
      <c r="AO71" s="749"/>
      <c r="AP71" s="749"/>
      <c r="AQ71" s="749"/>
      <c r="AR71" s="749"/>
      <c r="AS71" s="749"/>
      <c r="AT71" s="749"/>
      <c r="AU71" s="749"/>
      <c r="AV71" s="749"/>
      <c r="AW71" s="749"/>
      <c r="AX71" s="749"/>
      <c r="AY71" s="749"/>
      <c r="AZ71" s="749"/>
      <c r="BA71" s="749"/>
      <c r="BB71" s="749"/>
      <c r="BC71" s="749"/>
      <c r="BD71" s="749"/>
      <c r="BE71" s="749"/>
      <c r="BF71" s="749"/>
      <c r="BG71" s="749"/>
      <c r="BH71" s="749"/>
      <c r="BI71" s="749"/>
      <c r="BJ71" s="749"/>
      <c r="BK71" s="749"/>
      <c r="BL71" s="749"/>
    </row>
    <row r="72">
      <c r="A72" s="837">
        <v>2022.0</v>
      </c>
      <c r="B72" s="848">
        <v>44637.0</v>
      </c>
      <c r="C72" s="837" t="s">
        <v>292</v>
      </c>
      <c r="D72" s="837" t="s">
        <v>1234</v>
      </c>
      <c r="E72" s="837" t="s">
        <v>170</v>
      </c>
      <c r="F72" s="837" t="s">
        <v>161</v>
      </c>
      <c r="G72" s="837" t="s">
        <v>71</v>
      </c>
      <c r="H72" s="837">
        <v>500.0</v>
      </c>
      <c r="I72" s="837" t="s">
        <v>1235</v>
      </c>
      <c r="J72" s="840">
        <v>24.46002</v>
      </c>
      <c r="K72" s="840">
        <v>-81.84338</v>
      </c>
      <c r="L72" s="800"/>
      <c r="M72" s="842">
        <v>44679.0</v>
      </c>
      <c r="N72" s="744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44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44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44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44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44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842">
        <v>45012.0</v>
      </c>
      <c r="U72" s="746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46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46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46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799"/>
      <c r="Z72" s="800"/>
      <c r="AA72" s="262">
        <f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Monitored"")"),45293.0)</f>
        <v>45293</v>
      </c>
      <c r="AB72" s="263">
        <f>IFERROR(__xludf.DUMMYFUNCTION("IFERROR(INDEX(IMPORTRANGE(""https://docs.google.com/spreadsheets/d/1fpsE_0655xguD48cGK6n1ZqSLnI-tw9aHzhbPM9kZ-k/edit#gid=0"", ""Monitoring Summary!F:F""),MATCH(D72,IMPORTRANGE(""https://docs.google.com/spreadsheets/d/1fpsE_0655xguD48cGK6n1ZqSLnI-tw9aHzhbP"&amp;"M9kZ-k/edit#gid=0"", ""Monitoring Summary!C:C""),0)),""Not Monitored"")"),0.0)</f>
        <v>0</v>
      </c>
      <c r="AC72" s="264">
        <f t="shared" si="2"/>
        <v>0</v>
      </c>
      <c r="AD72" s="750" t="s">
        <v>1232</v>
      </c>
      <c r="AE72" s="749" t="s">
        <v>1009</v>
      </c>
      <c r="AF72" s="749" t="s">
        <v>1017</v>
      </c>
      <c r="AG72" s="749" t="s">
        <v>1011</v>
      </c>
      <c r="AH72" s="749" t="s">
        <v>1021</v>
      </c>
      <c r="AI72" s="749" t="s">
        <v>989</v>
      </c>
      <c r="AJ72" s="749" t="s">
        <v>1225</v>
      </c>
      <c r="AK72" s="749" t="s">
        <v>1036</v>
      </c>
      <c r="AL72" s="749" t="s">
        <v>1236</v>
      </c>
      <c r="AM72" s="749" t="s">
        <v>1010</v>
      </c>
      <c r="AN72" s="749"/>
      <c r="AO72" s="749"/>
      <c r="AP72" s="749"/>
      <c r="AQ72" s="749"/>
      <c r="AR72" s="749"/>
      <c r="AS72" s="749"/>
      <c r="AT72" s="749"/>
      <c r="AU72" s="749"/>
      <c r="AV72" s="749"/>
      <c r="AW72" s="749"/>
      <c r="AX72" s="749"/>
      <c r="AY72" s="749"/>
      <c r="AZ72" s="749"/>
      <c r="BA72" s="749"/>
      <c r="BB72" s="749"/>
      <c r="BC72" s="749"/>
      <c r="BD72" s="749"/>
      <c r="BE72" s="749"/>
      <c r="BF72" s="749"/>
      <c r="BG72" s="749"/>
      <c r="BH72" s="749"/>
      <c r="BI72" s="749"/>
      <c r="BJ72" s="749"/>
      <c r="BK72" s="749"/>
      <c r="BL72" s="749"/>
    </row>
    <row r="73">
      <c r="A73" s="837">
        <v>2022.0</v>
      </c>
      <c r="B73" s="848">
        <v>44655.0</v>
      </c>
      <c r="C73" s="837" t="s">
        <v>292</v>
      </c>
      <c r="D73" s="837" t="s">
        <v>1237</v>
      </c>
      <c r="E73" s="837" t="s">
        <v>170</v>
      </c>
      <c r="F73" s="837" t="s">
        <v>161</v>
      </c>
      <c r="G73" s="837" t="s">
        <v>71</v>
      </c>
      <c r="H73" s="837">
        <v>1000.0</v>
      </c>
      <c r="I73" s="837" t="s">
        <v>1238</v>
      </c>
      <c r="J73" s="840">
        <v>24.45924</v>
      </c>
      <c r="K73" s="840">
        <v>-81.84591</v>
      </c>
      <c r="L73" s="800"/>
      <c r="M73" s="842">
        <v>44679.0</v>
      </c>
      <c r="N73" s="744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44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44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44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44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44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842">
        <v>45012.0</v>
      </c>
      <c r="U73" s="746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46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46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46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799"/>
      <c r="Z73" s="800"/>
      <c r="AA73" s="262">
        <f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Monitored"")"),45293.0)</f>
        <v>45293</v>
      </c>
      <c r="AB73" s="263">
        <f>IFERROR(__xludf.DUMMYFUNCTION("IFERROR(INDEX(IMPORTRANGE(""https://docs.google.com/spreadsheets/d/1fpsE_0655xguD48cGK6n1ZqSLnI-tw9aHzhbPM9kZ-k/edit#gid=0"", ""Monitoring Summary!F:F""),MATCH(D73,IMPORTRANGE(""https://docs.google.com/spreadsheets/d/1fpsE_0655xguD48cGK6n1ZqSLnI-tw9aHzhbP"&amp;"M9kZ-k/edit#gid=0"", ""Monitoring Summary!C:C""),0)),""Not Monitored"")"),0.0)</f>
        <v>0</v>
      </c>
      <c r="AC73" s="264">
        <f t="shared" si="2"/>
        <v>0</v>
      </c>
      <c r="AD73" s="750" t="s">
        <v>1014</v>
      </c>
      <c r="AE73" s="749" t="s">
        <v>990</v>
      </c>
      <c r="AF73" s="749" t="s">
        <v>1239</v>
      </c>
      <c r="AG73" s="749" t="s">
        <v>1032</v>
      </c>
      <c r="AH73" s="749" t="s">
        <v>1022</v>
      </c>
      <c r="AI73" s="749" t="s">
        <v>987</v>
      </c>
      <c r="AJ73" s="749" t="s">
        <v>1181</v>
      </c>
      <c r="AK73" s="749" t="s">
        <v>1069</v>
      </c>
      <c r="AL73" s="749" t="s">
        <v>1043</v>
      </c>
      <c r="AM73" s="749" t="s">
        <v>1079</v>
      </c>
      <c r="AN73" s="749" t="s">
        <v>1085</v>
      </c>
      <c r="AO73" s="749" t="s">
        <v>1023</v>
      </c>
      <c r="AP73" s="749" t="s">
        <v>1072</v>
      </c>
      <c r="AQ73" s="749" t="s">
        <v>1063</v>
      </c>
      <c r="AR73" s="749" t="s">
        <v>1225</v>
      </c>
      <c r="AS73" s="749" t="s">
        <v>1010</v>
      </c>
      <c r="AT73" s="749" t="s">
        <v>1003</v>
      </c>
      <c r="AU73" s="749" t="s">
        <v>1070</v>
      </c>
      <c r="AV73" s="749" t="s">
        <v>1009</v>
      </c>
      <c r="AW73" s="749" t="s">
        <v>1018</v>
      </c>
      <c r="AX73" s="749" t="s">
        <v>989</v>
      </c>
      <c r="AY73" s="749" t="s">
        <v>1199</v>
      </c>
      <c r="AZ73" s="749" t="s">
        <v>1036</v>
      </c>
      <c r="BA73" s="749" t="s">
        <v>1093</v>
      </c>
      <c r="BB73" s="749" t="s">
        <v>1061</v>
      </c>
      <c r="BC73" s="749" t="s">
        <v>1188</v>
      </c>
      <c r="BD73" s="749" t="s">
        <v>1062</v>
      </c>
      <c r="BE73" s="749" t="s">
        <v>986</v>
      </c>
      <c r="BF73" s="749" t="s">
        <v>1087</v>
      </c>
      <c r="BG73" s="749"/>
      <c r="BH73" s="749"/>
      <c r="BI73" s="749"/>
      <c r="BJ73" s="749"/>
      <c r="BK73" s="749"/>
      <c r="BL73" s="749"/>
    </row>
    <row r="74">
      <c r="A74" s="752">
        <v>2022.0</v>
      </c>
      <c r="B74" s="801">
        <v>44658.0</v>
      </c>
      <c r="C74" s="752" t="s">
        <v>1240</v>
      </c>
      <c r="D74" s="752" t="s">
        <v>1241</v>
      </c>
      <c r="E74" s="752" t="s">
        <v>170</v>
      </c>
      <c r="F74" s="752" t="s">
        <v>161</v>
      </c>
      <c r="G74" s="752" t="s">
        <v>63</v>
      </c>
      <c r="H74" s="752">
        <v>300.0</v>
      </c>
      <c r="I74" s="752" t="s">
        <v>1242</v>
      </c>
      <c r="J74" s="772">
        <v>24.4824</v>
      </c>
      <c r="K74" s="772">
        <v>-81.70496</v>
      </c>
      <c r="L74" s="800"/>
      <c r="M74" s="747">
        <v>44686.0</v>
      </c>
      <c r="N74" s="744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44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44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44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44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44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45">
        <v>45048.0</v>
      </c>
      <c r="U74" s="746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46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46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46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799"/>
      <c r="Z74" s="800"/>
      <c r="AA74" s="262">
        <f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Monitored"")"),45257.0)</f>
        <v>45257</v>
      </c>
      <c r="AB74" s="263">
        <f>IFERROR(__xludf.DUMMYFUNCTION("IFERROR(INDEX(IMPORTRANGE(""https://docs.google.com/spreadsheets/d/1fpsE_0655xguD48cGK6n1ZqSLnI-tw9aHzhbPM9kZ-k/edit#gid=0"", ""Monitoring Summary!F:F""),MATCH(D74,IMPORTRANGE(""https://docs.google.com/spreadsheets/d/1fpsE_0655xguD48cGK6n1ZqSLnI-tw9aHzhbP"&amp;"M9kZ-k/edit#gid=0"", ""Monitoring Summary!C:C""),0)),""Not Monitored"")"),0.0)</f>
        <v>0</v>
      </c>
      <c r="AC74" s="264">
        <f t="shared" si="2"/>
        <v>0</v>
      </c>
      <c r="AD74" s="750" t="s">
        <v>1136</v>
      </c>
      <c r="AE74" s="749" t="s">
        <v>1043</v>
      </c>
      <c r="AF74" s="749" t="s">
        <v>1065</v>
      </c>
      <c r="AG74" s="749" t="s">
        <v>1069</v>
      </c>
      <c r="AH74" s="749" t="s">
        <v>1066</v>
      </c>
      <c r="AI74" s="749" t="s">
        <v>986</v>
      </c>
      <c r="AJ74" s="749" t="s">
        <v>1087</v>
      </c>
      <c r="AK74" s="749" t="s">
        <v>1086</v>
      </c>
      <c r="AL74" s="749" t="s">
        <v>1062</v>
      </c>
      <c r="AM74" s="749" t="s">
        <v>1199</v>
      </c>
      <c r="AN74" s="749" t="s">
        <v>1093</v>
      </c>
      <c r="AO74" s="749" t="s">
        <v>1188</v>
      </c>
      <c r="AP74" s="749"/>
      <c r="AQ74" s="749"/>
      <c r="AR74" s="749"/>
      <c r="AS74" s="749"/>
      <c r="AT74" s="749"/>
      <c r="AU74" s="749"/>
      <c r="AV74" s="749"/>
      <c r="AW74" s="749"/>
      <c r="AX74" s="749"/>
      <c r="AY74" s="749"/>
      <c r="AZ74" s="749"/>
      <c r="BA74" s="749"/>
      <c r="BB74" s="749"/>
      <c r="BC74" s="749"/>
      <c r="BD74" s="749"/>
      <c r="BE74" s="749"/>
      <c r="BF74" s="749"/>
      <c r="BG74" s="749"/>
      <c r="BH74" s="749"/>
      <c r="BI74" s="749"/>
      <c r="BJ74" s="749"/>
      <c r="BK74" s="749"/>
      <c r="BL74" s="749"/>
    </row>
    <row r="75">
      <c r="A75" s="752">
        <v>2022.0</v>
      </c>
      <c r="B75" s="801">
        <v>44666.0</v>
      </c>
      <c r="C75" s="752" t="s">
        <v>1243</v>
      </c>
      <c r="D75" s="752" t="s">
        <v>1244</v>
      </c>
      <c r="E75" s="752" t="s">
        <v>170</v>
      </c>
      <c r="F75" s="752" t="s">
        <v>161</v>
      </c>
      <c r="G75" s="752" t="s">
        <v>63</v>
      </c>
      <c r="H75" s="752">
        <v>499.0</v>
      </c>
      <c r="I75" s="752" t="s">
        <v>1245</v>
      </c>
      <c r="J75" s="772">
        <v>25.47782</v>
      </c>
      <c r="K75" s="772">
        <v>-80.14075</v>
      </c>
      <c r="L75" s="800"/>
      <c r="M75" s="747">
        <v>44700.0</v>
      </c>
      <c r="N75" s="744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44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44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44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44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44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45">
        <v>45049.0</v>
      </c>
      <c r="U75" s="746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46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46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46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799"/>
      <c r="Z75" s="800"/>
      <c r="AA75" s="262" t="str">
        <f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Monitored"")"),"Not Monitored")</f>
        <v>Not Monitored</v>
      </c>
      <c r="AB75" s="263" t="str">
        <f>IFERROR(__xludf.DUMMYFUNCTION("IFERROR(INDEX(IMPORTRANGE(""https://docs.google.com/spreadsheets/d/1fpsE_0655xguD48cGK6n1ZqSLnI-tw9aHzhbPM9kZ-k/edit#gid=0"", ""Monitoring Summary!F:F""),MATCH(D75,IMPORTRANGE(""https://docs.google.com/spreadsheets/d/1fpsE_0655xguD48cGK6n1ZqSLnI-tw9aHzhbP"&amp;"M9kZ-k/edit#gid=0"", ""Monitoring Summary!C:C""),0)),""Not Monitored"")"),"Not Monitored")</f>
        <v>Not Monitored</v>
      </c>
      <c r="AC75" s="264" t="str">
        <f t="shared" si="2"/>
        <v>Not Monitored</v>
      </c>
      <c r="AD75" s="750" t="s">
        <v>1124</v>
      </c>
      <c r="AE75" s="749" t="s">
        <v>1246</v>
      </c>
      <c r="AF75" s="749" t="s">
        <v>1198</v>
      </c>
      <c r="AG75" s="749" t="s">
        <v>1061</v>
      </c>
      <c r="AH75" s="749" t="s">
        <v>1226</v>
      </c>
      <c r="AI75" s="749" t="s">
        <v>1179</v>
      </c>
      <c r="AJ75" s="749" t="s">
        <v>1247</v>
      </c>
      <c r="AK75" s="749" t="s">
        <v>1082</v>
      </c>
      <c r="AL75" s="749" t="s">
        <v>1083</v>
      </c>
      <c r="AM75" s="749" t="s">
        <v>1233</v>
      </c>
      <c r="AN75" s="749" t="s">
        <v>1248</v>
      </c>
      <c r="AO75" s="749"/>
      <c r="AP75" s="749"/>
      <c r="AQ75" s="749"/>
      <c r="AR75" s="749"/>
      <c r="AS75" s="749"/>
      <c r="AT75" s="749"/>
      <c r="AU75" s="749"/>
      <c r="AV75" s="749"/>
      <c r="AW75" s="749"/>
      <c r="AX75" s="749"/>
      <c r="AY75" s="749"/>
      <c r="AZ75" s="749"/>
      <c r="BA75" s="749"/>
      <c r="BB75" s="749"/>
      <c r="BC75" s="749"/>
      <c r="BD75" s="749"/>
      <c r="BE75" s="749"/>
      <c r="BF75" s="749"/>
      <c r="BG75" s="749"/>
      <c r="BH75" s="749"/>
      <c r="BI75" s="749"/>
      <c r="BJ75" s="749"/>
      <c r="BK75" s="749"/>
      <c r="BL75" s="749"/>
    </row>
    <row r="76">
      <c r="A76" s="752">
        <v>2022.0</v>
      </c>
      <c r="B76" s="801">
        <v>44694.0</v>
      </c>
      <c r="C76" s="752" t="s">
        <v>1240</v>
      </c>
      <c r="D76" s="752" t="s">
        <v>1249</v>
      </c>
      <c r="E76" s="752" t="s">
        <v>170</v>
      </c>
      <c r="F76" s="752" t="s">
        <v>161</v>
      </c>
      <c r="G76" s="752" t="s">
        <v>63</v>
      </c>
      <c r="H76" s="752">
        <v>1090.0</v>
      </c>
      <c r="I76" s="752" t="s">
        <v>1250</v>
      </c>
      <c r="J76" s="772">
        <v>24.48238</v>
      </c>
      <c r="K76" s="772">
        <v>-81.70422</v>
      </c>
      <c r="L76" s="800" t="s">
        <v>1042</v>
      </c>
      <c r="M76" s="747">
        <v>44741.0</v>
      </c>
      <c r="N76" s="744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44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44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44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44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44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45">
        <v>45048.0</v>
      </c>
      <c r="U76" s="746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46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46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46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799"/>
      <c r="Z76" s="800"/>
      <c r="AA76" s="262">
        <f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Monitored"")"),45257.0)</f>
        <v>45257</v>
      </c>
      <c r="AB76" s="263">
        <f>IFERROR(__xludf.DUMMYFUNCTION("IFERROR(INDEX(IMPORTRANGE(""https://docs.google.com/spreadsheets/d/1fpsE_0655xguD48cGK6n1ZqSLnI-tw9aHzhbPM9kZ-k/edit#gid=0"", ""Monitoring Summary!F:F""),MATCH(D76,IMPORTRANGE(""https://docs.google.com/spreadsheets/d/1fpsE_0655xguD48cGK6n1ZqSLnI-tw9aHzhbP"&amp;"M9kZ-k/edit#gid=0"", ""Monitoring Summary!C:C""),0)),""Not Monitored"")"),1.0)</f>
        <v>1</v>
      </c>
      <c r="AC76" s="264">
        <f t="shared" si="2"/>
        <v>0.0009174311927</v>
      </c>
      <c r="AD76" s="750" t="s">
        <v>1124</v>
      </c>
      <c r="AE76" s="749" t="s">
        <v>1036</v>
      </c>
      <c r="AF76" s="749" t="s">
        <v>1217</v>
      </c>
      <c r="AG76" s="749" t="s">
        <v>1003</v>
      </c>
      <c r="AH76" s="749" t="s">
        <v>1011</v>
      </c>
      <c r="AI76" s="749" t="s">
        <v>989</v>
      </c>
      <c r="AJ76" s="749" t="s">
        <v>1021</v>
      </c>
      <c r="AK76" s="749" t="s">
        <v>1014</v>
      </c>
      <c r="AL76" s="749" t="s">
        <v>990</v>
      </c>
      <c r="AM76" s="749" t="s">
        <v>987</v>
      </c>
      <c r="AN76" s="749" t="s">
        <v>1136</v>
      </c>
      <c r="AO76" s="749" t="s">
        <v>1116</v>
      </c>
      <c r="AP76" s="749" t="s">
        <v>1092</v>
      </c>
      <c r="AQ76" s="749" t="s">
        <v>1069</v>
      </c>
      <c r="AR76" s="749" t="s">
        <v>986</v>
      </c>
      <c r="AS76" s="749" t="s">
        <v>1080</v>
      </c>
      <c r="AT76" s="749" t="s">
        <v>1023</v>
      </c>
      <c r="AU76" s="749" t="s">
        <v>1083</v>
      </c>
      <c r="AV76" s="749"/>
      <c r="AW76" s="749"/>
      <c r="AX76" s="749"/>
      <c r="AY76" s="749"/>
      <c r="AZ76" s="749"/>
      <c r="BA76" s="749"/>
      <c r="BB76" s="749"/>
      <c r="BC76" s="749"/>
      <c r="BD76" s="749"/>
      <c r="BE76" s="749"/>
      <c r="BF76" s="749"/>
      <c r="BG76" s="749"/>
      <c r="BH76" s="749"/>
      <c r="BI76" s="749"/>
      <c r="BJ76" s="749"/>
      <c r="BK76" s="749"/>
      <c r="BL76" s="749"/>
    </row>
    <row r="77">
      <c r="A77" s="752">
        <v>2022.0</v>
      </c>
      <c r="B77" s="801">
        <v>44698.0</v>
      </c>
      <c r="C77" s="752" t="s">
        <v>168</v>
      </c>
      <c r="D77" s="752" t="s">
        <v>1251</v>
      </c>
      <c r="E77" s="752" t="s">
        <v>170</v>
      </c>
      <c r="F77" s="752" t="s">
        <v>161</v>
      </c>
      <c r="G77" s="752" t="s">
        <v>63</v>
      </c>
      <c r="H77" s="752">
        <v>480.0</v>
      </c>
      <c r="I77" s="752" t="s">
        <v>1252</v>
      </c>
      <c r="J77" s="772">
        <v>24.52168</v>
      </c>
      <c r="K77" s="772">
        <v>-81.52382</v>
      </c>
      <c r="L77" s="800"/>
      <c r="M77" s="747">
        <v>44741.0</v>
      </c>
      <c r="N77" s="744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44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44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44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44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44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45">
        <v>45048.0</v>
      </c>
      <c r="U77" s="746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46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46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46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799"/>
      <c r="Z77" s="800"/>
      <c r="AA77" s="262" t="str">
        <f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Monitored"")"),"Not Monitored")</f>
        <v>Not Monitored</v>
      </c>
      <c r="AB77" s="263" t="str">
        <f>IFERROR(__xludf.DUMMYFUNCTION("IFERROR(INDEX(IMPORTRANGE(""https://docs.google.com/spreadsheets/d/1fpsE_0655xguD48cGK6n1ZqSLnI-tw9aHzhbPM9kZ-k/edit#gid=0"", ""Monitoring Summary!F:F""),MATCH(D77,IMPORTRANGE(""https://docs.google.com/spreadsheets/d/1fpsE_0655xguD48cGK6n1ZqSLnI-tw9aHzhbP"&amp;"M9kZ-k/edit#gid=0"", ""Monitoring Summary!C:C""),0)),""Not Monitored"")"),"Not Monitored")</f>
        <v>Not Monitored</v>
      </c>
      <c r="AC77" s="264" t="str">
        <f t="shared" si="2"/>
        <v>Not Monitored</v>
      </c>
      <c r="AD77" s="750" t="s">
        <v>1248</v>
      </c>
      <c r="AE77" s="749" t="s">
        <v>1253</v>
      </c>
      <c r="AF77" s="749" t="s">
        <v>1065</v>
      </c>
      <c r="AG77" s="749" t="s">
        <v>1090</v>
      </c>
      <c r="AH77" s="749" t="s">
        <v>1115</v>
      </c>
      <c r="AI77" s="749" t="s">
        <v>1071</v>
      </c>
      <c r="AJ77" s="749" t="s">
        <v>1254</v>
      </c>
      <c r="AK77" s="749" t="s">
        <v>1198</v>
      </c>
      <c r="AL77" s="749"/>
      <c r="AM77" s="749"/>
      <c r="AN77" s="749"/>
      <c r="AO77" s="749"/>
      <c r="AP77" s="749"/>
      <c r="AQ77" s="749"/>
      <c r="AR77" s="749"/>
      <c r="AS77" s="749"/>
      <c r="AT77" s="749"/>
      <c r="AU77" s="749"/>
      <c r="AV77" s="749"/>
      <c r="AW77" s="749"/>
      <c r="AX77" s="749"/>
      <c r="AY77" s="749"/>
      <c r="AZ77" s="749"/>
      <c r="BA77" s="749"/>
      <c r="BB77" s="749"/>
      <c r="BC77" s="749"/>
      <c r="BD77" s="749"/>
      <c r="BE77" s="749"/>
      <c r="BF77" s="749"/>
      <c r="BG77" s="749"/>
      <c r="BH77" s="749"/>
      <c r="BI77" s="749"/>
      <c r="BJ77" s="749"/>
      <c r="BK77" s="749"/>
      <c r="BL77" s="749"/>
    </row>
    <row r="78">
      <c r="A78" s="805">
        <v>2022.0</v>
      </c>
      <c r="B78" s="845">
        <v>44719.0</v>
      </c>
      <c r="C78" s="805" t="s">
        <v>327</v>
      </c>
      <c r="D78" s="805" t="s">
        <v>1255</v>
      </c>
      <c r="E78" s="805" t="s">
        <v>170</v>
      </c>
      <c r="F78" s="805" t="s">
        <v>146</v>
      </c>
      <c r="G78" s="805" t="s">
        <v>89</v>
      </c>
      <c r="H78" s="805">
        <v>150.0</v>
      </c>
      <c r="I78" s="805" t="s">
        <v>1256</v>
      </c>
      <c r="J78" s="808">
        <v>24.54707</v>
      </c>
      <c r="K78" s="808">
        <v>-81.40179</v>
      </c>
      <c r="L78" s="800"/>
      <c r="M78" s="747">
        <v>44747.0</v>
      </c>
      <c r="N78" s="744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44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44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44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44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44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55"/>
      <c r="U78" s="746" t="str">
        <f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746" t="str">
        <f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746" t="str">
        <f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746" t="str">
        <f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799"/>
      <c r="Z78" s="800"/>
      <c r="AA78" s="262">
        <f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Monitored"")"),45309.0)</f>
        <v>45309</v>
      </c>
      <c r="AB78" s="263">
        <f>IFERROR(__xludf.DUMMYFUNCTION("IFERROR(INDEX(IMPORTRANGE(""https://docs.google.com/spreadsheets/d/1fpsE_0655xguD48cGK6n1ZqSLnI-tw9aHzhbPM9kZ-k/edit#gid=0"", ""Monitoring Summary!F:F""),MATCH(D78,IMPORTRANGE(""https://docs.google.com/spreadsheets/d/1fpsE_0655xguD48cGK6n1ZqSLnI-tw9aHzhbP"&amp;"M9kZ-k/edit#gid=0"", ""Monitoring Summary!C:C""),0)),""Not Monitored"")"),0.0)</f>
        <v>0</v>
      </c>
      <c r="AC78" s="264">
        <f t="shared" si="2"/>
        <v>0</v>
      </c>
      <c r="AD78" s="750" t="s">
        <v>987</v>
      </c>
      <c r="AE78" s="749" t="s">
        <v>1036</v>
      </c>
      <c r="AF78" s="749" t="s">
        <v>1010</v>
      </c>
      <c r="AG78" s="749" t="s">
        <v>990</v>
      </c>
      <c r="AH78" s="749" t="s">
        <v>1052</v>
      </c>
      <c r="AI78" s="749" t="s">
        <v>1087</v>
      </c>
      <c r="AJ78" s="749" t="s">
        <v>1123</v>
      </c>
      <c r="AK78" s="749" t="s">
        <v>1257</v>
      </c>
      <c r="AL78" s="749" t="s">
        <v>1228</v>
      </c>
      <c r="AM78" s="749" t="s">
        <v>1258</v>
      </c>
      <c r="AN78" s="749"/>
      <c r="AO78" s="749"/>
      <c r="AP78" s="749"/>
      <c r="AQ78" s="749"/>
      <c r="AR78" s="749"/>
      <c r="AS78" s="749"/>
      <c r="AT78" s="749"/>
      <c r="AU78" s="749"/>
      <c r="AV78" s="749"/>
      <c r="AW78" s="749"/>
      <c r="AX78" s="749"/>
      <c r="AY78" s="749"/>
      <c r="AZ78" s="749"/>
      <c r="BA78" s="749"/>
      <c r="BB78" s="749"/>
      <c r="BC78" s="749"/>
      <c r="BD78" s="749"/>
      <c r="BE78" s="749"/>
      <c r="BF78" s="749"/>
      <c r="BG78" s="749"/>
      <c r="BH78" s="749"/>
      <c r="BI78" s="749"/>
      <c r="BJ78" s="749"/>
      <c r="BK78" s="749"/>
      <c r="BL78" s="749"/>
    </row>
    <row r="79">
      <c r="A79" s="805">
        <v>2022.0</v>
      </c>
      <c r="B79" s="845">
        <v>44720.0</v>
      </c>
      <c r="C79" s="805" t="s">
        <v>172</v>
      </c>
      <c r="D79" s="805" t="s">
        <v>1259</v>
      </c>
      <c r="E79" s="805" t="s">
        <v>170</v>
      </c>
      <c r="F79" s="805" t="s">
        <v>146</v>
      </c>
      <c r="G79" s="805" t="s">
        <v>89</v>
      </c>
      <c r="H79" s="805">
        <v>150.0</v>
      </c>
      <c r="I79" s="805" t="s">
        <v>1260</v>
      </c>
      <c r="J79" s="808">
        <v>24.55354</v>
      </c>
      <c r="K79" s="808">
        <v>-81.3779</v>
      </c>
      <c r="L79" s="800"/>
      <c r="M79" s="747">
        <v>44747.0</v>
      </c>
      <c r="N79" s="744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44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44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44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44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44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55"/>
      <c r="U79" s="746" t="str">
        <f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746" t="str">
        <f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746" t="str">
        <f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746" t="str">
        <f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799"/>
      <c r="Z79" s="800"/>
      <c r="AA79" s="262">
        <f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Monitored"")"),45239.0)</f>
        <v>45239</v>
      </c>
      <c r="AB79" s="263">
        <f>IFERROR(__xludf.DUMMYFUNCTION("IFERROR(INDEX(IMPORTRANGE(""https://docs.google.com/spreadsheets/d/1fpsE_0655xguD48cGK6n1ZqSLnI-tw9aHzhbPM9kZ-k/edit#gid=0"", ""Monitoring Summary!F:F""),MATCH(D79,IMPORTRANGE(""https://docs.google.com/spreadsheets/d/1fpsE_0655xguD48cGK6n1ZqSLnI-tw9aHzhbP"&amp;"M9kZ-k/edit#gid=0"", ""Monitoring Summary!C:C""),0)),""Not Monitored"")"),0.0)</f>
        <v>0</v>
      </c>
      <c r="AC79" s="264">
        <f t="shared" si="2"/>
        <v>0</v>
      </c>
      <c r="AD79" s="750" t="s">
        <v>987</v>
      </c>
      <c r="AE79" s="749" t="s">
        <v>1036</v>
      </c>
      <c r="AF79" s="749" t="s">
        <v>1010</v>
      </c>
      <c r="AG79" s="749" t="s">
        <v>990</v>
      </c>
      <c r="AH79" s="749" t="s">
        <v>1052</v>
      </c>
      <c r="AI79" s="749" t="s">
        <v>1087</v>
      </c>
      <c r="AJ79" s="749" t="s">
        <v>1123</v>
      </c>
      <c r="AK79" s="749" t="s">
        <v>1257</v>
      </c>
      <c r="AL79" s="749" t="s">
        <v>1228</v>
      </c>
      <c r="AM79" s="749" t="s">
        <v>1258</v>
      </c>
      <c r="AN79" s="749"/>
      <c r="AO79" s="749"/>
      <c r="AP79" s="749"/>
      <c r="AQ79" s="749"/>
      <c r="AR79" s="749"/>
      <c r="AS79" s="749"/>
      <c r="AT79" s="749"/>
      <c r="AU79" s="749"/>
      <c r="AV79" s="749"/>
      <c r="AW79" s="749"/>
      <c r="AX79" s="749"/>
      <c r="AY79" s="749"/>
      <c r="AZ79" s="749"/>
      <c r="BA79" s="749"/>
      <c r="BB79" s="749"/>
      <c r="BC79" s="749"/>
      <c r="BD79" s="749"/>
      <c r="BE79" s="749"/>
      <c r="BF79" s="749"/>
      <c r="BG79" s="749"/>
      <c r="BH79" s="749"/>
      <c r="BI79" s="749"/>
      <c r="BJ79" s="749"/>
      <c r="BK79" s="749"/>
      <c r="BL79" s="749"/>
    </row>
    <row r="80">
      <c r="A80" s="805">
        <v>2022.0</v>
      </c>
      <c r="B80" s="845">
        <v>44723.0</v>
      </c>
      <c r="C80" s="805" t="s">
        <v>1240</v>
      </c>
      <c r="D80" s="805" t="s">
        <v>1261</v>
      </c>
      <c r="E80" s="805" t="s">
        <v>170</v>
      </c>
      <c r="F80" s="805" t="s">
        <v>161</v>
      </c>
      <c r="G80" s="805" t="s">
        <v>69</v>
      </c>
      <c r="H80" s="805">
        <v>1290.0</v>
      </c>
      <c r="I80" s="805" t="s">
        <v>1262</v>
      </c>
      <c r="J80" s="808">
        <v>24.48244</v>
      </c>
      <c r="K80" s="808">
        <v>-81.70432</v>
      </c>
      <c r="L80" s="800" t="s">
        <v>1042</v>
      </c>
      <c r="M80" s="821">
        <v>44762.0</v>
      </c>
      <c r="N80" s="744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44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44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44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44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44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745">
        <v>45048.0</v>
      </c>
      <c r="U80" s="746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746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746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746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799"/>
      <c r="Z80" s="800"/>
      <c r="AA80" s="262">
        <f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Monitored"")"),45257.0)</f>
        <v>45257</v>
      </c>
      <c r="AB80" s="263">
        <f>IFERROR(__xludf.DUMMYFUNCTION("IFERROR(INDEX(IMPORTRANGE(""https://docs.google.com/spreadsheets/d/1fpsE_0655xguD48cGK6n1ZqSLnI-tw9aHzhbPM9kZ-k/edit#gid=0"", ""Monitoring Summary!F:F""),MATCH(D80,IMPORTRANGE(""https://docs.google.com/spreadsheets/d/1fpsE_0655xguD48cGK6n1ZqSLnI-tw9aHzhbP"&amp;"M9kZ-k/edit#gid=0"", ""Monitoring Summary!C:C""),0)),""Not Monitored"")"),0.0)</f>
        <v>0</v>
      </c>
      <c r="AC80" s="264">
        <f t="shared" si="2"/>
        <v>0</v>
      </c>
      <c r="AD80" s="750" t="s">
        <v>1124</v>
      </c>
      <c r="AE80" s="749" t="s">
        <v>1123</v>
      </c>
      <c r="AF80" s="749" t="s">
        <v>1246</v>
      </c>
      <c r="AG80" s="749" t="s">
        <v>1198</v>
      </c>
      <c r="AH80" s="749" t="s">
        <v>1257</v>
      </c>
      <c r="AI80" s="749" t="s">
        <v>1263</v>
      </c>
      <c r="AJ80" s="749" t="s">
        <v>1227</v>
      </c>
      <c r="AK80" s="749" t="s">
        <v>1264</v>
      </c>
      <c r="AL80" s="749" t="s">
        <v>1229</v>
      </c>
      <c r="AM80" s="749" t="s">
        <v>1036</v>
      </c>
      <c r="AN80" s="749" t="s">
        <v>1265</v>
      </c>
      <c r="AO80" s="749" t="s">
        <v>1266</v>
      </c>
      <c r="AP80" s="749" t="s">
        <v>1267</v>
      </c>
      <c r="AQ80" s="749" t="s">
        <v>1009</v>
      </c>
      <c r="AR80" s="749" t="s">
        <v>1017</v>
      </c>
      <c r="AS80" s="749" t="s">
        <v>989</v>
      </c>
      <c r="AT80" s="749" t="s">
        <v>1019</v>
      </c>
      <c r="AU80" s="749" t="s">
        <v>1021</v>
      </c>
      <c r="AV80" s="749" t="s">
        <v>1084</v>
      </c>
      <c r="AW80" s="749" t="s">
        <v>1268</v>
      </c>
      <c r="AX80" s="749" t="s">
        <v>1093</v>
      </c>
      <c r="AY80" s="749" t="s">
        <v>1136</v>
      </c>
      <c r="AZ80" s="749" t="s">
        <v>1071</v>
      </c>
      <c r="BA80" s="749" t="s">
        <v>1063</v>
      </c>
      <c r="BB80" s="749"/>
      <c r="BC80" s="749"/>
      <c r="BD80" s="749"/>
      <c r="BE80" s="749"/>
      <c r="BF80" s="749"/>
      <c r="BG80" s="749"/>
      <c r="BH80" s="749"/>
      <c r="BI80" s="749"/>
      <c r="BJ80" s="749"/>
      <c r="BK80" s="749"/>
      <c r="BL80" s="749"/>
    </row>
    <row r="81">
      <c r="A81" s="752">
        <v>2022.0</v>
      </c>
      <c r="B81" s="801">
        <v>44729.0</v>
      </c>
      <c r="C81" s="752" t="s">
        <v>1240</v>
      </c>
      <c r="D81" s="752" t="s">
        <v>1269</v>
      </c>
      <c r="E81" s="752" t="s">
        <v>170</v>
      </c>
      <c r="F81" s="752" t="s">
        <v>161</v>
      </c>
      <c r="G81" s="752" t="s">
        <v>63</v>
      </c>
      <c r="H81" s="752">
        <v>725.0</v>
      </c>
      <c r="I81" s="752" t="s">
        <v>1270</v>
      </c>
      <c r="J81" s="772">
        <v>24.48244</v>
      </c>
      <c r="K81" s="772">
        <v>-81.70432</v>
      </c>
      <c r="L81" s="800" t="s">
        <v>1042</v>
      </c>
      <c r="M81" s="821">
        <v>44762.0</v>
      </c>
      <c r="N81" s="744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44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44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44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44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44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745">
        <v>45048.0</v>
      </c>
      <c r="U81" s="746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746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746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746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799"/>
      <c r="Z81" s="800"/>
      <c r="AA81" s="262">
        <f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Monitored"")"),45257.0)</f>
        <v>45257</v>
      </c>
      <c r="AB81" s="263">
        <f>IFERROR(__xludf.DUMMYFUNCTION("IFERROR(INDEX(IMPORTRANGE(""https://docs.google.com/spreadsheets/d/1fpsE_0655xguD48cGK6n1ZqSLnI-tw9aHzhbPM9kZ-k/edit#gid=0"", ""Monitoring Summary!F:F""),MATCH(D81,IMPORTRANGE(""https://docs.google.com/spreadsheets/d/1fpsE_0655xguD48cGK6n1ZqSLnI-tw9aHzhbP"&amp;"M9kZ-k/edit#gid=0"", ""Monitoring Summary!C:C""),0)),""Not Monitored"")"),0.0)</f>
        <v>0</v>
      </c>
      <c r="AC81" s="264">
        <f t="shared" si="2"/>
        <v>0</v>
      </c>
      <c r="AD81" s="750" t="s">
        <v>1021</v>
      </c>
      <c r="AE81" s="749" t="s">
        <v>990</v>
      </c>
      <c r="AF81" s="749" t="s">
        <v>1074</v>
      </c>
      <c r="AG81" s="749" t="s">
        <v>1131</v>
      </c>
      <c r="AH81" s="749" t="s">
        <v>1022</v>
      </c>
      <c r="AI81" s="749" t="s">
        <v>1271</v>
      </c>
      <c r="AJ81" s="749" t="s">
        <v>987</v>
      </c>
      <c r="AK81" s="749" t="s">
        <v>1071</v>
      </c>
      <c r="AL81" s="749" t="s">
        <v>1254</v>
      </c>
      <c r="AM81" s="749" t="s">
        <v>1089</v>
      </c>
      <c r="AN81" s="749" t="s">
        <v>1090</v>
      </c>
      <c r="AO81" s="749" t="s">
        <v>1044</v>
      </c>
      <c r="AP81" s="749" t="s">
        <v>1066</v>
      </c>
      <c r="AQ81" s="749" t="s">
        <v>1023</v>
      </c>
      <c r="AR81" s="749" t="s">
        <v>1253</v>
      </c>
      <c r="AS81" s="749" t="s">
        <v>1081</v>
      </c>
      <c r="AT81" s="749" t="s">
        <v>1083</v>
      </c>
      <c r="AU81" s="749" t="s">
        <v>1086</v>
      </c>
      <c r="AV81" s="749"/>
      <c r="AW81" s="749"/>
      <c r="AX81" s="749"/>
      <c r="AY81" s="749"/>
      <c r="AZ81" s="749"/>
      <c r="BA81" s="749"/>
      <c r="BB81" s="749"/>
      <c r="BC81" s="749"/>
      <c r="BD81" s="749"/>
      <c r="BE81" s="749"/>
      <c r="BF81" s="749"/>
      <c r="BG81" s="749"/>
      <c r="BH81" s="749"/>
      <c r="BI81" s="749"/>
      <c r="BJ81" s="749"/>
      <c r="BK81" s="749"/>
      <c r="BL81" s="749"/>
    </row>
    <row r="82">
      <c r="A82" s="837">
        <v>2022.0</v>
      </c>
      <c r="B82" s="848">
        <v>44736.0</v>
      </c>
      <c r="C82" s="837" t="s">
        <v>292</v>
      </c>
      <c r="D82" s="837" t="s">
        <v>1272</v>
      </c>
      <c r="E82" s="837" t="s">
        <v>170</v>
      </c>
      <c r="F82" s="837" t="s">
        <v>161</v>
      </c>
      <c r="G82" s="837" t="s">
        <v>71</v>
      </c>
      <c r="H82" s="837">
        <v>2014.0</v>
      </c>
      <c r="I82" s="837" t="s">
        <v>1273</v>
      </c>
      <c r="J82" s="840">
        <v>24.45928</v>
      </c>
      <c r="K82" s="840">
        <v>-81.84534</v>
      </c>
      <c r="L82" s="800"/>
      <c r="M82" s="841">
        <v>44785.0</v>
      </c>
      <c r="N82" s="744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44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44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44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44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44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842">
        <v>45105.0</v>
      </c>
      <c r="U82" s="746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746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746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746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799"/>
      <c r="Z82" s="800"/>
      <c r="AA82" s="262">
        <f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Monitored"")"),45239.0)</f>
        <v>45239</v>
      </c>
      <c r="AB82" s="263">
        <f>IFERROR(__xludf.DUMMYFUNCTION("IFERROR(INDEX(IMPORTRANGE(""https://docs.google.com/spreadsheets/d/1fpsE_0655xguD48cGK6n1ZqSLnI-tw9aHzhbPM9kZ-k/edit#gid=0"", ""Monitoring Summary!F:F""),MATCH(D82,IMPORTRANGE(""https://docs.google.com/spreadsheets/d/1fpsE_0655xguD48cGK6n1ZqSLnI-tw9aHzhbP"&amp;"M9kZ-k/edit#gid=0"", ""Monitoring Summary!C:C""),0)),""Not Monitored"")"),2.0)</f>
        <v>2</v>
      </c>
      <c r="AC82" s="264">
        <f t="shared" si="2"/>
        <v>0.0009930486594</v>
      </c>
      <c r="AD82" s="750" t="s">
        <v>1124</v>
      </c>
      <c r="AE82" s="749" t="s">
        <v>1123</v>
      </c>
      <c r="AF82" s="749" t="s">
        <v>1274</v>
      </c>
      <c r="AG82" s="749" t="s">
        <v>1126</v>
      </c>
      <c r="AH82" s="749" t="s">
        <v>1198</v>
      </c>
      <c r="AI82" s="749" t="s">
        <v>1257</v>
      </c>
      <c r="AJ82" s="749" t="s">
        <v>1223</v>
      </c>
      <c r="AK82" s="749" t="s">
        <v>1275</v>
      </c>
      <c r="AL82" s="749" t="s">
        <v>1044</v>
      </c>
      <c r="AM82" s="749" t="s">
        <v>1228</v>
      </c>
      <c r="AN82" s="749" t="s">
        <v>1276</v>
      </c>
      <c r="AO82" s="749" t="s">
        <v>1036</v>
      </c>
      <c r="AP82" s="749" t="s">
        <v>1265</v>
      </c>
      <c r="AQ82" s="749" t="s">
        <v>1258</v>
      </c>
      <c r="AR82" s="749" t="s">
        <v>1277</v>
      </c>
      <c r="AS82" s="749" t="s">
        <v>1236</v>
      </c>
      <c r="AT82" s="749" t="s">
        <v>1217</v>
      </c>
      <c r="AU82" s="749" t="s">
        <v>1248</v>
      </c>
      <c r="AV82" s="749" t="s">
        <v>1028</v>
      </c>
      <c r="AW82" s="749" t="s">
        <v>1018</v>
      </c>
      <c r="AX82" s="749" t="s">
        <v>1017</v>
      </c>
      <c r="AY82" s="749" t="s">
        <v>1010</v>
      </c>
      <c r="AZ82" s="749" t="s">
        <v>1003</v>
      </c>
      <c r="BA82" s="749" t="s">
        <v>989</v>
      </c>
      <c r="BB82" s="749" t="s">
        <v>1021</v>
      </c>
      <c r="BC82" s="749" t="s">
        <v>1019</v>
      </c>
      <c r="BD82" s="749" t="s">
        <v>1014</v>
      </c>
      <c r="BE82" s="749" t="s">
        <v>1052</v>
      </c>
      <c r="BF82" s="749" t="s">
        <v>1180</v>
      </c>
      <c r="BG82" s="749" t="s">
        <v>1022</v>
      </c>
      <c r="BH82" s="749" t="s">
        <v>987</v>
      </c>
      <c r="BI82" s="749" t="s">
        <v>1136</v>
      </c>
      <c r="BJ82" s="749" t="s">
        <v>1129</v>
      </c>
      <c r="BK82" s="749"/>
      <c r="BL82" s="749"/>
    </row>
    <row r="83">
      <c r="A83" s="837">
        <v>2022.0</v>
      </c>
      <c r="B83" s="848">
        <v>44742.0</v>
      </c>
      <c r="C83" s="837" t="s">
        <v>292</v>
      </c>
      <c r="D83" s="837" t="s">
        <v>1278</v>
      </c>
      <c r="E83" s="837" t="s">
        <v>170</v>
      </c>
      <c r="F83" s="837" t="s">
        <v>161</v>
      </c>
      <c r="G83" s="837" t="s">
        <v>60</v>
      </c>
      <c r="H83" s="837">
        <v>720.0</v>
      </c>
      <c r="I83" s="837" t="s">
        <v>1279</v>
      </c>
      <c r="J83" s="840">
        <v>24.45937</v>
      </c>
      <c r="K83" s="840">
        <v>-81.8454</v>
      </c>
      <c r="L83" s="800"/>
      <c r="M83" s="841">
        <v>44785.0</v>
      </c>
      <c r="N83" s="744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44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44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44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44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44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842">
        <v>45105.0</v>
      </c>
      <c r="U83" s="746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746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746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746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799"/>
      <c r="Z83" s="800"/>
      <c r="AA83" s="262">
        <f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Monitored"")"),45239.0)</f>
        <v>45239</v>
      </c>
      <c r="AB83" s="263">
        <f>IFERROR(__xludf.DUMMYFUNCTION("IFERROR(INDEX(IMPORTRANGE(""https://docs.google.com/spreadsheets/d/1fpsE_0655xguD48cGK6n1ZqSLnI-tw9aHzhbPM9kZ-k/edit#gid=0"", ""Monitoring Summary!F:F""),MATCH(D83,IMPORTRANGE(""https://docs.google.com/spreadsheets/d/1fpsE_0655xguD48cGK6n1ZqSLnI-tw9aHzhbP"&amp;"M9kZ-k/edit#gid=0"", ""Monitoring Summary!C:C""),0)),""Not Monitored"")"),0.0)</f>
        <v>0</v>
      </c>
      <c r="AC83" s="264">
        <f t="shared" si="2"/>
        <v>0</v>
      </c>
      <c r="AD83" s="750" t="s">
        <v>1123</v>
      </c>
      <c r="AE83" s="749" t="s">
        <v>1126</v>
      </c>
      <c r="AF83" s="749" t="s">
        <v>1280</v>
      </c>
      <c r="AG83" s="749" t="s">
        <v>1263</v>
      </c>
      <c r="AH83" s="749" t="s">
        <v>1281</v>
      </c>
      <c r="AI83" s="749" t="s">
        <v>1044</v>
      </c>
      <c r="AJ83" s="749" t="s">
        <v>1264</v>
      </c>
      <c r="AK83" s="749" t="s">
        <v>1036</v>
      </c>
      <c r="AL83" s="749" t="s">
        <v>1277</v>
      </c>
      <c r="AM83" s="749" t="s">
        <v>1217</v>
      </c>
      <c r="AN83" s="749" t="s">
        <v>1248</v>
      </c>
      <c r="AO83" s="749" t="s">
        <v>1003</v>
      </c>
      <c r="AP83" s="749" t="s">
        <v>1021</v>
      </c>
      <c r="AQ83" s="749" t="s">
        <v>990</v>
      </c>
      <c r="AR83" s="749"/>
      <c r="AS83" s="749"/>
      <c r="AT83" s="749"/>
      <c r="AU83" s="749"/>
      <c r="AV83" s="749"/>
      <c r="AW83" s="749"/>
      <c r="AX83" s="749"/>
      <c r="AY83" s="749"/>
      <c r="AZ83" s="749"/>
      <c r="BA83" s="749"/>
      <c r="BB83" s="749"/>
      <c r="BC83" s="749"/>
      <c r="BD83" s="749"/>
      <c r="BE83" s="749"/>
      <c r="BF83" s="749"/>
      <c r="BG83" s="749"/>
      <c r="BH83" s="749"/>
      <c r="BI83" s="749"/>
      <c r="BJ83" s="749"/>
      <c r="BK83" s="749"/>
      <c r="BL83" s="749"/>
    </row>
    <row r="84">
      <c r="A84" s="837">
        <v>2022.0</v>
      </c>
      <c r="B84" s="848">
        <v>44742.0</v>
      </c>
      <c r="C84" s="837" t="s">
        <v>292</v>
      </c>
      <c r="D84" s="837" t="s">
        <v>1282</v>
      </c>
      <c r="E84" s="837" t="s">
        <v>170</v>
      </c>
      <c r="F84" s="837" t="s">
        <v>161</v>
      </c>
      <c r="G84" s="837" t="s">
        <v>71</v>
      </c>
      <c r="H84" s="837">
        <v>446.0</v>
      </c>
      <c r="I84" s="837" t="s">
        <v>1283</v>
      </c>
      <c r="J84" s="840">
        <v>24.45937</v>
      </c>
      <c r="K84" s="840">
        <v>-81.8454</v>
      </c>
      <c r="L84" s="800"/>
      <c r="M84" s="841">
        <v>44785.0</v>
      </c>
      <c r="N84" s="744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44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44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44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44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44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842">
        <v>45105.0</v>
      </c>
      <c r="U84" s="746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746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746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746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799"/>
      <c r="Z84" s="800"/>
      <c r="AA84" s="262">
        <f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Monitored"")"),45239.0)</f>
        <v>45239</v>
      </c>
      <c r="AB84" s="263">
        <f>IFERROR(__xludf.DUMMYFUNCTION("IFERROR(INDEX(IMPORTRANGE(""https://docs.google.com/spreadsheets/d/1fpsE_0655xguD48cGK6n1ZqSLnI-tw9aHzhbPM9kZ-k/edit#gid=0"", ""Monitoring Summary!F:F""),MATCH(D84,IMPORTRANGE(""https://docs.google.com/spreadsheets/d/1fpsE_0655xguD48cGK6n1ZqSLnI-tw9aHzhbP"&amp;"M9kZ-k/edit#gid=0"", ""Monitoring Summary!C:C""),0)),""Not Monitored"")"),0.0)</f>
        <v>0</v>
      </c>
      <c r="AC84" s="264">
        <f t="shared" si="2"/>
        <v>0</v>
      </c>
      <c r="AD84" s="750" t="s">
        <v>990</v>
      </c>
      <c r="AE84" s="749" t="s">
        <v>1039</v>
      </c>
      <c r="AF84" s="749" t="s">
        <v>1032</v>
      </c>
      <c r="AG84" s="749" t="s">
        <v>1284</v>
      </c>
      <c r="AH84" s="749" t="s">
        <v>1285</v>
      </c>
      <c r="AI84" s="749" t="s">
        <v>1203</v>
      </c>
      <c r="AJ84" s="749" t="s">
        <v>1066</v>
      </c>
      <c r="AK84" s="749" t="s">
        <v>1089</v>
      </c>
      <c r="AL84" s="749"/>
      <c r="AM84" s="749"/>
      <c r="AN84" s="749"/>
      <c r="AO84" s="749"/>
      <c r="AP84" s="749"/>
      <c r="AQ84" s="749"/>
      <c r="AR84" s="749"/>
      <c r="AS84" s="749"/>
      <c r="AT84" s="749"/>
      <c r="AU84" s="749"/>
      <c r="AV84" s="749"/>
      <c r="AW84" s="749"/>
      <c r="AX84" s="749"/>
      <c r="AY84" s="749"/>
      <c r="AZ84" s="749"/>
      <c r="BA84" s="749"/>
      <c r="BB84" s="749"/>
      <c r="BC84" s="749"/>
      <c r="BD84" s="749"/>
      <c r="BE84" s="749"/>
      <c r="BF84" s="749"/>
      <c r="BG84" s="749"/>
      <c r="BH84" s="749"/>
      <c r="BI84" s="749"/>
      <c r="BJ84" s="749"/>
      <c r="BK84" s="749"/>
      <c r="BL84" s="749"/>
    </row>
    <row r="85">
      <c r="A85" s="837">
        <v>2022.0</v>
      </c>
      <c r="B85" s="848">
        <v>44859.0</v>
      </c>
      <c r="C85" s="837" t="s">
        <v>292</v>
      </c>
      <c r="D85" s="837" t="s">
        <v>1286</v>
      </c>
      <c r="E85" s="837" t="s">
        <v>170</v>
      </c>
      <c r="F85" s="837" t="s">
        <v>161</v>
      </c>
      <c r="G85" s="837" t="s">
        <v>71</v>
      </c>
      <c r="H85" s="837">
        <v>816.0</v>
      </c>
      <c r="I85" s="837" t="s">
        <v>1287</v>
      </c>
      <c r="J85" s="840">
        <v>24.46001</v>
      </c>
      <c r="K85" s="840">
        <v>-81.84313</v>
      </c>
      <c r="L85" s="800"/>
      <c r="M85" s="841">
        <v>44894.0</v>
      </c>
      <c r="N85" s="744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44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44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44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44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44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42">
        <v>45153.0</v>
      </c>
      <c r="U85" s="746">
        <f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stats!C:C""),0))"),0.007352941176470562)</f>
        <v>0.007352941176</v>
      </c>
      <c r="V85" s="746">
        <f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stats!C3:C""),0))))"),0.9926470588235294)</f>
        <v>0.9926470588</v>
      </c>
      <c r="W85" s="746">
        <f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stats!C3:C""),0)))"),0.0)</f>
        <v>0</v>
      </c>
      <c r="X85" s="746">
        <f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stats!C3:C""),0))"),0.004901960784313725)</f>
        <v>0.004901960784</v>
      </c>
      <c r="Y85" s="799"/>
      <c r="Z85" s="800"/>
      <c r="AA85" s="262">
        <f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Monitored"")"),45293.0)</f>
        <v>45293</v>
      </c>
      <c r="AB85" s="263">
        <f>IFERROR(__xludf.DUMMYFUNCTION("IFERROR(INDEX(IMPORTRANGE(""https://docs.google.com/spreadsheets/d/1fpsE_0655xguD48cGK6n1ZqSLnI-tw9aHzhbPM9kZ-k/edit#gid=0"", ""Monitoring Summary!F:F""),MATCH(D85,IMPORTRANGE(""https://docs.google.com/spreadsheets/d/1fpsE_0655xguD48cGK6n1ZqSLnI-tw9aHzhbP"&amp;"M9kZ-k/edit#gid=0"", ""Monitoring Summary!C:C""),0)),""Not Monitored"")"),0.0)</f>
        <v>0</v>
      </c>
      <c r="AC85" s="264">
        <f t="shared" si="2"/>
        <v>0</v>
      </c>
      <c r="AD85" s="750" t="s">
        <v>1063</v>
      </c>
      <c r="AE85" s="749" t="s">
        <v>1014</v>
      </c>
      <c r="AF85" s="749" t="s">
        <v>1225</v>
      </c>
      <c r="AG85" s="749" t="s">
        <v>987</v>
      </c>
      <c r="AH85" s="749" t="s">
        <v>1223</v>
      </c>
      <c r="AI85" s="749" t="s">
        <v>1236</v>
      </c>
      <c r="AJ85" s="749" t="s">
        <v>990</v>
      </c>
      <c r="AK85" s="749" t="s">
        <v>1018</v>
      </c>
      <c r="AL85" s="749" t="s">
        <v>1010</v>
      </c>
      <c r="AM85" s="749"/>
      <c r="AN85" s="749"/>
      <c r="AO85" s="749"/>
      <c r="AP85" s="749"/>
      <c r="AQ85" s="749"/>
      <c r="AR85" s="749"/>
      <c r="AS85" s="749"/>
      <c r="AT85" s="749"/>
      <c r="AU85" s="749"/>
      <c r="AV85" s="749"/>
      <c r="AW85" s="749"/>
      <c r="AX85" s="749"/>
      <c r="AY85" s="749"/>
      <c r="AZ85" s="749"/>
      <c r="BA85" s="749"/>
      <c r="BB85" s="749"/>
      <c r="BC85" s="749"/>
      <c r="BD85" s="749"/>
      <c r="BE85" s="749"/>
      <c r="BF85" s="749"/>
      <c r="BG85" s="749"/>
      <c r="BH85" s="749"/>
      <c r="BI85" s="749"/>
      <c r="BJ85" s="749"/>
      <c r="BK85" s="749"/>
      <c r="BL85" s="749"/>
    </row>
    <row r="86">
      <c r="A86" s="856">
        <v>2022.0</v>
      </c>
      <c r="B86" s="857">
        <v>44860.0</v>
      </c>
      <c r="C86" s="856" t="s">
        <v>172</v>
      </c>
      <c r="D86" s="856" t="s">
        <v>1288</v>
      </c>
      <c r="E86" s="856" t="s">
        <v>170</v>
      </c>
      <c r="F86" s="856" t="s">
        <v>146</v>
      </c>
      <c r="G86" s="856" t="s">
        <v>33</v>
      </c>
      <c r="H86" s="856">
        <v>334.0</v>
      </c>
      <c r="I86" s="856" t="s">
        <v>1289</v>
      </c>
      <c r="J86" s="858">
        <v>24.553272</v>
      </c>
      <c r="K86" s="858">
        <v>-81.37852</v>
      </c>
      <c r="L86" s="800" t="s">
        <v>1290</v>
      </c>
      <c r="M86" s="747">
        <v>44907.0</v>
      </c>
      <c r="N86" s="744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44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44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44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44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44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745">
        <v>45145.0</v>
      </c>
      <c r="U86" s="746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746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746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746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799"/>
      <c r="Z86" s="800"/>
      <c r="AA86" s="262">
        <f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Monitored"")"),45217.0)</f>
        <v>45217</v>
      </c>
      <c r="AB86" s="263">
        <f>IFERROR(__xludf.DUMMYFUNCTION("IFERROR(INDEX(IMPORTRANGE(""https://docs.google.com/spreadsheets/d/1fpsE_0655xguD48cGK6n1ZqSLnI-tw9aHzhbPM9kZ-k/edit#gid=0"", ""Monitoring Summary!F:F""),MATCH(D86,IMPORTRANGE(""https://docs.google.com/spreadsheets/d/1fpsE_0655xguD48cGK6n1ZqSLnI-tw9aHzhbP"&amp;"M9kZ-k/edit#gid=0"", ""Monitoring Summary!C:C""),0)),""Not Monitored"")"),2.0)</f>
        <v>2</v>
      </c>
      <c r="AC86" s="264">
        <f t="shared" si="2"/>
        <v>0.005988023952</v>
      </c>
      <c r="AD86" s="750" t="s">
        <v>1291</v>
      </c>
      <c r="AE86" s="749" t="s">
        <v>1292</v>
      </c>
      <c r="AF86" s="749" t="s">
        <v>1293</v>
      </c>
      <c r="AG86" s="749" t="s">
        <v>1294</v>
      </c>
      <c r="AH86" s="749" t="s">
        <v>1295</v>
      </c>
      <c r="AI86" s="749" t="s">
        <v>1296</v>
      </c>
      <c r="AJ86" s="749" t="s">
        <v>1297</v>
      </c>
      <c r="AK86" s="749" t="s">
        <v>1298</v>
      </c>
      <c r="AL86" s="749" t="s">
        <v>1299</v>
      </c>
      <c r="AM86" s="749" t="s">
        <v>1300</v>
      </c>
      <c r="AN86" s="749" t="s">
        <v>1301</v>
      </c>
      <c r="AO86" s="749"/>
      <c r="AP86" s="749"/>
      <c r="AQ86" s="749"/>
      <c r="AR86" s="749"/>
      <c r="AS86" s="749"/>
      <c r="AT86" s="749"/>
      <c r="AU86" s="749"/>
      <c r="AV86" s="749"/>
      <c r="AW86" s="749"/>
      <c r="AX86" s="749"/>
      <c r="AY86" s="749"/>
      <c r="AZ86" s="749"/>
      <c r="BA86" s="749"/>
      <c r="BB86" s="749"/>
      <c r="BC86" s="749"/>
      <c r="BD86" s="749"/>
      <c r="BE86" s="749"/>
      <c r="BF86" s="749"/>
      <c r="BG86" s="749"/>
      <c r="BH86" s="749"/>
      <c r="BI86" s="749"/>
      <c r="BJ86" s="749"/>
      <c r="BK86" s="749"/>
      <c r="BL86" s="749"/>
    </row>
    <row r="87">
      <c r="A87" s="837">
        <v>2022.0</v>
      </c>
      <c r="B87" s="848">
        <v>44880.0</v>
      </c>
      <c r="C87" s="837" t="s">
        <v>292</v>
      </c>
      <c r="D87" s="837" t="s">
        <v>1302</v>
      </c>
      <c r="E87" s="837" t="s">
        <v>170</v>
      </c>
      <c r="F87" s="837" t="s">
        <v>161</v>
      </c>
      <c r="G87" s="837" t="s">
        <v>71</v>
      </c>
      <c r="H87" s="837">
        <v>492.0</v>
      </c>
      <c r="I87" s="837" t="s">
        <v>1303</v>
      </c>
      <c r="J87" s="840">
        <v>24.45965</v>
      </c>
      <c r="K87" s="840">
        <v>-81.84384</v>
      </c>
      <c r="L87" s="800"/>
      <c r="M87" s="842">
        <v>44900.0</v>
      </c>
      <c r="N87" s="744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44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44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44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44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44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42">
        <v>45294.0</v>
      </c>
      <c r="U87" s="746">
        <f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stats!C:C""),0))"),0.0)</f>
        <v>0</v>
      </c>
      <c r="V87" s="746">
        <f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stats!C3:C""),0))))"),1.0)</f>
        <v>1</v>
      </c>
      <c r="W87" s="746">
        <f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stats!C3:C""),0)))"),0.0)</f>
        <v>0</v>
      </c>
      <c r="X87" s="746">
        <f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stats!C3:C""),0))"),0.0)</f>
        <v>0</v>
      </c>
      <c r="Y87" s="799"/>
      <c r="Z87" s="800"/>
      <c r="AA87" s="305">
        <f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Monitored"")"),45239.0)</f>
        <v>45239</v>
      </c>
      <c r="AB87" s="263">
        <f>IFERROR(__xludf.DUMMYFUNCTION("IFERROR(INDEX(IMPORTRANGE(""https://docs.google.com/spreadsheets/d/1fpsE_0655xguD48cGK6n1ZqSLnI-tw9aHzhbPM9kZ-k/edit#gid=0"", ""Monitoring Summary!F:F""),MATCH(D87,IMPORTRANGE(""https://docs.google.com/spreadsheets/d/1fpsE_0655xguD48cGK6n1ZqSLnI-tw9aHzhbP"&amp;"M9kZ-k/edit#gid=0"", ""Monitoring Summary!C:C""),0)),""Not Monitored"")"),0.0)</f>
        <v>0</v>
      </c>
      <c r="AC87" s="264">
        <f t="shared" si="2"/>
        <v>0</v>
      </c>
      <c r="AD87" s="750" t="s">
        <v>1014</v>
      </c>
      <c r="AE87" s="749" t="s">
        <v>1065</v>
      </c>
      <c r="AF87" s="749" t="s">
        <v>1248</v>
      </c>
      <c r="AG87" s="749" t="s">
        <v>1003</v>
      </c>
      <c r="AH87" s="749" t="s">
        <v>1123</v>
      </c>
      <c r="AI87" s="749" t="s">
        <v>1223</v>
      </c>
      <c r="AJ87" s="749" t="s">
        <v>1036</v>
      </c>
      <c r="AK87" s="749" t="s">
        <v>1018</v>
      </c>
      <c r="AL87" s="749" t="s">
        <v>990</v>
      </c>
      <c r="AM87" s="749" t="s">
        <v>1216</v>
      </c>
      <c r="AN87" s="749" t="s">
        <v>1199</v>
      </c>
      <c r="AO87" s="749" t="s">
        <v>1010</v>
      </c>
      <c r="AP87" s="749" t="s">
        <v>1236</v>
      </c>
      <c r="AQ87" s="749" t="s">
        <v>1136</v>
      </c>
      <c r="AR87" s="749" t="s">
        <v>1032</v>
      </c>
      <c r="AS87" s="749" t="s">
        <v>1285</v>
      </c>
      <c r="AT87" s="749" t="s">
        <v>1233</v>
      </c>
      <c r="AU87" s="749" t="s">
        <v>1263</v>
      </c>
      <c r="AV87" s="749" t="s">
        <v>1043</v>
      </c>
      <c r="AW87" s="749"/>
      <c r="AX87" s="749"/>
      <c r="AY87" s="749"/>
      <c r="AZ87" s="749"/>
      <c r="BA87" s="749"/>
      <c r="BB87" s="749"/>
      <c r="BC87" s="749"/>
      <c r="BD87" s="749"/>
      <c r="BE87" s="749"/>
      <c r="BF87" s="749"/>
      <c r="BG87" s="749"/>
      <c r="BH87" s="749"/>
      <c r="BI87" s="749"/>
      <c r="BJ87" s="749"/>
      <c r="BK87" s="749"/>
      <c r="BL87" s="749"/>
    </row>
    <row r="88">
      <c r="A88" s="837">
        <v>2022.0</v>
      </c>
      <c r="B88" s="848">
        <v>44900.0</v>
      </c>
      <c r="C88" s="837" t="s">
        <v>292</v>
      </c>
      <c r="D88" s="837" t="s">
        <v>1304</v>
      </c>
      <c r="E88" s="837" t="s">
        <v>170</v>
      </c>
      <c r="F88" s="837" t="s">
        <v>161</v>
      </c>
      <c r="G88" s="837" t="s">
        <v>71</v>
      </c>
      <c r="H88" s="837">
        <v>665.0</v>
      </c>
      <c r="I88" s="837" t="s">
        <v>1305</v>
      </c>
      <c r="J88" s="840">
        <v>24.45965</v>
      </c>
      <c r="K88" s="840">
        <v>-81.84384</v>
      </c>
      <c r="L88" s="800"/>
      <c r="M88" s="842">
        <v>44931.0</v>
      </c>
      <c r="N88" s="744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44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44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44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44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44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42">
        <v>45294.0</v>
      </c>
      <c r="U88" s="746">
        <f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stats!C:C""),0))"),0.0)</f>
        <v>0</v>
      </c>
      <c r="V88" s="746">
        <f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stats!C3:C""),0))))"),1.0)</f>
        <v>1</v>
      </c>
      <c r="W88" s="746">
        <f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stats!C3:C""),0)))"),0.0)</f>
        <v>0</v>
      </c>
      <c r="X88" s="746">
        <f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stats!C3:C""),0))"),0.0)</f>
        <v>0</v>
      </c>
      <c r="Y88" s="799"/>
      <c r="Z88" s="800"/>
      <c r="AA88" s="305">
        <f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Monitored"")"),45239.0)</f>
        <v>45239</v>
      </c>
      <c r="AB88" s="263">
        <f>IFERROR(__xludf.DUMMYFUNCTION("IFERROR(INDEX(IMPORTRANGE(""https://docs.google.com/spreadsheets/d/1fpsE_0655xguD48cGK6n1ZqSLnI-tw9aHzhbPM9kZ-k/edit#gid=0"", ""Monitoring Summary!F:F""),MATCH(D88,IMPORTRANGE(""https://docs.google.com/spreadsheets/d/1fpsE_0655xguD48cGK6n1ZqSLnI-tw9aHzhbP"&amp;"M9kZ-k/edit#gid=0"", ""Monitoring Summary!C:C""),0)),""Not Monitored"")"),0.0)</f>
        <v>0</v>
      </c>
      <c r="AC88" s="264">
        <f t="shared" si="2"/>
        <v>0</v>
      </c>
      <c r="AD88" s="750" t="s">
        <v>1020</v>
      </c>
      <c r="AE88" s="749" t="s">
        <v>1126</v>
      </c>
      <c r="AF88" s="749" t="s">
        <v>1236</v>
      </c>
      <c r="AG88" s="749" t="s">
        <v>1023</v>
      </c>
      <c r="AH88" s="749" t="s">
        <v>987</v>
      </c>
      <c r="AI88" s="749" t="s">
        <v>1258</v>
      </c>
      <c r="AJ88" s="749" t="s">
        <v>1039</v>
      </c>
      <c r="AK88" s="749" t="s">
        <v>1284</v>
      </c>
      <c r="AL88" s="749" t="s">
        <v>1176</v>
      </c>
      <c r="AM88" s="749"/>
      <c r="AN88" s="749"/>
      <c r="AO88" s="749"/>
      <c r="AP88" s="749"/>
      <c r="AQ88" s="749"/>
      <c r="AR88" s="749"/>
      <c r="AS88" s="749"/>
      <c r="AT88" s="749"/>
      <c r="AU88" s="749"/>
      <c r="AV88" s="749"/>
      <c r="AW88" s="749"/>
      <c r="AX88" s="749"/>
      <c r="AY88" s="749"/>
      <c r="AZ88" s="749"/>
      <c r="BA88" s="749"/>
      <c r="BB88" s="749"/>
      <c r="BC88" s="749"/>
      <c r="BD88" s="749"/>
      <c r="BE88" s="749"/>
      <c r="BF88" s="749"/>
      <c r="BG88" s="749"/>
      <c r="BH88" s="749"/>
      <c r="BI88" s="749"/>
      <c r="BJ88" s="749"/>
      <c r="BK88" s="749"/>
      <c r="BL88" s="749"/>
    </row>
    <row r="89">
      <c r="A89" s="752">
        <v>2022.0</v>
      </c>
      <c r="B89" s="801">
        <v>44911.0</v>
      </c>
      <c r="C89" s="752" t="s">
        <v>327</v>
      </c>
      <c r="D89" s="752" t="s">
        <v>1306</v>
      </c>
      <c r="E89" s="752" t="s">
        <v>170</v>
      </c>
      <c r="F89" s="752" t="s">
        <v>161</v>
      </c>
      <c r="G89" s="752" t="s">
        <v>73</v>
      </c>
      <c r="H89" s="752">
        <v>504.0</v>
      </c>
      <c r="I89" s="752" t="s">
        <v>1307</v>
      </c>
      <c r="J89" s="772">
        <v>24.54606</v>
      </c>
      <c r="K89" s="772">
        <v>-81.40639</v>
      </c>
      <c r="L89" s="800" t="s">
        <v>1308</v>
      </c>
      <c r="M89" s="747">
        <v>44938.0</v>
      </c>
      <c r="N89" s="744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44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44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44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44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44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745">
        <v>45295.0</v>
      </c>
      <c r="U89" s="746">
        <f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stats!C:C""),0))"),0.0)</f>
        <v>0</v>
      </c>
      <c r="V89" s="746">
        <f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stats!C3:C""),0))))"),1.0)</f>
        <v>1</v>
      </c>
      <c r="W89" s="746">
        <f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stats!C3:C""),0)))"),0.0)</f>
        <v>0</v>
      </c>
      <c r="X89" s="746">
        <f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stats!C3:C""),0))"),0.0)</f>
        <v>0</v>
      </c>
      <c r="Y89" s="799"/>
      <c r="Z89" s="800"/>
      <c r="AA89" s="262">
        <f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Monitored"")"),45295.0)</f>
        <v>45295</v>
      </c>
      <c r="AB89" s="263">
        <f>IFERROR(__xludf.DUMMYFUNCTION("IFERROR(INDEX(IMPORTRANGE(""https://docs.google.com/spreadsheets/d/1fpsE_0655xguD48cGK6n1ZqSLnI-tw9aHzhbPM9kZ-k/edit#gid=0"", ""Monitoring Summary!F:F""),MATCH(D89,IMPORTRANGE(""https://docs.google.com/spreadsheets/d/1fpsE_0655xguD48cGK6n1ZqSLnI-tw9aHzhbP"&amp;"M9kZ-k/edit#gid=0"", ""Monitoring Summary!C:C""),0)),""Not Monitored"")"),0.0)</f>
        <v>0</v>
      </c>
      <c r="AC89" s="264">
        <f t="shared" si="2"/>
        <v>0</v>
      </c>
      <c r="AD89" s="750" t="s">
        <v>1018</v>
      </c>
      <c r="AE89" s="749" t="s">
        <v>1059</v>
      </c>
      <c r="AF89" s="749" t="s">
        <v>987</v>
      </c>
      <c r="AG89" s="749" t="s">
        <v>990</v>
      </c>
      <c r="AH89" s="749" t="s">
        <v>1021</v>
      </c>
      <c r="AI89" s="749" t="s">
        <v>1094</v>
      </c>
      <c r="AJ89" s="749" t="s">
        <v>989</v>
      </c>
      <c r="AK89" s="749" t="s">
        <v>1011</v>
      </c>
      <c r="AL89" s="749"/>
      <c r="AM89" s="749"/>
      <c r="AN89" s="749"/>
      <c r="AO89" s="749"/>
      <c r="AP89" s="749"/>
      <c r="AQ89" s="749"/>
      <c r="AR89" s="749"/>
      <c r="AS89" s="749"/>
      <c r="AT89" s="749"/>
      <c r="AU89" s="749"/>
      <c r="AV89" s="749"/>
      <c r="AW89" s="749"/>
      <c r="AX89" s="749"/>
      <c r="AY89" s="749"/>
      <c r="AZ89" s="749"/>
      <c r="BA89" s="749"/>
      <c r="BB89" s="749"/>
      <c r="BC89" s="749"/>
      <c r="BD89" s="749"/>
      <c r="BE89" s="749"/>
      <c r="BF89" s="749"/>
      <c r="BG89" s="749"/>
      <c r="BH89" s="749"/>
      <c r="BI89" s="749"/>
      <c r="BJ89" s="749"/>
      <c r="BK89" s="749"/>
      <c r="BL89" s="749"/>
    </row>
    <row r="90">
      <c r="A90" s="776">
        <v>2022.0</v>
      </c>
      <c r="B90" s="859">
        <v>44916.0</v>
      </c>
      <c r="C90" s="776" t="s">
        <v>327</v>
      </c>
      <c r="D90" s="776" t="s">
        <v>1309</v>
      </c>
      <c r="E90" s="776" t="s">
        <v>170</v>
      </c>
      <c r="F90" s="776" t="s">
        <v>161</v>
      </c>
      <c r="G90" s="776" t="s">
        <v>73</v>
      </c>
      <c r="H90" s="776">
        <v>604.0</v>
      </c>
      <c r="I90" s="776" t="s">
        <v>1310</v>
      </c>
      <c r="J90" s="779">
        <v>24.54616</v>
      </c>
      <c r="K90" s="779">
        <v>-81.40645</v>
      </c>
      <c r="L90" s="803" t="s">
        <v>1308</v>
      </c>
      <c r="M90" s="853">
        <v>44938.0</v>
      </c>
      <c r="N90" s="782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82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82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82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82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82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783">
        <v>45295.0</v>
      </c>
      <c r="U90" s="784">
        <f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stats!C:C""),0))"),0.0)</f>
        <v>0</v>
      </c>
      <c r="V90" s="784">
        <f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stats!C3:C""),0))))"),1.0)</f>
        <v>1</v>
      </c>
      <c r="W90" s="784">
        <f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stats!C3:C""),0)))"),0.0)</f>
        <v>0</v>
      </c>
      <c r="X90" s="784">
        <f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stats!C3:C""),0))"),0.0)</f>
        <v>0</v>
      </c>
      <c r="Y90" s="804"/>
      <c r="Z90" s="803"/>
      <c r="AA90" s="262">
        <f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Monitored"")"),45295.0)</f>
        <v>45295</v>
      </c>
      <c r="AB90" s="263">
        <f>IFERROR(__xludf.DUMMYFUNCTION("IFERROR(INDEX(IMPORTRANGE(""https://docs.google.com/spreadsheets/d/1fpsE_0655xguD48cGK6n1ZqSLnI-tw9aHzhbPM9kZ-k/edit#gid=0"", ""Monitoring Summary!F:F""),MATCH(D90,IMPORTRANGE(""https://docs.google.com/spreadsheets/d/1fpsE_0655xguD48cGK6n1ZqSLnI-tw9aHzhbP"&amp;"M9kZ-k/edit#gid=0"", ""Monitoring Summary!C:C""),0)),""Not Monitored"")"),0.0)</f>
        <v>0</v>
      </c>
      <c r="AC90" s="264">
        <f t="shared" si="2"/>
        <v>0</v>
      </c>
      <c r="AD90" s="860" t="s">
        <v>1124</v>
      </c>
      <c r="AE90" s="787" t="s">
        <v>1123</v>
      </c>
      <c r="AF90" s="787" t="s">
        <v>1263</v>
      </c>
      <c r="AG90" s="787" t="s">
        <v>1224</v>
      </c>
      <c r="AH90" s="787" t="s">
        <v>1036</v>
      </c>
      <c r="AI90" s="787" t="s">
        <v>1217</v>
      </c>
      <c r="AJ90" s="787" t="s">
        <v>1266</v>
      </c>
      <c r="AK90" s="787" t="s">
        <v>1028</v>
      </c>
      <c r="AL90" s="787" t="s">
        <v>1017</v>
      </c>
      <c r="AM90" s="787" t="s">
        <v>1176</v>
      </c>
      <c r="AN90" s="787" t="s">
        <v>1058</v>
      </c>
      <c r="AO90" s="787" t="s">
        <v>986</v>
      </c>
      <c r="AP90" s="787" t="s">
        <v>1080</v>
      </c>
      <c r="AQ90" s="787" t="s">
        <v>1088</v>
      </c>
      <c r="AR90" s="787" t="s">
        <v>1023</v>
      </c>
      <c r="AS90" s="787" t="s">
        <v>1091</v>
      </c>
      <c r="AT90" s="787" t="s">
        <v>1090</v>
      </c>
      <c r="AU90" s="787" t="s">
        <v>1081</v>
      </c>
      <c r="AV90" s="787" t="s">
        <v>1083</v>
      </c>
      <c r="AW90" s="787" t="s">
        <v>1086</v>
      </c>
      <c r="AX90" s="787" t="s">
        <v>1128</v>
      </c>
      <c r="AY90" s="787" t="s">
        <v>1129</v>
      </c>
      <c r="AZ90" s="787" t="s">
        <v>1225</v>
      </c>
      <c r="BA90" s="787" t="s">
        <v>1032</v>
      </c>
      <c r="BB90" s="787"/>
      <c r="BC90" s="787"/>
      <c r="BD90" s="787"/>
      <c r="BE90" s="787"/>
      <c r="BF90" s="787"/>
      <c r="BG90" s="787"/>
      <c r="BH90" s="787"/>
      <c r="BI90" s="787"/>
      <c r="BJ90" s="787"/>
      <c r="BK90" s="787"/>
      <c r="BL90" s="787"/>
    </row>
    <row r="91">
      <c r="A91" s="837">
        <v>2023.0</v>
      </c>
      <c r="B91" s="848">
        <v>44935.0</v>
      </c>
      <c r="C91" s="837" t="s">
        <v>292</v>
      </c>
      <c r="D91" s="837" t="s">
        <v>1311</v>
      </c>
      <c r="E91" s="837" t="s">
        <v>170</v>
      </c>
      <c r="F91" s="837" t="s">
        <v>161</v>
      </c>
      <c r="G91" s="837" t="s">
        <v>92</v>
      </c>
      <c r="H91" s="837">
        <v>1001.0</v>
      </c>
      <c r="I91" s="837" t="s">
        <v>1312</v>
      </c>
      <c r="J91" s="840">
        <v>24.4595</v>
      </c>
      <c r="K91" s="840">
        <v>-81.84419</v>
      </c>
      <c r="L91" s="800"/>
      <c r="M91" s="842">
        <v>44971.0</v>
      </c>
      <c r="N91" s="744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44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44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44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44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44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42">
        <v>45239.0</v>
      </c>
      <c r="U91" s="746">
        <f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stats!C:C""),0))"),0.0)</f>
        <v>0</v>
      </c>
      <c r="V91" s="746">
        <f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stats!C3:C""),0))))"),1.0)</f>
        <v>1</v>
      </c>
      <c r="W91" s="746">
        <f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stats!C3:C""),0)))"),0.0)</f>
        <v>0</v>
      </c>
      <c r="X91" s="746">
        <f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stats!C3:C""),0))"),0.0)</f>
        <v>0</v>
      </c>
      <c r="Y91" s="799"/>
      <c r="Z91" s="800"/>
      <c r="AA91" s="262">
        <f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Monitored"")"),45239.0)</f>
        <v>45239</v>
      </c>
      <c r="AB91" s="263">
        <f>IFERROR(__xludf.DUMMYFUNCTION("IFERROR(INDEX(IMPORTRANGE(""https://docs.google.com/spreadsheets/d/1fpsE_0655xguD48cGK6n1ZqSLnI-tw9aHzhbPM9kZ-k/edit#gid=0"", ""Monitoring Summary!F:F""),MATCH(D91,IMPORTRANGE(""https://docs.google.com/spreadsheets/d/1fpsE_0655xguD48cGK6n1ZqSLnI-tw9aHzhbP"&amp;"M9kZ-k/edit#gid=0"", ""Monitoring Summary!C:C""),0)),""Not Monitored"")"),0.0)</f>
        <v>0</v>
      </c>
      <c r="AC91" s="264">
        <f t="shared" si="2"/>
        <v>0</v>
      </c>
      <c r="AD91" s="750" t="str">
        <f>IFERROR(__xludf.DUMMYFUNCTION("TRANSPOSE(UNIQUE(INDEX(IMPORTRANGE(""https://docs.google.com/spreadsheets/d/1ixi8AjcKNNtDbvFdgSBtBV5c4FLMdnAD8yjARP1kjeA/edit#gid=402952771"", D91),,9)))"),"AP10")</f>
        <v>AP10</v>
      </c>
      <c r="AE91" s="749" t="str">
        <f>IFERROR(__xludf.DUMMYFUNCTION("""COMPUTED_VALUE"""),"AP100")</f>
        <v>AP100</v>
      </c>
      <c r="AF91" s="749" t="str">
        <f>IFERROR(__xludf.DUMMYFUNCTION("""COMPUTED_VALUE"""),"AP122")</f>
        <v>AP122</v>
      </c>
      <c r="AG91" s="749" t="str">
        <f>IFERROR(__xludf.DUMMYFUNCTION("""COMPUTED_VALUE"""),"AP138")</f>
        <v>AP138</v>
      </c>
      <c r="AH91" s="749" t="str">
        <f>IFERROR(__xludf.DUMMYFUNCTION("""COMPUTED_VALUE"""),"AP140")</f>
        <v>AP140</v>
      </c>
      <c r="AI91" s="749" t="str">
        <f>IFERROR(__xludf.DUMMYFUNCTION("""COMPUTED_VALUE"""),"AP15")</f>
        <v>AP15</v>
      </c>
      <c r="AJ91" s="749" t="str">
        <f>IFERROR(__xludf.DUMMYFUNCTION("""COMPUTED_VALUE"""),"AP2")</f>
        <v>AP2</v>
      </c>
      <c r="AK91" s="749" t="str">
        <f>IFERROR(__xludf.DUMMYFUNCTION("""COMPUTED_VALUE"""),"AP22")</f>
        <v>AP22</v>
      </c>
      <c r="AL91" s="749" t="str">
        <f>IFERROR(__xludf.DUMMYFUNCTION("""COMPUTED_VALUE"""),"AP23")</f>
        <v>AP23</v>
      </c>
      <c r="AM91" s="749" t="str">
        <f>IFERROR(__xludf.DUMMYFUNCTION("""COMPUTED_VALUE"""),"AP27")</f>
        <v>AP27</v>
      </c>
      <c r="AN91" s="749" t="str">
        <f>IFERROR(__xludf.DUMMYFUNCTION("""COMPUTED_VALUE"""),"AP30")</f>
        <v>AP30</v>
      </c>
      <c r="AO91" s="749" t="str">
        <f>IFERROR(__xludf.DUMMYFUNCTION("""COMPUTED_VALUE"""),"AP309")</f>
        <v>AP309</v>
      </c>
      <c r="AP91" s="749" t="str">
        <f>IFERROR(__xludf.DUMMYFUNCTION("""COMPUTED_VALUE"""),"AP34")</f>
        <v>AP34</v>
      </c>
      <c r="AQ91" s="749" t="str">
        <f>IFERROR(__xludf.DUMMYFUNCTION("""COMPUTED_VALUE"""),"AP36")</f>
        <v>AP36</v>
      </c>
      <c r="AR91" s="749" t="str">
        <f>IFERROR(__xludf.DUMMYFUNCTION("""COMPUTED_VALUE"""),"AP53")</f>
        <v>AP53</v>
      </c>
      <c r="AS91" s="749" t="str">
        <f>IFERROR(__xludf.DUMMYFUNCTION("""COMPUTED_VALUE"""),"AP57")</f>
        <v>AP57</v>
      </c>
      <c r="AT91" s="749" t="str">
        <f>IFERROR(__xludf.DUMMYFUNCTION("""COMPUTED_VALUE"""),"AP63")</f>
        <v>AP63</v>
      </c>
      <c r="AU91" s="749" t="str">
        <f>IFERROR(__xludf.DUMMYFUNCTION("""COMPUTED_VALUE"""),"AP67")</f>
        <v>AP67</v>
      </c>
      <c r="AV91" s="749" t="str">
        <f>IFERROR(__xludf.DUMMYFUNCTION("""COMPUTED_VALUE"""),"AP79")</f>
        <v>AP79</v>
      </c>
      <c r="AW91" s="749" t="str">
        <f>IFERROR(__xludf.DUMMYFUNCTION("""COMPUTED_VALUE"""),"AP86")</f>
        <v>AP86</v>
      </c>
      <c r="AX91" s="749" t="str">
        <f>IFERROR(__xludf.DUMMYFUNCTION("""COMPUTED_VALUE"""),"AP90")</f>
        <v>AP90</v>
      </c>
      <c r="AY91" s="749" t="str">
        <f>IFERROR(__xludf.DUMMYFUNCTION("""COMPUTED_VALUE"""),"AP92")</f>
        <v>AP92</v>
      </c>
      <c r="AZ91" s="749" t="str">
        <f>IFERROR(__xludf.DUMMYFUNCTION("""COMPUTED_VALUE"""),"AP94")</f>
        <v>AP94</v>
      </c>
      <c r="BA91" s="749" t="str">
        <f>IFERROR(__xludf.DUMMYFUNCTION("""COMPUTED_VALUE"""),"AP95")</f>
        <v>AP95</v>
      </c>
      <c r="BB91" s="749" t="str">
        <f>IFERROR(__xludf.DUMMYFUNCTION("""COMPUTED_VALUE"""),"AP6")</f>
        <v>AP6</v>
      </c>
      <c r="BC91" s="749" t="str">
        <f>IFERROR(__xludf.DUMMYFUNCTION("""COMPUTED_VALUE"""),"AP74")</f>
        <v>AP74</v>
      </c>
      <c r="BD91" s="749" t="str">
        <f>IFERROR(__xludf.DUMMYFUNCTION("""COMPUTED_VALUE"""),"AP249")</f>
        <v>AP249</v>
      </c>
      <c r="BE91" s="749" t="str">
        <f>IFERROR(__xludf.DUMMYFUNCTION("""COMPUTED_VALUE"""),"AP89")</f>
        <v>AP89</v>
      </c>
      <c r="BF91" s="749"/>
      <c r="BG91" s="749"/>
      <c r="BH91" s="749"/>
      <c r="BI91" s="749"/>
      <c r="BJ91" s="749"/>
      <c r="BK91" s="749"/>
      <c r="BL91" s="749"/>
    </row>
    <row r="92">
      <c r="A92" s="837">
        <v>2023.0</v>
      </c>
      <c r="B92" s="848">
        <v>44937.0</v>
      </c>
      <c r="C92" s="837" t="s">
        <v>292</v>
      </c>
      <c r="D92" s="837" t="s">
        <v>1313</v>
      </c>
      <c r="E92" s="837" t="s">
        <v>170</v>
      </c>
      <c r="F92" s="837" t="s">
        <v>161</v>
      </c>
      <c r="G92" s="837" t="s">
        <v>71</v>
      </c>
      <c r="H92" s="837">
        <v>480.0</v>
      </c>
      <c r="I92" s="837" t="s">
        <v>1314</v>
      </c>
      <c r="J92" s="840">
        <v>24.45933</v>
      </c>
      <c r="K92" s="840">
        <v>-81.84451</v>
      </c>
      <c r="L92" s="800"/>
      <c r="M92" s="842">
        <v>44971.0</v>
      </c>
      <c r="N92" s="744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44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44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44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44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44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42">
        <v>45293.0</v>
      </c>
      <c r="U92" s="746">
        <f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stats!C:C""),0))"),0.0)</f>
        <v>0</v>
      </c>
      <c r="V92" s="746">
        <f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stats!C3:C""),0))))"),1.0)</f>
        <v>1</v>
      </c>
      <c r="W92" s="746">
        <f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stats!C3:C""),0)))"),0.0)</f>
        <v>0</v>
      </c>
      <c r="X92" s="746">
        <f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stats!C3:C""),0))"),0.0)</f>
        <v>0</v>
      </c>
      <c r="Y92" s="799"/>
      <c r="Z92" s="800"/>
      <c r="AA92" s="305">
        <f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Monitored"")"),45293.0)</f>
        <v>45293</v>
      </c>
      <c r="AB92" s="263">
        <f>IFERROR(__xludf.DUMMYFUNCTION("IFERROR(INDEX(IMPORTRANGE(""https://docs.google.com/spreadsheets/d/1fpsE_0655xguD48cGK6n1ZqSLnI-tw9aHzhbPM9kZ-k/edit#gid=0"", ""Monitoring Summary!F:F""),MATCH(D92,IMPORTRANGE(""https://docs.google.com/spreadsheets/d/1fpsE_0655xguD48cGK6n1ZqSLnI-tw9aHzhbP"&amp;"M9kZ-k/edit#gid=0"", ""Monitoring Summary!C:C""),0)),""Not Monitored"")"),0.0)</f>
        <v>0</v>
      </c>
      <c r="AC92" s="264">
        <f t="shared" si="2"/>
        <v>0</v>
      </c>
      <c r="AD92" s="750" t="str">
        <f>IFERROR(__xludf.DUMMYFUNCTION("TRANSPOSE(UNIQUE(INDEX(IMPORTRANGE(""https://docs.google.com/spreadsheets/d/1ixi8AjcKNNtDbvFdgSBtBV5c4FLMdnAD8yjARP1kjeA/edit#gid=402952771"", D92),,9)))"),"AP114")</f>
        <v>AP114</v>
      </c>
      <c r="AE92" s="749" t="str">
        <f>IFERROR(__xludf.DUMMYFUNCTION("""COMPUTED_VALUE"""),"AP120")</f>
        <v>AP120</v>
      </c>
      <c r="AF92" s="749" t="str">
        <f>IFERROR(__xludf.DUMMYFUNCTION("""COMPUTED_VALUE"""),"AP2")</f>
        <v>AP2</v>
      </c>
      <c r="AG92" s="749" t="str">
        <f>IFERROR(__xludf.DUMMYFUNCTION("""COMPUTED_VALUE"""),"AP3")</f>
        <v>AP3</v>
      </c>
      <c r="AH92" s="749" t="str">
        <f>IFERROR(__xludf.DUMMYFUNCTION("""COMPUTED_VALUE"""),"AP36")</f>
        <v>AP36</v>
      </c>
      <c r="AI92" s="749" t="str">
        <f>IFERROR(__xludf.DUMMYFUNCTION("""COMPUTED_VALUE"""),"AP62")</f>
        <v>AP62</v>
      </c>
      <c r="AJ92" s="749" t="str">
        <f>IFERROR(__xludf.DUMMYFUNCTION("""COMPUTED_VALUE"""),"AP78")</f>
        <v>AP78</v>
      </c>
      <c r="AK92" s="749" t="str">
        <f>IFERROR(__xludf.DUMMYFUNCTION("""COMPUTED_VALUE"""),"AP112")</f>
        <v>AP112</v>
      </c>
      <c r="AL92" s="749" t="str">
        <f>IFERROR(__xludf.DUMMYFUNCTION("""COMPUTED_VALUE"""),"AP17")</f>
        <v>AP17</v>
      </c>
      <c r="AM92" s="749" t="str">
        <f>IFERROR(__xludf.DUMMYFUNCTION("""COMPUTED_VALUE"""),"AP20")</f>
        <v>AP20</v>
      </c>
      <c r="AN92" s="749" t="str">
        <f>IFERROR(__xludf.DUMMYFUNCTION("""COMPUTED_VALUE"""),"AP135")</f>
        <v>AP135</v>
      </c>
      <c r="AO92" s="749" t="str">
        <f>IFERROR(__xludf.DUMMYFUNCTION("""COMPUTED_VALUE"""),"AP19")</f>
        <v>AP19</v>
      </c>
      <c r="AP92" s="749" t="str">
        <f>IFERROR(__xludf.DUMMYFUNCTION("""COMPUTED_VALUE"""),"AP101")</f>
        <v>AP101</v>
      </c>
      <c r="AQ92" s="749" t="str">
        <f>IFERROR(__xludf.DUMMYFUNCTION("""COMPUTED_VALUE"""),"AP110")</f>
        <v>AP110</v>
      </c>
      <c r="AR92" s="749" t="str">
        <f>IFERROR(__xludf.DUMMYFUNCTION("""COMPUTED_VALUE"""),"AP82")</f>
        <v>AP82</v>
      </c>
      <c r="AS92" s="749" t="str">
        <f>IFERROR(__xludf.DUMMYFUNCTION("""COMPUTED_VALUE"""),"AP84")</f>
        <v>AP84</v>
      </c>
      <c r="AT92" s="749" t="str">
        <f>IFERROR(__xludf.DUMMYFUNCTION("""COMPUTED_VALUE"""),"AP91")</f>
        <v>AP91</v>
      </c>
      <c r="AU92" s="749" t="str">
        <f>IFERROR(__xludf.DUMMYFUNCTION("""COMPUTED_VALUE"""),"AP144")</f>
        <v>AP144</v>
      </c>
      <c r="AV92" s="749" t="str">
        <f>IFERROR(__xludf.DUMMYFUNCTION("""COMPUTED_VALUE"""),"AP23")</f>
        <v>AP23</v>
      </c>
      <c r="AW92" s="749" t="str">
        <f>IFERROR(__xludf.DUMMYFUNCTION("""COMPUTED_VALUE"""),"AP87")</f>
        <v>AP87</v>
      </c>
      <c r="AX92" s="749" t="str">
        <f>IFERROR(__xludf.DUMMYFUNCTION("""COMPUTED_VALUE"""),"AP96")</f>
        <v>AP96</v>
      </c>
      <c r="AY92" s="749"/>
      <c r="AZ92" s="749"/>
      <c r="BA92" s="749"/>
      <c r="BB92" s="749"/>
      <c r="BC92" s="749"/>
      <c r="BD92" s="749"/>
      <c r="BE92" s="749"/>
      <c r="BF92" s="749"/>
      <c r="BG92" s="749"/>
      <c r="BH92" s="749"/>
      <c r="BI92" s="749"/>
      <c r="BJ92" s="749"/>
      <c r="BK92" s="749"/>
      <c r="BL92" s="749"/>
    </row>
    <row r="93">
      <c r="A93" s="837">
        <v>2023.0</v>
      </c>
      <c r="B93" s="848">
        <v>44937.0</v>
      </c>
      <c r="C93" s="837" t="s">
        <v>292</v>
      </c>
      <c r="D93" s="837" t="s">
        <v>1315</v>
      </c>
      <c r="E93" s="837" t="s">
        <v>170</v>
      </c>
      <c r="F93" s="837" t="s">
        <v>161</v>
      </c>
      <c r="G93" s="837" t="s">
        <v>92</v>
      </c>
      <c r="H93" s="837">
        <v>500.0</v>
      </c>
      <c r="I93" s="837" t="s">
        <v>1316</v>
      </c>
      <c r="J93" s="840">
        <v>24.45933</v>
      </c>
      <c r="K93" s="840">
        <v>-81.84451</v>
      </c>
      <c r="L93" s="800"/>
      <c r="M93" s="842">
        <v>44971.0</v>
      </c>
      <c r="N93" s="744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44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44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44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44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44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42">
        <v>45293.0</v>
      </c>
      <c r="U93" s="746">
        <f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stats!C:C""),0))"),0.0)</f>
        <v>0</v>
      </c>
      <c r="V93" s="746">
        <f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stats!C3:C""),0))))"),0.996)</f>
        <v>0.996</v>
      </c>
      <c r="W93" s="746">
        <f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stats!C3:C""),0)))"),0.004)</f>
        <v>0.004</v>
      </c>
      <c r="X93" s="746">
        <f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stats!C3:C""),0))"),0.008)</f>
        <v>0.008</v>
      </c>
      <c r="Y93" s="799"/>
      <c r="Z93" s="800"/>
      <c r="AA93" s="305">
        <f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Monitored"")"),45293.0)</f>
        <v>45293</v>
      </c>
      <c r="AB93" s="263">
        <f>IFERROR(__xludf.DUMMYFUNCTION("IFERROR(INDEX(IMPORTRANGE(""https://docs.google.com/spreadsheets/d/1fpsE_0655xguD48cGK6n1ZqSLnI-tw9aHzhbPM9kZ-k/edit#gid=0"", ""Monitoring Summary!F:F""),MATCH(D93,IMPORTRANGE(""https://docs.google.com/spreadsheets/d/1fpsE_0655xguD48cGK6n1ZqSLnI-tw9aHzhbP"&amp;"M9kZ-k/edit#gid=0"", ""Monitoring Summary!C:C""),0)),""Not Monitored"")"),1.0)</f>
        <v>1</v>
      </c>
      <c r="AC93" s="264">
        <f t="shared" si="2"/>
        <v>0.002</v>
      </c>
      <c r="AD93" s="750" t="str">
        <f>IFERROR(__xludf.DUMMYFUNCTION("TRANSPOSE(UNIQUE(INDEX(IMPORTRANGE(""https://docs.google.com/spreadsheets/d/1ixi8AjcKNNtDbvFdgSBtBV5c4FLMdnAD8yjARP1kjeA/edit#gid=402952771"", D93),,9)))"),"AP96")</f>
        <v>AP96</v>
      </c>
      <c r="AE93" s="749" t="str">
        <f>IFERROR(__xludf.DUMMYFUNCTION("""COMPUTED_VALUE"""),"AP67")</f>
        <v>AP67</v>
      </c>
      <c r="AF93" s="749" t="str">
        <f>IFERROR(__xludf.DUMMYFUNCTION("""COMPUTED_VALUE"""),"AP75")</f>
        <v>AP75</v>
      </c>
      <c r="AG93" s="749" t="str">
        <f>IFERROR(__xludf.DUMMYFUNCTION("""COMPUTED_VALUE"""),"AP65")</f>
        <v>AP65</v>
      </c>
      <c r="AH93" s="749" t="str">
        <f>IFERROR(__xludf.DUMMYFUNCTION("""COMPUTED_VALUE"""),"AP68")</f>
        <v>AP68</v>
      </c>
      <c r="AI93" s="749" t="str">
        <f>IFERROR(__xludf.DUMMYFUNCTION("""COMPUTED_VALUE"""),"AP131")</f>
        <v>AP131</v>
      </c>
      <c r="AJ93" s="749" t="str">
        <f>IFERROR(__xludf.DUMMYFUNCTION("""COMPUTED_VALUE"""),"AP14")</f>
        <v>AP14</v>
      </c>
      <c r="AK93" s="749"/>
      <c r="AL93" s="749"/>
      <c r="AM93" s="749"/>
      <c r="AN93" s="749"/>
      <c r="AO93" s="749"/>
      <c r="AP93" s="749"/>
      <c r="AQ93" s="749"/>
      <c r="AR93" s="749"/>
      <c r="AS93" s="749"/>
      <c r="AT93" s="749"/>
      <c r="AU93" s="749"/>
      <c r="AV93" s="749"/>
      <c r="AW93" s="749"/>
      <c r="AX93" s="749"/>
      <c r="AY93" s="749"/>
      <c r="AZ93" s="749"/>
      <c r="BA93" s="749"/>
      <c r="BB93" s="749"/>
      <c r="BC93" s="749"/>
      <c r="BD93" s="749"/>
      <c r="BE93" s="749"/>
      <c r="BF93" s="749"/>
      <c r="BG93" s="749"/>
      <c r="BH93" s="749"/>
      <c r="BI93" s="749"/>
      <c r="BJ93" s="749"/>
      <c r="BK93" s="749"/>
      <c r="BL93" s="749"/>
    </row>
    <row r="94">
      <c r="A94" s="799">
        <v>2023.0</v>
      </c>
      <c r="B94" s="747">
        <v>44960.0</v>
      </c>
      <c r="C94" s="799" t="s">
        <v>1240</v>
      </c>
      <c r="D94" s="799" t="s">
        <v>1317</v>
      </c>
      <c r="E94" s="799" t="s">
        <v>170</v>
      </c>
      <c r="F94" s="799" t="s">
        <v>146</v>
      </c>
      <c r="G94" s="799" t="s">
        <v>87</v>
      </c>
      <c r="H94" s="799">
        <v>828.0</v>
      </c>
      <c r="I94" s="799" t="s">
        <v>1318</v>
      </c>
      <c r="J94" s="861">
        <v>24.48266</v>
      </c>
      <c r="K94" s="861">
        <v>-81.70545</v>
      </c>
      <c r="L94" s="800"/>
      <c r="M94" s="747">
        <v>44985.0</v>
      </c>
      <c r="N94" s="744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44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44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44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44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44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55"/>
      <c r="U94" s="746" t="str">
        <f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746" t="str">
        <f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746" t="str">
        <f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746" t="str">
        <f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799"/>
      <c r="Z94" s="800"/>
      <c r="AA94" s="262">
        <f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Monitored"")"),45257.0)</f>
        <v>45257</v>
      </c>
      <c r="AB94" s="263">
        <f>IFERROR(__xludf.DUMMYFUNCTION("IFERROR(INDEX(IMPORTRANGE(""https://docs.google.com/spreadsheets/d/1fpsE_0655xguD48cGK6n1ZqSLnI-tw9aHzhbPM9kZ-k/edit#gid=0"", ""Monitoring Summary!F:F""),MATCH(D94,IMPORTRANGE(""https://docs.google.com/spreadsheets/d/1fpsE_0655xguD48cGK6n1ZqSLnI-tw9aHzhbP"&amp;"M9kZ-k/edit#gid=0"", ""Monitoring Summary!C:C""),0)),""Not Monitored"")"),0.0)</f>
        <v>0</v>
      </c>
      <c r="AC94" s="264">
        <f t="shared" si="2"/>
        <v>0</v>
      </c>
      <c r="AD94" s="750" t="str">
        <f>IFERROR(__xludf.DUMMYFUNCTION("TRANSPOSE(UNIQUE(INDEX(IMPORTRANGE(""https://docs.google.com/spreadsheets/d/1ixi8AjcKNNtDbvFdgSBtBV5c4FLMdnAD8yjARP1kjeA/edit#gid=402952771"", D94),,9)))"),"AP20")</f>
        <v>AP20</v>
      </c>
      <c r="AE94" s="749" t="str">
        <f>IFERROR(__xludf.DUMMYFUNCTION("""COMPUTED_VALUE"""),"AP129")</f>
        <v>AP129</v>
      </c>
      <c r="AF94" s="749" t="str">
        <f>IFERROR(__xludf.DUMMYFUNCTION("""COMPUTED_VALUE"""),"AP16")</f>
        <v>AP16</v>
      </c>
      <c r="AG94" s="749" t="str">
        <f>IFERROR(__xludf.DUMMYFUNCTION("""COMPUTED_VALUE"""),"AP77")</f>
        <v>AP77</v>
      </c>
      <c r="AH94" s="749" t="str">
        <f>IFERROR(__xludf.DUMMYFUNCTION("""COMPUTED_VALUE"""),"AP41")</f>
        <v>AP41</v>
      </c>
      <c r="AI94" s="749" t="str">
        <f>IFERROR(__xludf.DUMMYFUNCTION("""COMPUTED_VALUE"""),"AP7")</f>
        <v>AP7</v>
      </c>
      <c r="AJ94" s="749" t="str">
        <f>IFERROR(__xludf.DUMMYFUNCTION("""COMPUTED_VALUE"""),"AP37")</f>
        <v>AP37</v>
      </c>
      <c r="AK94" s="749" t="str">
        <f>IFERROR(__xludf.DUMMYFUNCTION("""COMPUTED_VALUE"""),"AP2")</f>
        <v>AP2</v>
      </c>
      <c r="AL94" s="749" t="str">
        <f>IFERROR(__xludf.DUMMYFUNCTION("""COMPUTED_VALUE"""),"AP23")</f>
        <v>AP23</v>
      </c>
      <c r="AM94" s="749" t="str">
        <f>IFERROR(__xludf.DUMMYFUNCTION("""COMPUTED_VALUE"""),"AP17")</f>
        <v>AP17</v>
      </c>
      <c r="AN94" s="749" t="str">
        <f>IFERROR(__xludf.DUMMYFUNCTION("""COMPUTED_VALUE"""),"AP139")</f>
        <v>AP139</v>
      </c>
      <c r="AO94" s="749" t="str">
        <f>IFERROR(__xludf.DUMMYFUNCTION("""COMPUTED_VALUE"""),"AP57")</f>
        <v>AP57</v>
      </c>
      <c r="AP94" s="749" t="str">
        <f>IFERROR(__xludf.DUMMYFUNCTION("""COMPUTED_VALUE"""),"AP14")</f>
        <v>AP14</v>
      </c>
      <c r="AQ94" s="749" t="str">
        <f>IFERROR(__xludf.DUMMYFUNCTION("""COMPUTED_VALUE"""),"AP13")</f>
        <v>AP13</v>
      </c>
      <c r="AR94" s="749" t="str">
        <f>IFERROR(__xludf.DUMMYFUNCTION("""COMPUTED_VALUE"""),"AP123")</f>
        <v>AP123</v>
      </c>
      <c r="AS94" s="749" t="str">
        <f>IFERROR(__xludf.DUMMYFUNCTION("""COMPUTED_VALUE"""),"AP125")</f>
        <v>AP125</v>
      </c>
      <c r="AT94" s="749" t="str">
        <f>IFERROR(__xludf.DUMMYFUNCTION("""COMPUTED_VALUE"""),"AP95")</f>
        <v>AP95</v>
      </c>
      <c r="AU94" s="749" t="str">
        <f>IFERROR(__xludf.DUMMYFUNCTION("""COMPUTED_VALUE"""),"AP60")</f>
        <v>AP60</v>
      </c>
      <c r="AV94" s="749" t="str">
        <f>IFERROR(__xludf.DUMMYFUNCTION("""COMPUTED_VALUE"""),"AP100")</f>
        <v>AP100</v>
      </c>
      <c r="AW94" s="749" t="str">
        <f>IFERROR(__xludf.DUMMYFUNCTION("""COMPUTED_VALUE"""),"AP65")</f>
        <v>AP65</v>
      </c>
      <c r="AX94" s="749" t="str">
        <f>IFERROR(__xludf.DUMMYFUNCTION("""COMPUTED_VALUE"""),"AP22")</f>
        <v>AP22</v>
      </c>
      <c r="AY94" s="749" t="str">
        <f>IFERROR(__xludf.DUMMYFUNCTION("""COMPUTED_VALUE"""),"AP72")</f>
        <v>AP72</v>
      </c>
      <c r="AZ94" s="749" t="str">
        <f>IFERROR(__xludf.DUMMYFUNCTION("""COMPUTED_VALUE"""),"AP101")</f>
        <v>AP101</v>
      </c>
      <c r="BA94" s="749"/>
      <c r="BB94" s="749"/>
      <c r="BC94" s="749"/>
      <c r="BD94" s="749"/>
      <c r="BE94" s="749"/>
      <c r="BF94" s="749"/>
      <c r="BG94" s="749"/>
      <c r="BH94" s="749"/>
      <c r="BI94" s="749"/>
      <c r="BJ94" s="749"/>
      <c r="BK94" s="749"/>
      <c r="BL94" s="749"/>
    </row>
    <row r="95">
      <c r="A95" s="837">
        <v>2023.0</v>
      </c>
      <c r="B95" s="848">
        <v>44975.0</v>
      </c>
      <c r="C95" s="837" t="s">
        <v>292</v>
      </c>
      <c r="D95" s="837" t="s">
        <v>1319</v>
      </c>
      <c r="E95" s="837" t="s">
        <v>170</v>
      </c>
      <c r="F95" s="837" t="s">
        <v>161</v>
      </c>
      <c r="G95" s="837" t="s">
        <v>92</v>
      </c>
      <c r="H95" s="837">
        <v>300.0</v>
      </c>
      <c r="I95" s="837" t="s">
        <v>1320</v>
      </c>
      <c r="J95" s="840">
        <v>24.45938</v>
      </c>
      <c r="K95" s="840">
        <v>-81.84506</v>
      </c>
      <c r="L95" s="800"/>
      <c r="M95" s="842">
        <v>45012.0</v>
      </c>
      <c r="N95" s="744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44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44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44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44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44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62"/>
      <c r="U95" s="746" t="str">
        <f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746" t="str">
        <f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746" t="str">
        <f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746" t="str">
        <f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799"/>
      <c r="Z95" s="800"/>
      <c r="AA95" s="262">
        <f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Monitored"")"),45293.0)</f>
        <v>45293</v>
      </c>
      <c r="AB95" s="263">
        <f>IFERROR(__xludf.DUMMYFUNCTION("IFERROR(INDEX(IMPORTRANGE(""https://docs.google.com/spreadsheets/d/1fpsE_0655xguD48cGK6n1ZqSLnI-tw9aHzhbPM9kZ-k/edit#gid=0"", ""Monitoring Summary!F:F""),MATCH(D95,IMPORTRANGE(""https://docs.google.com/spreadsheets/d/1fpsE_0655xguD48cGK6n1ZqSLnI-tw9aHzhbP"&amp;"M9kZ-k/edit#gid=0"", ""Monitoring Summary!C:C""),0)),""Not Monitored"")"),0.0)</f>
        <v>0</v>
      </c>
      <c r="AC95" s="264">
        <f t="shared" si="2"/>
        <v>0</v>
      </c>
      <c r="AD95" s="750" t="str">
        <f>IFERROR(__xludf.DUMMYFUNCTION("TRANSPOSE(UNIQUE(INDEX(IMPORTRANGE(""https://docs.google.com/spreadsheets/d/1ixi8AjcKNNtDbvFdgSBtBV5c4FLMdnAD8yjARP1kjeA/edit#gid=402952771"", D95),,9)))"),"AP50")</f>
        <v>AP50</v>
      </c>
      <c r="AE95" s="749" t="str">
        <f>IFERROR(__xludf.DUMMYFUNCTION("""COMPUTED_VALUE"""),"AP93")</f>
        <v>AP93</v>
      </c>
      <c r="AF95" s="749" t="str">
        <f>IFERROR(__xludf.DUMMYFUNCTION("""COMPUTED_VALUE"""),"AP90")</f>
        <v>AP90</v>
      </c>
      <c r="AG95" s="749"/>
      <c r="AH95" s="749"/>
      <c r="AI95" s="749"/>
      <c r="AJ95" s="749"/>
      <c r="AK95" s="749"/>
      <c r="AL95" s="749"/>
      <c r="AM95" s="749"/>
      <c r="AN95" s="749"/>
      <c r="AO95" s="749"/>
      <c r="AP95" s="749"/>
      <c r="AQ95" s="749"/>
      <c r="AR95" s="749"/>
      <c r="AS95" s="749"/>
      <c r="AT95" s="749"/>
      <c r="AU95" s="749"/>
      <c r="AV95" s="749"/>
      <c r="AW95" s="749"/>
      <c r="AX95" s="749"/>
      <c r="AY95" s="749"/>
      <c r="AZ95" s="749"/>
      <c r="BA95" s="749"/>
      <c r="BB95" s="749"/>
      <c r="BC95" s="749"/>
      <c r="BD95" s="749"/>
      <c r="BE95" s="749"/>
      <c r="BF95" s="749"/>
      <c r="BG95" s="749"/>
      <c r="BH95" s="749"/>
      <c r="BI95" s="749"/>
      <c r="BJ95" s="749"/>
      <c r="BK95" s="749"/>
      <c r="BL95" s="749"/>
    </row>
    <row r="96">
      <c r="A96" s="837">
        <v>2023.0</v>
      </c>
      <c r="B96" s="848">
        <v>44984.0</v>
      </c>
      <c r="C96" s="837" t="s">
        <v>292</v>
      </c>
      <c r="D96" s="837" t="s">
        <v>1321</v>
      </c>
      <c r="E96" s="837" t="s">
        <v>170</v>
      </c>
      <c r="F96" s="837" t="s">
        <v>161</v>
      </c>
      <c r="G96" s="837" t="s">
        <v>92</v>
      </c>
      <c r="H96" s="837">
        <v>676.0</v>
      </c>
      <c r="I96" s="837" t="s">
        <v>1322</v>
      </c>
      <c r="J96" s="840">
        <v>24.45938</v>
      </c>
      <c r="K96" s="840">
        <v>-81.84506</v>
      </c>
      <c r="L96" s="800">
        <f>sum(H98:H99)</f>
        <v>2028</v>
      </c>
      <c r="M96" s="842">
        <v>45012.0</v>
      </c>
      <c r="N96" s="744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stats!C:C""),0))"),0.9763313609467456)</f>
        <v>0.9763313609</v>
      </c>
      <c r="O96" s="744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stats!C3:C""),0))))"),0.011834319526627219)</f>
        <v>0.01183431953</v>
      </c>
      <c r="P96" s="744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stats!C3:C""),0)))"),0.011834319526627219)</f>
        <v>0.01183431953</v>
      </c>
      <c r="Q96" s="744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44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44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62"/>
      <c r="U96" s="746" t="str">
        <f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746" t="str">
        <f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746" t="str">
        <f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746" t="str">
        <f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799"/>
      <c r="Z96" s="800"/>
      <c r="AA96" s="262">
        <f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Monitored"")"),45293.0)</f>
        <v>45293</v>
      </c>
      <c r="AB96" s="263">
        <f>IFERROR(__xludf.DUMMYFUNCTION("IFERROR(INDEX(IMPORTRANGE(""https://docs.google.com/spreadsheets/d/1fpsE_0655xguD48cGK6n1ZqSLnI-tw9aHzhbPM9kZ-k/edit#gid=0"", ""Monitoring Summary!F:F""),MATCH(D96,IMPORTRANGE(""https://docs.google.com/spreadsheets/d/1fpsE_0655xguD48cGK6n1ZqSLnI-tw9aHzhbP"&amp;"M9kZ-k/edit#gid=0"", ""Monitoring Summary!C:C""),0)),""Not Monitored"")"),0.0)</f>
        <v>0</v>
      </c>
      <c r="AC96" s="264">
        <f t="shared" si="2"/>
        <v>0</v>
      </c>
      <c r="AD96" s="750" t="str">
        <f>IFERROR(__xludf.DUMMYFUNCTION("TRANSPOSE(UNIQUE(INDEX(IMPORTRANGE(""https://docs.google.com/spreadsheets/d/1ixi8AjcKNNtDbvFdgSBtBV5c4FLMdnAD8yjARP1kjeA/edit#gid=402952771"", D96),,9)))"),"AP53")</f>
        <v>AP53</v>
      </c>
      <c r="AE96" s="749" t="str">
        <f>IFERROR(__xludf.DUMMYFUNCTION("""COMPUTED_VALUE"""),"AP90")</f>
        <v>AP90</v>
      </c>
      <c r="AF96" s="749" t="str">
        <f>IFERROR(__xludf.DUMMYFUNCTION("""COMPUTED_VALUE"""),"AP94")</f>
        <v>AP94</v>
      </c>
      <c r="AG96" s="749" t="str">
        <f>IFERROR(__xludf.DUMMYFUNCTION("""COMPUTED_VALUE"""),"AP58")</f>
        <v>AP58</v>
      </c>
      <c r="AH96" s="749" t="str">
        <f>IFERROR(__xludf.DUMMYFUNCTION("""COMPUTED_VALUE"""),"AP70")</f>
        <v>AP70</v>
      </c>
      <c r="AI96" s="749" t="str">
        <f>IFERROR(__xludf.DUMMYFUNCTION("""COMPUTED_VALUE"""),"AP26")</f>
        <v>AP26</v>
      </c>
      <c r="AJ96" s="749" t="str">
        <f>IFERROR(__xludf.DUMMYFUNCTION("""COMPUTED_VALUE"""),"AP81")</f>
        <v>AP81</v>
      </c>
      <c r="AK96" s="749" t="str">
        <f>IFERROR(__xludf.DUMMYFUNCTION("""COMPUTED_VALUE"""),"AP99")</f>
        <v>AP99</v>
      </c>
      <c r="AL96" s="749" t="str">
        <f>IFERROR(__xludf.DUMMYFUNCTION("""COMPUTED_VALUE"""),"AP85")</f>
        <v>AP85</v>
      </c>
      <c r="AM96" s="749" t="str">
        <f>IFERROR(__xludf.DUMMYFUNCTION("""COMPUTED_VALUE"""),"AP57")</f>
        <v>AP57</v>
      </c>
      <c r="AN96" s="749" t="str">
        <f>IFERROR(__xludf.DUMMYFUNCTION("""COMPUTED_VALUE"""),"AP95")</f>
        <v>AP95</v>
      </c>
      <c r="AO96" s="749" t="str">
        <f>IFERROR(__xludf.DUMMYFUNCTION("""COMPUTED_VALUE"""),"AP88")</f>
        <v>AP88</v>
      </c>
      <c r="AP96" s="749" t="str">
        <f>IFERROR(__xludf.DUMMYFUNCTION("""COMPUTED_VALUE"""),"AP41")</f>
        <v>AP41</v>
      </c>
      <c r="AQ96" s="749"/>
      <c r="AR96" s="749"/>
      <c r="AS96" s="749"/>
      <c r="AT96" s="749"/>
      <c r="AU96" s="749"/>
      <c r="AV96" s="749"/>
      <c r="AW96" s="749"/>
      <c r="AX96" s="749"/>
      <c r="AY96" s="749"/>
      <c r="AZ96" s="749"/>
      <c r="BA96" s="749"/>
      <c r="BB96" s="749"/>
      <c r="BC96" s="749"/>
      <c r="BD96" s="749"/>
      <c r="BE96" s="749"/>
      <c r="BF96" s="749"/>
      <c r="BG96" s="749"/>
      <c r="BH96" s="749"/>
      <c r="BI96" s="749"/>
      <c r="BJ96" s="749"/>
      <c r="BK96" s="749"/>
      <c r="BL96" s="749"/>
    </row>
    <row r="97">
      <c r="A97" s="837">
        <v>2023.0</v>
      </c>
      <c r="B97" s="848">
        <v>44985.0</v>
      </c>
      <c r="C97" s="837" t="s">
        <v>292</v>
      </c>
      <c r="D97" s="837" t="s">
        <v>1323</v>
      </c>
      <c r="E97" s="837" t="s">
        <v>170</v>
      </c>
      <c r="F97" s="837" t="s">
        <v>161</v>
      </c>
      <c r="G97" s="837" t="s">
        <v>92</v>
      </c>
      <c r="H97" s="837">
        <v>963.0</v>
      </c>
      <c r="I97" s="837" t="s">
        <v>1324</v>
      </c>
      <c r="J97" s="840">
        <v>24.45946</v>
      </c>
      <c r="K97" s="840">
        <v>-81.84538</v>
      </c>
      <c r="L97" s="800"/>
      <c r="M97" s="842">
        <v>45015.0</v>
      </c>
      <c r="N97" s="744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44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44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44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44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44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62"/>
      <c r="U97" s="746" t="str">
        <f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746" t="str">
        <f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746" t="str">
        <f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746" t="str">
        <f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799"/>
      <c r="Z97" s="800"/>
      <c r="AA97" s="262">
        <f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Monitored"")"),45239.0)</f>
        <v>45239</v>
      </c>
      <c r="AB97" s="263">
        <f>IFERROR(__xludf.DUMMYFUNCTION("IFERROR(INDEX(IMPORTRANGE(""https://docs.google.com/spreadsheets/d/1fpsE_0655xguD48cGK6n1ZqSLnI-tw9aHzhbPM9kZ-k/edit#gid=0"", ""Monitoring Summary!F:F""),MATCH(D97,IMPORTRANGE(""https://docs.google.com/spreadsheets/d/1fpsE_0655xguD48cGK6n1ZqSLnI-tw9aHzhbP"&amp;"M9kZ-k/edit#gid=0"", ""Monitoring Summary!C:C""),0)),""Not Monitored"")"),0.0)</f>
        <v>0</v>
      </c>
      <c r="AC97" s="264">
        <f t="shared" si="2"/>
        <v>0</v>
      </c>
      <c r="AD97" s="750" t="str">
        <f>IFERROR(__xludf.DUMMYFUNCTION("TRANSPOSE(UNIQUE(INDEX(IMPORTRANGE(""https://docs.google.com/spreadsheets/d/1ixi8AjcKNNtDbvFdgSBtBV5c4FLMdnAD8yjARP1kjeA/edit#gid=402952771"", D97),,9)))"),"AP117")</f>
        <v>AP117</v>
      </c>
      <c r="AE97" s="749" t="str">
        <f>IFERROR(__xludf.DUMMYFUNCTION("""COMPUTED_VALUE"""),"AP129")</f>
        <v>AP129</v>
      </c>
      <c r="AF97" s="749" t="str">
        <f>IFERROR(__xludf.DUMMYFUNCTION("""COMPUTED_VALUE"""),"AP13")</f>
        <v>AP13</v>
      </c>
      <c r="AG97" s="749" t="str">
        <f>IFERROR(__xludf.DUMMYFUNCTION("""COMPUTED_VALUE"""),"AP31")</f>
        <v>AP31</v>
      </c>
      <c r="AH97" s="749" t="str">
        <f>IFERROR(__xludf.DUMMYFUNCTION("""COMPUTED_VALUE"""),"AP6")</f>
        <v>AP6</v>
      </c>
      <c r="AI97" s="749" t="str">
        <f>IFERROR(__xludf.DUMMYFUNCTION("""COMPUTED_VALUE"""),"AP10")</f>
        <v>AP10</v>
      </c>
      <c r="AJ97" s="749" t="str">
        <f>IFERROR(__xludf.DUMMYFUNCTION("""COMPUTED_VALUE"""),"AP3")</f>
        <v>AP3</v>
      </c>
      <c r="AK97" s="749" t="str">
        <f>IFERROR(__xludf.DUMMYFUNCTION("""COMPUTED_VALUE"""),"AP70")</f>
        <v>AP70</v>
      </c>
      <c r="AL97" s="749" t="str">
        <f>IFERROR(__xludf.DUMMYFUNCTION("""COMPUTED_VALUE"""),"AP106")</f>
        <v>AP106</v>
      </c>
      <c r="AM97" s="749" t="str">
        <f>IFERROR(__xludf.DUMMYFUNCTION("""COMPUTED_VALUE"""),"AP132")</f>
        <v>AP132</v>
      </c>
      <c r="AN97" s="749" t="str">
        <f>IFERROR(__xludf.DUMMYFUNCTION("""COMPUTED_VALUE"""),"AP93")</f>
        <v>AP93</v>
      </c>
      <c r="AO97" s="749" t="str">
        <f>IFERROR(__xludf.DUMMYFUNCTION("""COMPUTED_VALUE"""),"AP68")</f>
        <v>AP68</v>
      </c>
      <c r="AP97" s="749" t="str">
        <f>IFERROR(__xludf.DUMMYFUNCTION("""COMPUTED_VALUE"""),"AP59")</f>
        <v>AP59</v>
      </c>
      <c r="AQ97" s="749" t="str">
        <f>IFERROR(__xludf.DUMMYFUNCTION("""COMPUTED_VALUE"""),"AP53")</f>
        <v>AP53</v>
      </c>
      <c r="AR97" s="749" t="str">
        <f>IFERROR(__xludf.DUMMYFUNCTION("""COMPUTED_VALUE"""),"AP141")</f>
        <v>AP141</v>
      </c>
      <c r="AS97" s="749" t="str">
        <f>IFERROR(__xludf.DUMMYFUNCTION("""COMPUTED_VALUE"""),"AP24")</f>
        <v>AP24</v>
      </c>
      <c r="AT97" s="749" t="str">
        <f>IFERROR(__xludf.DUMMYFUNCTION("""COMPUTED_VALUE"""),"AP104")</f>
        <v>AP104</v>
      </c>
      <c r="AU97" s="749" t="str">
        <f>IFERROR(__xludf.DUMMYFUNCTION("""COMPUTED_VALUE"""),"AP136")</f>
        <v>AP136</v>
      </c>
      <c r="AV97" s="749" t="str">
        <f>IFERROR(__xludf.DUMMYFUNCTION("""COMPUTED_VALUE"""),"AP96")</f>
        <v>AP96</v>
      </c>
      <c r="AW97" s="749"/>
      <c r="AX97" s="749"/>
      <c r="AY97" s="749"/>
      <c r="AZ97" s="749"/>
      <c r="BA97" s="749"/>
      <c r="BB97" s="749"/>
      <c r="BC97" s="749"/>
      <c r="BD97" s="749"/>
      <c r="BE97" s="749"/>
      <c r="BF97" s="749"/>
      <c r="BG97" s="749"/>
      <c r="BH97" s="749"/>
      <c r="BI97" s="749"/>
      <c r="BJ97" s="749"/>
      <c r="BK97" s="749"/>
      <c r="BL97" s="749"/>
    </row>
    <row r="98">
      <c r="A98" s="837">
        <v>2023.0</v>
      </c>
      <c r="B98" s="848">
        <v>45013.0</v>
      </c>
      <c r="C98" s="837" t="s">
        <v>292</v>
      </c>
      <c r="D98" s="837" t="s">
        <v>1325</v>
      </c>
      <c r="E98" s="837" t="s">
        <v>170</v>
      </c>
      <c r="F98" s="837" t="s">
        <v>161</v>
      </c>
      <c r="G98" s="837" t="s">
        <v>92</v>
      </c>
      <c r="H98" s="837">
        <v>1020.0</v>
      </c>
      <c r="I98" s="837" t="s">
        <v>1326</v>
      </c>
      <c r="J98" s="840">
        <v>24.45945</v>
      </c>
      <c r="K98" s="840">
        <v>-81.84477</v>
      </c>
      <c r="L98" s="800"/>
      <c r="M98" s="842">
        <v>45057.0</v>
      </c>
      <c r="N98" s="744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44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44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44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44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44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62"/>
      <c r="U98" s="746" t="str">
        <f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746" t="str">
        <f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746" t="str">
        <f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746" t="str">
        <f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799"/>
      <c r="Z98" s="800"/>
      <c r="AA98" s="262">
        <f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Monitored"")"),45293.0)</f>
        <v>45293</v>
      </c>
      <c r="AB98" s="263">
        <f>IFERROR(__xludf.DUMMYFUNCTION("IFERROR(INDEX(IMPORTRANGE(""https://docs.google.com/spreadsheets/d/1fpsE_0655xguD48cGK6n1ZqSLnI-tw9aHzhbPM9kZ-k/edit#gid=0"", ""Monitoring Summary!F:F""),MATCH(D98,IMPORTRANGE(""https://docs.google.com/spreadsheets/d/1fpsE_0655xguD48cGK6n1ZqSLnI-tw9aHzhbP"&amp;"M9kZ-k/edit#gid=0"", ""Monitoring Summary!C:C""),0)),""Not Monitored"")"),0.0)</f>
        <v>0</v>
      </c>
      <c r="AC98" s="264">
        <f t="shared" si="2"/>
        <v>0</v>
      </c>
      <c r="AD98" s="750" t="str">
        <f>IFERROR(__xludf.DUMMYFUNCTION("TRANSPOSE(UNIQUE(INDEX(IMPORTRANGE(""https://docs.google.com/spreadsheets/d/1ixi8AjcKNNtDbvFdgSBtBV5c4FLMdnAD8yjARP1kjeA/edit#gid=402952771"", D98),,9)))"),"AP114")</f>
        <v>AP114</v>
      </c>
      <c r="AE98" s="749" t="str">
        <f>IFERROR(__xludf.DUMMYFUNCTION("""COMPUTED_VALUE"""),"AP241")</f>
        <v>AP241</v>
      </c>
      <c r="AF98" s="749" t="str">
        <f>IFERROR(__xludf.DUMMYFUNCTION("""COMPUTED_VALUE"""),"AP300")</f>
        <v>AP300</v>
      </c>
      <c r="AG98" s="749" t="str">
        <f>IFERROR(__xludf.DUMMYFUNCTION("""COMPUTED_VALUE"""),"AP308")</f>
        <v>AP308</v>
      </c>
      <c r="AH98" s="749" t="str">
        <f>IFERROR(__xludf.DUMMYFUNCTION("""COMPUTED_VALUE"""),"AP43")</f>
        <v>AP43</v>
      </c>
      <c r="AI98" s="749" t="str">
        <f>IFERROR(__xludf.DUMMYFUNCTION("""COMPUTED_VALUE"""),"AP55")</f>
        <v>AP55</v>
      </c>
      <c r="AJ98" s="749" t="str">
        <f>IFERROR(__xludf.DUMMYFUNCTION("""COMPUTED_VALUE"""),"AP6")</f>
        <v>AP6</v>
      </c>
      <c r="AK98" s="749" t="str">
        <f>IFERROR(__xludf.DUMMYFUNCTION("""COMPUTED_VALUE"""),"AP73")</f>
        <v>AP73</v>
      </c>
      <c r="AL98" s="749" t="str">
        <f>IFERROR(__xludf.DUMMYFUNCTION("""COMPUTED_VALUE"""),"AP83")</f>
        <v>AP83</v>
      </c>
      <c r="AM98" s="749" t="str">
        <f>IFERROR(__xludf.DUMMYFUNCTION("""COMPUTED_VALUE"""),"AP123")</f>
        <v>AP123</v>
      </c>
      <c r="AN98" s="749" t="str">
        <f>IFERROR(__xludf.DUMMYFUNCTION("""COMPUTED_VALUE"""),"AP96")</f>
        <v>AP96</v>
      </c>
      <c r="AO98" s="749" t="str">
        <f>IFERROR(__xludf.DUMMYFUNCTION("""COMPUTED_VALUE"""),"AP19")</f>
        <v>AP19</v>
      </c>
      <c r="AP98" s="749" t="str">
        <f>IFERROR(__xludf.DUMMYFUNCTION("""COMPUTED_VALUE"""),"AP3")</f>
        <v>AP3</v>
      </c>
      <c r="AQ98" s="749" t="str">
        <f>IFERROR(__xludf.DUMMYFUNCTION("""COMPUTED_VALUE"""),"AP74")</f>
        <v>AP74</v>
      </c>
      <c r="AR98" s="749" t="str">
        <f>IFERROR(__xludf.DUMMYFUNCTION("""COMPUTED_VALUE"""),"AP14")</f>
        <v>AP14</v>
      </c>
      <c r="AS98" s="749" t="str">
        <f>IFERROR(__xludf.DUMMYFUNCTION("""COMPUTED_VALUE"""),"AP70")</f>
        <v>AP70</v>
      </c>
      <c r="AT98" s="749" t="str">
        <f>IFERROR(__xludf.DUMMYFUNCTION("""COMPUTED_VALUE"""),"AP110")</f>
        <v>AP110</v>
      </c>
      <c r="AU98" s="749" t="str">
        <f>IFERROR(__xludf.DUMMYFUNCTION("""COMPUTED_VALUE"""),"AP141")</f>
        <v>AP141</v>
      </c>
      <c r="AV98" s="749" t="str">
        <f>IFERROR(__xludf.DUMMYFUNCTION("""COMPUTED_VALUE"""),"AP56")</f>
        <v>AP56</v>
      </c>
      <c r="AW98" s="749" t="str">
        <f>IFERROR(__xludf.DUMMYFUNCTION("""COMPUTED_VALUE"""),"AP58")</f>
        <v>AP58</v>
      </c>
      <c r="AX98" s="749" t="str">
        <f>IFERROR(__xludf.DUMMYFUNCTION("""COMPUTED_VALUE"""),"AP84")</f>
        <v>AP84</v>
      </c>
      <c r="AY98" s="749" t="str">
        <f>IFERROR(__xludf.DUMMYFUNCTION("""COMPUTED_VALUE"""),"AP137")</f>
        <v>AP137</v>
      </c>
      <c r="AZ98" s="749" t="str">
        <f>IFERROR(__xludf.DUMMYFUNCTION("""COMPUTED_VALUE"""),"AP17")</f>
        <v>AP17</v>
      </c>
      <c r="BA98" s="749" t="str">
        <f>IFERROR(__xludf.DUMMYFUNCTION("""COMPUTED_VALUE"""),"AP4")</f>
        <v>AP4</v>
      </c>
      <c r="BB98" s="749" t="str">
        <f>IFERROR(__xludf.DUMMYFUNCTION("""COMPUTED_VALUE"""),"AP135")</f>
        <v>AP135</v>
      </c>
      <c r="BC98" s="749" t="str">
        <f>IFERROR(__xludf.DUMMYFUNCTION("""COMPUTED_VALUE"""),"AP305")</f>
        <v>AP305</v>
      </c>
      <c r="BD98" s="749" t="str">
        <f>IFERROR(__xludf.DUMMYFUNCTION("""COMPUTED_VALUE"""),"AP89")</f>
        <v>AP89</v>
      </c>
      <c r="BE98" s="749" t="str">
        <f>IFERROR(__xludf.DUMMYFUNCTION("""COMPUTED_VALUE"""),"AP86")</f>
        <v>AP86</v>
      </c>
      <c r="BF98" s="749" t="str">
        <f>IFERROR(__xludf.DUMMYFUNCTION("""COMPUTED_VALUE"""),"AP29")</f>
        <v>AP29</v>
      </c>
      <c r="BG98" s="749"/>
      <c r="BH98" s="749"/>
      <c r="BI98" s="749"/>
      <c r="BJ98" s="749"/>
      <c r="BK98" s="749"/>
      <c r="BL98" s="749"/>
    </row>
    <row r="99">
      <c r="A99" s="837">
        <v>2023.0</v>
      </c>
      <c r="B99" s="848">
        <v>45014.0</v>
      </c>
      <c r="C99" s="837" t="s">
        <v>292</v>
      </c>
      <c r="D99" s="837" t="s">
        <v>1327</v>
      </c>
      <c r="E99" s="837" t="s">
        <v>170</v>
      </c>
      <c r="F99" s="837" t="s">
        <v>161</v>
      </c>
      <c r="G99" s="837" t="s">
        <v>92</v>
      </c>
      <c r="H99" s="837">
        <v>1008.0</v>
      </c>
      <c r="I99" s="837" t="s">
        <v>1328</v>
      </c>
      <c r="J99" s="840">
        <v>24.45956</v>
      </c>
      <c r="K99" s="840">
        <v>-81.84549</v>
      </c>
      <c r="L99" s="800"/>
      <c r="M99" s="842">
        <v>45057.0</v>
      </c>
      <c r="N99" s="744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44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44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44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44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44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62"/>
      <c r="U99" s="746" t="str">
        <f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746" t="str">
        <f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746" t="str">
        <f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746" t="str">
        <f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799"/>
      <c r="Z99" s="800"/>
      <c r="AA99" s="262">
        <f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Monitored"")"),45293.0)</f>
        <v>45293</v>
      </c>
      <c r="AB99" s="263">
        <f>IFERROR(__xludf.DUMMYFUNCTION("IFERROR(INDEX(IMPORTRANGE(""https://docs.google.com/spreadsheets/d/1fpsE_0655xguD48cGK6n1ZqSLnI-tw9aHzhbPM9kZ-k/edit#gid=0"", ""Monitoring Summary!F:F""),MATCH(D99,IMPORTRANGE(""https://docs.google.com/spreadsheets/d/1fpsE_0655xguD48cGK6n1ZqSLnI-tw9aHzhbP"&amp;"M9kZ-k/edit#gid=0"", ""Monitoring Summary!C:C""),0)),""Not Monitored"")"),1.0)</f>
        <v>1</v>
      </c>
      <c r="AC99" s="264">
        <f t="shared" si="2"/>
        <v>0.0009920634921</v>
      </c>
      <c r="AD99" s="750" t="str">
        <f>IFERROR(__xludf.DUMMYFUNCTION("TRANSPOSE(UNIQUE(INDEX(IMPORTRANGE(""https://docs.google.com/spreadsheets/d/1ixi8AjcKNNtDbvFdgSBtBV5c4FLMdnAD8yjARP1kjeA/edit#gid=402952771"", D99),,9)))"),"AP9")</f>
        <v>AP9</v>
      </c>
      <c r="AE99" s="749" t="str">
        <f>IFERROR(__xludf.DUMMYFUNCTION("""COMPUTED_VALUE"""),"AP106")</f>
        <v>AP106</v>
      </c>
      <c r="AF99" s="749" t="str">
        <f>IFERROR(__xludf.DUMMYFUNCTION("""COMPUTED_VALUE"""),"AP121")</f>
        <v>AP121</v>
      </c>
      <c r="AG99" s="749" t="str">
        <f>IFERROR(__xludf.DUMMYFUNCTION("""COMPUTED_VALUE"""),"AP130")</f>
        <v>AP130</v>
      </c>
      <c r="AH99" s="749" t="str">
        <f>IFERROR(__xludf.DUMMYFUNCTION("""COMPUTED_VALUE"""),"AP58")</f>
        <v>AP58</v>
      </c>
      <c r="AI99" s="749" t="str">
        <f>IFERROR(__xludf.DUMMYFUNCTION("""COMPUTED_VALUE"""),"AP71")</f>
        <v>AP71</v>
      </c>
      <c r="AJ99" s="749" t="str">
        <f>IFERROR(__xludf.DUMMYFUNCTION("""COMPUTED_VALUE"""),"AP59")</f>
        <v>AP59</v>
      </c>
      <c r="AK99" s="749" t="str">
        <f>IFERROR(__xludf.DUMMYFUNCTION("""COMPUTED_VALUE"""),"AP87")</f>
        <v>AP87</v>
      </c>
      <c r="AL99" s="749" t="str">
        <f>IFERROR(__xludf.DUMMYFUNCTION("""COMPUTED_VALUE"""),"AP27")</f>
        <v>AP27</v>
      </c>
      <c r="AM99" s="749" t="str">
        <f>IFERROR(__xludf.DUMMYFUNCTION("""COMPUTED_VALUE"""),"AP52")</f>
        <v>AP52</v>
      </c>
      <c r="AN99" s="749" t="str">
        <f>IFERROR(__xludf.DUMMYFUNCTION("""COMPUTED_VALUE"""),"AP75")</f>
        <v>AP75</v>
      </c>
      <c r="AO99" s="749" t="str">
        <f>IFERROR(__xludf.DUMMYFUNCTION("""COMPUTED_VALUE"""),"AP68")</f>
        <v>AP68</v>
      </c>
      <c r="AP99" s="749" t="str">
        <f>IFERROR(__xludf.DUMMYFUNCTION("""COMPUTED_VALUE"""),"AP100")</f>
        <v>AP100</v>
      </c>
      <c r="AQ99" s="749" t="str">
        <f>IFERROR(__xludf.DUMMYFUNCTION("""COMPUTED_VALUE"""),"AP80")</f>
        <v>AP80</v>
      </c>
      <c r="AR99" s="749" t="str">
        <f>IFERROR(__xludf.DUMMYFUNCTION("""COMPUTED_VALUE"""),"AP89")</f>
        <v>AP89</v>
      </c>
      <c r="AS99" s="749" t="str">
        <f>IFERROR(__xludf.DUMMYFUNCTION("""COMPUTED_VALUE"""),"AP22")</f>
        <v>AP22</v>
      </c>
      <c r="AT99" s="749" t="str">
        <f>IFERROR(__xludf.DUMMYFUNCTION("""COMPUTED_VALUE"""),"AP5")</f>
        <v>AP5</v>
      </c>
      <c r="AU99" s="749" t="str">
        <f>IFERROR(__xludf.DUMMYFUNCTION("""COMPUTED_VALUE"""),"AP41")</f>
        <v>AP41</v>
      </c>
      <c r="AV99" s="749" t="str">
        <f>IFERROR(__xludf.DUMMYFUNCTION("""COMPUTED_VALUE"""),"AP125")</f>
        <v>AP125</v>
      </c>
      <c r="AW99" s="749"/>
      <c r="AX99" s="749"/>
      <c r="AY99" s="749"/>
      <c r="AZ99" s="749"/>
      <c r="BA99" s="749"/>
      <c r="BB99" s="749"/>
      <c r="BC99" s="749"/>
      <c r="BD99" s="749"/>
      <c r="BE99" s="749"/>
      <c r="BF99" s="749"/>
      <c r="BG99" s="749"/>
      <c r="BH99" s="749"/>
      <c r="BI99" s="749"/>
      <c r="BJ99" s="749"/>
      <c r="BK99" s="749"/>
      <c r="BL99" s="749"/>
    </row>
    <row r="100">
      <c r="A100" s="805">
        <v>2023.0</v>
      </c>
      <c r="B100" s="845">
        <v>45026.0</v>
      </c>
      <c r="C100" s="805" t="s">
        <v>327</v>
      </c>
      <c r="D100" s="805" t="s">
        <v>1329</v>
      </c>
      <c r="E100" s="805" t="s">
        <v>170</v>
      </c>
      <c r="F100" s="805" t="s">
        <v>161</v>
      </c>
      <c r="G100" s="805" t="s">
        <v>89</v>
      </c>
      <c r="H100" s="805">
        <v>300.0</v>
      </c>
      <c r="I100" s="805" t="s">
        <v>1330</v>
      </c>
      <c r="J100" s="808">
        <v>24.54616</v>
      </c>
      <c r="K100" s="808">
        <v>-81.40645</v>
      </c>
      <c r="L100" s="800" t="s">
        <v>1331</v>
      </c>
      <c r="M100" s="747">
        <v>45055.0</v>
      </c>
      <c r="N100" s="744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44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44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44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44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44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55"/>
      <c r="U100" s="746">
        <f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stats!C:C""),0))"),0.0)</f>
        <v>0</v>
      </c>
      <c r="V100" s="746">
        <f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stats!C3:C""),0))))"),1.0)</f>
        <v>1</v>
      </c>
      <c r="W100" s="746">
        <f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stats!C3:C""),0)))"),0.0)</f>
        <v>0</v>
      </c>
      <c r="X100" s="746">
        <f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stats!C3:C""),0))"),0.0)</f>
        <v>0</v>
      </c>
      <c r="Y100" s="799"/>
      <c r="Z100" s="800"/>
      <c r="AA100" s="262">
        <f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Monitored"")"),45295.0)</f>
        <v>45295</v>
      </c>
      <c r="AB100" s="263">
        <f>IFERROR(__xludf.DUMMYFUNCTION("IFERROR(INDEX(IMPORTRANGE(""https://docs.google.com/spreadsheets/d/1fpsE_0655xguD48cGK6n1ZqSLnI-tw9aHzhbPM9kZ-k/edit#gid=0"", ""Monitoring Summary!F:F""),MATCH(D100,IMPORTRANGE(""https://docs.google.com/spreadsheets/d/1fpsE_0655xguD48cGK6n1ZqSLnI-tw9aHzhb"&amp;"PM9kZ-k/edit#gid=0"", ""Monitoring Summary!C:C""),0)),""Not Monitored"")"),0.0)</f>
        <v>0</v>
      </c>
      <c r="AC100" s="264">
        <f t="shared" si="2"/>
        <v>0</v>
      </c>
      <c r="AD100" s="750" t="str">
        <f>IFERROR(__xludf.DUMMYFUNCTION("TRANSPOSE(UNIQUE(INDEX(IMPORTRANGE(""https://docs.google.com/spreadsheets/d/1ixi8AjcKNNtDbvFdgSBtBV5c4FLMdnAD8yjARP1kjeA/edit#gid=402952771"", D100),,9)))"),"AP135")</f>
        <v>AP135</v>
      </c>
      <c r="AE100" s="749" t="str">
        <f>IFERROR(__xludf.DUMMYFUNCTION("""COMPUTED_VALUE"""),"AP27")</f>
        <v>AP27</v>
      </c>
      <c r="AF100" s="749" t="str">
        <f>IFERROR(__xludf.DUMMYFUNCTION("""COMPUTED_VALUE"""),"AP56")</f>
        <v>AP56</v>
      </c>
      <c r="AG100" s="749" t="str">
        <f>IFERROR(__xludf.DUMMYFUNCTION("""COMPUTED_VALUE"""),"AP70")</f>
        <v>AP70</v>
      </c>
      <c r="AH100" s="749" t="str">
        <f>IFERROR(__xludf.DUMMYFUNCTION("""COMPUTED_VALUE"""),"AP89")</f>
        <v>AP89</v>
      </c>
      <c r="AI100" s="749" t="str">
        <f>IFERROR(__xludf.DUMMYFUNCTION("""COMPUTED_VALUE"""),"AP126")</f>
        <v>AP126</v>
      </c>
      <c r="AJ100" s="749" t="str">
        <f>IFERROR(__xludf.DUMMYFUNCTION("""COMPUTED_VALUE"""),"AP21")</f>
        <v>AP21</v>
      </c>
      <c r="AK100" s="749" t="str">
        <f>IFERROR(__xludf.DUMMYFUNCTION("""COMPUTED_VALUE"""),"AP16")</f>
        <v>AP16</v>
      </c>
      <c r="AL100" s="749" t="str">
        <f>IFERROR(__xludf.DUMMYFUNCTION("""COMPUTED_VALUE"""),"AP97")</f>
        <v>AP97</v>
      </c>
      <c r="AM100" s="749" t="str">
        <f>IFERROR(__xludf.DUMMYFUNCTION("""COMPUTED_VALUE"""),"AP29")</f>
        <v>AP29</v>
      </c>
      <c r="AN100" s="749" t="str">
        <f>IFERROR(__xludf.DUMMYFUNCTION("""COMPUTED_VALUE"""),"AP53")</f>
        <v>AP53</v>
      </c>
      <c r="AO100" s="749"/>
      <c r="AP100" s="749"/>
      <c r="AQ100" s="749"/>
      <c r="AR100" s="749"/>
      <c r="AS100" s="749"/>
      <c r="AT100" s="749"/>
      <c r="AU100" s="749"/>
      <c r="AV100" s="749"/>
      <c r="AW100" s="749"/>
      <c r="AX100" s="749"/>
      <c r="AY100" s="749"/>
      <c r="AZ100" s="749"/>
      <c r="BA100" s="749"/>
      <c r="BB100" s="749"/>
      <c r="BC100" s="749"/>
      <c r="BD100" s="749"/>
      <c r="BE100" s="749"/>
      <c r="BF100" s="749"/>
      <c r="BG100" s="749"/>
      <c r="BH100" s="749"/>
      <c r="BI100" s="749"/>
      <c r="BJ100" s="749"/>
      <c r="BK100" s="749"/>
      <c r="BL100" s="749"/>
    </row>
    <row r="101">
      <c r="A101" s="752">
        <v>2023.0</v>
      </c>
      <c r="B101" s="801">
        <v>45026.0</v>
      </c>
      <c r="C101" s="752" t="s">
        <v>327</v>
      </c>
      <c r="D101" s="752" t="s">
        <v>1332</v>
      </c>
      <c r="E101" s="752" t="s">
        <v>170</v>
      </c>
      <c r="F101" s="752" t="s">
        <v>161</v>
      </c>
      <c r="G101" s="752" t="s">
        <v>73</v>
      </c>
      <c r="H101" s="752">
        <v>712.0</v>
      </c>
      <c r="I101" s="752" t="s">
        <v>1333</v>
      </c>
      <c r="J101" s="772">
        <v>24.54616</v>
      </c>
      <c r="K101" s="772">
        <v>-81.40645</v>
      </c>
      <c r="L101" s="800" t="s">
        <v>1331</v>
      </c>
      <c r="M101" s="747">
        <v>45055.0</v>
      </c>
      <c r="N101" s="744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44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44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44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44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44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55"/>
      <c r="U101" s="746">
        <f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stats!C:C""),0))"),0.0)</f>
        <v>0</v>
      </c>
      <c r="V101" s="746">
        <f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stats!C3:C""),0))))"),1.0)</f>
        <v>1</v>
      </c>
      <c r="W101" s="746">
        <f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stats!C3:C""),0)))"),0.0)</f>
        <v>0</v>
      </c>
      <c r="X101" s="746">
        <f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stats!C3:C""),0))"),0.0)</f>
        <v>0</v>
      </c>
      <c r="Y101" s="799"/>
      <c r="Z101" s="800"/>
      <c r="AA101" s="262">
        <f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Monitored"")"),45295.0)</f>
        <v>45295</v>
      </c>
      <c r="AB101" s="263">
        <f>IFERROR(__xludf.DUMMYFUNCTION("IFERROR(INDEX(IMPORTRANGE(""https://docs.google.com/spreadsheets/d/1fpsE_0655xguD48cGK6n1ZqSLnI-tw9aHzhbPM9kZ-k/edit#gid=0"", ""Monitoring Summary!F:F""),MATCH(D101,IMPORTRANGE(""https://docs.google.com/spreadsheets/d/1fpsE_0655xguD48cGK6n1ZqSLnI-tw9aHzhb"&amp;"PM9kZ-k/edit#gid=0"", ""Monitoring Summary!C:C""),0)),""Not Monitored"")"),0.0)</f>
        <v>0</v>
      </c>
      <c r="AC101" s="264">
        <f t="shared" si="2"/>
        <v>0</v>
      </c>
      <c r="AD101" s="750" t="str">
        <f>IFERROR(__xludf.DUMMYFUNCTION("TRANSPOSE(UNIQUE(INDEX(IMPORTRANGE(""https://docs.google.com/spreadsheets/d/1ixi8AjcKNNtDbvFdgSBtBV5c4FLMdnAD8yjARP1kjeA/edit#gid=402952771"", D101),,9)))"),"AP57")</f>
        <v>AP57</v>
      </c>
      <c r="AE101" s="749" t="str">
        <f>IFERROR(__xludf.DUMMYFUNCTION("""COMPUTED_VALUE"""),"AP37")</f>
        <v>AP37</v>
      </c>
      <c r="AF101" s="749" t="str">
        <f>IFERROR(__xludf.DUMMYFUNCTION("""COMPUTED_VALUE"""),"AP86")</f>
        <v>AP86</v>
      </c>
      <c r="AG101" s="749" t="str">
        <f>IFERROR(__xludf.DUMMYFUNCTION("""COMPUTED_VALUE"""),"AP24")</f>
        <v>AP24</v>
      </c>
      <c r="AH101" s="749" t="str">
        <f>IFERROR(__xludf.DUMMYFUNCTION("""COMPUTED_VALUE"""),"AP41")</f>
        <v>AP41</v>
      </c>
      <c r="AI101" s="749" t="str">
        <f>IFERROR(__xludf.DUMMYFUNCTION("""COMPUTED_VALUE"""),"AP74")</f>
        <v>AP74</v>
      </c>
      <c r="AJ101" s="749" t="str">
        <f>IFERROR(__xludf.DUMMYFUNCTION("""COMPUTED_VALUE"""),"AP28")</f>
        <v>AP28</v>
      </c>
      <c r="AK101" s="749" t="str">
        <f>IFERROR(__xludf.DUMMYFUNCTION("""COMPUTED_VALUE"""),"AP20")</f>
        <v>AP20</v>
      </c>
      <c r="AL101" s="749" t="str">
        <f>IFERROR(__xludf.DUMMYFUNCTION("""COMPUTED_VALUE"""),"AP75")</f>
        <v>AP75</v>
      </c>
      <c r="AM101" s="749"/>
      <c r="AN101" s="749"/>
      <c r="AO101" s="749"/>
      <c r="AP101" s="749"/>
      <c r="AQ101" s="749"/>
      <c r="AR101" s="749"/>
      <c r="AS101" s="749"/>
      <c r="AT101" s="749"/>
      <c r="AU101" s="749"/>
      <c r="AV101" s="749"/>
      <c r="AW101" s="749"/>
      <c r="AX101" s="749"/>
      <c r="AY101" s="749"/>
      <c r="AZ101" s="749"/>
      <c r="BA101" s="749"/>
      <c r="BB101" s="749"/>
      <c r="BC101" s="749"/>
      <c r="BD101" s="749"/>
      <c r="BE101" s="749"/>
      <c r="BF101" s="749"/>
      <c r="BG101" s="749"/>
      <c r="BH101" s="749"/>
      <c r="BI101" s="749"/>
      <c r="BJ101" s="749"/>
      <c r="BK101" s="749"/>
      <c r="BL101" s="749"/>
    </row>
    <row r="102">
      <c r="A102" s="863">
        <v>2023.0</v>
      </c>
      <c r="B102" s="864">
        <v>45037.0</v>
      </c>
      <c r="C102" s="863" t="s">
        <v>268</v>
      </c>
      <c r="D102" s="863" t="s">
        <v>1334</v>
      </c>
      <c r="E102" s="863" t="s">
        <v>170</v>
      </c>
      <c r="F102" s="863" t="s">
        <v>161</v>
      </c>
      <c r="G102" s="863" t="s">
        <v>76</v>
      </c>
      <c r="H102" s="863">
        <v>600.0</v>
      </c>
      <c r="I102" s="863" t="s">
        <v>1335</v>
      </c>
      <c r="J102" s="865">
        <v>24.45179</v>
      </c>
      <c r="K102" s="865">
        <v>-81.87938</v>
      </c>
      <c r="L102" s="800"/>
      <c r="M102" s="747">
        <v>45065.0</v>
      </c>
      <c r="N102" s="744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44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44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44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44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44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55"/>
      <c r="U102" s="746" t="str">
        <f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746" t="str">
        <f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746" t="str">
        <f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746" t="str">
        <f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799"/>
      <c r="Z102" s="800"/>
      <c r="AA102" s="262" t="str">
        <f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Monitored"")"),"Not Monitored")</f>
        <v>Not Monitored</v>
      </c>
      <c r="AB102" s="263" t="str">
        <f>IFERROR(__xludf.DUMMYFUNCTION("IFERROR(INDEX(IMPORTRANGE(""https://docs.google.com/spreadsheets/d/1fpsE_0655xguD48cGK6n1ZqSLnI-tw9aHzhbPM9kZ-k/edit#gid=0"", ""Monitoring Summary!F:F""),MATCH(D102,IMPORTRANGE(""https://docs.google.com/spreadsheets/d/1fpsE_0655xguD48cGK6n1ZqSLnI-tw9aHzhb"&amp;"PM9kZ-k/edit#gid=0"", ""Monitoring Summary!C:C""),0)),""Not Monitored"")"),"Not Monitored")</f>
        <v>Not Monitored</v>
      </c>
      <c r="AC102" s="264" t="str">
        <f t="shared" si="2"/>
        <v>Not Monitored</v>
      </c>
      <c r="AD102" s="750" t="str">
        <f>IFERROR(__xludf.DUMMYFUNCTION("TRANSPOSE(UNIQUE(INDEX(IMPORTRANGE(""https://docs.google.com/spreadsheets/d/1ixi8AjcKNNtDbvFdgSBtBV5c4FLMdnAD8yjARP1kjeA/edit#gid=402952771"", D102),,9)))"),"AP9")</f>
        <v>AP9</v>
      </c>
      <c r="AE102" s="749" t="str">
        <f>IFERROR(__xludf.DUMMYFUNCTION("""COMPUTED_VALUE"""),"AP97")</f>
        <v>AP97</v>
      </c>
      <c r="AF102" s="749" t="str">
        <f>IFERROR(__xludf.DUMMYFUNCTION("""COMPUTED_VALUE"""),"AP122")</f>
        <v>AP122</v>
      </c>
      <c r="AG102" s="749" t="str">
        <f>IFERROR(__xludf.DUMMYFUNCTION("""COMPUTED_VALUE"""),"AP72")</f>
        <v>AP72</v>
      </c>
      <c r="AH102" s="749" t="str">
        <f>IFERROR(__xludf.DUMMYFUNCTION("""COMPUTED_VALUE"""),"AP30")</f>
        <v>AP30</v>
      </c>
      <c r="AI102" s="749" t="str">
        <f>IFERROR(__xludf.DUMMYFUNCTION("""COMPUTED_VALUE"""),"AP81")</f>
        <v>AP81</v>
      </c>
      <c r="AJ102" s="749" t="str">
        <f>IFERROR(__xludf.DUMMYFUNCTION("""COMPUTED_VALUE"""),"AP83")</f>
        <v>AP83</v>
      </c>
      <c r="AK102" s="749" t="str">
        <f>IFERROR(__xludf.DUMMYFUNCTION("""COMPUTED_VALUE"""),"AP52")</f>
        <v>AP52</v>
      </c>
      <c r="AL102" s="749" t="str">
        <f>IFERROR(__xludf.DUMMYFUNCTION("""COMPUTED_VALUE"""),"AP22")</f>
        <v>AP22</v>
      </c>
      <c r="AM102" s="749" t="str">
        <f>IFERROR(__xludf.DUMMYFUNCTION("""COMPUTED_VALUE"""),"AP34")</f>
        <v>AP34</v>
      </c>
      <c r="AN102" s="749" t="str">
        <f>IFERROR(__xludf.DUMMYFUNCTION("""COMPUTED_VALUE"""),"AP95")</f>
        <v>AP95</v>
      </c>
      <c r="AO102" s="749" t="str">
        <f>IFERROR(__xludf.DUMMYFUNCTION("""COMPUTED_VALUE"""),"AP7")</f>
        <v>AP7</v>
      </c>
      <c r="AP102" s="749" t="str">
        <f>IFERROR(__xludf.DUMMYFUNCTION("""COMPUTED_VALUE"""),"AP13")</f>
        <v>AP13</v>
      </c>
      <c r="AQ102" s="749" t="str">
        <f>IFERROR(__xludf.DUMMYFUNCTION("""COMPUTED_VALUE"""),"AP15")</f>
        <v>AP15</v>
      </c>
      <c r="AR102" s="749" t="str">
        <f>IFERROR(__xludf.DUMMYFUNCTION("""COMPUTED_VALUE"""),"AP17")</f>
        <v>AP17</v>
      </c>
      <c r="AS102" s="749" t="str">
        <f>IFERROR(__xludf.DUMMYFUNCTION("""COMPUTED_VALUE"""),"AP21")</f>
        <v>AP21</v>
      </c>
      <c r="AT102" s="749" t="str">
        <f>IFERROR(__xludf.DUMMYFUNCTION("""COMPUTED_VALUE"""),"AP79")</f>
        <v>AP79</v>
      </c>
      <c r="AU102" s="749" t="str">
        <f>IFERROR(__xludf.DUMMYFUNCTION("""COMPUTED_VALUE"""),"AP88")</f>
        <v>AP88</v>
      </c>
      <c r="AV102" s="749" t="str">
        <f>IFERROR(__xludf.DUMMYFUNCTION("""COMPUTED_VALUE"""),"AP75")</f>
        <v>AP75</v>
      </c>
      <c r="AW102" s="749" t="str">
        <f>IFERROR(__xludf.DUMMYFUNCTION("""COMPUTED_VALUE"""),"AP8")</f>
        <v>AP8</v>
      </c>
      <c r="AX102" s="749" t="str">
        <f>IFERROR(__xludf.DUMMYFUNCTION("""COMPUTED_VALUE"""),"AP139")</f>
        <v>AP139</v>
      </c>
      <c r="AY102" s="749"/>
      <c r="AZ102" s="749"/>
      <c r="BA102" s="749"/>
      <c r="BB102" s="749"/>
      <c r="BC102" s="749"/>
      <c r="BD102" s="749"/>
      <c r="BE102" s="749"/>
      <c r="BF102" s="749"/>
      <c r="BG102" s="749"/>
      <c r="BH102" s="749"/>
      <c r="BI102" s="749"/>
      <c r="BJ102" s="749"/>
      <c r="BK102" s="749"/>
      <c r="BL102" s="749"/>
    </row>
    <row r="103">
      <c r="A103" s="863">
        <v>2023.0</v>
      </c>
      <c r="B103" s="864">
        <v>45037.0</v>
      </c>
      <c r="C103" s="863" t="s">
        <v>286</v>
      </c>
      <c r="D103" s="863" t="s">
        <v>1336</v>
      </c>
      <c r="E103" s="863" t="s">
        <v>170</v>
      </c>
      <c r="F103" s="863" t="s">
        <v>161</v>
      </c>
      <c r="G103" s="863" t="s">
        <v>76</v>
      </c>
      <c r="H103" s="863">
        <v>599.0</v>
      </c>
      <c r="I103" s="863" t="s">
        <v>1337</v>
      </c>
      <c r="J103" s="865">
        <v>24.45498</v>
      </c>
      <c r="K103" s="865">
        <v>-81.8568</v>
      </c>
      <c r="L103" s="800" t="s">
        <v>1047</v>
      </c>
      <c r="M103" s="747">
        <v>45065.0</v>
      </c>
      <c r="N103" s="744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44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44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44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44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44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55"/>
      <c r="U103" s="746" t="str">
        <f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746" t="str">
        <f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746" t="str">
        <f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746" t="str">
        <f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799"/>
      <c r="Z103" s="800"/>
      <c r="AA103" s="262" t="str">
        <f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Monitored"")"),"Not Monitored")</f>
        <v>Not Monitored</v>
      </c>
      <c r="AB103" s="263" t="str">
        <f>IFERROR(__xludf.DUMMYFUNCTION("IFERROR(INDEX(IMPORTRANGE(""https://docs.google.com/spreadsheets/d/1fpsE_0655xguD48cGK6n1ZqSLnI-tw9aHzhbPM9kZ-k/edit#gid=0"", ""Monitoring Summary!F:F""),MATCH(D103,IMPORTRANGE(""https://docs.google.com/spreadsheets/d/1fpsE_0655xguD48cGK6n1ZqSLnI-tw9aHzhb"&amp;"PM9kZ-k/edit#gid=0"", ""Monitoring Summary!C:C""),0)),""Not Monitored"")"),"Not Monitored")</f>
        <v>Not Monitored</v>
      </c>
      <c r="AC103" s="264" t="str">
        <f t="shared" si="2"/>
        <v>Not Monitored</v>
      </c>
      <c r="AD103" s="750" t="str">
        <f>IFERROR(__xludf.DUMMYFUNCTION("TRANSPOSE(UNIQUE(INDEX(IMPORTRANGE(""https://docs.google.com/spreadsheets/d/1ixi8AjcKNNtDbvFdgSBtBV5c4FLMdnAD8yjARP1kjeA/edit#gid=402952771"", D103),,9)))"),"AP16")</f>
        <v>AP16</v>
      </c>
      <c r="AE103" s="749" t="str">
        <f>IFERROR(__xludf.DUMMYFUNCTION("""COMPUTED_VALUE"""),"AP9")</f>
        <v>AP9</v>
      </c>
      <c r="AF103" s="749" t="str">
        <f>IFERROR(__xludf.DUMMYFUNCTION("""COMPUTED_VALUE"""),"AP10")</f>
        <v>AP10</v>
      </c>
      <c r="AG103" s="749" t="str">
        <f>IFERROR(__xludf.DUMMYFUNCTION("""COMPUTED_VALUE"""),"AP108")</f>
        <v>AP108</v>
      </c>
      <c r="AH103" s="749" t="str">
        <f>IFERROR(__xludf.DUMMYFUNCTION("""COMPUTED_VALUE"""),"AP14")</f>
        <v>AP14</v>
      </c>
      <c r="AI103" s="749" t="str">
        <f>IFERROR(__xludf.DUMMYFUNCTION("""COMPUTED_VALUE"""),"AP140")</f>
        <v>AP140</v>
      </c>
      <c r="AJ103" s="749" t="str">
        <f>IFERROR(__xludf.DUMMYFUNCTION("""COMPUTED_VALUE"""),"AP18")</f>
        <v>AP18</v>
      </c>
      <c r="AK103" s="749" t="str">
        <f>IFERROR(__xludf.DUMMYFUNCTION("""COMPUTED_VALUE"""),"AP27")</f>
        <v>AP27</v>
      </c>
      <c r="AL103" s="749" t="str">
        <f>IFERROR(__xludf.DUMMYFUNCTION("""COMPUTED_VALUE"""),"AP50")</f>
        <v>AP50</v>
      </c>
      <c r="AM103" s="749" t="str">
        <f>IFERROR(__xludf.DUMMYFUNCTION("""COMPUTED_VALUE"""),"AP67")</f>
        <v>AP67</v>
      </c>
      <c r="AN103" s="749" t="str">
        <f>IFERROR(__xludf.DUMMYFUNCTION("""COMPUTED_VALUE"""),"AP124")</f>
        <v>AP124</v>
      </c>
      <c r="AO103" s="749" t="str">
        <f>IFERROR(__xludf.DUMMYFUNCTION("""COMPUTED_VALUE"""),"AP33")</f>
        <v>AP33</v>
      </c>
      <c r="AP103" s="749" t="str">
        <f>IFERROR(__xludf.DUMMYFUNCTION("""COMPUTED_VALUE"""),"AP20")</f>
        <v>AP20</v>
      </c>
      <c r="AQ103" s="749" t="str">
        <f>IFERROR(__xludf.DUMMYFUNCTION("""COMPUTED_VALUE"""),"AP134")</f>
        <v>AP134</v>
      </c>
      <c r="AR103" s="749" t="str">
        <f>IFERROR(__xludf.DUMMYFUNCTION("""COMPUTED_VALUE"""),"AP141")</f>
        <v>AP141</v>
      </c>
      <c r="AS103" s="749" t="str">
        <f>IFERROR(__xludf.DUMMYFUNCTION("""COMPUTED_VALUE"""),"AP26")</f>
        <v>AP26</v>
      </c>
      <c r="AT103" s="749" t="str">
        <f>IFERROR(__xludf.DUMMYFUNCTION("""COMPUTED_VALUE"""),"AP58")</f>
        <v>AP58</v>
      </c>
      <c r="AU103" s="749" t="str">
        <f>IFERROR(__xludf.DUMMYFUNCTION("""COMPUTED_VALUE"""),"AP93")</f>
        <v>AP93</v>
      </c>
      <c r="AV103" s="749" t="str">
        <f>IFERROR(__xludf.DUMMYFUNCTION("""COMPUTED_VALUE"""),"AP23")</f>
        <v>AP23</v>
      </c>
      <c r="AW103" s="749" t="str">
        <f>IFERROR(__xludf.DUMMYFUNCTION("""COMPUTED_VALUE"""),"AP8")</f>
        <v>AP8</v>
      </c>
      <c r="AX103" s="749"/>
      <c r="AY103" s="749"/>
      <c r="AZ103" s="749"/>
      <c r="BA103" s="749"/>
      <c r="BB103" s="749"/>
      <c r="BC103" s="749"/>
      <c r="BD103" s="749"/>
      <c r="BE103" s="749"/>
      <c r="BF103" s="749"/>
      <c r="BG103" s="749"/>
      <c r="BH103" s="749"/>
      <c r="BI103" s="749"/>
      <c r="BJ103" s="749"/>
      <c r="BK103" s="749"/>
      <c r="BL103" s="749"/>
    </row>
    <row r="104">
      <c r="A104" s="837">
        <v>2023.0</v>
      </c>
      <c r="B104" s="848">
        <v>45038.0</v>
      </c>
      <c r="C104" s="837" t="s">
        <v>292</v>
      </c>
      <c r="D104" s="837" t="s">
        <v>1338</v>
      </c>
      <c r="E104" s="837" t="s">
        <v>170</v>
      </c>
      <c r="F104" s="837" t="s">
        <v>161</v>
      </c>
      <c r="G104" s="837" t="s">
        <v>92</v>
      </c>
      <c r="H104" s="837">
        <v>378.0</v>
      </c>
      <c r="I104" s="837" t="s">
        <v>1339</v>
      </c>
      <c r="J104" s="840">
        <v>24.45947</v>
      </c>
      <c r="K104" s="840">
        <v>-81.84509</v>
      </c>
      <c r="L104" s="800"/>
      <c r="M104" s="842">
        <v>45065.0</v>
      </c>
      <c r="N104" s="744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44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44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44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44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44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62"/>
      <c r="U104" s="746" t="str">
        <f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746" t="str">
        <f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746" t="str">
        <f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746" t="str">
        <f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799"/>
      <c r="Z104" s="800"/>
      <c r="AA104" s="262">
        <f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Monitored"")"),45293.0)</f>
        <v>45293</v>
      </c>
      <c r="AB104" s="263">
        <f>IFERROR(__xludf.DUMMYFUNCTION("IFERROR(INDEX(IMPORTRANGE(""https://docs.google.com/spreadsheets/d/1fpsE_0655xguD48cGK6n1ZqSLnI-tw9aHzhbPM9kZ-k/edit#gid=0"", ""Monitoring Summary!F:F""),MATCH(D104,IMPORTRANGE(""https://docs.google.com/spreadsheets/d/1fpsE_0655xguD48cGK6n1ZqSLnI-tw9aHzhb"&amp;"PM9kZ-k/edit#gid=0"", ""Monitoring Summary!C:C""),0)),""Not Monitored"")"),0.0)</f>
        <v>0</v>
      </c>
      <c r="AC104" s="264">
        <f t="shared" si="2"/>
        <v>0</v>
      </c>
      <c r="AD104" s="750" t="str">
        <f>IFERROR(__xludf.DUMMYFUNCTION("TRANSPOSE(UNIQUE(INDEX(IMPORTRANGE(""https://docs.google.com/spreadsheets/d/1ixi8AjcKNNtDbvFdgSBtBV5c4FLMdnAD8yjARP1kjeA/edit#gid=402952771"", D104),,9)))"),"AP93")</f>
        <v>AP93</v>
      </c>
      <c r="AE104" s="749" t="str">
        <f>IFERROR(__xludf.DUMMYFUNCTION("""COMPUTED_VALUE"""),"AP8")</f>
        <v>AP8</v>
      </c>
      <c r="AF104" s="749" t="str">
        <f>IFERROR(__xludf.DUMMYFUNCTION("""COMPUTED_VALUE"""),"AP123")</f>
        <v>AP123</v>
      </c>
      <c r="AG104" s="749" t="str">
        <f>IFERROR(__xludf.DUMMYFUNCTION("""COMPUTED_VALUE"""),"AP134")</f>
        <v>AP134</v>
      </c>
      <c r="AH104" s="749" t="str">
        <f>IFERROR(__xludf.DUMMYFUNCTION("""COMPUTED_VALUE"""),"AP23")</f>
        <v>AP23</v>
      </c>
      <c r="AI104" s="749" t="str">
        <f>IFERROR(__xludf.DUMMYFUNCTION("""COMPUTED_VALUE"""),"AP50")</f>
        <v>AP50</v>
      </c>
      <c r="AJ104" s="749" t="str">
        <f>IFERROR(__xludf.DUMMYFUNCTION("""COMPUTED_VALUE"""),"AP68")</f>
        <v>AP68</v>
      </c>
      <c r="AK104" s="749" t="str">
        <f>IFERROR(__xludf.DUMMYFUNCTION("""COMPUTED_VALUE"""),"AP86")</f>
        <v>AP86</v>
      </c>
      <c r="AL104" s="749" t="str">
        <f>IFERROR(__xludf.DUMMYFUNCTION("""COMPUTED_VALUE"""),"AP95")</f>
        <v>AP95</v>
      </c>
      <c r="AM104" s="749" t="str">
        <f>IFERROR(__xludf.DUMMYFUNCTION("""COMPUTED_VALUE"""),"AP30")</f>
        <v>AP30</v>
      </c>
      <c r="AN104" s="749" t="str">
        <f>IFERROR(__xludf.DUMMYFUNCTION("""COMPUTED_VALUE"""),"AP59")</f>
        <v>AP59</v>
      </c>
      <c r="AO104" s="749" t="str">
        <f>IFERROR(__xludf.DUMMYFUNCTION("""COMPUTED_VALUE"""),"AP97")</f>
        <v>AP97</v>
      </c>
      <c r="AP104" s="749" t="str">
        <f>IFERROR(__xludf.DUMMYFUNCTION("""COMPUTED_VALUE"""),"AP22")</f>
        <v>AP22</v>
      </c>
      <c r="AQ104" s="749" t="str">
        <f>IFERROR(__xludf.DUMMYFUNCTION("""COMPUTED_VALUE"""),"AP87")</f>
        <v>AP87</v>
      </c>
      <c r="AR104" s="749" t="str">
        <f>IFERROR(__xludf.DUMMYFUNCTION("""COMPUTED_VALUE"""),"AP17")</f>
        <v>AP17</v>
      </c>
      <c r="AS104" s="749" t="str">
        <f>IFERROR(__xludf.DUMMYFUNCTION("""COMPUTED_VALUE"""),"AP20")</f>
        <v>AP20</v>
      </c>
      <c r="AT104" s="749" t="str">
        <f>IFERROR(__xludf.DUMMYFUNCTION("""COMPUTED_VALUE"""),"AP117")</f>
        <v>AP117</v>
      </c>
      <c r="AU104" s="749" t="str">
        <f>IFERROR(__xludf.DUMMYFUNCTION("""COMPUTED_VALUE"""),"AP104")</f>
        <v>AP104</v>
      </c>
      <c r="AV104" s="749" t="str">
        <f>IFERROR(__xludf.DUMMYFUNCTION("""COMPUTED_VALUE"""),"AP109")</f>
        <v>AP109</v>
      </c>
      <c r="AW104" s="749" t="str">
        <f>IFERROR(__xludf.DUMMYFUNCTION("""COMPUTED_VALUE"""),"AP11")</f>
        <v>AP11</v>
      </c>
      <c r="AX104" s="749"/>
      <c r="AY104" s="749"/>
      <c r="AZ104" s="749"/>
      <c r="BA104" s="749"/>
      <c r="BB104" s="749"/>
      <c r="BC104" s="749"/>
      <c r="BD104" s="749"/>
      <c r="BE104" s="749"/>
      <c r="BF104" s="749"/>
      <c r="BG104" s="749"/>
      <c r="BH104" s="749"/>
      <c r="BI104" s="749"/>
      <c r="BJ104" s="749"/>
      <c r="BK104" s="749"/>
      <c r="BL104" s="749"/>
    </row>
    <row r="105">
      <c r="A105" s="837">
        <v>2023.0</v>
      </c>
      <c r="B105" s="848">
        <v>45057.0</v>
      </c>
      <c r="C105" s="837" t="s">
        <v>292</v>
      </c>
      <c r="D105" s="837" t="s">
        <v>1340</v>
      </c>
      <c r="E105" s="837" t="s">
        <v>170</v>
      </c>
      <c r="F105" s="837" t="s">
        <v>161</v>
      </c>
      <c r="G105" s="837" t="s">
        <v>92</v>
      </c>
      <c r="H105" s="837">
        <v>501.0</v>
      </c>
      <c r="I105" s="837" t="s">
        <v>1341</v>
      </c>
      <c r="J105" s="840">
        <v>24.45986</v>
      </c>
      <c r="K105" s="840">
        <v>-81.84531</v>
      </c>
      <c r="L105" s="800" t="s">
        <v>1342</v>
      </c>
      <c r="M105" s="842">
        <v>45057.0</v>
      </c>
      <c r="N105" s="744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44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44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44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44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44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62"/>
      <c r="U105" s="746" t="str">
        <f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746" t="str">
        <f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746" t="str">
        <f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746" t="str">
        <f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799"/>
      <c r="Z105" s="800"/>
      <c r="AA105" s="262">
        <f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Monitored"")"),45293.0)</f>
        <v>45293</v>
      </c>
      <c r="AB105" s="263">
        <f>IFERROR(__xludf.DUMMYFUNCTION("IFERROR(INDEX(IMPORTRANGE(""https://docs.google.com/spreadsheets/d/1fpsE_0655xguD48cGK6n1ZqSLnI-tw9aHzhbPM9kZ-k/edit#gid=0"", ""Monitoring Summary!F:F""),MATCH(D105,IMPORTRANGE(""https://docs.google.com/spreadsheets/d/1fpsE_0655xguD48cGK6n1ZqSLnI-tw9aHzhb"&amp;"PM9kZ-k/edit#gid=0"", ""Monitoring Summary!C:C""),0)),""Not Monitored"")"),0.0)</f>
        <v>0</v>
      </c>
      <c r="AC105" s="264">
        <f t="shared" si="2"/>
        <v>0</v>
      </c>
      <c r="AD105" s="750" t="str">
        <f>IFERROR(__xludf.DUMMYFUNCTION("TRANSPOSE(UNIQUE(INDEX(IMPORTRANGE(""https://docs.google.com/spreadsheets/d/1ixi8AjcKNNtDbvFdgSBtBV5c4FLMdnAD8yjARP1kjeA/edit#gid=402952771"", D105),,9)))"),"AP5")</f>
        <v>AP5</v>
      </c>
      <c r="AE105" s="749" t="str">
        <f>IFERROR(__xludf.DUMMYFUNCTION("""COMPUTED_VALUE"""),"AP12")</f>
        <v>AP12</v>
      </c>
      <c r="AF105" s="749" t="str">
        <f>IFERROR(__xludf.DUMMYFUNCTION("""COMPUTED_VALUE"""),"AP20")</f>
        <v>AP20</v>
      </c>
      <c r="AG105" s="749" t="str">
        <f>IFERROR(__xludf.DUMMYFUNCTION("""COMPUTED_VALUE"""),"AP23")</f>
        <v>AP23</v>
      </c>
      <c r="AH105" s="749" t="str">
        <f>IFERROR(__xludf.DUMMYFUNCTION("""COMPUTED_VALUE"""),"AP28")</f>
        <v>AP28</v>
      </c>
      <c r="AI105" s="749" t="str">
        <f>IFERROR(__xludf.DUMMYFUNCTION("""COMPUTED_VALUE"""),"AP29")</f>
        <v>AP29</v>
      </c>
      <c r="AJ105" s="749" t="str">
        <f>IFERROR(__xludf.DUMMYFUNCTION("""COMPUTED_VALUE"""),"AP37")</f>
        <v>AP37</v>
      </c>
      <c r="AK105" s="749" t="str">
        <f>IFERROR(__xludf.DUMMYFUNCTION("""COMPUTED_VALUE"""),"AP43")</f>
        <v>AP43</v>
      </c>
      <c r="AL105" s="749" t="str">
        <f>IFERROR(__xludf.DUMMYFUNCTION("""COMPUTED_VALUE"""),"AP57")</f>
        <v>AP57</v>
      </c>
      <c r="AM105" s="749" t="str">
        <f>IFERROR(__xludf.DUMMYFUNCTION("""COMPUTED_VALUE"""),"AP60")</f>
        <v>AP60</v>
      </c>
      <c r="AN105" s="749" t="str">
        <f>IFERROR(__xludf.DUMMYFUNCTION("""COMPUTED_VALUE"""),"AP64")</f>
        <v>AP64</v>
      </c>
      <c r="AO105" s="749" t="str">
        <f>IFERROR(__xludf.DUMMYFUNCTION("""COMPUTED_VALUE"""),"AP74")</f>
        <v>AP74</v>
      </c>
      <c r="AP105" s="749" t="str">
        <f>IFERROR(__xludf.DUMMYFUNCTION("""COMPUTED_VALUE"""),"AP75")</f>
        <v>AP75</v>
      </c>
      <c r="AQ105" s="749" t="str">
        <f>IFERROR(__xludf.DUMMYFUNCTION("""COMPUTED_VALUE"""),"AP86")</f>
        <v>AP86</v>
      </c>
      <c r="AR105" s="749" t="str">
        <f>IFERROR(__xludf.DUMMYFUNCTION("""COMPUTED_VALUE"""),"AP97")</f>
        <v>AP97</v>
      </c>
      <c r="AS105" s="749" t="str">
        <f>IFERROR(__xludf.DUMMYFUNCTION("""COMPUTED_VALUE"""),"AP100")</f>
        <v>AP100</v>
      </c>
      <c r="AT105" s="749"/>
      <c r="AU105" s="749"/>
      <c r="AV105" s="749"/>
      <c r="AW105" s="749"/>
      <c r="AX105" s="749"/>
      <c r="AY105" s="749"/>
      <c r="AZ105" s="749"/>
      <c r="BA105" s="749"/>
      <c r="BB105" s="749"/>
      <c r="BC105" s="749"/>
      <c r="BD105" s="749"/>
      <c r="BE105" s="749"/>
      <c r="BF105" s="749"/>
      <c r="BG105" s="749"/>
      <c r="BH105" s="749"/>
      <c r="BI105" s="749"/>
      <c r="BJ105" s="749"/>
      <c r="BK105" s="749"/>
      <c r="BL105" s="749"/>
    </row>
    <row r="106">
      <c r="A106" s="752">
        <v>2023.0</v>
      </c>
      <c r="B106" s="801">
        <v>45076.0</v>
      </c>
      <c r="C106" s="752" t="s">
        <v>1343</v>
      </c>
      <c r="D106" s="752" t="s">
        <v>1344</v>
      </c>
      <c r="E106" s="752" t="s">
        <v>170</v>
      </c>
      <c r="F106" s="752" t="s">
        <v>161</v>
      </c>
      <c r="G106" s="752" t="s">
        <v>73</v>
      </c>
      <c r="H106" s="752">
        <v>1200.0</v>
      </c>
      <c r="I106" s="752" t="s">
        <v>1345</v>
      </c>
      <c r="J106" s="772">
        <v>24.49306</v>
      </c>
      <c r="K106" s="772">
        <v>-81.65985</v>
      </c>
      <c r="L106" s="800" t="s">
        <v>1346</v>
      </c>
      <c r="M106" s="747">
        <v>45118.0</v>
      </c>
      <c r="N106" s="744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44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44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44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44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44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55"/>
      <c r="U106" s="746" t="str">
        <f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746" t="str">
        <f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746" t="str">
        <f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746" t="str">
        <f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799"/>
      <c r="Z106" s="800"/>
      <c r="AA106" s="262">
        <f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Monitored"")"),45257.0)</f>
        <v>45257</v>
      </c>
      <c r="AB106" s="263">
        <f>IFERROR(__xludf.DUMMYFUNCTION("IFERROR(INDEX(IMPORTRANGE(""https://docs.google.com/spreadsheets/d/1fpsE_0655xguD48cGK6n1ZqSLnI-tw9aHzhbPM9kZ-k/edit#gid=0"", ""Monitoring Summary!F:F""),MATCH(D106,IMPORTRANGE(""https://docs.google.com/spreadsheets/d/1fpsE_0655xguD48cGK6n1ZqSLnI-tw9aHzhb"&amp;"PM9kZ-k/edit#gid=0"", ""Monitoring Summary!C:C""),0)),""Not Monitored"")"),5.0)</f>
        <v>5</v>
      </c>
      <c r="AC106" s="264">
        <f t="shared" si="2"/>
        <v>0.004166666667</v>
      </c>
      <c r="AD106" s="750" t="str">
        <f>IFERROR(__xludf.DUMMYFUNCTION("TRANSPOSE(UNIQUE(INDEX(IMPORTRANGE(""https://docs.google.com/spreadsheets/d/1ixi8AjcKNNtDbvFdgSBtBV5c4FLMdnAD8yjARP1kjeA/edit#gid=402952771"", D106),,9)))"),"AP102")</f>
        <v>AP102</v>
      </c>
      <c r="AE106" s="749" t="str">
        <f>IFERROR(__xludf.DUMMYFUNCTION("""COMPUTED_VALUE"""),"AP104")</f>
        <v>AP104</v>
      </c>
      <c r="AF106" s="749" t="str">
        <f>IFERROR(__xludf.DUMMYFUNCTION("""COMPUTED_VALUE"""),"AP109")</f>
        <v>AP109</v>
      </c>
      <c r="AG106" s="749" t="str">
        <f>IFERROR(__xludf.DUMMYFUNCTION("""COMPUTED_VALUE"""),"AP11")</f>
        <v>AP11</v>
      </c>
      <c r="AH106" s="749" t="str">
        <f>IFERROR(__xludf.DUMMYFUNCTION("""COMPUTED_VALUE"""),"AP12")</f>
        <v>AP12</v>
      </c>
      <c r="AI106" s="749" t="str">
        <f>IFERROR(__xludf.DUMMYFUNCTION("""COMPUTED_VALUE"""),"AP121")</f>
        <v>AP121</v>
      </c>
      <c r="AJ106" s="749" t="str">
        <f>IFERROR(__xludf.DUMMYFUNCTION("""COMPUTED_VALUE"""),"AP124")</f>
        <v>AP124</v>
      </c>
      <c r="AK106" s="749" t="str">
        <f>IFERROR(__xludf.DUMMYFUNCTION("""COMPUTED_VALUE"""),"AP126")</f>
        <v>AP126</v>
      </c>
      <c r="AL106" s="749" t="str">
        <f>IFERROR(__xludf.DUMMYFUNCTION("""COMPUTED_VALUE"""),"AP129")</f>
        <v>AP129</v>
      </c>
      <c r="AM106" s="749" t="str">
        <f>IFERROR(__xludf.DUMMYFUNCTION("""COMPUTED_VALUE"""),"AP136")</f>
        <v>AP136</v>
      </c>
      <c r="AN106" s="749" t="str">
        <f>IFERROR(__xludf.DUMMYFUNCTION("""COMPUTED_VALUE"""),"AP139")</f>
        <v>AP139</v>
      </c>
      <c r="AO106" s="749" t="str">
        <f>IFERROR(__xludf.DUMMYFUNCTION("""COMPUTED_VALUE"""),"AP16")</f>
        <v>AP16</v>
      </c>
      <c r="AP106" s="749" t="str">
        <f>IFERROR(__xludf.DUMMYFUNCTION("""COMPUTED_VALUE"""),"AP17")</f>
        <v>AP17</v>
      </c>
      <c r="AQ106" s="749" t="str">
        <f>IFERROR(__xludf.DUMMYFUNCTION("""COMPUTED_VALUE"""),"AP23")</f>
        <v>AP23</v>
      </c>
      <c r="AR106" s="749" t="str">
        <f>IFERROR(__xludf.DUMMYFUNCTION("""COMPUTED_VALUE"""),"AP52")</f>
        <v>AP52</v>
      </c>
      <c r="AS106" s="749" t="str">
        <f>IFERROR(__xludf.DUMMYFUNCTION("""COMPUTED_VALUE"""),"AP59")</f>
        <v>AP59</v>
      </c>
      <c r="AT106" s="749" t="str">
        <f>IFERROR(__xludf.DUMMYFUNCTION("""COMPUTED_VALUE"""),"AP6")</f>
        <v>AP6</v>
      </c>
      <c r="AU106" s="749" t="str">
        <f>IFERROR(__xludf.DUMMYFUNCTION("""COMPUTED_VALUE"""),"AP60")</f>
        <v>AP60</v>
      </c>
      <c r="AV106" s="749" t="str">
        <f>IFERROR(__xludf.DUMMYFUNCTION("""COMPUTED_VALUE"""),"AP7")</f>
        <v>AP7</v>
      </c>
      <c r="AW106" s="749" t="str">
        <f>IFERROR(__xludf.DUMMYFUNCTION("""COMPUTED_VALUE"""),"AP76")</f>
        <v>AP76</v>
      </c>
      <c r="AX106" s="749" t="str">
        <f>IFERROR(__xludf.DUMMYFUNCTION("""COMPUTED_VALUE"""),"AP8")</f>
        <v>AP8</v>
      </c>
      <c r="AY106" s="749" t="str">
        <f>IFERROR(__xludf.DUMMYFUNCTION("""COMPUTED_VALUE"""),"AP82")</f>
        <v>AP82</v>
      </c>
      <c r="AZ106" s="749" t="str">
        <f>IFERROR(__xludf.DUMMYFUNCTION("""COMPUTED_VALUE"""),"AP84")</f>
        <v>AP84</v>
      </c>
      <c r="BA106" s="749" t="str">
        <f>IFERROR(__xludf.DUMMYFUNCTION("""COMPUTED_VALUE"""),"AP85")</f>
        <v>AP85</v>
      </c>
      <c r="BB106" s="749" t="str">
        <f>IFERROR(__xludf.DUMMYFUNCTION("""COMPUTED_VALUE"""),"AP93")</f>
        <v>AP93</v>
      </c>
      <c r="BC106" s="749" t="str">
        <f>IFERROR(__xludf.DUMMYFUNCTION("""COMPUTED_VALUE"""),"AP95")</f>
        <v>AP95</v>
      </c>
      <c r="BD106" s="749" t="str">
        <f>IFERROR(__xludf.DUMMYFUNCTION("""COMPUTED_VALUE"""),"AP97")</f>
        <v>AP97</v>
      </c>
      <c r="BE106" s="749"/>
      <c r="BF106" s="749"/>
      <c r="BG106" s="749"/>
      <c r="BH106" s="749"/>
      <c r="BI106" s="749"/>
      <c r="BJ106" s="749"/>
      <c r="BK106" s="749"/>
      <c r="BL106" s="749"/>
    </row>
    <row r="107">
      <c r="A107" s="805">
        <v>2023.0</v>
      </c>
      <c r="B107" s="845">
        <v>45077.0</v>
      </c>
      <c r="C107" s="805" t="s">
        <v>327</v>
      </c>
      <c r="D107" s="805" t="s">
        <v>1347</v>
      </c>
      <c r="E107" s="805" t="s">
        <v>170</v>
      </c>
      <c r="F107" s="805" t="s">
        <v>161</v>
      </c>
      <c r="G107" s="805" t="s">
        <v>89</v>
      </c>
      <c r="H107" s="805">
        <v>72.0</v>
      </c>
      <c r="I107" s="805" t="s">
        <v>1348</v>
      </c>
      <c r="J107" s="808">
        <v>24.54608</v>
      </c>
      <c r="K107" s="808">
        <v>-81.40651</v>
      </c>
      <c r="L107" s="800"/>
      <c r="M107" s="747">
        <v>45092.0</v>
      </c>
      <c r="N107" s="744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44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44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44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44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44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55"/>
      <c r="U107" s="746">
        <f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stats!C:C""),0))"),0.0)</f>
        <v>0</v>
      </c>
      <c r="V107" s="746">
        <f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stats!C3:C""),0))))"),1.0)</f>
        <v>1</v>
      </c>
      <c r="W107" s="746">
        <f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stats!C3:C""),0)))"),0.0)</f>
        <v>0</v>
      </c>
      <c r="X107" s="746">
        <f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stats!C3:C""),0))"),0.0)</f>
        <v>0</v>
      </c>
      <c r="Y107" s="799"/>
      <c r="Z107" s="800"/>
      <c r="AA107" s="262">
        <f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Monitored"")"),45295.0)</f>
        <v>45295</v>
      </c>
      <c r="AB107" s="263">
        <f>IFERROR(__xludf.DUMMYFUNCTION("IFERROR(INDEX(IMPORTRANGE(""https://docs.google.com/spreadsheets/d/1fpsE_0655xguD48cGK6n1ZqSLnI-tw9aHzhbPM9kZ-k/edit#gid=0"", ""Monitoring Summary!F:F""),MATCH(D107,IMPORTRANGE(""https://docs.google.com/spreadsheets/d/1fpsE_0655xguD48cGK6n1ZqSLnI-tw9aHzhb"&amp;"PM9kZ-k/edit#gid=0"", ""Monitoring Summary!C:C""),0)),""Not Monitored"")"),0.0)</f>
        <v>0</v>
      </c>
      <c r="AC107" s="264">
        <f t="shared" si="2"/>
        <v>0</v>
      </c>
      <c r="AD107" s="750" t="str">
        <f>IFERROR(__xludf.DUMMYFUNCTION("TRANSPOSE(UNIQUE(INDEX(IMPORTRANGE(""https://docs.google.com/spreadsheets/d/1ixi8AjcKNNtDbvFdgSBtBV5c4FLMdnAD8yjARP1kjeA/edit#gid=402952771"", D107),,9)))"),"AP122")</f>
        <v>AP122</v>
      </c>
      <c r="AE107" s="749" t="str">
        <f>IFERROR(__xludf.DUMMYFUNCTION("""COMPUTED_VALUE"""),"AP127")</f>
        <v>AP127</v>
      </c>
      <c r="AF107" s="749"/>
      <c r="AG107" s="749"/>
      <c r="AH107" s="749"/>
      <c r="AI107" s="749"/>
      <c r="AJ107" s="749"/>
      <c r="AK107" s="749"/>
      <c r="AL107" s="749"/>
      <c r="AM107" s="749"/>
      <c r="AN107" s="749"/>
      <c r="AO107" s="749"/>
      <c r="AP107" s="749"/>
      <c r="AQ107" s="749"/>
      <c r="AR107" s="749"/>
      <c r="AS107" s="749"/>
      <c r="AT107" s="749"/>
      <c r="AU107" s="749"/>
      <c r="AV107" s="749"/>
      <c r="AW107" s="749"/>
      <c r="AX107" s="749"/>
      <c r="AY107" s="749"/>
      <c r="AZ107" s="749"/>
      <c r="BA107" s="749"/>
      <c r="BB107" s="749"/>
      <c r="BC107" s="749"/>
      <c r="BD107" s="749"/>
      <c r="BE107" s="749"/>
      <c r="BF107" s="749"/>
      <c r="BG107" s="749"/>
      <c r="BH107" s="749"/>
      <c r="BI107" s="749"/>
      <c r="BJ107" s="749"/>
      <c r="BK107" s="749"/>
      <c r="BL107" s="749"/>
    </row>
    <row r="108">
      <c r="A108" s="863">
        <v>2023.0</v>
      </c>
      <c r="B108" s="864">
        <v>45082.0</v>
      </c>
      <c r="C108" s="863" t="s">
        <v>1349</v>
      </c>
      <c r="D108" s="863" t="s">
        <v>1350</v>
      </c>
      <c r="E108" s="863" t="s">
        <v>170</v>
      </c>
      <c r="F108" s="863" t="s">
        <v>161</v>
      </c>
      <c r="G108" s="863" t="s">
        <v>76</v>
      </c>
      <c r="H108" s="863">
        <v>600.0</v>
      </c>
      <c r="I108" s="863" t="s">
        <v>1351</v>
      </c>
      <c r="J108" s="865">
        <v>24.47342</v>
      </c>
      <c r="K108" s="865">
        <v>-81.74532</v>
      </c>
      <c r="L108" s="800"/>
      <c r="M108" s="747">
        <v>45118.0</v>
      </c>
      <c r="N108" s="744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44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44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44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44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44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55"/>
      <c r="U108" s="746" t="str">
        <f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746" t="str">
        <f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746" t="str">
        <f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746" t="str">
        <f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799"/>
      <c r="Z108" s="800"/>
      <c r="AA108" s="262" t="str">
        <f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Monitored"")"),"Not Monitored")</f>
        <v>Not Monitored</v>
      </c>
      <c r="AB108" s="263" t="str">
        <f>IFERROR(__xludf.DUMMYFUNCTION("IFERROR(INDEX(IMPORTRANGE(""https://docs.google.com/spreadsheets/d/1fpsE_0655xguD48cGK6n1ZqSLnI-tw9aHzhbPM9kZ-k/edit#gid=0"", ""Monitoring Summary!F:F""),MATCH(D108,IMPORTRANGE(""https://docs.google.com/spreadsheets/d/1fpsE_0655xguD48cGK6n1ZqSLnI-tw9aHzhb"&amp;"PM9kZ-k/edit#gid=0"", ""Monitoring Summary!C:C""),0)),""Not Monitored"")"),"Not Monitored")</f>
        <v>Not Monitored</v>
      </c>
      <c r="AC108" s="264" t="str">
        <f t="shared" si="2"/>
        <v>Not Monitored</v>
      </c>
      <c r="AD108" s="750" t="str">
        <f>IFERROR(__xludf.DUMMYFUNCTION("TRANSPOSE(UNIQUE(INDEX(IMPORTRANGE(""https://docs.google.com/spreadsheets/d/1ixi8AjcKNNtDbvFdgSBtBV5c4FLMdnAD8yjARP1kjeA/edit#gid=402952771"", D108),,9)))"),"AP125")</f>
        <v>AP125</v>
      </c>
      <c r="AE108" s="749" t="str">
        <f>IFERROR(__xludf.DUMMYFUNCTION("""COMPUTED_VALUE"""),"AP308")</f>
        <v>AP308</v>
      </c>
      <c r="AF108" s="749" t="str">
        <f>IFERROR(__xludf.DUMMYFUNCTION("""COMPUTED_VALUE"""),"AP305")</f>
        <v>AP305</v>
      </c>
      <c r="AG108" s="749" t="str">
        <f>IFERROR(__xludf.DUMMYFUNCTION("""COMPUTED_VALUE"""),"AP313")</f>
        <v>AP313</v>
      </c>
      <c r="AH108" s="749" t="str">
        <f>IFERROR(__xludf.DUMMYFUNCTION("""COMPUTED_VALUE"""),"AP316")</f>
        <v>AP316</v>
      </c>
      <c r="AI108" s="749" t="str">
        <f>IFERROR(__xludf.DUMMYFUNCTION("""COMPUTED_VALUE"""),"AP67")</f>
        <v>AP67</v>
      </c>
      <c r="AJ108" s="749" t="str">
        <f>IFERROR(__xludf.DUMMYFUNCTION("""COMPUTED_VALUE"""),"AP95")</f>
        <v>AP95</v>
      </c>
      <c r="AK108" s="749" t="str">
        <f>IFERROR(__xludf.DUMMYFUNCTION("""COMPUTED_VALUE"""),"AP138")</f>
        <v>AP138</v>
      </c>
      <c r="AL108" s="749" t="str">
        <f>IFERROR(__xludf.DUMMYFUNCTION("""COMPUTED_VALUE"""),"AP135")</f>
        <v>AP135</v>
      </c>
      <c r="AM108" s="749" t="str">
        <f>IFERROR(__xludf.DUMMYFUNCTION("""COMPUTED_VALUE"""),"AP126")</f>
        <v>AP126</v>
      </c>
      <c r="AN108" s="749" t="str">
        <f>IFERROR(__xludf.DUMMYFUNCTION("""COMPUTED_VALUE"""),"AP50")</f>
        <v>AP50</v>
      </c>
      <c r="AO108" s="749" t="str">
        <f>IFERROR(__xludf.DUMMYFUNCTION("""COMPUTED_VALUE"""),"AP7")</f>
        <v>AP7</v>
      </c>
      <c r="AP108" s="749" t="str">
        <f>IFERROR(__xludf.DUMMYFUNCTION("""COMPUTED_VALUE"""),"AP104")</f>
        <v>AP104</v>
      </c>
      <c r="AQ108" s="749" t="str">
        <f>IFERROR(__xludf.DUMMYFUNCTION("""COMPUTED_VALUE"""),"AP8")</f>
        <v>AP8</v>
      </c>
      <c r="AR108" s="749" t="str">
        <f>IFERROR(__xludf.DUMMYFUNCTION("""COMPUTED_VALUE"""),"AP19")</f>
        <v>AP19</v>
      </c>
      <c r="AS108" s="749" t="str">
        <f>IFERROR(__xludf.DUMMYFUNCTION("""COMPUTED_VALUE"""),"AP2")</f>
        <v>AP2</v>
      </c>
      <c r="AT108" s="749" t="str">
        <f>IFERROR(__xludf.DUMMYFUNCTION("""COMPUTED_VALUE"""),"AP100")</f>
        <v>AP100</v>
      </c>
      <c r="AU108" s="749" t="str">
        <f>IFERROR(__xludf.DUMMYFUNCTION("""COMPUTED_VALUE"""),"AP43")</f>
        <v>AP43</v>
      </c>
      <c r="AV108" s="749" t="str">
        <f>IFERROR(__xludf.DUMMYFUNCTION("""COMPUTED_VALUE"""),"AP20")</f>
        <v>AP20</v>
      </c>
      <c r="AW108" s="749"/>
      <c r="AX108" s="749"/>
      <c r="AY108" s="749"/>
      <c r="AZ108" s="749"/>
      <c r="BA108" s="749"/>
      <c r="BB108" s="749"/>
      <c r="BC108" s="749"/>
      <c r="BD108" s="749"/>
      <c r="BE108" s="749"/>
      <c r="BF108" s="749"/>
      <c r="BG108" s="749"/>
      <c r="BH108" s="749"/>
      <c r="BI108" s="749"/>
      <c r="BJ108" s="749"/>
      <c r="BK108" s="749"/>
      <c r="BL108" s="749"/>
    </row>
    <row r="109">
      <c r="A109" s="863">
        <v>2023.0</v>
      </c>
      <c r="B109" s="864">
        <v>45082.0</v>
      </c>
      <c r="C109" s="863" t="s">
        <v>1240</v>
      </c>
      <c r="D109" s="863" t="s">
        <v>1352</v>
      </c>
      <c r="E109" s="863" t="s">
        <v>170</v>
      </c>
      <c r="F109" s="863" t="s">
        <v>161</v>
      </c>
      <c r="G109" s="863" t="s">
        <v>78</v>
      </c>
      <c r="H109" s="863">
        <v>599.0</v>
      </c>
      <c r="I109" s="863" t="s">
        <v>1353</v>
      </c>
      <c r="J109" s="865">
        <v>24.48226</v>
      </c>
      <c r="K109" s="865">
        <v>-81.70522</v>
      </c>
      <c r="L109" s="800"/>
      <c r="M109" s="747">
        <v>45118.0</v>
      </c>
      <c r="N109" s="744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44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44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44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44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44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55"/>
      <c r="U109" s="746" t="str">
        <f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746" t="str">
        <f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746" t="str">
        <f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746" t="str">
        <f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799"/>
      <c r="Z109" s="800"/>
      <c r="AA109" s="262">
        <f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Monitored"")"),45257.0)</f>
        <v>45257</v>
      </c>
      <c r="AB109" s="263">
        <f>IFERROR(__xludf.DUMMYFUNCTION("IFERROR(INDEX(IMPORTRANGE(""https://docs.google.com/spreadsheets/d/1fpsE_0655xguD48cGK6n1ZqSLnI-tw9aHzhbPM9kZ-k/edit#gid=0"", ""Monitoring Summary!F:F""),MATCH(D109,IMPORTRANGE(""https://docs.google.com/spreadsheets/d/1fpsE_0655xguD48cGK6n1ZqSLnI-tw9aHzhb"&amp;"PM9kZ-k/edit#gid=0"", ""Monitoring Summary!C:C""),0)),""Not Monitored"")"),8.0)</f>
        <v>8</v>
      </c>
      <c r="AC109" s="264">
        <f t="shared" si="2"/>
        <v>0.01335559265</v>
      </c>
      <c r="AD109" s="750" t="str">
        <f>IFERROR(__xludf.DUMMYFUNCTION("TRANSPOSE(UNIQUE(INDEX(IMPORTRANGE(""https://docs.google.com/spreadsheets/d/1ixi8AjcKNNtDbvFdgSBtBV5c4FLMdnAD8yjARP1kjeA/edit#gid=402952771"", D109),,9)))"),"AP43")</f>
        <v>AP43</v>
      </c>
      <c r="AE109" s="749" t="str">
        <f>IFERROR(__xludf.DUMMYFUNCTION("""COMPUTED_VALUE"""),"AP310")</f>
        <v>AP310</v>
      </c>
      <c r="AF109" s="749" t="str">
        <f>IFERROR(__xludf.DUMMYFUNCTION("""COMPUTED_VALUE"""),"AP61")</f>
        <v>AP61</v>
      </c>
      <c r="AG109" s="749" t="str">
        <f>IFERROR(__xludf.DUMMYFUNCTION("""COMPUTED_VALUE"""),"AP5")</f>
        <v>AP5</v>
      </c>
      <c r="AH109" s="749" t="str">
        <f>IFERROR(__xludf.DUMMYFUNCTION("""COMPUTED_VALUE"""),"AP68")</f>
        <v>AP68</v>
      </c>
      <c r="AI109" s="749" t="str">
        <f>IFERROR(__xludf.DUMMYFUNCTION("""COMPUTED_VALUE"""),"AP102")</f>
        <v>AP102</v>
      </c>
      <c r="AJ109" s="749" t="str">
        <f>IFERROR(__xludf.DUMMYFUNCTION("""COMPUTED_VALUE"""),"AP135")</f>
        <v>AP135</v>
      </c>
      <c r="AK109" s="749" t="str">
        <f>IFERROR(__xludf.DUMMYFUNCTION("""COMPUTED_VALUE"""),"AP24")</f>
        <v>AP24</v>
      </c>
      <c r="AL109" s="749" t="str">
        <f>IFERROR(__xludf.DUMMYFUNCTION("""COMPUTED_VALUE"""),"AP44")</f>
        <v>AP44</v>
      </c>
      <c r="AM109" s="749" t="str">
        <f>IFERROR(__xludf.DUMMYFUNCTION("""COMPUTED_VALUE"""),"AP94")</f>
        <v>AP94</v>
      </c>
      <c r="AN109" s="749" t="str">
        <f>IFERROR(__xludf.DUMMYFUNCTION("""COMPUTED_VALUE"""),"AP11")</f>
        <v>AP11</v>
      </c>
      <c r="AO109" s="749" t="str">
        <f>IFERROR(__xludf.DUMMYFUNCTION("""COMPUTED_VALUE"""),"AP66")</f>
        <v>AP66</v>
      </c>
      <c r="AP109" s="749" t="str">
        <f>IFERROR(__xludf.DUMMYFUNCTION("""COMPUTED_VALUE"""),"AP89")</f>
        <v>AP89</v>
      </c>
      <c r="AQ109" s="749" t="str">
        <f>IFERROR(__xludf.DUMMYFUNCTION("""COMPUTED_VALUE"""),"AP23")</f>
        <v>AP23</v>
      </c>
      <c r="AR109" s="749" t="str">
        <f>IFERROR(__xludf.DUMMYFUNCTION("""COMPUTED_VALUE"""),"AP88")</f>
        <v>AP88</v>
      </c>
      <c r="AS109" s="749" t="str">
        <f>IFERROR(__xludf.DUMMYFUNCTION("""COMPUTED_VALUE"""),"AP134")</f>
        <v>AP134</v>
      </c>
      <c r="AT109" s="749" t="str">
        <f>IFERROR(__xludf.DUMMYFUNCTION("""COMPUTED_VALUE"""),"AP8")</f>
        <v>AP8</v>
      </c>
      <c r="AU109" s="749" t="str">
        <f>IFERROR(__xludf.DUMMYFUNCTION("""COMPUTED_VALUE"""),"AP93")</f>
        <v>AP93</v>
      </c>
      <c r="AV109" s="749"/>
      <c r="AW109" s="749"/>
      <c r="AX109" s="749"/>
      <c r="AY109" s="749"/>
      <c r="AZ109" s="749"/>
      <c r="BA109" s="749"/>
      <c r="BB109" s="749"/>
      <c r="BC109" s="749"/>
      <c r="BD109" s="749"/>
      <c r="BE109" s="749"/>
      <c r="BF109" s="749"/>
      <c r="BG109" s="749"/>
      <c r="BH109" s="749"/>
      <c r="BI109" s="749"/>
      <c r="BJ109" s="749"/>
      <c r="BK109" s="749"/>
      <c r="BL109" s="749"/>
    </row>
    <row r="110">
      <c r="A110" s="863">
        <v>2023.0</v>
      </c>
      <c r="B110" s="864">
        <v>45106.0</v>
      </c>
      <c r="C110" s="863" t="s">
        <v>1354</v>
      </c>
      <c r="D110" s="863" t="s">
        <v>1355</v>
      </c>
      <c r="E110" s="863" t="s">
        <v>170</v>
      </c>
      <c r="F110" s="863" t="s">
        <v>161</v>
      </c>
      <c r="G110" s="863" t="s">
        <v>80</v>
      </c>
      <c r="H110" s="863">
        <v>600.0</v>
      </c>
      <c r="I110" s="863" t="s">
        <v>1337</v>
      </c>
      <c r="J110" s="865">
        <v>24.77643</v>
      </c>
      <c r="K110" s="865">
        <v>-80.73655</v>
      </c>
      <c r="L110" s="800"/>
      <c r="M110" s="747">
        <v>45139.0</v>
      </c>
      <c r="N110" s="744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44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44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44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44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44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55"/>
      <c r="U110" s="746" t="str">
        <f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746" t="str">
        <f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746" t="str">
        <f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746" t="str">
        <f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799"/>
      <c r="Z110" s="800"/>
      <c r="AA110" s="262" t="str">
        <f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Monitored"")"),"Not Monitored")</f>
        <v>Not Monitored</v>
      </c>
      <c r="AB110" s="263" t="str">
        <f>IFERROR(__xludf.DUMMYFUNCTION("IFERROR(INDEX(IMPORTRANGE(""https://docs.google.com/spreadsheets/d/1fpsE_0655xguD48cGK6n1ZqSLnI-tw9aHzhbPM9kZ-k/edit#gid=0"", ""Monitoring Summary!F:F""),MATCH(D110,IMPORTRANGE(""https://docs.google.com/spreadsheets/d/1fpsE_0655xguD48cGK6n1ZqSLnI-tw9aHzhb"&amp;"PM9kZ-k/edit#gid=0"", ""Monitoring Summary!C:C""),0)),""Not Monitored"")"),"Not Monitored")</f>
        <v>Not Monitored</v>
      </c>
      <c r="AC110" s="264" t="str">
        <f t="shared" si="2"/>
        <v>Not Monitored</v>
      </c>
      <c r="AD110" s="750" t="str">
        <f>IFERROR(__xludf.DUMMYFUNCTION("TRANSPOSE(UNIQUE(INDEX(IMPORTRANGE(""https://docs.google.com/spreadsheets/d/1ixi8AjcKNNtDbvFdgSBtBV5c4FLMdnAD8yjARP1kjeA/edit#gid=402952771"", D110),,9)))"),"AP53")</f>
        <v>AP53</v>
      </c>
      <c r="AE110" s="749" t="str">
        <f>IFERROR(__xludf.DUMMYFUNCTION("""COMPUTED_VALUE"""),"AP86")</f>
        <v>AP86</v>
      </c>
      <c r="AF110" s="749" t="str">
        <f>IFERROR(__xludf.DUMMYFUNCTION("""COMPUTED_VALUE"""),"AP89")</f>
        <v>AP89</v>
      </c>
      <c r="AG110" s="749" t="str">
        <f>IFERROR(__xludf.DUMMYFUNCTION("""COMPUTED_VALUE"""),"AP93")</f>
        <v>AP93</v>
      </c>
      <c r="AH110" s="749" t="str">
        <f>IFERROR(__xludf.DUMMYFUNCTION("""COMPUTED_VALUE"""),"AP135")</f>
        <v>AP135</v>
      </c>
      <c r="AI110" s="749" t="str">
        <f>IFERROR(__xludf.DUMMYFUNCTION("""COMPUTED_VALUE"""),"AP136")</f>
        <v>AP136</v>
      </c>
      <c r="AJ110" s="749" t="str">
        <f>IFERROR(__xludf.DUMMYFUNCTION("""COMPUTED_VALUE"""),"AP21")</f>
        <v>AP21</v>
      </c>
      <c r="AK110" s="749" t="str">
        <f>IFERROR(__xludf.DUMMYFUNCTION("""COMPUTED_VALUE"""),"AP60")</f>
        <v>AP60</v>
      </c>
      <c r="AL110" s="749" t="str">
        <f>IFERROR(__xludf.DUMMYFUNCTION("""COMPUTED_VALUE"""),"AP8")</f>
        <v>AP8</v>
      </c>
      <c r="AM110" s="749" t="str">
        <f>IFERROR(__xludf.DUMMYFUNCTION("""COMPUTED_VALUE"""),"AP100")</f>
        <v>AP100</v>
      </c>
      <c r="AN110" s="749" t="str">
        <f>IFERROR(__xludf.DUMMYFUNCTION("""COMPUTED_VALUE"""),"AP14")</f>
        <v>AP14</v>
      </c>
      <c r="AO110" s="749" t="str">
        <f>IFERROR(__xludf.DUMMYFUNCTION("""COMPUTED_VALUE"""),"AP2")</f>
        <v>AP2</v>
      </c>
      <c r="AP110" s="749" t="str">
        <f>IFERROR(__xludf.DUMMYFUNCTION("""COMPUTED_VALUE"""),"AP51")</f>
        <v>AP51</v>
      </c>
      <c r="AQ110" s="749" t="str">
        <f>IFERROR(__xludf.DUMMYFUNCTION("""COMPUTED_VALUE"""),"AP64")</f>
        <v>AP64</v>
      </c>
      <c r="AR110" s="749" t="str">
        <f>IFERROR(__xludf.DUMMYFUNCTION("""COMPUTED_VALUE"""),"AP74")</f>
        <v>AP74</v>
      </c>
      <c r="AS110" s="749" t="str">
        <f>IFERROR(__xludf.DUMMYFUNCTION("""COMPUTED_VALUE"""),"AP76")</f>
        <v>AP76</v>
      </c>
      <c r="AT110" s="749" t="str">
        <f>IFERROR(__xludf.DUMMYFUNCTION("""COMPUTED_VALUE"""),"AP91")</f>
        <v>AP91</v>
      </c>
      <c r="AU110" s="749" t="str">
        <f>IFERROR(__xludf.DUMMYFUNCTION("""COMPUTED_VALUE"""),"AP42")</f>
        <v>AP42</v>
      </c>
      <c r="AV110" s="749" t="str">
        <f>IFERROR(__xludf.DUMMYFUNCTION("""COMPUTED_VALUE"""),"AP116")</f>
        <v>AP116</v>
      </c>
      <c r="AW110" s="749" t="str">
        <f>IFERROR(__xludf.DUMMYFUNCTION("""COMPUTED_VALUE"""),"AP28")</f>
        <v>AP28</v>
      </c>
      <c r="AX110" s="749" t="str">
        <f>IFERROR(__xludf.DUMMYFUNCTION("""COMPUTED_VALUE"""),"AP70")</f>
        <v>AP70</v>
      </c>
      <c r="AY110" s="749" t="str">
        <f>IFERROR(__xludf.DUMMYFUNCTION("""COMPUTED_VALUE"""),"AP104")</f>
        <v>AP104</v>
      </c>
      <c r="AZ110" s="749" t="str">
        <f>IFERROR(__xludf.DUMMYFUNCTION("""COMPUTED_VALUE"""),"AP57")</f>
        <v>AP57</v>
      </c>
      <c r="BA110" s="749" t="str">
        <f>IFERROR(__xludf.DUMMYFUNCTION("""COMPUTED_VALUE"""),"AP65")</f>
        <v>AP65</v>
      </c>
      <c r="BB110" s="749" t="str">
        <f>IFERROR(__xludf.DUMMYFUNCTION("""COMPUTED_VALUE"""),"AP37")</f>
        <v>AP37</v>
      </c>
      <c r="BC110" s="749" t="str">
        <f>IFERROR(__xludf.DUMMYFUNCTION("""COMPUTED_VALUE"""),"AP72")</f>
        <v>AP72</v>
      </c>
      <c r="BD110" s="749"/>
      <c r="BE110" s="749"/>
      <c r="BF110" s="749"/>
      <c r="BG110" s="749"/>
      <c r="BH110" s="749"/>
      <c r="BI110" s="749"/>
      <c r="BJ110" s="749"/>
      <c r="BK110" s="749"/>
      <c r="BL110" s="749"/>
    </row>
    <row r="111">
      <c r="A111" s="863">
        <v>2023.0</v>
      </c>
      <c r="B111" s="864">
        <v>45106.0</v>
      </c>
      <c r="C111" s="863" t="s">
        <v>1356</v>
      </c>
      <c r="D111" s="863" t="s">
        <v>1357</v>
      </c>
      <c r="E111" s="863" t="s">
        <v>170</v>
      </c>
      <c r="F111" s="863" t="s">
        <v>161</v>
      </c>
      <c r="G111" s="863" t="s">
        <v>80</v>
      </c>
      <c r="H111" s="863">
        <v>603.0</v>
      </c>
      <c r="I111" s="863" t="s">
        <v>1358</v>
      </c>
      <c r="J111" s="865">
        <v>24.68468</v>
      </c>
      <c r="K111" s="865">
        <v>-80.96602</v>
      </c>
      <c r="L111" s="800"/>
      <c r="M111" s="747">
        <v>45139.0</v>
      </c>
      <c r="N111" s="744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44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44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44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44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44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55"/>
      <c r="U111" s="746" t="str">
        <f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746" t="str">
        <f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746" t="str">
        <f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746" t="str">
        <f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799"/>
      <c r="Z111" s="800"/>
      <c r="AA111" s="262" t="str">
        <f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Monitored"")"),"Not Monitored")</f>
        <v>Not Monitored</v>
      </c>
      <c r="AB111" s="263" t="str">
        <f>IFERROR(__xludf.DUMMYFUNCTION("IFERROR(INDEX(IMPORTRANGE(""https://docs.google.com/spreadsheets/d/1fpsE_0655xguD48cGK6n1ZqSLnI-tw9aHzhbPM9kZ-k/edit#gid=0"", ""Monitoring Summary!F:F""),MATCH(D111,IMPORTRANGE(""https://docs.google.com/spreadsheets/d/1fpsE_0655xguD48cGK6n1ZqSLnI-tw9aHzhb"&amp;"PM9kZ-k/edit#gid=0"", ""Monitoring Summary!C:C""),0)),""Not Monitored"")"),"Not Monitored")</f>
        <v>Not Monitored</v>
      </c>
      <c r="AC111" s="264" t="str">
        <f t="shared" si="2"/>
        <v>Not Monitored</v>
      </c>
      <c r="AD111" s="750" t="str">
        <f>IFERROR(__xludf.DUMMYFUNCTION("TRANSPOSE(UNIQUE(INDEX(IMPORTRANGE(""https://docs.google.com/spreadsheets/d/1ixi8AjcKNNtDbvFdgSBtBV5c4FLMdnAD8yjARP1kjeA/edit#gid=402952771"", D111),,9)))"),"AP106")</f>
        <v>AP106</v>
      </c>
      <c r="AE111" s="749" t="str">
        <f>IFERROR(__xludf.DUMMYFUNCTION("""COMPUTED_VALUE"""),"AP87")</f>
        <v>AP87</v>
      </c>
      <c r="AF111" s="749" t="str">
        <f>IFERROR(__xludf.DUMMYFUNCTION("""COMPUTED_VALUE"""),"AP101")</f>
        <v>AP101</v>
      </c>
      <c r="AG111" s="749" t="str">
        <f>IFERROR(__xludf.DUMMYFUNCTION("""COMPUTED_VALUE"""),"AP136")</f>
        <v>AP136</v>
      </c>
      <c r="AH111" s="749" t="str">
        <f>IFERROR(__xludf.DUMMYFUNCTION("""COMPUTED_VALUE"""),"AP68")</f>
        <v>AP68</v>
      </c>
      <c r="AI111" s="749" t="str">
        <f>IFERROR(__xludf.DUMMYFUNCTION("""COMPUTED_VALUE"""),"AP28")</f>
        <v>AP28</v>
      </c>
      <c r="AJ111" s="749" t="str">
        <f>IFERROR(__xludf.DUMMYFUNCTION("""COMPUTED_VALUE"""),"AP8")</f>
        <v>AP8</v>
      </c>
      <c r="AK111" s="749" t="str">
        <f>IFERROR(__xludf.DUMMYFUNCTION("""COMPUTED_VALUE"""),"AP20")</f>
        <v>AP20</v>
      </c>
      <c r="AL111" s="749" t="str">
        <f>IFERROR(__xludf.DUMMYFUNCTION("""COMPUTED_VALUE"""),"AP58")</f>
        <v>AP58</v>
      </c>
      <c r="AM111" s="749" t="str">
        <f>IFERROR(__xludf.DUMMYFUNCTION("""COMPUTED_VALUE"""),"AP71")</f>
        <v>AP71</v>
      </c>
      <c r="AN111" s="749" t="str">
        <f>IFERROR(__xludf.DUMMYFUNCTION("""COMPUTED_VALUE"""),"AP74")</f>
        <v>AP74</v>
      </c>
      <c r="AO111" s="749" t="str">
        <f>IFERROR(__xludf.DUMMYFUNCTION("""COMPUTED_VALUE"""),"AP50")</f>
        <v>AP50</v>
      </c>
      <c r="AP111" s="749" t="str">
        <f>IFERROR(__xludf.DUMMYFUNCTION("""COMPUTED_VALUE"""),"AP60")</f>
        <v>AP60</v>
      </c>
      <c r="AQ111" s="749"/>
      <c r="AR111" s="749"/>
      <c r="AS111" s="749"/>
      <c r="AT111" s="749"/>
      <c r="AU111" s="749"/>
      <c r="AV111" s="749"/>
      <c r="AW111" s="749"/>
      <c r="AX111" s="749"/>
      <c r="AY111" s="749"/>
      <c r="AZ111" s="749"/>
      <c r="BA111" s="749"/>
      <c r="BB111" s="749"/>
      <c r="BC111" s="749"/>
      <c r="BD111" s="749"/>
      <c r="BE111" s="749"/>
      <c r="BF111" s="749"/>
      <c r="BG111" s="749"/>
      <c r="BH111" s="749"/>
      <c r="BI111" s="749"/>
      <c r="BJ111" s="749"/>
      <c r="BK111" s="749"/>
      <c r="BL111" s="749"/>
    </row>
    <row r="112">
      <c r="A112" s="863">
        <v>2023.0</v>
      </c>
      <c r="B112" s="864">
        <v>45110.0</v>
      </c>
      <c r="C112" s="863" t="s">
        <v>168</v>
      </c>
      <c r="D112" s="863" t="s">
        <v>1359</v>
      </c>
      <c r="E112" s="863" t="s">
        <v>170</v>
      </c>
      <c r="F112" s="863" t="s">
        <v>161</v>
      </c>
      <c r="G112" s="863" t="s">
        <v>78</v>
      </c>
      <c r="H112" s="863">
        <v>612.0</v>
      </c>
      <c r="I112" s="863" t="s">
        <v>1360</v>
      </c>
      <c r="J112" s="865">
        <v>24.52206</v>
      </c>
      <c r="K112" s="865">
        <v>-81.52215</v>
      </c>
      <c r="L112" s="800"/>
      <c r="M112" s="747">
        <v>45141.0</v>
      </c>
      <c r="N112" s="744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44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44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44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44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44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55"/>
      <c r="U112" s="746" t="str">
        <f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746" t="str">
        <f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746" t="str">
        <f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746" t="str">
        <f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799"/>
      <c r="Z112" s="800"/>
      <c r="AA112" s="262">
        <f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Monitored"")"),45198.0)</f>
        <v>45198</v>
      </c>
      <c r="AB112" s="263">
        <f>IFERROR(__xludf.DUMMYFUNCTION("IFERROR(INDEX(IMPORTRANGE(""https://docs.google.com/spreadsheets/d/1fpsE_0655xguD48cGK6n1ZqSLnI-tw9aHzhbPM9kZ-k/edit#gid=0"", ""Monitoring Summary!F:F""),MATCH(D112,IMPORTRANGE(""https://docs.google.com/spreadsheets/d/1fpsE_0655xguD48cGK6n1ZqSLnI-tw9aHzhb"&amp;"PM9kZ-k/edit#gid=0"", ""Monitoring Summary!C:C""),0)),""Not Monitored"")"),2.0)</f>
        <v>2</v>
      </c>
      <c r="AC112" s="264">
        <f t="shared" si="2"/>
        <v>0.003267973856</v>
      </c>
      <c r="AD112" s="750" t="str">
        <f>IFERROR(__xludf.DUMMYFUNCTION("TRANSPOSE(UNIQUE(INDEX(IMPORTRANGE(""https://docs.google.com/spreadsheets/d/1ixi8AjcKNNtDbvFdgSBtBV5c4FLMdnAD8yjARP1kjeA/edit#gid=402952771"", D112),,9)))"),"AP13")</f>
        <v>AP13</v>
      </c>
      <c r="AE112" s="749" t="str">
        <f>IFERROR(__xludf.DUMMYFUNCTION("""COMPUTED_VALUE"""),"AP121")</f>
        <v>AP121</v>
      </c>
      <c r="AF112" s="749" t="str">
        <f>IFERROR(__xludf.DUMMYFUNCTION("""COMPUTED_VALUE"""),"AP75")</f>
        <v>AP75</v>
      </c>
      <c r="AG112" s="749" t="str">
        <f>IFERROR(__xludf.DUMMYFUNCTION("""COMPUTED_VALUE"""),"AP9")</f>
        <v>AP9</v>
      </c>
      <c r="AH112" s="749" t="str">
        <f>IFERROR(__xludf.DUMMYFUNCTION("""COMPUTED_VALUE"""),"AP59")</f>
        <v>AP59</v>
      </c>
      <c r="AI112" s="749" t="str">
        <f>IFERROR(__xludf.DUMMYFUNCTION("""COMPUTED_VALUE"""),"AP80")</f>
        <v>AP80</v>
      </c>
      <c r="AJ112" s="749" t="str">
        <f>IFERROR(__xludf.DUMMYFUNCTION("""COMPUTED_VALUE"""),"AP108")</f>
        <v>AP108</v>
      </c>
      <c r="AK112" s="749" t="str">
        <f>IFERROR(__xludf.DUMMYFUNCTION("""COMPUTED_VALUE"""),"AP68")</f>
        <v>AP68</v>
      </c>
      <c r="AL112" s="749" t="str">
        <f>IFERROR(__xludf.DUMMYFUNCTION("""COMPUTED_VALUE"""),"AP129")</f>
        <v>AP129</v>
      </c>
      <c r="AM112" s="749" t="str">
        <f>IFERROR(__xludf.DUMMYFUNCTION("""COMPUTED_VALUE"""),"AP12")</f>
        <v>AP12</v>
      </c>
      <c r="AN112" s="749" t="str">
        <f>IFERROR(__xludf.DUMMYFUNCTION("""COMPUTED_VALUE"""),"AP29")</f>
        <v>AP29</v>
      </c>
      <c r="AO112" s="749" t="str">
        <f>IFERROR(__xludf.DUMMYFUNCTION("""COMPUTED_VALUE"""),"AP21")</f>
        <v>AP21</v>
      </c>
      <c r="AP112" s="749" t="str">
        <f>IFERROR(__xludf.DUMMYFUNCTION("""COMPUTED_VALUE"""),"AP16")</f>
        <v>AP16</v>
      </c>
      <c r="AQ112" s="749" t="str">
        <f>IFERROR(__xludf.DUMMYFUNCTION("""COMPUTED_VALUE"""),"AP102")</f>
        <v>AP102</v>
      </c>
      <c r="AR112" s="749" t="str">
        <f>IFERROR(__xludf.DUMMYFUNCTION("""COMPUTED_VALUE"""),"AP41")</f>
        <v>AP41</v>
      </c>
      <c r="AS112" s="749"/>
      <c r="AT112" s="749"/>
      <c r="AU112" s="749"/>
      <c r="AV112" s="749"/>
      <c r="AW112" s="749"/>
      <c r="AX112" s="749"/>
      <c r="AY112" s="749"/>
      <c r="AZ112" s="749"/>
      <c r="BA112" s="749"/>
      <c r="BB112" s="749"/>
      <c r="BC112" s="749"/>
      <c r="BD112" s="749"/>
      <c r="BE112" s="749"/>
      <c r="BF112" s="749"/>
      <c r="BG112" s="749"/>
      <c r="BH112" s="749"/>
      <c r="BI112" s="749"/>
      <c r="BJ112" s="749"/>
      <c r="BK112" s="749"/>
      <c r="BL112" s="749"/>
    </row>
    <row r="113">
      <c r="A113" s="863">
        <v>2023.0</v>
      </c>
      <c r="B113" s="864">
        <v>45110.0</v>
      </c>
      <c r="C113" s="863" t="s">
        <v>1361</v>
      </c>
      <c r="D113" s="863" t="s">
        <v>1362</v>
      </c>
      <c r="E113" s="863" t="s">
        <v>170</v>
      </c>
      <c r="F113" s="863" t="s">
        <v>161</v>
      </c>
      <c r="G113" s="863" t="s">
        <v>78</v>
      </c>
      <c r="H113" s="863">
        <v>594.0</v>
      </c>
      <c r="I113" s="863" t="s">
        <v>1363</v>
      </c>
      <c r="J113" s="865">
        <v>24.51066</v>
      </c>
      <c r="K113" s="865">
        <v>-81.56993</v>
      </c>
      <c r="L113" s="800"/>
      <c r="M113" s="747">
        <v>45141.0</v>
      </c>
      <c r="N113" s="744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44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44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44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44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44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55"/>
      <c r="U113" s="746" t="str">
        <f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746" t="str">
        <f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746" t="str">
        <f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746" t="str">
        <f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799"/>
      <c r="Z113" s="800"/>
      <c r="AA113" s="262">
        <f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Monitored"")"),45198.0)</f>
        <v>45198</v>
      </c>
      <c r="AB113" s="263">
        <f>IFERROR(__xludf.DUMMYFUNCTION("IFERROR(INDEX(IMPORTRANGE(""https://docs.google.com/spreadsheets/d/1fpsE_0655xguD48cGK6n1ZqSLnI-tw9aHzhbPM9kZ-k/edit#gid=0"", ""Monitoring Summary!F:F""),MATCH(D113,IMPORTRANGE(""https://docs.google.com/spreadsheets/d/1fpsE_0655xguD48cGK6n1ZqSLnI-tw9aHzhb"&amp;"PM9kZ-k/edit#gid=0"", ""Monitoring Summary!C:C""),0)),""Not Monitored"")"),2.0)</f>
        <v>2</v>
      </c>
      <c r="AC113" s="264">
        <f t="shared" si="2"/>
        <v>0.003367003367</v>
      </c>
      <c r="AD113" s="750" t="str">
        <f>IFERROR(__xludf.DUMMYFUNCTION("TRANSPOSE(UNIQUE(INDEX(IMPORTRANGE(""https://docs.google.com/spreadsheets/d/1ixi8AjcKNNtDbvFdgSBtBV5c4FLMdnAD8yjARP1kjeA/edit#gid=402952771"", D113),,9)))"),"AP87")</f>
        <v>AP87</v>
      </c>
      <c r="AE113" s="749" t="str">
        <f>IFERROR(__xludf.DUMMYFUNCTION("""COMPUTED_VALUE"""),"AP21")</f>
        <v>AP21</v>
      </c>
      <c r="AF113" s="749" t="str">
        <f>IFERROR(__xludf.DUMMYFUNCTION("""COMPUTED_VALUE"""),"AP24")</f>
        <v>AP24</v>
      </c>
      <c r="AG113" s="749" t="str">
        <f>IFERROR(__xludf.DUMMYFUNCTION("""COMPUTED_VALUE"""),"AP26")</f>
        <v>AP26</v>
      </c>
      <c r="AH113" s="749" t="str">
        <f>IFERROR(__xludf.DUMMYFUNCTION("""COMPUTED_VALUE"""),"AP50")</f>
        <v>AP50</v>
      </c>
      <c r="AI113" s="749" t="str">
        <f>IFERROR(__xludf.DUMMYFUNCTION("""COMPUTED_VALUE"""),"AP44")</f>
        <v>AP44</v>
      </c>
      <c r="AJ113" s="749" t="str">
        <f>IFERROR(__xludf.DUMMYFUNCTION("""COMPUTED_VALUE"""),"AP94")</f>
        <v>AP94</v>
      </c>
      <c r="AK113" s="749" t="str">
        <f>IFERROR(__xludf.DUMMYFUNCTION("""COMPUTED_VALUE"""),"AP75")</f>
        <v>AP75</v>
      </c>
      <c r="AL113" s="749" t="str">
        <f>IFERROR(__xludf.DUMMYFUNCTION("""COMPUTED_VALUE"""),"AP41")</f>
        <v>AP41</v>
      </c>
      <c r="AM113" s="749" t="str">
        <f>IFERROR(__xludf.DUMMYFUNCTION("""COMPUTED_VALUE"""),"AP8")</f>
        <v>AP8</v>
      </c>
      <c r="AN113" s="749" t="str">
        <f>IFERROR(__xludf.DUMMYFUNCTION("""COMPUTED_VALUE"""),"AP126")</f>
        <v>AP126</v>
      </c>
      <c r="AO113" s="749" t="str">
        <f>IFERROR(__xludf.DUMMYFUNCTION("""COMPUTED_VALUE"""),"AP101")</f>
        <v>AP101</v>
      </c>
      <c r="AP113" s="749" t="str">
        <f>IFERROR(__xludf.DUMMYFUNCTION("""COMPUTED_VALUE"""),"AP16")</f>
        <v>AP16</v>
      </c>
      <c r="AQ113" s="749" t="str">
        <f>IFERROR(__xludf.DUMMYFUNCTION("""COMPUTED_VALUE"""),"AP95")</f>
        <v>AP95</v>
      </c>
      <c r="AR113" s="749" t="str">
        <f>IFERROR(__xludf.DUMMYFUNCTION("""COMPUTED_VALUE"""),"AP121")</f>
        <v>AP121</v>
      </c>
      <c r="AS113" s="749" t="str">
        <f>IFERROR(__xludf.DUMMYFUNCTION("""COMPUTED_VALUE"""),"AP85")</f>
        <v>AP85</v>
      </c>
      <c r="AT113" s="749" t="str">
        <f>IFERROR(__xludf.DUMMYFUNCTION("""COMPUTED_VALUE"""),"AP102")</f>
        <v>AP102</v>
      </c>
      <c r="AU113" s="749"/>
      <c r="AV113" s="749"/>
      <c r="AW113" s="749"/>
      <c r="AX113" s="749"/>
      <c r="AY113" s="749"/>
      <c r="AZ113" s="749"/>
      <c r="BA113" s="749"/>
      <c r="BB113" s="749"/>
      <c r="BC113" s="749"/>
      <c r="BD113" s="749"/>
      <c r="BE113" s="749"/>
      <c r="BF113" s="749"/>
      <c r="BG113" s="749"/>
      <c r="BH113" s="749"/>
      <c r="BI113" s="749"/>
      <c r="BJ113" s="749"/>
      <c r="BK113" s="749"/>
      <c r="BL113" s="749"/>
    </row>
    <row r="114">
      <c r="A114" s="863">
        <v>2023.0</v>
      </c>
      <c r="B114" s="864">
        <v>45111.0</v>
      </c>
      <c r="C114" s="863" t="s">
        <v>962</v>
      </c>
      <c r="D114" s="863" t="s">
        <v>1364</v>
      </c>
      <c r="E114" s="863" t="s">
        <v>170</v>
      </c>
      <c r="F114" s="863" t="s">
        <v>161</v>
      </c>
      <c r="G114" s="863" t="s">
        <v>80</v>
      </c>
      <c r="H114" s="863">
        <v>596.0</v>
      </c>
      <c r="I114" s="863" t="s">
        <v>1365</v>
      </c>
      <c r="J114" s="865">
        <v>24.6264</v>
      </c>
      <c r="K114" s="865">
        <v>-81.10957</v>
      </c>
      <c r="L114" s="800"/>
      <c r="M114" s="747">
        <v>45139.0</v>
      </c>
      <c r="N114" s="744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44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44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44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44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44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55"/>
      <c r="U114" s="746" t="str">
        <f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746" t="str">
        <f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746" t="str">
        <f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746" t="str">
        <f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799"/>
      <c r="Z114" s="800"/>
      <c r="AA114" s="262" t="str">
        <f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Monitored"")"),"Not Monitored")</f>
        <v>Not Monitored</v>
      </c>
      <c r="AB114" s="263" t="str">
        <f>IFERROR(__xludf.DUMMYFUNCTION("IFERROR(INDEX(IMPORTRANGE(""https://docs.google.com/spreadsheets/d/1fpsE_0655xguD48cGK6n1ZqSLnI-tw9aHzhbPM9kZ-k/edit#gid=0"", ""Monitoring Summary!F:F""),MATCH(D114,IMPORTRANGE(""https://docs.google.com/spreadsheets/d/1fpsE_0655xguD48cGK6n1ZqSLnI-tw9aHzhb"&amp;"PM9kZ-k/edit#gid=0"", ""Monitoring Summary!C:C""),0)),""Not Monitored"")"),"Not Monitored")</f>
        <v>Not Monitored</v>
      </c>
      <c r="AC114" s="264" t="str">
        <f t="shared" si="2"/>
        <v>Not Monitored</v>
      </c>
      <c r="AD114" s="750" t="str">
        <f>IFERROR(__xludf.DUMMYFUNCTION("TRANSPOSE(UNIQUE(INDEX(IMPORTRANGE(""https://docs.google.com/spreadsheets/d/1ixi8AjcKNNtDbvFdgSBtBV5c4FLMdnAD8yjARP1kjeA/edit#gid=402952771"", D114),,9)))"),"AP129")</f>
        <v>AP129</v>
      </c>
      <c r="AE114" s="749" t="str">
        <f>IFERROR(__xludf.DUMMYFUNCTION("""COMPUTED_VALUE"""),"AP23")</f>
        <v>AP23</v>
      </c>
      <c r="AF114" s="749" t="str">
        <f>IFERROR(__xludf.DUMMYFUNCTION("""COMPUTED_VALUE"""),"AP27")</f>
        <v>AP27</v>
      </c>
      <c r="AG114" s="749" t="str">
        <f>IFERROR(__xludf.DUMMYFUNCTION("""COMPUTED_VALUE"""),"AP53")</f>
        <v>AP53</v>
      </c>
      <c r="AH114" s="749" t="str">
        <f>IFERROR(__xludf.DUMMYFUNCTION("""COMPUTED_VALUE"""),"AP60")</f>
        <v>AP60</v>
      </c>
      <c r="AI114" s="749" t="str">
        <f>IFERROR(__xludf.DUMMYFUNCTION("""COMPUTED_VALUE"""),"AP63")</f>
        <v>AP63</v>
      </c>
      <c r="AJ114" s="749" t="str">
        <f>IFERROR(__xludf.DUMMYFUNCTION("""COMPUTED_VALUE"""),"AP71")</f>
        <v>AP71</v>
      </c>
      <c r="AK114" s="749" t="str">
        <f>IFERROR(__xludf.DUMMYFUNCTION("""COMPUTED_VALUE"""),"AP74")</f>
        <v>AP74</v>
      </c>
      <c r="AL114" s="749" t="str">
        <f>IFERROR(__xludf.DUMMYFUNCTION("""COMPUTED_VALUE"""),"AP83")</f>
        <v>AP83</v>
      </c>
      <c r="AM114" s="749" t="str">
        <f>IFERROR(__xludf.DUMMYFUNCTION("""COMPUTED_VALUE"""),"AP9")</f>
        <v>AP9</v>
      </c>
      <c r="AN114" s="749" t="str">
        <f>IFERROR(__xludf.DUMMYFUNCTION("""COMPUTED_VALUE"""),"AP10")</f>
        <v>AP10</v>
      </c>
      <c r="AO114" s="749" t="str">
        <f>IFERROR(__xludf.DUMMYFUNCTION("""COMPUTED_VALUE"""),"AP100")</f>
        <v>AP100</v>
      </c>
      <c r="AP114" s="749" t="str">
        <f>IFERROR(__xludf.DUMMYFUNCTION("""COMPUTED_VALUE"""),"AP102")</f>
        <v>AP102</v>
      </c>
      <c r="AQ114" s="749" t="str">
        <f>IFERROR(__xludf.DUMMYFUNCTION("""COMPUTED_VALUE"""),"AP126")</f>
        <v>AP126</v>
      </c>
      <c r="AR114" s="749" t="str">
        <f>IFERROR(__xludf.DUMMYFUNCTION("""COMPUTED_VALUE"""),"AP135")</f>
        <v>AP135</v>
      </c>
      <c r="AS114" s="749" t="str">
        <f>IFERROR(__xludf.DUMMYFUNCTION("""COMPUTED_VALUE"""),"AP59")</f>
        <v>AP59</v>
      </c>
      <c r="AT114" s="749" t="str">
        <f>IFERROR(__xludf.DUMMYFUNCTION("""COMPUTED_VALUE"""),"AP70")</f>
        <v>AP70</v>
      </c>
      <c r="AU114" s="749" t="str">
        <f>IFERROR(__xludf.DUMMYFUNCTION("""COMPUTED_VALUE"""),"AP101")</f>
        <v>AP101</v>
      </c>
      <c r="AV114" s="749" t="str">
        <f>IFERROR(__xludf.DUMMYFUNCTION("""COMPUTED_VALUE"""),"AP106")</f>
        <v>AP106</v>
      </c>
      <c r="AW114" s="749" t="str">
        <f>IFERROR(__xludf.DUMMYFUNCTION("""COMPUTED_VALUE"""),"AP16")</f>
        <v>AP16</v>
      </c>
      <c r="AX114" s="749" t="str">
        <f>IFERROR(__xludf.DUMMYFUNCTION("""COMPUTED_VALUE"""),"AP134")</f>
        <v>AP134</v>
      </c>
      <c r="AY114" s="749" t="str">
        <f>IFERROR(__xludf.DUMMYFUNCTION("""COMPUTED_VALUE"""),"AP24")</f>
        <v>AP24</v>
      </c>
      <c r="AZ114" s="749" t="str">
        <f>IFERROR(__xludf.DUMMYFUNCTION("""COMPUTED_VALUE"""),"AP50")</f>
        <v>AP50</v>
      </c>
      <c r="BA114" s="749" t="str">
        <f>IFERROR(__xludf.DUMMYFUNCTION("""COMPUTED_VALUE"""),"AP121")</f>
        <v>AP121</v>
      </c>
      <c r="BB114" s="749" t="str">
        <f>IFERROR(__xludf.DUMMYFUNCTION("""COMPUTED_VALUE"""),"AP29")</f>
        <v>AP29</v>
      </c>
      <c r="BC114" s="749" t="str">
        <f>IFERROR(__xludf.DUMMYFUNCTION("""COMPUTED_VALUE"""),"AP8")</f>
        <v>AP8</v>
      </c>
      <c r="BD114" s="749" t="str">
        <f>IFERROR(__xludf.DUMMYFUNCTION("""COMPUTED_VALUE"""),"AP124")</f>
        <v>AP124</v>
      </c>
      <c r="BE114" s="749" t="str">
        <f>IFERROR(__xludf.DUMMYFUNCTION("""COMPUTED_VALUE"""),"AP26")</f>
        <v>AP26</v>
      </c>
      <c r="BF114" s="749"/>
      <c r="BG114" s="749"/>
      <c r="BH114" s="749"/>
      <c r="BI114" s="749"/>
      <c r="BJ114" s="749"/>
      <c r="BK114" s="749"/>
      <c r="BL114" s="749"/>
    </row>
    <row r="115">
      <c r="A115" s="866"/>
      <c r="B115" s="867"/>
      <c r="C115" s="866"/>
      <c r="D115" s="866"/>
      <c r="E115" s="866"/>
      <c r="F115" s="866"/>
      <c r="G115" s="866"/>
      <c r="H115" s="866"/>
      <c r="I115" s="866"/>
      <c r="J115" s="868"/>
      <c r="K115" s="868"/>
      <c r="L115" s="799"/>
      <c r="M115" s="747"/>
      <c r="N115" s="744"/>
      <c r="O115" s="744"/>
      <c r="P115" s="744"/>
      <c r="Q115" s="744"/>
      <c r="R115" s="744"/>
      <c r="S115" s="744"/>
      <c r="T115" s="855"/>
      <c r="U115" s="746"/>
      <c r="V115" s="746"/>
      <c r="W115" s="746"/>
      <c r="X115" s="746"/>
      <c r="Y115" s="799"/>
      <c r="Z115" s="799"/>
      <c r="AA115" s="799"/>
      <c r="AB115" s="799"/>
      <c r="AC115" s="799"/>
      <c r="AD115" s="750"/>
      <c r="AE115" s="749"/>
      <c r="AF115" s="749"/>
      <c r="AG115" s="749"/>
      <c r="AH115" s="749"/>
      <c r="AI115" s="749"/>
      <c r="AJ115" s="749"/>
      <c r="AK115" s="749"/>
      <c r="AL115" s="749"/>
      <c r="AM115" s="749"/>
      <c r="AN115" s="749"/>
      <c r="AO115" s="749"/>
      <c r="AP115" s="749"/>
      <c r="AQ115" s="749"/>
      <c r="AR115" s="749"/>
      <c r="AS115" s="749"/>
      <c r="AT115" s="749"/>
      <c r="AU115" s="749"/>
      <c r="AV115" s="749"/>
      <c r="AW115" s="749"/>
      <c r="AX115" s="749"/>
      <c r="AY115" s="749"/>
      <c r="AZ115" s="749"/>
      <c r="BA115" s="749"/>
      <c r="BB115" s="749"/>
      <c r="BC115" s="749"/>
      <c r="BD115" s="749"/>
      <c r="BE115" s="749"/>
      <c r="BF115" s="749"/>
      <c r="BG115" s="749"/>
      <c r="BH115" s="749"/>
      <c r="BI115" s="749"/>
      <c r="BJ115" s="749"/>
      <c r="BK115" s="749"/>
      <c r="BL115" s="749"/>
    </row>
    <row r="116">
      <c r="A116" s="866"/>
      <c r="B116" s="867"/>
      <c r="C116" s="866"/>
      <c r="D116" s="866"/>
      <c r="E116" s="866"/>
      <c r="F116" s="866"/>
      <c r="G116" s="866"/>
      <c r="H116" s="866"/>
      <c r="I116" s="866"/>
      <c r="J116" s="868"/>
      <c r="K116" s="868"/>
      <c r="L116" s="799"/>
      <c r="M116" s="747"/>
      <c r="N116" s="744"/>
      <c r="O116" s="744"/>
      <c r="P116" s="744"/>
      <c r="Q116" s="744"/>
      <c r="R116" s="744"/>
      <c r="S116" s="744"/>
      <c r="T116" s="855"/>
      <c r="U116" s="746"/>
      <c r="V116" s="746"/>
      <c r="W116" s="746"/>
      <c r="X116" s="746"/>
      <c r="Y116" s="799"/>
      <c r="Z116" s="799"/>
      <c r="AA116" s="799"/>
      <c r="AB116" s="799"/>
      <c r="AC116" s="799"/>
      <c r="AD116" s="750"/>
      <c r="AE116" s="749"/>
      <c r="AF116" s="749"/>
      <c r="AG116" s="749"/>
      <c r="AH116" s="749"/>
      <c r="AI116" s="749"/>
      <c r="AJ116" s="749"/>
      <c r="AK116" s="749"/>
      <c r="AL116" s="749"/>
      <c r="AM116" s="749"/>
      <c r="AN116" s="749"/>
      <c r="AO116" s="749"/>
      <c r="AP116" s="749"/>
      <c r="AQ116" s="749"/>
      <c r="AR116" s="749"/>
      <c r="AS116" s="749"/>
      <c r="AT116" s="749"/>
      <c r="AU116" s="749"/>
      <c r="AV116" s="749"/>
      <c r="AW116" s="749"/>
      <c r="AX116" s="749"/>
      <c r="AY116" s="749"/>
      <c r="AZ116" s="749"/>
      <c r="BA116" s="749"/>
      <c r="BB116" s="749"/>
      <c r="BC116" s="749"/>
      <c r="BD116" s="749"/>
      <c r="BE116" s="749"/>
      <c r="BF116" s="749"/>
      <c r="BG116" s="749"/>
      <c r="BH116" s="749"/>
      <c r="BI116" s="749"/>
      <c r="BJ116" s="749"/>
      <c r="BK116" s="749"/>
      <c r="BL116" s="749"/>
    </row>
    <row r="117">
      <c r="A117" s="866"/>
      <c r="B117" s="867"/>
      <c r="C117" s="866"/>
      <c r="D117" s="866"/>
      <c r="E117" s="866"/>
      <c r="F117" s="866"/>
      <c r="G117" s="866"/>
      <c r="H117" s="866"/>
      <c r="I117" s="866"/>
      <c r="J117" s="868"/>
      <c r="K117" s="868"/>
      <c r="L117" s="799"/>
      <c r="M117" s="747"/>
      <c r="N117" s="744"/>
      <c r="O117" s="744"/>
      <c r="P117" s="744"/>
      <c r="Q117" s="744"/>
      <c r="R117" s="744"/>
      <c r="S117" s="744"/>
      <c r="T117" s="855"/>
      <c r="U117" s="746"/>
      <c r="V117" s="746"/>
      <c r="W117" s="746"/>
      <c r="X117" s="746"/>
      <c r="Y117" s="799"/>
      <c r="Z117" s="799"/>
      <c r="AA117" s="799"/>
      <c r="AB117" s="799"/>
      <c r="AC117" s="799"/>
      <c r="AD117" s="750"/>
      <c r="AE117" s="749"/>
      <c r="AF117" s="749"/>
      <c r="AG117" s="749"/>
      <c r="AH117" s="749"/>
      <c r="AI117" s="749"/>
      <c r="AJ117" s="749"/>
      <c r="AK117" s="749"/>
      <c r="AL117" s="749"/>
      <c r="AM117" s="749"/>
      <c r="AN117" s="749"/>
      <c r="AO117" s="749"/>
      <c r="AP117" s="749"/>
      <c r="AQ117" s="749"/>
      <c r="AR117" s="749"/>
      <c r="AS117" s="749"/>
      <c r="AT117" s="749"/>
      <c r="AU117" s="749"/>
      <c r="AV117" s="749"/>
      <c r="AW117" s="749"/>
      <c r="AX117" s="749"/>
      <c r="AY117" s="749"/>
      <c r="AZ117" s="749"/>
      <c r="BA117" s="749"/>
      <c r="BB117" s="749"/>
      <c r="BC117" s="749"/>
      <c r="BD117" s="749"/>
      <c r="BE117" s="749"/>
      <c r="BF117" s="749"/>
      <c r="BG117" s="749"/>
      <c r="BH117" s="749"/>
      <c r="BI117" s="749"/>
      <c r="BJ117" s="749"/>
      <c r="BK117" s="749"/>
      <c r="BL117" s="749"/>
    </row>
    <row r="118">
      <c r="A118" s="866"/>
      <c r="B118" s="867"/>
      <c r="C118" s="866"/>
      <c r="D118" s="866"/>
      <c r="E118" s="866"/>
      <c r="F118" s="866"/>
      <c r="G118" s="866"/>
      <c r="H118" s="866"/>
      <c r="I118" s="866"/>
      <c r="J118" s="868"/>
      <c r="K118" s="868"/>
      <c r="L118" s="799"/>
      <c r="M118" s="747"/>
      <c r="N118" s="744"/>
      <c r="O118" s="744"/>
      <c r="P118" s="744"/>
      <c r="Q118" s="744"/>
      <c r="R118" s="744"/>
      <c r="S118" s="744"/>
      <c r="T118" s="855"/>
      <c r="U118" s="746"/>
      <c r="V118" s="746"/>
      <c r="W118" s="746"/>
      <c r="X118" s="746"/>
      <c r="Y118" s="799"/>
      <c r="Z118" s="799"/>
      <c r="AA118" s="799"/>
      <c r="AB118" s="799"/>
      <c r="AC118" s="799"/>
      <c r="AD118" s="750"/>
      <c r="AE118" s="749"/>
      <c r="AF118" s="749"/>
      <c r="AG118" s="749"/>
      <c r="AH118" s="749"/>
      <c r="AI118" s="749"/>
      <c r="AJ118" s="749"/>
      <c r="AK118" s="749"/>
      <c r="AL118" s="749"/>
      <c r="AM118" s="749"/>
      <c r="AN118" s="749"/>
      <c r="AO118" s="749"/>
      <c r="AP118" s="749"/>
      <c r="AQ118" s="749"/>
      <c r="AR118" s="749"/>
      <c r="AS118" s="749"/>
      <c r="AT118" s="749"/>
      <c r="AU118" s="749"/>
      <c r="AV118" s="749"/>
      <c r="AW118" s="749"/>
      <c r="AX118" s="749"/>
      <c r="AY118" s="749"/>
      <c r="AZ118" s="749"/>
      <c r="BA118" s="749"/>
      <c r="BB118" s="749"/>
      <c r="BC118" s="749"/>
      <c r="BD118" s="749"/>
      <c r="BE118" s="749"/>
      <c r="BF118" s="749"/>
      <c r="BG118" s="749"/>
      <c r="BH118" s="749"/>
      <c r="BI118" s="749"/>
      <c r="BJ118" s="749"/>
      <c r="BK118" s="749"/>
      <c r="BL118" s="749"/>
    </row>
    <row r="119">
      <c r="A119" s="866"/>
      <c r="B119" s="867"/>
      <c r="C119" s="866"/>
      <c r="D119" s="866"/>
      <c r="E119" s="866"/>
      <c r="F119" s="866"/>
      <c r="G119" s="866"/>
      <c r="H119" s="866"/>
      <c r="J119" s="866"/>
      <c r="K119" s="866"/>
      <c r="L119" s="799"/>
      <c r="M119" s="747"/>
      <c r="N119" s="744"/>
      <c r="O119" s="744"/>
      <c r="P119" s="744"/>
      <c r="Q119" s="744"/>
      <c r="R119" s="744"/>
      <c r="S119" s="744"/>
      <c r="T119" s="855"/>
      <c r="U119" s="746"/>
      <c r="V119" s="746"/>
      <c r="W119" s="746"/>
      <c r="X119" s="746"/>
      <c r="Y119" s="799"/>
      <c r="Z119" s="799"/>
      <c r="AA119" s="799"/>
      <c r="AB119" s="799"/>
      <c r="AC119" s="799"/>
      <c r="AD119" s="750"/>
      <c r="AE119" s="749"/>
      <c r="AF119" s="749"/>
      <c r="AG119" s="749"/>
      <c r="AH119" s="749"/>
      <c r="AI119" s="749"/>
      <c r="AJ119" s="749"/>
      <c r="AK119" s="749"/>
      <c r="AL119" s="749"/>
      <c r="AM119" s="749"/>
      <c r="AN119" s="749"/>
      <c r="AO119" s="749"/>
      <c r="AP119" s="749"/>
      <c r="AQ119" s="749"/>
      <c r="AR119" s="749"/>
      <c r="AS119" s="749"/>
      <c r="AT119" s="749"/>
      <c r="AU119" s="749"/>
      <c r="AV119" s="749"/>
      <c r="AW119" s="749"/>
      <c r="AX119" s="749"/>
      <c r="AY119" s="749"/>
      <c r="AZ119" s="749"/>
      <c r="BA119" s="749"/>
      <c r="BB119" s="749"/>
      <c r="BC119" s="749"/>
      <c r="BD119" s="749"/>
      <c r="BE119" s="749"/>
      <c r="BF119" s="749"/>
      <c r="BG119" s="749"/>
      <c r="BH119" s="749"/>
      <c r="BI119" s="749"/>
      <c r="BJ119" s="749"/>
      <c r="BK119" s="749"/>
      <c r="BL119" s="749"/>
    </row>
    <row r="120">
      <c r="A120" s="866"/>
      <c r="B120" s="867"/>
      <c r="C120" s="866"/>
      <c r="D120" s="866"/>
      <c r="E120" s="866"/>
      <c r="F120" s="866"/>
      <c r="H120" s="866"/>
      <c r="I120" s="866"/>
      <c r="J120" s="866"/>
      <c r="K120" s="866"/>
      <c r="L120" s="799"/>
      <c r="M120" s="747"/>
      <c r="N120" s="744"/>
      <c r="O120" s="744"/>
      <c r="P120" s="744"/>
      <c r="Q120" s="744"/>
      <c r="R120" s="744"/>
      <c r="S120" s="744"/>
      <c r="T120" s="855"/>
      <c r="U120" s="746"/>
      <c r="V120" s="746"/>
      <c r="W120" s="746"/>
      <c r="X120" s="746"/>
      <c r="Y120" s="799"/>
      <c r="Z120" s="799"/>
      <c r="AA120" s="799"/>
      <c r="AB120" s="799"/>
      <c r="AC120" s="799"/>
      <c r="AD120" s="750"/>
      <c r="AE120" s="749"/>
      <c r="AF120" s="749"/>
      <c r="AG120" s="749"/>
      <c r="AH120" s="749"/>
      <c r="AI120" s="749"/>
      <c r="AJ120" s="749"/>
      <c r="AK120" s="749"/>
      <c r="AL120" s="749"/>
      <c r="AM120" s="749"/>
      <c r="AN120" s="749"/>
      <c r="AO120" s="749"/>
      <c r="AP120" s="749"/>
      <c r="AQ120" s="749"/>
      <c r="AR120" s="749"/>
      <c r="AS120" s="749"/>
      <c r="AT120" s="749"/>
      <c r="AU120" s="749"/>
      <c r="AV120" s="749"/>
      <c r="AW120" s="749"/>
      <c r="AX120" s="749"/>
      <c r="AY120" s="749"/>
      <c r="AZ120" s="749"/>
      <c r="BA120" s="749"/>
      <c r="BB120" s="749"/>
      <c r="BC120" s="749"/>
      <c r="BD120" s="749"/>
      <c r="BE120" s="749"/>
      <c r="BF120" s="749"/>
      <c r="BG120" s="749"/>
      <c r="BH120" s="749"/>
      <c r="BI120" s="749"/>
      <c r="BJ120" s="749"/>
      <c r="BK120" s="749"/>
      <c r="BL120" s="749"/>
    </row>
    <row r="121">
      <c r="A121" s="866"/>
      <c r="B121" s="867"/>
      <c r="C121" s="866"/>
      <c r="D121" s="866"/>
      <c r="E121" s="866"/>
      <c r="F121" s="866"/>
      <c r="H121" s="866"/>
      <c r="I121" s="866"/>
      <c r="J121" s="866"/>
      <c r="K121" s="866"/>
      <c r="L121" s="799"/>
      <c r="M121" s="747"/>
      <c r="N121" s="744"/>
      <c r="O121" s="744"/>
      <c r="P121" s="744"/>
      <c r="Q121" s="744"/>
      <c r="R121" s="744"/>
      <c r="S121" s="744"/>
      <c r="T121" s="855"/>
      <c r="U121" s="746"/>
      <c r="V121" s="746"/>
      <c r="W121" s="746"/>
      <c r="X121" s="746"/>
      <c r="Y121" s="799"/>
      <c r="Z121" s="799"/>
      <c r="AA121" s="799"/>
      <c r="AB121" s="799"/>
      <c r="AC121" s="799"/>
      <c r="AD121" s="750"/>
      <c r="AE121" s="749"/>
      <c r="AF121" s="749"/>
      <c r="AG121" s="749"/>
      <c r="AH121" s="749"/>
      <c r="AI121" s="749"/>
      <c r="AJ121" s="749"/>
      <c r="AK121" s="749"/>
      <c r="AL121" s="749"/>
      <c r="AM121" s="749"/>
      <c r="AN121" s="749"/>
      <c r="AO121" s="749"/>
      <c r="AP121" s="749"/>
      <c r="AQ121" s="749"/>
      <c r="AR121" s="749"/>
      <c r="AS121" s="749"/>
      <c r="AT121" s="749"/>
      <c r="AU121" s="749"/>
      <c r="AV121" s="749"/>
      <c r="AW121" s="749"/>
      <c r="AX121" s="749"/>
      <c r="AY121" s="749"/>
      <c r="AZ121" s="749"/>
      <c r="BA121" s="749"/>
      <c r="BB121" s="749"/>
      <c r="BC121" s="749"/>
      <c r="BD121" s="749"/>
      <c r="BE121" s="749"/>
      <c r="BF121" s="749"/>
      <c r="BG121" s="749"/>
      <c r="BH121" s="749"/>
      <c r="BI121" s="749"/>
      <c r="BJ121" s="749"/>
      <c r="BK121" s="749"/>
      <c r="BL121" s="749"/>
    </row>
    <row r="122">
      <c r="A122" s="866"/>
      <c r="B122" s="867"/>
      <c r="C122" s="866"/>
      <c r="D122" s="866"/>
      <c r="E122" s="866"/>
      <c r="F122" s="866"/>
      <c r="H122" s="866"/>
      <c r="I122" s="866"/>
      <c r="J122" s="866"/>
      <c r="K122" s="866"/>
      <c r="L122" s="799"/>
      <c r="M122" s="747"/>
      <c r="N122" s="744"/>
      <c r="O122" s="744"/>
      <c r="P122" s="744"/>
      <c r="Q122" s="744"/>
      <c r="R122" s="744"/>
      <c r="S122" s="744"/>
      <c r="T122" s="855"/>
      <c r="U122" s="746"/>
      <c r="V122" s="746"/>
      <c r="W122" s="746"/>
      <c r="X122" s="746"/>
      <c r="Y122" s="799"/>
      <c r="Z122" s="799"/>
      <c r="AA122" s="799"/>
      <c r="AB122" s="799"/>
      <c r="AC122" s="799"/>
      <c r="AD122" s="750"/>
      <c r="AE122" s="749"/>
      <c r="AF122" s="749"/>
      <c r="AG122" s="749"/>
      <c r="AH122" s="749"/>
      <c r="AI122" s="749"/>
      <c r="AJ122" s="749"/>
      <c r="AK122" s="749"/>
      <c r="AL122" s="749"/>
      <c r="AM122" s="749"/>
      <c r="AN122" s="749"/>
      <c r="AO122" s="749"/>
      <c r="AP122" s="749"/>
      <c r="AQ122" s="749"/>
      <c r="AR122" s="749"/>
      <c r="AS122" s="749"/>
      <c r="AT122" s="749"/>
      <c r="AU122" s="749"/>
      <c r="AV122" s="749"/>
      <c r="AW122" s="749"/>
      <c r="AX122" s="749"/>
      <c r="AY122" s="749"/>
      <c r="AZ122" s="749"/>
      <c r="BA122" s="749"/>
      <c r="BB122" s="749"/>
      <c r="BC122" s="749"/>
      <c r="BD122" s="749"/>
      <c r="BE122" s="749"/>
      <c r="BF122" s="749"/>
      <c r="BG122" s="749"/>
      <c r="BH122" s="749"/>
      <c r="BI122" s="749"/>
      <c r="BJ122" s="749"/>
      <c r="BK122" s="749"/>
      <c r="BL122" s="749"/>
    </row>
    <row r="123">
      <c r="A123" s="866"/>
      <c r="B123" s="867"/>
      <c r="C123" s="866"/>
      <c r="D123" s="866"/>
      <c r="E123" s="866"/>
      <c r="F123" s="866"/>
      <c r="H123" s="866"/>
      <c r="I123" s="866"/>
      <c r="J123" s="866"/>
      <c r="K123" s="866"/>
      <c r="L123" s="799"/>
      <c r="M123" s="747"/>
      <c r="N123" s="744"/>
      <c r="O123" s="744"/>
      <c r="P123" s="744"/>
      <c r="Q123" s="744"/>
      <c r="R123" s="744"/>
      <c r="S123" s="744"/>
      <c r="T123" s="855"/>
      <c r="U123" s="746"/>
      <c r="V123" s="746"/>
      <c r="W123" s="746"/>
      <c r="X123" s="746"/>
      <c r="Y123" s="799"/>
      <c r="Z123" s="799"/>
      <c r="AA123" s="799"/>
      <c r="AB123" s="799"/>
      <c r="AC123" s="799"/>
      <c r="AD123" s="750"/>
      <c r="AE123" s="749"/>
      <c r="AF123" s="749"/>
      <c r="AG123" s="749"/>
      <c r="AH123" s="749"/>
      <c r="AI123" s="749"/>
      <c r="AJ123" s="749"/>
      <c r="AK123" s="749"/>
      <c r="AL123" s="749"/>
      <c r="AM123" s="749"/>
      <c r="AN123" s="749"/>
      <c r="AO123" s="749"/>
      <c r="AP123" s="749"/>
      <c r="AQ123" s="749"/>
      <c r="AR123" s="749"/>
      <c r="AS123" s="749"/>
      <c r="AT123" s="749"/>
      <c r="AU123" s="749"/>
      <c r="AV123" s="749"/>
      <c r="AW123" s="749"/>
      <c r="AX123" s="749"/>
      <c r="AY123" s="749"/>
      <c r="AZ123" s="749"/>
      <c r="BA123" s="749"/>
      <c r="BB123" s="749"/>
      <c r="BC123" s="749"/>
      <c r="BD123" s="749"/>
      <c r="BE123" s="749"/>
      <c r="BF123" s="749"/>
      <c r="BG123" s="749"/>
      <c r="BH123" s="749"/>
      <c r="BI123" s="749"/>
      <c r="BJ123" s="749"/>
      <c r="BK123" s="749"/>
      <c r="BL123" s="749"/>
    </row>
    <row r="124">
      <c r="A124" s="866"/>
      <c r="B124" s="867"/>
      <c r="C124" s="866"/>
      <c r="D124" s="866"/>
      <c r="E124" s="866"/>
      <c r="F124" s="866"/>
      <c r="G124" s="866"/>
      <c r="H124" s="866"/>
      <c r="I124" s="866"/>
      <c r="J124" s="866"/>
      <c r="K124" s="866"/>
      <c r="L124" s="799"/>
      <c r="M124" s="747"/>
      <c r="N124" s="744"/>
      <c r="O124" s="744"/>
      <c r="P124" s="744"/>
      <c r="Q124" s="744"/>
      <c r="R124" s="744"/>
      <c r="S124" s="744"/>
      <c r="T124" s="855"/>
      <c r="U124" s="746"/>
      <c r="V124" s="746"/>
      <c r="W124" s="746"/>
      <c r="X124" s="746"/>
      <c r="Y124" s="799"/>
      <c r="Z124" s="799"/>
      <c r="AA124" s="799"/>
      <c r="AB124" s="799"/>
      <c r="AC124" s="799"/>
      <c r="AD124" s="750"/>
      <c r="AE124" s="749"/>
      <c r="AF124" s="749"/>
      <c r="AG124" s="749"/>
      <c r="AH124" s="749"/>
      <c r="AI124" s="749"/>
      <c r="AJ124" s="749"/>
      <c r="AK124" s="749"/>
      <c r="AL124" s="749"/>
      <c r="AM124" s="749"/>
      <c r="AN124" s="749"/>
      <c r="AO124" s="749"/>
      <c r="AP124" s="749"/>
      <c r="AQ124" s="749"/>
      <c r="AR124" s="749"/>
      <c r="AS124" s="749"/>
      <c r="AT124" s="749"/>
      <c r="AU124" s="749"/>
      <c r="AV124" s="749"/>
      <c r="AW124" s="749"/>
      <c r="AX124" s="749"/>
      <c r="AY124" s="749"/>
      <c r="AZ124" s="749"/>
      <c r="BA124" s="749"/>
      <c r="BB124" s="749"/>
      <c r="BC124" s="749"/>
      <c r="BD124" s="749"/>
      <c r="BE124" s="749"/>
      <c r="BF124" s="749"/>
      <c r="BG124" s="749"/>
      <c r="BH124" s="749"/>
      <c r="BI124" s="749"/>
      <c r="BJ124" s="749"/>
      <c r="BK124" s="749"/>
      <c r="BL124" s="749"/>
    </row>
    <row r="125">
      <c r="A125" s="866"/>
      <c r="B125" s="867"/>
      <c r="C125" s="866"/>
      <c r="D125" s="866"/>
      <c r="E125" s="866"/>
      <c r="F125" s="866"/>
      <c r="G125" s="866"/>
      <c r="H125" s="866"/>
      <c r="I125" s="866"/>
      <c r="J125" s="866"/>
      <c r="K125" s="866"/>
      <c r="L125" s="799"/>
      <c r="M125" s="747"/>
      <c r="N125" s="744"/>
      <c r="O125" s="744"/>
      <c r="P125" s="744"/>
      <c r="Q125" s="744"/>
      <c r="R125" s="744"/>
      <c r="S125" s="744"/>
      <c r="T125" s="855"/>
      <c r="U125" s="746"/>
      <c r="V125" s="746"/>
      <c r="W125" s="746"/>
      <c r="X125" s="746"/>
      <c r="Y125" s="799"/>
      <c r="Z125" s="799"/>
      <c r="AA125" s="799"/>
      <c r="AB125" s="799"/>
      <c r="AC125" s="799"/>
      <c r="AD125" s="750"/>
      <c r="AE125" s="749"/>
      <c r="AF125" s="749"/>
      <c r="AG125" s="749"/>
      <c r="AH125" s="749"/>
      <c r="AI125" s="749"/>
      <c r="AJ125" s="749"/>
      <c r="AK125" s="749"/>
      <c r="AL125" s="749"/>
      <c r="AM125" s="749"/>
      <c r="AN125" s="749"/>
      <c r="AO125" s="749"/>
      <c r="AP125" s="749"/>
      <c r="AQ125" s="749"/>
      <c r="AR125" s="749"/>
      <c r="AS125" s="749"/>
      <c r="AT125" s="749"/>
      <c r="AU125" s="749"/>
      <c r="AV125" s="749"/>
      <c r="AW125" s="749"/>
      <c r="AX125" s="749"/>
      <c r="AY125" s="749"/>
      <c r="AZ125" s="749"/>
      <c r="BA125" s="749"/>
      <c r="BB125" s="749"/>
      <c r="BC125" s="749"/>
      <c r="BD125" s="749"/>
      <c r="BE125" s="749"/>
      <c r="BF125" s="749"/>
      <c r="BG125" s="749"/>
      <c r="BH125" s="749"/>
      <c r="BI125" s="749"/>
      <c r="BJ125" s="749"/>
      <c r="BK125" s="749"/>
      <c r="BL125" s="749"/>
    </row>
    <row r="126">
      <c r="A126" s="866"/>
      <c r="B126" s="867"/>
      <c r="C126" s="866"/>
      <c r="D126" s="866"/>
      <c r="E126" s="866"/>
      <c r="F126" s="866"/>
      <c r="G126" s="866"/>
      <c r="H126" s="866"/>
      <c r="I126" s="866"/>
      <c r="J126" s="866"/>
      <c r="K126" s="866"/>
      <c r="L126" s="799"/>
      <c r="M126" s="747"/>
      <c r="N126" s="744"/>
      <c r="O126" s="744"/>
      <c r="P126" s="744"/>
      <c r="Q126" s="744"/>
      <c r="R126" s="744"/>
      <c r="S126" s="744"/>
      <c r="T126" s="855"/>
      <c r="U126" s="746"/>
      <c r="V126" s="746"/>
      <c r="W126" s="746"/>
      <c r="X126" s="746"/>
      <c r="Y126" s="799"/>
      <c r="Z126" s="799"/>
      <c r="AA126" s="799"/>
      <c r="AB126" s="799"/>
      <c r="AC126" s="799"/>
      <c r="AD126" s="750"/>
      <c r="AE126" s="749"/>
      <c r="AF126" s="749"/>
      <c r="AG126" s="749"/>
      <c r="AH126" s="749"/>
      <c r="AI126" s="749"/>
      <c r="AJ126" s="749"/>
      <c r="AK126" s="749"/>
      <c r="AL126" s="749"/>
      <c r="AM126" s="749"/>
      <c r="AN126" s="749"/>
      <c r="AO126" s="749"/>
      <c r="AP126" s="749"/>
      <c r="AQ126" s="749"/>
      <c r="AR126" s="749"/>
      <c r="AS126" s="749"/>
      <c r="AT126" s="749"/>
      <c r="AU126" s="749"/>
      <c r="AV126" s="749"/>
      <c r="AW126" s="749"/>
      <c r="AX126" s="749"/>
      <c r="AY126" s="749"/>
      <c r="AZ126" s="749"/>
      <c r="BA126" s="749"/>
      <c r="BB126" s="749"/>
      <c r="BC126" s="749"/>
      <c r="BD126" s="749"/>
      <c r="BE126" s="749"/>
      <c r="BF126" s="749"/>
      <c r="BG126" s="749"/>
      <c r="BH126" s="749"/>
      <c r="BI126" s="749"/>
      <c r="BJ126" s="749"/>
      <c r="BK126" s="749"/>
      <c r="BL126" s="749"/>
    </row>
    <row r="127">
      <c r="A127" s="866"/>
      <c r="B127" s="867"/>
      <c r="C127" s="866"/>
      <c r="D127" s="866"/>
      <c r="E127" s="866"/>
      <c r="F127" s="866"/>
      <c r="G127" s="866"/>
      <c r="H127" s="866"/>
      <c r="I127" s="866"/>
      <c r="J127" s="866"/>
      <c r="K127" s="866"/>
      <c r="L127" s="799"/>
      <c r="M127" s="747"/>
      <c r="N127" s="744"/>
      <c r="O127" s="744"/>
      <c r="P127" s="744"/>
      <c r="Q127" s="744"/>
      <c r="R127" s="744"/>
      <c r="S127" s="744"/>
      <c r="T127" s="855"/>
      <c r="U127" s="746"/>
      <c r="V127" s="746"/>
      <c r="W127" s="746"/>
      <c r="X127" s="746"/>
      <c r="Y127" s="799"/>
      <c r="Z127" s="799"/>
      <c r="AA127" s="799"/>
      <c r="AB127" s="799"/>
      <c r="AC127" s="799"/>
      <c r="AD127" s="750"/>
      <c r="AE127" s="749"/>
      <c r="AF127" s="749"/>
      <c r="AG127" s="749"/>
      <c r="AH127" s="749"/>
      <c r="AI127" s="749"/>
      <c r="AJ127" s="749"/>
      <c r="AK127" s="749"/>
      <c r="AL127" s="749"/>
      <c r="AM127" s="749"/>
      <c r="AN127" s="749"/>
      <c r="AO127" s="749"/>
      <c r="AP127" s="749"/>
      <c r="AQ127" s="749"/>
      <c r="AR127" s="749"/>
      <c r="AS127" s="749"/>
      <c r="AT127" s="749"/>
      <c r="AU127" s="749"/>
      <c r="AV127" s="749"/>
      <c r="AW127" s="749"/>
      <c r="AX127" s="749"/>
      <c r="AY127" s="749"/>
      <c r="AZ127" s="749"/>
      <c r="BA127" s="749"/>
      <c r="BB127" s="749"/>
      <c r="BC127" s="749"/>
      <c r="BD127" s="749"/>
      <c r="BE127" s="749"/>
      <c r="BF127" s="749"/>
      <c r="BG127" s="749"/>
      <c r="BH127" s="749"/>
      <c r="BI127" s="749"/>
      <c r="BJ127" s="749"/>
      <c r="BK127" s="749"/>
      <c r="BL127" s="749"/>
    </row>
    <row r="128">
      <c r="A128" s="866"/>
      <c r="B128" s="867"/>
      <c r="C128" s="866"/>
      <c r="D128" s="866"/>
      <c r="E128" s="866"/>
      <c r="F128" s="866"/>
      <c r="G128" s="866"/>
      <c r="H128" s="866"/>
      <c r="I128" s="866"/>
      <c r="J128" s="866"/>
      <c r="K128" s="866"/>
      <c r="L128" s="799"/>
      <c r="M128" s="747"/>
      <c r="N128" s="744"/>
      <c r="O128" s="744"/>
      <c r="P128" s="744"/>
      <c r="Q128" s="744"/>
      <c r="R128" s="744"/>
      <c r="S128" s="744"/>
      <c r="T128" s="855"/>
      <c r="U128" s="746"/>
      <c r="V128" s="746"/>
      <c r="W128" s="746"/>
      <c r="X128" s="746"/>
      <c r="Y128" s="799"/>
      <c r="Z128" s="799"/>
      <c r="AA128" s="799"/>
      <c r="AB128" s="799"/>
      <c r="AC128" s="799"/>
      <c r="AD128" s="750"/>
      <c r="AE128" s="749"/>
      <c r="AF128" s="749"/>
      <c r="AG128" s="749"/>
      <c r="AH128" s="749"/>
      <c r="AI128" s="749"/>
      <c r="AJ128" s="749"/>
      <c r="AK128" s="749"/>
      <c r="AL128" s="749"/>
      <c r="AM128" s="749"/>
      <c r="AN128" s="749"/>
      <c r="AO128" s="749"/>
      <c r="AP128" s="749"/>
      <c r="AQ128" s="749"/>
      <c r="AR128" s="749"/>
      <c r="AS128" s="749"/>
      <c r="AT128" s="749"/>
      <c r="AU128" s="749"/>
      <c r="AV128" s="749"/>
      <c r="AW128" s="749"/>
      <c r="AX128" s="749"/>
      <c r="AY128" s="749"/>
      <c r="AZ128" s="749"/>
      <c r="BA128" s="749"/>
      <c r="BB128" s="749"/>
      <c r="BC128" s="749"/>
      <c r="BD128" s="749"/>
      <c r="BE128" s="749"/>
      <c r="BF128" s="749"/>
      <c r="BG128" s="749"/>
      <c r="BH128" s="749"/>
      <c r="BI128" s="749"/>
      <c r="BJ128" s="749"/>
      <c r="BK128" s="749"/>
      <c r="BL128" s="749"/>
    </row>
    <row r="129">
      <c r="A129" s="866"/>
      <c r="B129" s="867"/>
      <c r="C129" s="866"/>
      <c r="D129" s="866"/>
      <c r="E129" s="866"/>
      <c r="F129" s="866"/>
      <c r="G129" s="866"/>
      <c r="H129" s="866"/>
      <c r="I129" s="866"/>
      <c r="J129" s="866"/>
      <c r="K129" s="866"/>
      <c r="L129" s="799"/>
      <c r="M129" s="747"/>
      <c r="N129" s="744"/>
      <c r="O129" s="744"/>
      <c r="P129" s="744"/>
      <c r="Q129" s="744"/>
      <c r="R129" s="744"/>
      <c r="S129" s="744"/>
      <c r="T129" s="855"/>
      <c r="U129" s="746"/>
      <c r="V129" s="746"/>
      <c r="W129" s="746"/>
      <c r="X129" s="746"/>
      <c r="Y129" s="799"/>
      <c r="Z129" s="799"/>
      <c r="AA129" s="799"/>
      <c r="AB129" s="799"/>
      <c r="AC129" s="799"/>
      <c r="AD129" s="750"/>
      <c r="AE129" s="749"/>
      <c r="AF129" s="749"/>
      <c r="AG129" s="749"/>
      <c r="AH129" s="749"/>
      <c r="AI129" s="749"/>
      <c r="AJ129" s="749"/>
      <c r="AK129" s="749"/>
      <c r="AL129" s="749"/>
      <c r="AM129" s="749"/>
      <c r="AN129" s="749"/>
      <c r="AO129" s="749"/>
      <c r="AP129" s="749"/>
      <c r="AQ129" s="749"/>
      <c r="AR129" s="749"/>
      <c r="AS129" s="749"/>
      <c r="AT129" s="749"/>
      <c r="AU129" s="749"/>
      <c r="AV129" s="749"/>
      <c r="AW129" s="749"/>
      <c r="AX129" s="749"/>
      <c r="AY129" s="749"/>
      <c r="AZ129" s="749"/>
      <c r="BA129" s="749"/>
      <c r="BB129" s="749"/>
      <c r="BC129" s="749"/>
      <c r="BD129" s="749"/>
      <c r="BE129" s="749"/>
      <c r="BF129" s="749"/>
      <c r="BG129" s="749"/>
      <c r="BH129" s="749"/>
      <c r="BI129" s="749"/>
      <c r="BJ129" s="749"/>
      <c r="BK129" s="749"/>
      <c r="BL129" s="749"/>
    </row>
    <row r="130">
      <c r="A130" s="866"/>
      <c r="B130" s="867"/>
      <c r="C130" s="866"/>
      <c r="D130" s="866"/>
      <c r="E130" s="866"/>
      <c r="F130" s="866"/>
      <c r="G130" s="866"/>
      <c r="H130" s="866"/>
      <c r="I130" s="866"/>
      <c r="J130" s="866"/>
      <c r="K130" s="866"/>
      <c r="L130" s="799"/>
      <c r="M130" s="747"/>
      <c r="N130" s="744"/>
      <c r="O130" s="744"/>
      <c r="P130" s="744"/>
      <c r="Q130" s="744"/>
      <c r="R130" s="744"/>
      <c r="S130" s="744"/>
      <c r="T130" s="855"/>
      <c r="U130" s="746"/>
      <c r="V130" s="746"/>
      <c r="W130" s="746"/>
      <c r="X130" s="746"/>
      <c r="Y130" s="799"/>
      <c r="Z130" s="799"/>
      <c r="AA130" s="799"/>
      <c r="AB130" s="799"/>
      <c r="AC130" s="799"/>
      <c r="AD130" s="750"/>
      <c r="AE130" s="749"/>
      <c r="AF130" s="749"/>
      <c r="AG130" s="749"/>
      <c r="AH130" s="749"/>
      <c r="AI130" s="749"/>
      <c r="AJ130" s="749"/>
      <c r="AK130" s="749"/>
      <c r="AL130" s="749"/>
      <c r="AM130" s="749"/>
      <c r="AN130" s="749"/>
      <c r="AO130" s="749"/>
      <c r="AP130" s="749"/>
      <c r="AQ130" s="749"/>
      <c r="AR130" s="749"/>
      <c r="AS130" s="749"/>
      <c r="AT130" s="749"/>
      <c r="AU130" s="749"/>
      <c r="AV130" s="749"/>
      <c r="AW130" s="749"/>
      <c r="AX130" s="749"/>
      <c r="AY130" s="749"/>
      <c r="AZ130" s="749"/>
      <c r="BA130" s="749"/>
      <c r="BB130" s="749"/>
      <c r="BC130" s="749"/>
      <c r="BD130" s="749"/>
      <c r="BE130" s="749"/>
      <c r="BF130" s="749"/>
      <c r="BG130" s="749"/>
      <c r="BH130" s="749"/>
      <c r="BI130" s="749"/>
      <c r="BJ130" s="749"/>
      <c r="BK130" s="749"/>
      <c r="BL130" s="749"/>
    </row>
    <row r="131">
      <c r="A131" s="866"/>
      <c r="B131" s="867"/>
      <c r="C131" s="866"/>
      <c r="D131" s="866"/>
      <c r="E131" s="866"/>
      <c r="F131" s="866"/>
      <c r="G131" s="866"/>
      <c r="H131" s="866"/>
      <c r="I131" s="866"/>
      <c r="J131" s="866"/>
      <c r="K131" s="866"/>
      <c r="L131" s="799"/>
      <c r="M131" s="747"/>
      <c r="N131" s="744"/>
      <c r="O131" s="744"/>
      <c r="P131" s="744"/>
      <c r="Q131" s="744"/>
      <c r="R131" s="744"/>
      <c r="S131" s="744"/>
      <c r="T131" s="855"/>
      <c r="U131" s="746"/>
      <c r="V131" s="746"/>
      <c r="W131" s="746"/>
      <c r="X131" s="746"/>
      <c r="Y131" s="799"/>
      <c r="Z131" s="799"/>
      <c r="AA131" s="799"/>
      <c r="AB131" s="799"/>
      <c r="AC131" s="799"/>
      <c r="AD131" s="750"/>
      <c r="AE131" s="749"/>
      <c r="AF131" s="749"/>
      <c r="AG131" s="749"/>
      <c r="AH131" s="749"/>
      <c r="AI131" s="749"/>
      <c r="AJ131" s="749"/>
      <c r="AK131" s="749"/>
      <c r="AL131" s="749"/>
      <c r="AM131" s="749"/>
      <c r="AN131" s="749"/>
      <c r="AO131" s="749"/>
      <c r="AP131" s="749"/>
      <c r="AQ131" s="749"/>
      <c r="AR131" s="749"/>
      <c r="AS131" s="749"/>
      <c r="AT131" s="749"/>
      <c r="AU131" s="749"/>
      <c r="AV131" s="749"/>
      <c r="AW131" s="749"/>
      <c r="AX131" s="749"/>
      <c r="AY131" s="749"/>
      <c r="AZ131" s="749"/>
      <c r="BA131" s="749"/>
      <c r="BB131" s="749"/>
      <c r="BC131" s="749"/>
      <c r="BD131" s="749"/>
      <c r="BE131" s="749"/>
      <c r="BF131" s="749"/>
      <c r="BG131" s="749"/>
      <c r="BH131" s="749"/>
      <c r="BI131" s="749"/>
      <c r="BJ131" s="749"/>
      <c r="BK131" s="749"/>
      <c r="BL131" s="749"/>
    </row>
    <row r="132">
      <c r="A132" s="866"/>
      <c r="B132" s="867"/>
      <c r="C132" s="866"/>
      <c r="D132" s="866"/>
      <c r="E132" s="866"/>
      <c r="F132" s="866"/>
      <c r="G132" s="866"/>
      <c r="H132" s="866"/>
      <c r="I132" s="866"/>
      <c r="J132" s="866"/>
      <c r="K132" s="866"/>
      <c r="L132" s="799"/>
      <c r="M132" s="747"/>
      <c r="N132" s="744"/>
      <c r="O132" s="744"/>
      <c r="P132" s="744"/>
      <c r="Q132" s="744"/>
      <c r="R132" s="744"/>
      <c r="S132" s="744"/>
      <c r="T132" s="855"/>
      <c r="U132" s="746"/>
      <c r="V132" s="746"/>
      <c r="W132" s="746"/>
      <c r="X132" s="746"/>
      <c r="Y132" s="799"/>
      <c r="Z132" s="799"/>
      <c r="AA132" s="799"/>
      <c r="AB132" s="799"/>
      <c r="AC132" s="799"/>
      <c r="AD132" s="750"/>
      <c r="AE132" s="749"/>
      <c r="AF132" s="749"/>
      <c r="AG132" s="749"/>
      <c r="AH132" s="749"/>
      <c r="AI132" s="749"/>
      <c r="AJ132" s="749"/>
      <c r="AK132" s="749"/>
      <c r="AL132" s="749"/>
      <c r="AM132" s="749"/>
      <c r="AN132" s="749"/>
      <c r="AO132" s="749"/>
      <c r="AP132" s="749"/>
      <c r="AQ132" s="749"/>
      <c r="AR132" s="749"/>
      <c r="AS132" s="749"/>
      <c r="AT132" s="749"/>
      <c r="AU132" s="749"/>
      <c r="AV132" s="749"/>
      <c r="AW132" s="749"/>
      <c r="AX132" s="749"/>
      <c r="AY132" s="749"/>
      <c r="AZ132" s="749"/>
      <c r="BA132" s="749"/>
      <c r="BB132" s="749"/>
      <c r="BC132" s="749"/>
      <c r="BD132" s="749"/>
      <c r="BE132" s="749"/>
      <c r="BF132" s="749"/>
      <c r="BG132" s="749"/>
      <c r="BH132" s="749"/>
      <c r="BI132" s="749"/>
      <c r="BJ132" s="749"/>
      <c r="BK132" s="749"/>
      <c r="BL132" s="749"/>
    </row>
    <row r="133">
      <c r="A133" s="866"/>
      <c r="B133" s="867"/>
      <c r="C133" s="866"/>
      <c r="D133" s="866"/>
      <c r="E133" s="866"/>
      <c r="F133" s="866"/>
      <c r="G133" s="866"/>
      <c r="H133" s="866"/>
      <c r="I133" s="866"/>
      <c r="J133" s="866"/>
      <c r="K133" s="866"/>
      <c r="L133" s="799"/>
      <c r="M133" s="747"/>
      <c r="N133" s="744"/>
      <c r="O133" s="744"/>
      <c r="P133" s="744"/>
      <c r="Q133" s="744"/>
      <c r="R133" s="744"/>
      <c r="S133" s="744"/>
      <c r="T133" s="855"/>
      <c r="U133" s="746"/>
      <c r="V133" s="746"/>
      <c r="W133" s="746"/>
      <c r="X133" s="746"/>
      <c r="Y133" s="799"/>
      <c r="Z133" s="799"/>
      <c r="AA133" s="799"/>
      <c r="AB133" s="799"/>
      <c r="AC133" s="799"/>
      <c r="AD133" s="750"/>
      <c r="AE133" s="749"/>
      <c r="AF133" s="749"/>
      <c r="AG133" s="749"/>
      <c r="AH133" s="749"/>
      <c r="AI133" s="749"/>
      <c r="AJ133" s="749"/>
      <c r="AK133" s="749"/>
      <c r="AL133" s="749"/>
      <c r="AM133" s="749"/>
      <c r="AN133" s="749"/>
      <c r="AO133" s="749"/>
      <c r="AP133" s="749"/>
      <c r="AQ133" s="749"/>
      <c r="AR133" s="749"/>
      <c r="AS133" s="749"/>
      <c r="AT133" s="749"/>
      <c r="AU133" s="749"/>
      <c r="AV133" s="749"/>
      <c r="AW133" s="749"/>
      <c r="AX133" s="749"/>
      <c r="AY133" s="749"/>
      <c r="AZ133" s="749"/>
      <c r="BA133" s="749"/>
      <c r="BB133" s="749"/>
      <c r="BC133" s="749"/>
      <c r="BD133" s="749"/>
      <c r="BE133" s="749"/>
      <c r="BF133" s="749"/>
      <c r="BG133" s="749"/>
      <c r="BH133" s="749"/>
      <c r="BI133" s="749"/>
      <c r="BJ133" s="749"/>
      <c r="BK133" s="749"/>
      <c r="BL133" s="749"/>
    </row>
    <row r="134">
      <c r="A134" s="866"/>
      <c r="B134" s="867"/>
      <c r="C134" s="866"/>
      <c r="D134" s="866"/>
      <c r="E134" s="866"/>
      <c r="F134" s="866"/>
      <c r="G134" s="866"/>
      <c r="H134" s="866"/>
      <c r="I134" s="866"/>
      <c r="J134" s="866"/>
      <c r="K134" s="866"/>
      <c r="L134" s="799"/>
      <c r="M134" s="747"/>
      <c r="N134" s="744"/>
      <c r="O134" s="744"/>
      <c r="P134" s="744"/>
      <c r="Q134" s="744"/>
      <c r="R134" s="744"/>
      <c r="S134" s="744"/>
      <c r="T134" s="855"/>
      <c r="U134" s="746"/>
      <c r="V134" s="746"/>
      <c r="W134" s="746"/>
      <c r="X134" s="746"/>
      <c r="Y134" s="799"/>
      <c r="Z134" s="799"/>
      <c r="AA134" s="799"/>
      <c r="AB134" s="799"/>
      <c r="AC134" s="799"/>
      <c r="AD134" s="750"/>
      <c r="AE134" s="749"/>
      <c r="AF134" s="749"/>
      <c r="AG134" s="749"/>
      <c r="AH134" s="749"/>
      <c r="AI134" s="749"/>
      <c r="AJ134" s="749"/>
      <c r="AK134" s="749"/>
      <c r="AL134" s="749"/>
      <c r="AM134" s="749"/>
      <c r="AN134" s="749"/>
      <c r="AO134" s="749"/>
      <c r="AP134" s="749"/>
      <c r="AQ134" s="749"/>
      <c r="AR134" s="749"/>
      <c r="AS134" s="749"/>
      <c r="AT134" s="749"/>
      <c r="AU134" s="749"/>
      <c r="AV134" s="749"/>
      <c r="AW134" s="749"/>
      <c r="AX134" s="749"/>
      <c r="AY134" s="749"/>
      <c r="AZ134" s="749"/>
      <c r="BA134" s="749"/>
      <c r="BB134" s="749"/>
      <c r="BC134" s="749"/>
      <c r="BD134" s="749"/>
      <c r="BE134" s="749"/>
      <c r="BF134" s="749"/>
      <c r="BG134" s="749"/>
      <c r="BH134" s="749"/>
      <c r="BI134" s="749"/>
      <c r="BJ134" s="749"/>
      <c r="BK134" s="749"/>
      <c r="BL134" s="749"/>
    </row>
    <row r="135">
      <c r="A135" s="866"/>
      <c r="B135" s="867"/>
      <c r="C135" s="866"/>
      <c r="D135" s="866"/>
      <c r="E135" s="866"/>
      <c r="F135" s="866"/>
      <c r="G135" s="866"/>
      <c r="H135" s="866"/>
      <c r="I135" s="866"/>
      <c r="J135" s="866"/>
      <c r="K135" s="866"/>
      <c r="L135" s="799"/>
      <c r="M135" s="747"/>
      <c r="N135" s="744"/>
      <c r="O135" s="744"/>
      <c r="P135" s="744"/>
      <c r="Q135" s="744"/>
      <c r="R135" s="744"/>
      <c r="S135" s="744"/>
      <c r="T135" s="855"/>
      <c r="U135" s="746"/>
      <c r="V135" s="746"/>
      <c r="W135" s="746"/>
      <c r="X135" s="746"/>
      <c r="Y135" s="799"/>
      <c r="Z135" s="799"/>
      <c r="AA135" s="799"/>
      <c r="AB135" s="799"/>
      <c r="AC135" s="799"/>
      <c r="AD135" s="750"/>
      <c r="AE135" s="749"/>
      <c r="AF135" s="749"/>
      <c r="AG135" s="749"/>
      <c r="AH135" s="749"/>
      <c r="AI135" s="749"/>
      <c r="AJ135" s="749"/>
      <c r="AK135" s="749"/>
      <c r="AL135" s="749"/>
      <c r="AM135" s="749"/>
      <c r="AN135" s="749"/>
      <c r="AO135" s="749"/>
      <c r="AP135" s="749"/>
      <c r="AQ135" s="749"/>
      <c r="AR135" s="749"/>
      <c r="AS135" s="749"/>
      <c r="AT135" s="749"/>
      <c r="AU135" s="749"/>
      <c r="AV135" s="749"/>
      <c r="AW135" s="749"/>
      <c r="AX135" s="749"/>
      <c r="AY135" s="749"/>
      <c r="AZ135" s="749"/>
      <c r="BA135" s="749"/>
      <c r="BB135" s="749"/>
      <c r="BC135" s="749"/>
      <c r="BD135" s="749"/>
      <c r="BE135" s="749"/>
      <c r="BF135" s="749"/>
      <c r="BG135" s="749"/>
      <c r="BH135" s="749"/>
      <c r="BI135" s="749"/>
      <c r="BJ135" s="749"/>
      <c r="BK135" s="749"/>
      <c r="BL135" s="749"/>
    </row>
    <row r="136">
      <c r="A136" s="866"/>
      <c r="B136" s="867"/>
      <c r="C136" s="866"/>
      <c r="D136" s="866"/>
      <c r="E136" s="866"/>
      <c r="F136" s="866"/>
      <c r="G136" s="866"/>
      <c r="H136" s="866"/>
      <c r="I136" s="866"/>
      <c r="J136" s="866"/>
      <c r="K136" s="866"/>
      <c r="L136" s="799"/>
      <c r="M136" s="747"/>
      <c r="N136" s="744"/>
      <c r="O136" s="744"/>
      <c r="P136" s="744"/>
      <c r="Q136" s="744"/>
      <c r="R136" s="744"/>
      <c r="S136" s="744"/>
      <c r="T136" s="855"/>
      <c r="U136" s="746"/>
      <c r="V136" s="746"/>
      <c r="W136" s="746"/>
      <c r="X136" s="746"/>
      <c r="Y136" s="799"/>
      <c r="Z136" s="799"/>
      <c r="AA136" s="799"/>
      <c r="AB136" s="799"/>
      <c r="AC136" s="799"/>
      <c r="AD136" s="750"/>
      <c r="AE136" s="749"/>
      <c r="AF136" s="749"/>
      <c r="AG136" s="749"/>
      <c r="AH136" s="749"/>
      <c r="AI136" s="749"/>
      <c r="AJ136" s="749"/>
      <c r="AK136" s="749"/>
      <c r="AL136" s="749"/>
      <c r="AM136" s="749"/>
      <c r="AN136" s="749"/>
      <c r="AO136" s="749"/>
      <c r="AP136" s="749"/>
      <c r="AQ136" s="749"/>
      <c r="AR136" s="749"/>
      <c r="AS136" s="749"/>
      <c r="AT136" s="749"/>
      <c r="AU136" s="749"/>
      <c r="AV136" s="749"/>
      <c r="AW136" s="749"/>
      <c r="AX136" s="749"/>
      <c r="AY136" s="749"/>
      <c r="AZ136" s="749"/>
      <c r="BA136" s="749"/>
      <c r="BB136" s="749"/>
      <c r="BC136" s="749"/>
      <c r="BD136" s="749"/>
      <c r="BE136" s="749"/>
      <c r="BF136" s="749"/>
      <c r="BG136" s="749"/>
      <c r="BH136" s="749"/>
      <c r="BI136" s="749"/>
      <c r="BJ136" s="749"/>
      <c r="BK136" s="749"/>
      <c r="BL136" s="749"/>
    </row>
    <row r="137">
      <c r="A137" s="866"/>
      <c r="B137" s="867"/>
      <c r="C137" s="866"/>
      <c r="D137" s="866"/>
      <c r="E137" s="866"/>
      <c r="F137" s="866"/>
      <c r="G137" s="866"/>
      <c r="H137" s="866"/>
      <c r="I137" s="866"/>
      <c r="J137" s="866"/>
      <c r="K137" s="866"/>
      <c r="L137" s="799"/>
      <c r="M137" s="747"/>
      <c r="N137" s="744"/>
      <c r="O137" s="744"/>
      <c r="P137" s="744"/>
      <c r="Q137" s="744"/>
      <c r="R137" s="744"/>
      <c r="S137" s="744"/>
      <c r="T137" s="855"/>
      <c r="U137" s="746"/>
      <c r="V137" s="746"/>
      <c r="W137" s="746"/>
      <c r="X137" s="746"/>
      <c r="Y137" s="799"/>
      <c r="Z137" s="799"/>
      <c r="AA137" s="799"/>
      <c r="AB137" s="799"/>
      <c r="AC137" s="799"/>
      <c r="AD137" s="750"/>
      <c r="AE137" s="749"/>
      <c r="AF137" s="749"/>
      <c r="AG137" s="749"/>
      <c r="AH137" s="749"/>
      <c r="AI137" s="749"/>
      <c r="AJ137" s="749"/>
      <c r="AK137" s="749"/>
      <c r="AL137" s="749"/>
      <c r="AM137" s="749"/>
      <c r="AN137" s="749"/>
      <c r="AO137" s="749"/>
      <c r="AP137" s="749"/>
      <c r="AQ137" s="749"/>
      <c r="AR137" s="749"/>
      <c r="AS137" s="749"/>
      <c r="AT137" s="749"/>
      <c r="AU137" s="749"/>
      <c r="AV137" s="749"/>
      <c r="AW137" s="749"/>
      <c r="AX137" s="749"/>
      <c r="AY137" s="749"/>
      <c r="AZ137" s="749"/>
      <c r="BA137" s="749"/>
      <c r="BB137" s="749"/>
      <c r="BC137" s="749"/>
      <c r="BD137" s="749"/>
      <c r="BE137" s="749"/>
      <c r="BF137" s="749"/>
      <c r="BG137" s="749"/>
      <c r="BH137" s="749"/>
      <c r="BI137" s="749"/>
      <c r="BJ137" s="749"/>
      <c r="BK137" s="749"/>
      <c r="BL137" s="749"/>
    </row>
    <row r="138">
      <c r="A138" s="866"/>
      <c r="B138" s="867"/>
      <c r="C138" s="866"/>
      <c r="D138" s="866"/>
      <c r="E138" s="866"/>
      <c r="F138" s="866"/>
      <c r="G138" s="866"/>
      <c r="H138" s="866"/>
      <c r="I138" s="866"/>
      <c r="J138" s="868"/>
      <c r="K138" s="868"/>
      <c r="L138" s="799"/>
      <c r="M138" s="747"/>
      <c r="N138" s="744"/>
      <c r="O138" s="744"/>
      <c r="P138" s="744"/>
      <c r="Q138" s="744"/>
      <c r="R138" s="744"/>
      <c r="S138" s="744"/>
      <c r="T138" s="855"/>
      <c r="U138" s="746"/>
      <c r="V138" s="746"/>
      <c r="W138" s="746"/>
      <c r="X138" s="746"/>
      <c r="Y138" s="799"/>
      <c r="Z138" s="799"/>
      <c r="AA138" s="799"/>
      <c r="AB138" s="799"/>
      <c r="AC138" s="799"/>
      <c r="AD138" s="750"/>
      <c r="AE138" s="749"/>
      <c r="AF138" s="749"/>
      <c r="AG138" s="749"/>
      <c r="AH138" s="749"/>
      <c r="AI138" s="749"/>
      <c r="AJ138" s="749"/>
      <c r="AK138" s="749"/>
      <c r="AL138" s="749"/>
      <c r="AM138" s="749"/>
      <c r="AN138" s="749"/>
      <c r="AO138" s="749"/>
      <c r="AP138" s="749"/>
      <c r="AQ138" s="749"/>
      <c r="AR138" s="749"/>
      <c r="AS138" s="749"/>
      <c r="AT138" s="749"/>
      <c r="AU138" s="749"/>
      <c r="AV138" s="749"/>
      <c r="AW138" s="749"/>
      <c r="AX138" s="749"/>
      <c r="AY138" s="749"/>
      <c r="AZ138" s="749"/>
      <c r="BA138" s="749"/>
      <c r="BB138" s="749"/>
      <c r="BC138" s="749"/>
      <c r="BD138" s="749"/>
      <c r="BE138" s="749"/>
      <c r="BF138" s="749"/>
      <c r="BG138" s="749"/>
      <c r="BH138" s="749"/>
      <c r="BI138" s="749"/>
      <c r="BJ138" s="749"/>
      <c r="BK138" s="749"/>
      <c r="BL138" s="749"/>
    </row>
    <row r="139">
      <c r="A139" s="866"/>
      <c r="B139" s="867"/>
      <c r="C139" s="866"/>
      <c r="D139" s="866"/>
      <c r="E139" s="866"/>
      <c r="F139" s="866"/>
      <c r="G139" s="866"/>
      <c r="H139" s="866"/>
      <c r="I139" s="866"/>
      <c r="J139" s="868"/>
      <c r="K139" s="868"/>
      <c r="L139" s="799"/>
      <c r="M139" s="747"/>
      <c r="N139" s="744"/>
      <c r="O139" s="744"/>
      <c r="P139" s="744"/>
      <c r="Q139" s="744"/>
      <c r="R139" s="744"/>
      <c r="S139" s="744"/>
      <c r="T139" s="855"/>
      <c r="U139" s="746"/>
      <c r="V139" s="746"/>
      <c r="W139" s="746"/>
      <c r="X139" s="746"/>
      <c r="Y139" s="799"/>
      <c r="Z139" s="799"/>
      <c r="AA139" s="799"/>
      <c r="AB139" s="799"/>
      <c r="AC139" s="799"/>
      <c r="AD139" s="750"/>
      <c r="AE139" s="749"/>
      <c r="AF139" s="749"/>
      <c r="AG139" s="749"/>
      <c r="AH139" s="749"/>
      <c r="AI139" s="749"/>
      <c r="AJ139" s="749"/>
      <c r="AK139" s="749"/>
      <c r="AL139" s="749"/>
      <c r="AM139" s="749"/>
      <c r="AN139" s="749"/>
      <c r="AO139" s="749"/>
      <c r="AP139" s="749"/>
      <c r="AQ139" s="749"/>
      <c r="AR139" s="749"/>
      <c r="AS139" s="749"/>
      <c r="AT139" s="749"/>
      <c r="AU139" s="749"/>
      <c r="AV139" s="749"/>
      <c r="AW139" s="749"/>
      <c r="AX139" s="749"/>
      <c r="AY139" s="749"/>
      <c r="AZ139" s="749"/>
      <c r="BA139" s="749"/>
      <c r="BB139" s="749"/>
      <c r="BC139" s="749"/>
      <c r="BD139" s="749"/>
      <c r="BE139" s="749"/>
      <c r="BF139" s="749"/>
      <c r="BG139" s="749"/>
      <c r="BH139" s="749"/>
      <c r="BI139" s="749"/>
      <c r="BJ139" s="749"/>
      <c r="BK139" s="749"/>
      <c r="BL139" s="749"/>
    </row>
    <row r="140">
      <c r="A140" s="866"/>
      <c r="B140" s="867"/>
      <c r="C140" s="866"/>
      <c r="D140" s="866"/>
      <c r="E140" s="866"/>
      <c r="F140" s="866"/>
      <c r="G140" s="866"/>
      <c r="H140" s="866"/>
      <c r="I140" s="866"/>
      <c r="J140" s="868"/>
      <c r="K140" s="868"/>
      <c r="L140" s="799"/>
      <c r="M140" s="747"/>
      <c r="N140" s="744"/>
      <c r="O140" s="744"/>
      <c r="P140" s="744"/>
      <c r="Q140" s="744"/>
      <c r="R140" s="744"/>
      <c r="S140" s="744"/>
      <c r="T140" s="855"/>
      <c r="U140" s="746"/>
      <c r="V140" s="746"/>
      <c r="W140" s="746"/>
      <c r="X140" s="746"/>
      <c r="Y140" s="799"/>
      <c r="Z140" s="799"/>
      <c r="AA140" s="799"/>
      <c r="AB140" s="799"/>
      <c r="AC140" s="799"/>
      <c r="AD140" s="750"/>
      <c r="AE140" s="749"/>
      <c r="AF140" s="749"/>
      <c r="AG140" s="749"/>
      <c r="AH140" s="749"/>
      <c r="AI140" s="749"/>
      <c r="AJ140" s="749"/>
      <c r="AK140" s="749"/>
      <c r="AL140" s="749"/>
      <c r="AM140" s="749"/>
      <c r="AN140" s="749"/>
      <c r="AO140" s="749"/>
      <c r="AP140" s="749"/>
      <c r="AQ140" s="749"/>
      <c r="AR140" s="749"/>
      <c r="AS140" s="749"/>
      <c r="AT140" s="749"/>
      <c r="AU140" s="749"/>
      <c r="AV140" s="749"/>
      <c r="AW140" s="749"/>
      <c r="AX140" s="749"/>
      <c r="AY140" s="749"/>
      <c r="AZ140" s="749"/>
      <c r="BA140" s="749"/>
      <c r="BB140" s="749"/>
      <c r="BC140" s="749"/>
      <c r="BD140" s="749"/>
      <c r="BE140" s="749"/>
      <c r="BF140" s="749"/>
      <c r="BG140" s="749"/>
      <c r="BH140" s="749"/>
      <c r="BI140" s="749"/>
      <c r="BJ140" s="749"/>
      <c r="BK140" s="749"/>
      <c r="BL140" s="749"/>
    </row>
    <row r="141">
      <c r="A141" s="866"/>
      <c r="B141" s="867"/>
      <c r="C141" s="866"/>
      <c r="D141" s="866"/>
      <c r="E141" s="866"/>
      <c r="F141" s="866"/>
      <c r="G141" s="866"/>
      <c r="H141" s="866"/>
      <c r="I141" s="866"/>
      <c r="J141" s="868"/>
      <c r="K141" s="868"/>
      <c r="L141" s="799"/>
      <c r="M141" s="747"/>
      <c r="N141" s="744"/>
      <c r="O141" s="744"/>
      <c r="P141" s="744"/>
      <c r="Q141" s="744"/>
      <c r="R141" s="744"/>
      <c r="S141" s="744"/>
      <c r="T141" s="855"/>
      <c r="U141" s="746"/>
      <c r="V141" s="746"/>
      <c r="W141" s="746"/>
      <c r="X141" s="746"/>
      <c r="Y141" s="799"/>
      <c r="Z141" s="799"/>
      <c r="AA141" s="799"/>
      <c r="AB141" s="799"/>
      <c r="AC141" s="799"/>
      <c r="AD141" s="750"/>
      <c r="AE141" s="749"/>
      <c r="AF141" s="749"/>
      <c r="AG141" s="749"/>
      <c r="AH141" s="749"/>
      <c r="AI141" s="749"/>
      <c r="AJ141" s="749"/>
      <c r="AK141" s="749"/>
      <c r="AL141" s="749"/>
      <c r="AM141" s="749"/>
      <c r="AN141" s="749"/>
      <c r="AO141" s="749"/>
      <c r="AP141" s="749"/>
      <c r="AQ141" s="749"/>
      <c r="AR141" s="749"/>
      <c r="AS141" s="749"/>
      <c r="AT141" s="749"/>
      <c r="AU141" s="749"/>
      <c r="AV141" s="749"/>
      <c r="AW141" s="749"/>
      <c r="AX141" s="749"/>
      <c r="AY141" s="749"/>
      <c r="AZ141" s="749"/>
      <c r="BA141" s="749"/>
      <c r="BB141" s="749"/>
      <c r="BC141" s="749"/>
      <c r="BD141" s="749"/>
      <c r="BE141" s="749"/>
      <c r="BF141" s="749"/>
      <c r="BG141" s="749"/>
      <c r="BH141" s="749"/>
      <c r="BI141" s="749"/>
      <c r="BJ141" s="749"/>
      <c r="BK141" s="749"/>
      <c r="BL141" s="749"/>
    </row>
    <row r="142">
      <c r="A142" s="866"/>
      <c r="B142" s="867"/>
      <c r="C142" s="866"/>
      <c r="D142" s="866"/>
      <c r="E142" s="866"/>
      <c r="F142" s="866"/>
      <c r="G142" s="866"/>
      <c r="H142" s="866"/>
      <c r="I142" s="866"/>
      <c r="J142" s="868"/>
      <c r="K142" s="868"/>
      <c r="L142" s="799"/>
      <c r="M142" s="747"/>
      <c r="N142" s="744"/>
      <c r="O142" s="744"/>
      <c r="P142" s="744"/>
      <c r="Q142" s="744"/>
      <c r="R142" s="744"/>
      <c r="S142" s="744"/>
      <c r="T142" s="855"/>
      <c r="U142" s="746"/>
      <c r="V142" s="746"/>
      <c r="W142" s="746"/>
      <c r="X142" s="746"/>
      <c r="Y142" s="799"/>
      <c r="Z142" s="799"/>
      <c r="AA142" s="799"/>
      <c r="AB142" s="799"/>
      <c r="AC142" s="799"/>
      <c r="AD142" s="750"/>
      <c r="AE142" s="749"/>
      <c r="AF142" s="749"/>
      <c r="AG142" s="749"/>
      <c r="AH142" s="749"/>
      <c r="AI142" s="749"/>
      <c r="AJ142" s="749"/>
      <c r="AK142" s="749"/>
      <c r="AL142" s="749"/>
      <c r="AM142" s="749"/>
      <c r="AN142" s="749"/>
      <c r="AO142" s="749"/>
      <c r="AP142" s="749"/>
      <c r="AQ142" s="749"/>
      <c r="AR142" s="749"/>
      <c r="AS142" s="749"/>
      <c r="AT142" s="749"/>
      <c r="AU142" s="749"/>
      <c r="AV142" s="749"/>
      <c r="AW142" s="749"/>
      <c r="AX142" s="749"/>
      <c r="AY142" s="749"/>
      <c r="AZ142" s="749"/>
      <c r="BA142" s="749"/>
      <c r="BB142" s="749"/>
      <c r="BC142" s="749"/>
      <c r="BD142" s="749"/>
      <c r="BE142" s="749"/>
      <c r="BF142" s="749"/>
      <c r="BG142" s="749"/>
      <c r="BH142" s="749"/>
      <c r="BI142" s="749"/>
      <c r="BJ142" s="749"/>
      <c r="BK142" s="749"/>
      <c r="BL142" s="749"/>
    </row>
    <row r="143">
      <c r="A143" s="866"/>
      <c r="B143" s="867"/>
      <c r="C143" s="866"/>
      <c r="D143" s="866"/>
      <c r="E143" s="866"/>
      <c r="F143" s="866"/>
      <c r="G143" s="866"/>
      <c r="H143" s="866"/>
      <c r="I143" s="866"/>
      <c r="J143" s="868"/>
      <c r="K143" s="868"/>
      <c r="L143" s="799"/>
      <c r="M143" s="747"/>
      <c r="N143" s="744"/>
      <c r="O143" s="744"/>
      <c r="P143" s="744"/>
      <c r="Q143" s="744"/>
      <c r="R143" s="744"/>
      <c r="S143" s="744"/>
      <c r="T143" s="855"/>
      <c r="U143" s="746"/>
      <c r="V143" s="746"/>
      <c r="W143" s="746"/>
      <c r="X143" s="746"/>
      <c r="Y143" s="799"/>
      <c r="Z143" s="799"/>
      <c r="AA143" s="799"/>
      <c r="AB143" s="799"/>
      <c r="AC143" s="799"/>
      <c r="AD143" s="750"/>
      <c r="AE143" s="749"/>
      <c r="AF143" s="749"/>
      <c r="AG143" s="749"/>
      <c r="AH143" s="749"/>
      <c r="AI143" s="749"/>
      <c r="AJ143" s="749"/>
      <c r="AK143" s="749"/>
      <c r="AL143" s="749"/>
      <c r="AM143" s="749"/>
      <c r="AN143" s="749"/>
      <c r="AO143" s="749"/>
      <c r="AP143" s="749"/>
      <c r="AQ143" s="749"/>
      <c r="AR143" s="749"/>
      <c r="AS143" s="749"/>
      <c r="AT143" s="749"/>
      <c r="AU143" s="749"/>
      <c r="AV143" s="749"/>
      <c r="AW143" s="749"/>
      <c r="AX143" s="749"/>
      <c r="AY143" s="749"/>
      <c r="AZ143" s="749"/>
      <c r="BA143" s="749"/>
      <c r="BB143" s="749"/>
      <c r="BC143" s="749"/>
      <c r="BD143" s="749"/>
      <c r="BE143" s="749"/>
      <c r="BF143" s="749"/>
      <c r="BG143" s="749"/>
      <c r="BH143" s="749"/>
      <c r="BI143" s="749"/>
      <c r="BJ143" s="749"/>
      <c r="BK143" s="749"/>
      <c r="BL143" s="749"/>
    </row>
    <row r="144">
      <c r="A144" s="866"/>
      <c r="B144" s="867"/>
      <c r="C144" s="866"/>
      <c r="D144" s="866"/>
      <c r="E144" s="866"/>
      <c r="F144" s="866"/>
      <c r="G144" s="866"/>
      <c r="H144" s="866"/>
      <c r="I144" s="866"/>
      <c r="J144" s="868"/>
      <c r="K144" s="868"/>
      <c r="L144" s="799"/>
      <c r="M144" s="747"/>
      <c r="N144" s="744"/>
      <c r="O144" s="744"/>
      <c r="P144" s="744"/>
      <c r="Q144" s="744"/>
      <c r="R144" s="744"/>
      <c r="S144" s="744"/>
      <c r="T144" s="855"/>
      <c r="U144" s="746"/>
      <c r="V144" s="746"/>
      <c r="W144" s="746"/>
      <c r="X144" s="746"/>
      <c r="Y144" s="799"/>
      <c r="Z144" s="799"/>
      <c r="AA144" s="799"/>
      <c r="AB144" s="799"/>
      <c r="AC144" s="799"/>
      <c r="AD144" s="750"/>
      <c r="AE144" s="749"/>
      <c r="AF144" s="749"/>
      <c r="AG144" s="749"/>
      <c r="AH144" s="749"/>
      <c r="AI144" s="749"/>
      <c r="AJ144" s="749"/>
      <c r="AK144" s="749"/>
      <c r="AL144" s="749"/>
      <c r="AM144" s="749"/>
      <c r="AN144" s="749"/>
      <c r="AO144" s="749"/>
      <c r="AP144" s="749"/>
      <c r="AQ144" s="749"/>
      <c r="AR144" s="749"/>
      <c r="AS144" s="749"/>
      <c r="AT144" s="749"/>
      <c r="AU144" s="749"/>
      <c r="AV144" s="749"/>
      <c r="AW144" s="749"/>
      <c r="AX144" s="749"/>
      <c r="AY144" s="749"/>
      <c r="AZ144" s="749"/>
      <c r="BA144" s="749"/>
      <c r="BB144" s="749"/>
      <c r="BC144" s="749"/>
      <c r="BD144" s="749"/>
      <c r="BE144" s="749"/>
      <c r="BF144" s="749"/>
      <c r="BG144" s="749"/>
      <c r="BH144" s="749"/>
      <c r="BI144" s="749"/>
      <c r="BJ144" s="749"/>
      <c r="BK144" s="749"/>
      <c r="BL144" s="749"/>
    </row>
    <row r="145">
      <c r="A145" s="866"/>
      <c r="B145" s="867"/>
      <c r="C145" s="866"/>
      <c r="D145" s="866"/>
      <c r="E145" s="866"/>
      <c r="F145" s="866"/>
      <c r="G145" s="866"/>
      <c r="H145" s="866"/>
      <c r="I145" s="866"/>
      <c r="J145" s="868"/>
      <c r="K145" s="868"/>
      <c r="L145" s="799"/>
      <c r="M145" s="747"/>
      <c r="N145" s="744"/>
      <c r="O145" s="744"/>
      <c r="P145" s="744"/>
      <c r="Q145" s="744"/>
      <c r="R145" s="744"/>
      <c r="S145" s="744"/>
      <c r="T145" s="855"/>
      <c r="U145" s="746"/>
      <c r="V145" s="746"/>
      <c r="W145" s="746"/>
      <c r="X145" s="746"/>
      <c r="Y145" s="799"/>
      <c r="Z145" s="799"/>
      <c r="AA145" s="799"/>
      <c r="AB145" s="799"/>
      <c r="AC145" s="799"/>
      <c r="AD145" s="750"/>
      <c r="AE145" s="749"/>
      <c r="AF145" s="749"/>
      <c r="AG145" s="749"/>
      <c r="AH145" s="749"/>
      <c r="AI145" s="749"/>
      <c r="AJ145" s="749"/>
      <c r="AK145" s="749"/>
      <c r="AL145" s="749"/>
      <c r="AM145" s="749"/>
      <c r="AN145" s="749"/>
      <c r="AO145" s="749"/>
      <c r="AP145" s="749"/>
      <c r="AQ145" s="749"/>
      <c r="AR145" s="749"/>
      <c r="AS145" s="749"/>
      <c r="AT145" s="749"/>
      <c r="AU145" s="749"/>
      <c r="AV145" s="749"/>
      <c r="AW145" s="749"/>
      <c r="AX145" s="749"/>
      <c r="AY145" s="749"/>
      <c r="AZ145" s="749"/>
      <c r="BA145" s="749"/>
      <c r="BB145" s="749"/>
      <c r="BC145" s="749"/>
      <c r="BD145" s="749"/>
      <c r="BE145" s="749"/>
      <c r="BF145" s="749"/>
      <c r="BG145" s="749"/>
      <c r="BH145" s="749"/>
      <c r="BI145" s="749"/>
      <c r="BJ145" s="749"/>
      <c r="BK145" s="749"/>
      <c r="BL145" s="749"/>
    </row>
    <row r="146">
      <c r="A146" s="866"/>
      <c r="B146" s="867"/>
      <c r="C146" s="866"/>
      <c r="D146" s="866"/>
      <c r="E146" s="866"/>
      <c r="F146" s="866"/>
      <c r="G146" s="866"/>
      <c r="H146" s="866"/>
      <c r="I146" s="866"/>
      <c r="J146" s="868"/>
      <c r="K146" s="868"/>
      <c r="L146" s="799"/>
      <c r="M146" s="747"/>
      <c r="N146" s="744"/>
      <c r="O146" s="744"/>
      <c r="P146" s="744"/>
      <c r="Q146" s="744"/>
      <c r="R146" s="744"/>
      <c r="S146" s="744"/>
      <c r="T146" s="855"/>
      <c r="U146" s="746"/>
      <c r="V146" s="746"/>
      <c r="W146" s="746"/>
      <c r="X146" s="746"/>
      <c r="Y146" s="799"/>
      <c r="Z146" s="799"/>
      <c r="AA146" s="799"/>
      <c r="AB146" s="799"/>
      <c r="AC146" s="799"/>
      <c r="AD146" s="750"/>
      <c r="AE146" s="749"/>
      <c r="AF146" s="749"/>
      <c r="AG146" s="749"/>
      <c r="AH146" s="749"/>
      <c r="AI146" s="749"/>
      <c r="AJ146" s="749"/>
      <c r="AK146" s="749"/>
      <c r="AL146" s="749"/>
      <c r="AM146" s="749"/>
      <c r="AN146" s="749"/>
      <c r="AO146" s="749"/>
      <c r="AP146" s="749"/>
      <c r="AQ146" s="749"/>
      <c r="AR146" s="749"/>
      <c r="AS146" s="749"/>
      <c r="AT146" s="749"/>
      <c r="AU146" s="749"/>
      <c r="AV146" s="749"/>
      <c r="AW146" s="749"/>
      <c r="AX146" s="749"/>
      <c r="AY146" s="749"/>
      <c r="AZ146" s="749"/>
      <c r="BA146" s="749"/>
      <c r="BB146" s="749"/>
      <c r="BC146" s="749"/>
      <c r="BD146" s="749"/>
      <c r="BE146" s="749"/>
      <c r="BF146" s="749"/>
      <c r="BG146" s="749"/>
      <c r="BH146" s="749"/>
      <c r="BI146" s="749"/>
      <c r="BJ146" s="749"/>
      <c r="BK146" s="749"/>
      <c r="BL146" s="749"/>
    </row>
    <row r="147">
      <c r="A147" s="866"/>
      <c r="B147" s="867"/>
      <c r="C147" s="866"/>
      <c r="D147" s="866"/>
      <c r="E147" s="866"/>
      <c r="F147" s="866"/>
      <c r="G147" s="866"/>
      <c r="H147" s="866"/>
      <c r="I147" s="866"/>
      <c r="J147" s="868"/>
      <c r="K147" s="868"/>
      <c r="L147" s="799"/>
      <c r="M147" s="747"/>
      <c r="N147" s="744"/>
      <c r="O147" s="744"/>
      <c r="P147" s="744"/>
      <c r="Q147" s="744"/>
      <c r="R147" s="744"/>
      <c r="S147" s="744"/>
      <c r="T147" s="855"/>
      <c r="U147" s="746"/>
      <c r="V147" s="746"/>
      <c r="W147" s="746"/>
      <c r="X147" s="746"/>
      <c r="Y147" s="799"/>
      <c r="Z147" s="799"/>
      <c r="AA147" s="799"/>
      <c r="AB147" s="799"/>
      <c r="AC147" s="799"/>
      <c r="AD147" s="750"/>
      <c r="AE147" s="749"/>
      <c r="AF147" s="749"/>
      <c r="AG147" s="749"/>
      <c r="AH147" s="749"/>
      <c r="AI147" s="749"/>
      <c r="AJ147" s="749"/>
      <c r="AK147" s="749"/>
      <c r="AL147" s="749"/>
      <c r="AM147" s="749"/>
      <c r="AN147" s="749"/>
      <c r="AO147" s="749"/>
      <c r="AP147" s="749"/>
      <c r="AQ147" s="749"/>
      <c r="AR147" s="749"/>
      <c r="AS147" s="749"/>
      <c r="AT147" s="749"/>
      <c r="AU147" s="749"/>
      <c r="AV147" s="749"/>
      <c r="AW147" s="749"/>
      <c r="AX147" s="749"/>
      <c r="AY147" s="749"/>
      <c r="AZ147" s="749"/>
      <c r="BA147" s="749"/>
      <c r="BB147" s="749"/>
      <c r="BC147" s="749"/>
      <c r="BD147" s="749"/>
      <c r="BE147" s="749"/>
      <c r="BF147" s="749"/>
      <c r="BG147" s="749"/>
      <c r="BH147" s="749"/>
      <c r="BI147" s="749"/>
      <c r="BJ147" s="749"/>
      <c r="BK147" s="749"/>
      <c r="BL147" s="749"/>
    </row>
    <row r="148">
      <c r="A148" s="866"/>
      <c r="B148" s="867"/>
      <c r="C148" s="866"/>
      <c r="D148" s="866"/>
      <c r="E148" s="866"/>
      <c r="F148" s="866"/>
      <c r="G148" s="866"/>
      <c r="H148" s="866"/>
      <c r="I148" s="866"/>
      <c r="J148" s="868"/>
      <c r="K148" s="868"/>
      <c r="L148" s="799"/>
      <c r="M148" s="747"/>
      <c r="N148" s="744"/>
      <c r="O148" s="744"/>
      <c r="P148" s="744"/>
      <c r="Q148" s="744"/>
      <c r="R148" s="744"/>
      <c r="S148" s="744"/>
      <c r="T148" s="855"/>
      <c r="U148" s="746"/>
      <c r="V148" s="746"/>
      <c r="W148" s="746"/>
      <c r="X148" s="746"/>
      <c r="Y148" s="799"/>
      <c r="Z148" s="799"/>
      <c r="AA148" s="799"/>
      <c r="AB148" s="799"/>
      <c r="AC148" s="799"/>
      <c r="AD148" s="750"/>
      <c r="AE148" s="749"/>
      <c r="AF148" s="749"/>
      <c r="AG148" s="749"/>
      <c r="AH148" s="749"/>
      <c r="AI148" s="749"/>
      <c r="AJ148" s="749"/>
      <c r="AK148" s="749"/>
      <c r="AL148" s="749"/>
      <c r="AM148" s="749"/>
      <c r="AN148" s="749"/>
      <c r="AO148" s="749"/>
      <c r="AP148" s="749"/>
      <c r="AQ148" s="749"/>
      <c r="AR148" s="749"/>
      <c r="AS148" s="749"/>
      <c r="AT148" s="749"/>
      <c r="AU148" s="749"/>
      <c r="AV148" s="749"/>
      <c r="AW148" s="749"/>
      <c r="AX148" s="749"/>
      <c r="AY148" s="749"/>
      <c r="AZ148" s="749"/>
      <c r="BA148" s="749"/>
      <c r="BB148" s="749"/>
      <c r="BC148" s="749"/>
      <c r="BD148" s="749"/>
      <c r="BE148" s="749"/>
      <c r="BF148" s="749"/>
      <c r="BG148" s="749"/>
      <c r="BH148" s="749"/>
      <c r="BI148" s="749"/>
      <c r="BJ148" s="749"/>
      <c r="BK148" s="749"/>
      <c r="BL148" s="749"/>
    </row>
    <row r="149">
      <c r="A149" s="866"/>
      <c r="B149" s="867"/>
      <c r="C149" s="866"/>
      <c r="D149" s="866"/>
      <c r="E149" s="866"/>
      <c r="F149" s="866"/>
      <c r="G149" s="866"/>
      <c r="H149" s="866"/>
      <c r="I149" s="866"/>
      <c r="J149" s="868"/>
      <c r="K149" s="868"/>
      <c r="L149" s="799"/>
      <c r="M149" s="747"/>
      <c r="N149" s="744"/>
      <c r="O149" s="744"/>
      <c r="P149" s="744"/>
      <c r="Q149" s="744"/>
      <c r="R149" s="744"/>
      <c r="S149" s="744"/>
      <c r="T149" s="855"/>
      <c r="U149" s="746"/>
      <c r="V149" s="746"/>
      <c r="W149" s="746"/>
      <c r="X149" s="746"/>
      <c r="Y149" s="799"/>
      <c r="Z149" s="799"/>
      <c r="AA149" s="799"/>
      <c r="AB149" s="799"/>
      <c r="AC149" s="799"/>
      <c r="AD149" s="750"/>
      <c r="AE149" s="749"/>
      <c r="AF149" s="749"/>
      <c r="AG149" s="749"/>
      <c r="AH149" s="749"/>
      <c r="AI149" s="749"/>
      <c r="AJ149" s="749"/>
      <c r="AK149" s="749"/>
      <c r="AL149" s="749"/>
      <c r="AM149" s="749"/>
      <c r="AN149" s="749"/>
      <c r="AO149" s="749"/>
      <c r="AP149" s="749"/>
      <c r="AQ149" s="749"/>
      <c r="AR149" s="749"/>
      <c r="AS149" s="749"/>
      <c r="AT149" s="749"/>
      <c r="AU149" s="749"/>
      <c r="AV149" s="749"/>
      <c r="AW149" s="749"/>
      <c r="AX149" s="749"/>
      <c r="AY149" s="749"/>
      <c r="AZ149" s="749"/>
      <c r="BA149" s="749"/>
      <c r="BB149" s="749"/>
      <c r="BC149" s="749"/>
      <c r="BD149" s="749"/>
      <c r="BE149" s="749"/>
      <c r="BF149" s="749"/>
      <c r="BG149" s="749"/>
      <c r="BH149" s="749"/>
      <c r="BI149" s="749"/>
      <c r="BJ149" s="749"/>
      <c r="BK149" s="749"/>
      <c r="BL149" s="749"/>
    </row>
    <row r="150">
      <c r="A150" s="866"/>
      <c r="B150" s="867"/>
      <c r="C150" s="866"/>
      <c r="D150" s="866"/>
      <c r="E150" s="866"/>
      <c r="F150" s="866"/>
      <c r="G150" s="866"/>
      <c r="H150" s="866"/>
      <c r="I150" s="866"/>
      <c r="J150" s="868"/>
      <c r="K150" s="868"/>
      <c r="L150" s="799"/>
      <c r="M150" s="747"/>
      <c r="N150" s="744"/>
      <c r="O150" s="744"/>
      <c r="P150" s="744"/>
      <c r="Q150" s="744"/>
      <c r="R150" s="744"/>
      <c r="S150" s="744"/>
      <c r="T150" s="855"/>
      <c r="U150" s="746"/>
      <c r="V150" s="746"/>
      <c r="W150" s="746"/>
      <c r="X150" s="746"/>
      <c r="Y150" s="799"/>
      <c r="Z150" s="799"/>
      <c r="AA150" s="799"/>
      <c r="AB150" s="799"/>
      <c r="AC150" s="799"/>
      <c r="AD150" s="750"/>
      <c r="AE150" s="749"/>
      <c r="AF150" s="749"/>
      <c r="AG150" s="749"/>
      <c r="AH150" s="749"/>
      <c r="AI150" s="749"/>
      <c r="AJ150" s="749"/>
      <c r="AK150" s="749"/>
      <c r="AL150" s="749"/>
      <c r="AM150" s="749"/>
      <c r="AN150" s="749"/>
      <c r="AO150" s="749"/>
      <c r="AP150" s="749"/>
      <c r="AQ150" s="749"/>
      <c r="AR150" s="749"/>
      <c r="AS150" s="749"/>
      <c r="AT150" s="749"/>
      <c r="AU150" s="749"/>
      <c r="AV150" s="749"/>
      <c r="AW150" s="749"/>
      <c r="AX150" s="749"/>
      <c r="AY150" s="749"/>
      <c r="AZ150" s="749"/>
      <c r="BA150" s="749"/>
      <c r="BB150" s="749"/>
      <c r="BC150" s="749"/>
      <c r="BD150" s="749"/>
      <c r="BE150" s="749"/>
      <c r="BF150" s="749"/>
      <c r="BG150" s="749"/>
      <c r="BH150" s="749"/>
      <c r="BI150" s="749"/>
      <c r="BJ150" s="749"/>
      <c r="BK150" s="749"/>
      <c r="BL150" s="749"/>
    </row>
    <row r="151">
      <c r="A151" s="866"/>
      <c r="B151" s="867"/>
      <c r="C151" s="866"/>
      <c r="D151" s="866"/>
      <c r="E151" s="866"/>
      <c r="F151" s="866"/>
      <c r="G151" s="866"/>
      <c r="H151" s="866"/>
      <c r="I151" s="866"/>
      <c r="J151" s="868"/>
      <c r="K151" s="868"/>
      <c r="L151" s="799"/>
      <c r="M151" s="747"/>
      <c r="N151" s="744"/>
      <c r="O151" s="744"/>
      <c r="P151" s="744"/>
      <c r="Q151" s="744"/>
      <c r="R151" s="744"/>
      <c r="S151" s="744"/>
      <c r="T151" s="855"/>
      <c r="U151" s="746"/>
      <c r="V151" s="746"/>
      <c r="W151" s="746"/>
      <c r="X151" s="746"/>
      <c r="Y151" s="799"/>
      <c r="Z151" s="799"/>
      <c r="AA151" s="799"/>
      <c r="AB151" s="799"/>
      <c r="AC151" s="799"/>
      <c r="AD151" s="750"/>
      <c r="AE151" s="749"/>
      <c r="AF151" s="749"/>
      <c r="AG151" s="749"/>
      <c r="AH151" s="749"/>
      <c r="AI151" s="749"/>
      <c r="AJ151" s="749"/>
      <c r="AK151" s="749"/>
      <c r="AL151" s="749"/>
      <c r="AM151" s="749"/>
      <c r="AN151" s="749"/>
      <c r="AO151" s="749"/>
      <c r="AP151" s="749"/>
      <c r="AQ151" s="749"/>
      <c r="AR151" s="749"/>
      <c r="AS151" s="749"/>
      <c r="AT151" s="749"/>
      <c r="AU151" s="749"/>
      <c r="AV151" s="749"/>
      <c r="AW151" s="749"/>
      <c r="AX151" s="749"/>
      <c r="AY151" s="749"/>
      <c r="AZ151" s="749"/>
      <c r="BA151" s="749"/>
      <c r="BB151" s="749"/>
      <c r="BC151" s="749"/>
      <c r="BD151" s="749"/>
      <c r="BE151" s="749"/>
      <c r="BF151" s="749"/>
      <c r="BG151" s="749"/>
      <c r="BH151" s="749"/>
      <c r="BI151" s="749"/>
      <c r="BJ151" s="749"/>
      <c r="BK151" s="749"/>
      <c r="BL151" s="749"/>
    </row>
    <row r="152">
      <c r="A152" s="866"/>
      <c r="B152" s="867"/>
      <c r="C152" s="866"/>
      <c r="D152" s="866"/>
      <c r="E152" s="866"/>
      <c r="F152" s="866"/>
      <c r="G152" s="866"/>
      <c r="H152" s="866"/>
      <c r="I152" s="866"/>
      <c r="J152" s="868"/>
      <c r="K152" s="868"/>
      <c r="L152" s="799"/>
      <c r="M152" s="747"/>
      <c r="N152" s="744"/>
      <c r="O152" s="744"/>
      <c r="P152" s="744"/>
      <c r="Q152" s="744"/>
      <c r="R152" s="744"/>
      <c r="S152" s="744"/>
      <c r="T152" s="855"/>
      <c r="U152" s="746"/>
      <c r="V152" s="746"/>
      <c r="W152" s="746"/>
      <c r="X152" s="746"/>
      <c r="Y152" s="799"/>
      <c r="Z152" s="799"/>
      <c r="AA152" s="799"/>
      <c r="AB152" s="799"/>
      <c r="AC152" s="799"/>
      <c r="AD152" s="750"/>
      <c r="AE152" s="749"/>
      <c r="AF152" s="749"/>
      <c r="AG152" s="749"/>
      <c r="AH152" s="749"/>
      <c r="AI152" s="749"/>
      <c r="AJ152" s="749"/>
      <c r="AK152" s="749"/>
      <c r="AL152" s="749"/>
      <c r="AM152" s="749"/>
      <c r="AN152" s="749"/>
      <c r="AO152" s="749"/>
      <c r="AP152" s="749"/>
      <c r="AQ152" s="749"/>
      <c r="AR152" s="749"/>
      <c r="AS152" s="749"/>
      <c r="AT152" s="749"/>
      <c r="AU152" s="749"/>
      <c r="AV152" s="749"/>
      <c r="AW152" s="749"/>
      <c r="AX152" s="749"/>
      <c r="AY152" s="749"/>
      <c r="AZ152" s="749"/>
      <c r="BA152" s="749"/>
      <c r="BB152" s="749"/>
      <c r="BC152" s="749"/>
      <c r="BD152" s="749"/>
      <c r="BE152" s="749"/>
      <c r="BF152" s="749"/>
      <c r="BG152" s="749"/>
      <c r="BH152" s="749"/>
      <c r="BI152" s="749"/>
      <c r="BJ152" s="749"/>
      <c r="BK152" s="749"/>
      <c r="BL152" s="749"/>
    </row>
    <row r="153">
      <c r="A153" s="866"/>
      <c r="B153" s="867"/>
      <c r="C153" s="866"/>
      <c r="D153" s="866"/>
      <c r="E153" s="866"/>
      <c r="F153" s="866"/>
      <c r="G153" s="866"/>
      <c r="H153" s="866"/>
      <c r="I153" s="866"/>
      <c r="J153" s="868"/>
      <c r="K153" s="868"/>
      <c r="L153" s="799"/>
      <c r="M153" s="747"/>
      <c r="N153" s="744"/>
      <c r="O153" s="744"/>
      <c r="P153" s="744"/>
      <c r="Q153" s="744"/>
      <c r="R153" s="744"/>
      <c r="S153" s="744"/>
      <c r="T153" s="855"/>
      <c r="U153" s="746"/>
      <c r="V153" s="746"/>
      <c r="W153" s="746"/>
      <c r="X153" s="746"/>
      <c r="Y153" s="799"/>
      <c r="Z153" s="799"/>
      <c r="AA153" s="799"/>
      <c r="AB153" s="799"/>
      <c r="AC153" s="799"/>
      <c r="AD153" s="750"/>
      <c r="AE153" s="749"/>
      <c r="AF153" s="749"/>
      <c r="AG153" s="749"/>
      <c r="AH153" s="749"/>
      <c r="AI153" s="749"/>
      <c r="AJ153" s="749"/>
      <c r="AK153" s="749"/>
      <c r="AL153" s="749"/>
      <c r="AM153" s="749"/>
      <c r="AN153" s="749"/>
      <c r="AO153" s="749"/>
      <c r="AP153" s="749"/>
      <c r="AQ153" s="749"/>
      <c r="AR153" s="749"/>
      <c r="AS153" s="749"/>
      <c r="AT153" s="749"/>
      <c r="AU153" s="749"/>
      <c r="AV153" s="749"/>
      <c r="AW153" s="749"/>
      <c r="AX153" s="749"/>
      <c r="AY153" s="749"/>
      <c r="AZ153" s="749"/>
      <c r="BA153" s="749"/>
      <c r="BB153" s="749"/>
      <c r="BC153" s="749"/>
      <c r="BD153" s="749"/>
      <c r="BE153" s="749"/>
      <c r="BF153" s="749"/>
      <c r="BG153" s="749"/>
      <c r="BH153" s="749"/>
      <c r="BI153" s="749"/>
      <c r="BJ153" s="749"/>
      <c r="BK153" s="749"/>
      <c r="BL153" s="749"/>
    </row>
    <row r="154">
      <c r="A154" s="866"/>
      <c r="B154" s="867"/>
      <c r="C154" s="866"/>
      <c r="D154" s="866"/>
      <c r="E154" s="866"/>
      <c r="F154" s="866"/>
      <c r="G154" s="866"/>
      <c r="H154" s="866"/>
      <c r="I154" s="866"/>
      <c r="J154" s="868"/>
      <c r="K154" s="868"/>
      <c r="L154" s="799"/>
      <c r="M154" s="747"/>
      <c r="N154" s="744"/>
      <c r="O154" s="744"/>
      <c r="P154" s="744"/>
      <c r="Q154" s="744"/>
      <c r="R154" s="744"/>
      <c r="S154" s="744"/>
      <c r="T154" s="855"/>
      <c r="U154" s="746"/>
      <c r="V154" s="746"/>
      <c r="W154" s="746"/>
      <c r="X154" s="746"/>
      <c r="Y154" s="799"/>
      <c r="Z154" s="799"/>
      <c r="AA154" s="799"/>
      <c r="AB154" s="799"/>
      <c r="AC154" s="799"/>
      <c r="AD154" s="750"/>
      <c r="AE154" s="749"/>
      <c r="AF154" s="749"/>
      <c r="AG154" s="749"/>
      <c r="AH154" s="749"/>
      <c r="AI154" s="749"/>
      <c r="AJ154" s="749"/>
      <c r="AK154" s="749"/>
      <c r="AL154" s="749"/>
      <c r="AM154" s="749"/>
      <c r="AN154" s="749"/>
      <c r="AO154" s="749"/>
      <c r="AP154" s="749"/>
      <c r="AQ154" s="749"/>
      <c r="AR154" s="749"/>
      <c r="AS154" s="749"/>
      <c r="AT154" s="749"/>
      <c r="AU154" s="749"/>
      <c r="AV154" s="749"/>
      <c r="AW154" s="749"/>
      <c r="AX154" s="749"/>
      <c r="AY154" s="749"/>
      <c r="AZ154" s="749"/>
      <c r="BA154" s="749"/>
      <c r="BB154" s="749"/>
      <c r="BC154" s="749"/>
      <c r="BD154" s="749"/>
      <c r="BE154" s="749"/>
      <c r="BF154" s="749"/>
      <c r="BG154" s="749"/>
      <c r="BH154" s="749"/>
      <c r="BI154" s="749"/>
      <c r="BJ154" s="749"/>
      <c r="BK154" s="749"/>
      <c r="BL154" s="749"/>
    </row>
    <row r="155">
      <c r="A155" s="866"/>
      <c r="B155" s="867"/>
      <c r="C155" s="866"/>
      <c r="D155" s="866"/>
      <c r="E155" s="866"/>
      <c r="F155" s="866"/>
      <c r="G155" s="866"/>
      <c r="H155" s="866"/>
      <c r="I155" s="866"/>
      <c r="J155" s="868"/>
      <c r="K155" s="868"/>
      <c r="L155" s="799"/>
      <c r="M155" s="747"/>
      <c r="N155" s="744"/>
      <c r="O155" s="744"/>
      <c r="P155" s="744"/>
      <c r="Q155" s="744"/>
      <c r="R155" s="744"/>
      <c r="S155" s="744"/>
      <c r="T155" s="855"/>
      <c r="U155" s="746"/>
      <c r="V155" s="746"/>
      <c r="W155" s="746"/>
      <c r="X155" s="746"/>
      <c r="Y155" s="799"/>
      <c r="Z155" s="799"/>
      <c r="AA155" s="799"/>
      <c r="AB155" s="799"/>
      <c r="AC155" s="799"/>
      <c r="AD155" s="750"/>
      <c r="AE155" s="749"/>
      <c r="AF155" s="749"/>
      <c r="AG155" s="749"/>
      <c r="AH155" s="749"/>
      <c r="AI155" s="749"/>
      <c r="AJ155" s="749"/>
      <c r="AK155" s="749"/>
      <c r="AL155" s="749"/>
      <c r="AM155" s="749"/>
      <c r="AN155" s="749"/>
      <c r="AO155" s="749"/>
      <c r="AP155" s="749"/>
      <c r="AQ155" s="749"/>
      <c r="AR155" s="749"/>
      <c r="AS155" s="749"/>
      <c r="AT155" s="749"/>
      <c r="AU155" s="749"/>
      <c r="AV155" s="749"/>
      <c r="AW155" s="749"/>
      <c r="AX155" s="749"/>
      <c r="AY155" s="749"/>
      <c r="AZ155" s="749"/>
      <c r="BA155" s="749"/>
      <c r="BB155" s="749"/>
      <c r="BC155" s="749"/>
      <c r="BD155" s="749"/>
      <c r="BE155" s="749"/>
      <c r="BF155" s="749"/>
      <c r="BG155" s="749"/>
      <c r="BH155" s="749"/>
      <c r="BI155" s="749"/>
      <c r="BJ155" s="749"/>
      <c r="BK155" s="749"/>
      <c r="BL155" s="749"/>
    </row>
    <row r="156">
      <c r="A156" s="866"/>
      <c r="B156" s="867"/>
      <c r="C156" s="866"/>
      <c r="D156" s="866"/>
      <c r="E156" s="866"/>
      <c r="F156" s="866"/>
      <c r="G156" s="866"/>
      <c r="H156" s="866"/>
      <c r="I156" s="866"/>
      <c r="J156" s="868"/>
      <c r="K156" s="868"/>
      <c r="L156" s="799"/>
      <c r="M156" s="747"/>
      <c r="N156" s="744"/>
      <c r="O156" s="744"/>
      <c r="P156" s="744"/>
      <c r="Q156" s="744"/>
      <c r="R156" s="744"/>
      <c r="S156" s="744"/>
      <c r="T156" s="855"/>
      <c r="U156" s="746"/>
      <c r="V156" s="746"/>
      <c r="W156" s="746"/>
      <c r="X156" s="746"/>
      <c r="Y156" s="799"/>
      <c r="Z156" s="799"/>
      <c r="AA156" s="799"/>
      <c r="AB156" s="799"/>
      <c r="AC156" s="799"/>
      <c r="AD156" s="750"/>
      <c r="AE156" s="749"/>
      <c r="AF156" s="749"/>
      <c r="AG156" s="749"/>
      <c r="AH156" s="749"/>
      <c r="AI156" s="749"/>
      <c r="AJ156" s="749"/>
      <c r="AK156" s="749"/>
      <c r="AL156" s="749"/>
      <c r="AM156" s="749"/>
      <c r="AN156" s="749"/>
      <c r="AO156" s="749"/>
      <c r="AP156" s="749"/>
      <c r="AQ156" s="749"/>
      <c r="AR156" s="749"/>
      <c r="AS156" s="749"/>
      <c r="AT156" s="749"/>
      <c r="AU156" s="749"/>
      <c r="AV156" s="749"/>
      <c r="AW156" s="749"/>
      <c r="AX156" s="749"/>
      <c r="AY156" s="749"/>
      <c r="AZ156" s="749"/>
      <c r="BA156" s="749"/>
      <c r="BB156" s="749"/>
      <c r="BC156" s="749"/>
      <c r="BD156" s="749"/>
      <c r="BE156" s="749"/>
      <c r="BF156" s="749"/>
      <c r="BG156" s="749"/>
      <c r="BH156" s="749"/>
      <c r="BI156" s="749"/>
      <c r="BJ156" s="749"/>
      <c r="BK156" s="749"/>
      <c r="BL156" s="749"/>
    </row>
    <row r="157">
      <c r="A157" s="866"/>
      <c r="B157" s="867"/>
      <c r="C157" s="866"/>
      <c r="D157" s="866"/>
      <c r="E157" s="866"/>
      <c r="F157" s="866"/>
      <c r="G157" s="866"/>
      <c r="H157" s="866"/>
      <c r="I157" s="866"/>
      <c r="J157" s="868"/>
      <c r="K157" s="868"/>
      <c r="L157" s="799"/>
      <c r="M157" s="747"/>
      <c r="N157" s="744"/>
      <c r="O157" s="744"/>
      <c r="P157" s="744"/>
      <c r="Q157" s="744"/>
      <c r="R157" s="744"/>
      <c r="S157" s="744"/>
      <c r="T157" s="855"/>
      <c r="U157" s="746"/>
      <c r="V157" s="746"/>
      <c r="W157" s="746"/>
      <c r="X157" s="746"/>
      <c r="Y157" s="799"/>
      <c r="Z157" s="799"/>
      <c r="AA157" s="799"/>
      <c r="AB157" s="799"/>
      <c r="AC157" s="799"/>
      <c r="AD157" s="750"/>
      <c r="AE157" s="749"/>
      <c r="AF157" s="749"/>
      <c r="AG157" s="749"/>
      <c r="AH157" s="749"/>
      <c r="AI157" s="749"/>
      <c r="AJ157" s="749"/>
      <c r="AK157" s="749"/>
      <c r="AL157" s="749"/>
      <c r="AM157" s="749"/>
      <c r="AN157" s="749"/>
      <c r="AO157" s="749"/>
      <c r="AP157" s="749"/>
      <c r="AQ157" s="749"/>
      <c r="AR157" s="749"/>
      <c r="AS157" s="749"/>
      <c r="AT157" s="749"/>
      <c r="AU157" s="749"/>
      <c r="AV157" s="749"/>
      <c r="AW157" s="749"/>
      <c r="AX157" s="749"/>
      <c r="AY157" s="749"/>
      <c r="AZ157" s="749"/>
      <c r="BA157" s="749"/>
      <c r="BB157" s="749"/>
      <c r="BC157" s="749"/>
      <c r="BD157" s="749"/>
      <c r="BE157" s="749"/>
      <c r="BF157" s="749"/>
      <c r="BG157" s="749"/>
      <c r="BH157" s="749"/>
      <c r="BI157" s="749"/>
      <c r="BJ157" s="749"/>
      <c r="BK157" s="749"/>
      <c r="BL157" s="749"/>
    </row>
    <row r="158">
      <c r="A158" s="866"/>
      <c r="B158" s="867"/>
      <c r="C158" s="866"/>
      <c r="D158" s="866"/>
      <c r="E158" s="866"/>
      <c r="F158" s="866"/>
      <c r="G158" s="866"/>
      <c r="H158" s="866"/>
      <c r="I158" s="866"/>
      <c r="J158" s="868"/>
      <c r="K158" s="868"/>
      <c r="L158" s="799"/>
      <c r="M158" s="747"/>
      <c r="N158" s="744"/>
      <c r="O158" s="744"/>
      <c r="P158" s="744"/>
      <c r="Q158" s="744"/>
      <c r="R158" s="744"/>
      <c r="S158" s="744"/>
      <c r="T158" s="855"/>
      <c r="U158" s="746"/>
      <c r="V158" s="746"/>
      <c r="W158" s="746"/>
      <c r="X158" s="746"/>
      <c r="Y158" s="799"/>
      <c r="Z158" s="799"/>
      <c r="AA158" s="799"/>
      <c r="AB158" s="799"/>
      <c r="AC158" s="799"/>
      <c r="AD158" s="750"/>
      <c r="AE158" s="749"/>
      <c r="AF158" s="749"/>
      <c r="AG158" s="749"/>
      <c r="AH158" s="749"/>
      <c r="AI158" s="749"/>
      <c r="AJ158" s="749"/>
      <c r="AK158" s="749"/>
      <c r="AL158" s="749"/>
      <c r="AM158" s="749"/>
      <c r="AN158" s="749"/>
      <c r="AO158" s="749"/>
      <c r="AP158" s="749"/>
      <c r="AQ158" s="749"/>
      <c r="AR158" s="749"/>
      <c r="AS158" s="749"/>
      <c r="AT158" s="749"/>
      <c r="AU158" s="749"/>
      <c r="AV158" s="749"/>
      <c r="AW158" s="749"/>
      <c r="AX158" s="749"/>
      <c r="AY158" s="749"/>
      <c r="AZ158" s="749"/>
      <c r="BA158" s="749"/>
      <c r="BB158" s="749"/>
      <c r="BC158" s="749"/>
      <c r="BD158" s="749"/>
      <c r="BE158" s="749"/>
      <c r="BF158" s="749"/>
      <c r="BG158" s="749"/>
      <c r="BH158" s="749"/>
      <c r="BI158" s="749"/>
      <c r="BJ158" s="749"/>
      <c r="BK158" s="749"/>
      <c r="BL158" s="749"/>
    </row>
    <row r="159">
      <c r="A159" s="866"/>
      <c r="B159" s="867"/>
      <c r="C159" s="866"/>
      <c r="D159" s="866"/>
      <c r="E159" s="866"/>
      <c r="F159" s="866"/>
      <c r="G159" s="866"/>
      <c r="H159" s="866"/>
      <c r="I159" s="866"/>
      <c r="J159" s="868"/>
      <c r="K159" s="868"/>
      <c r="L159" s="799"/>
      <c r="M159" s="747"/>
      <c r="N159" s="744"/>
      <c r="O159" s="744"/>
      <c r="P159" s="744"/>
      <c r="Q159" s="744"/>
      <c r="R159" s="744"/>
      <c r="S159" s="744"/>
      <c r="T159" s="855"/>
      <c r="U159" s="746"/>
      <c r="V159" s="746"/>
      <c r="W159" s="746"/>
      <c r="X159" s="746"/>
      <c r="Y159" s="799"/>
      <c r="Z159" s="799"/>
      <c r="AA159" s="799"/>
      <c r="AB159" s="799"/>
      <c r="AC159" s="799"/>
      <c r="AD159" s="750"/>
      <c r="AE159" s="749"/>
      <c r="AF159" s="749"/>
      <c r="AG159" s="749"/>
      <c r="AH159" s="749"/>
      <c r="AI159" s="749"/>
      <c r="AJ159" s="749"/>
      <c r="AK159" s="749"/>
      <c r="AL159" s="749"/>
      <c r="AM159" s="749"/>
      <c r="AN159" s="749"/>
      <c r="AO159" s="749"/>
      <c r="AP159" s="749"/>
      <c r="AQ159" s="749"/>
      <c r="AR159" s="749"/>
      <c r="AS159" s="749"/>
      <c r="AT159" s="749"/>
      <c r="AU159" s="749"/>
      <c r="AV159" s="749"/>
      <c r="AW159" s="749"/>
      <c r="AX159" s="749"/>
      <c r="AY159" s="749"/>
      <c r="AZ159" s="749"/>
      <c r="BA159" s="749"/>
      <c r="BB159" s="749"/>
      <c r="BC159" s="749"/>
      <c r="BD159" s="749"/>
      <c r="BE159" s="749"/>
      <c r="BF159" s="749"/>
      <c r="BG159" s="749"/>
      <c r="BH159" s="749"/>
      <c r="BI159" s="749"/>
      <c r="BJ159" s="749"/>
      <c r="BK159" s="749"/>
      <c r="BL159" s="749"/>
    </row>
    <row r="160">
      <c r="A160" s="866"/>
      <c r="B160" s="867"/>
      <c r="C160" s="866"/>
      <c r="D160" s="866"/>
      <c r="E160" s="866"/>
      <c r="F160" s="866"/>
      <c r="G160" s="866"/>
      <c r="H160" s="866"/>
      <c r="I160" s="866"/>
      <c r="J160" s="868"/>
      <c r="K160" s="868"/>
      <c r="L160" s="799"/>
      <c r="M160" s="747"/>
      <c r="N160" s="744"/>
      <c r="O160" s="744"/>
      <c r="P160" s="744"/>
      <c r="Q160" s="744"/>
      <c r="R160" s="744"/>
      <c r="S160" s="744"/>
      <c r="T160" s="855"/>
      <c r="U160" s="746"/>
      <c r="V160" s="746"/>
      <c r="W160" s="746"/>
      <c r="X160" s="746"/>
      <c r="Y160" s="799"/>
      <c r="Z160" s="799"/>
      <c r="AA160" s="799"/>
      <c r="AB160" s="799"/>
      <c r="AC160" s="799"/>
      <c r="AD160" s="750"/>
      <c r="AE160" s="749"/>
      <c r="AF160" s="749"/>
      <c r="AG160" s="749"/>
      <c r="AH160" s="749"/>
      <c r="AI160" s="749"/>
      <c r="AJ160" s="749"/>
      <c r="AK160" s="749"/>
      <c r="AL160" s="749"/>
      <c r="AM160" s="749"/>
      <c r="AN160" s="749"/>
      <c r="AO160" s="749"/>
      <c r="AP160" s="749"/>
      <c r="AQ160" s="749"/>
      <c r="AR160" s="749"/>
      <c r="AS160" s="749"/>
      <c r="AT160" s="749"/>
      <c r="AU160" s="749"/>
      <c r="AV160" s="749"/>
      <c r="AW160" s="749"/>
      <c r="AX160" s="749"/>
      <c r="AY160" s="749"/>
      <c r="AZ160" s="749"/>
      <c r="BA160" s="749"/>
      <c r="BB160" s="749"/>
      <c r="BC160" s="749"/>
      <c r="BD160" s="749"/>
      <c r="BE160" s="749"/>
      <c r="BF160" s="749"/>
      <c r="BG160" s="749"/>
      <c r="BH160" s="749"/>
      <c r="BI160" s="749"/>
      <c r="BJ160" s="749"/>
      <c r="BK160" s="749"/>
      <c r="BL160" s="749"/>
    </row>
    <row r="161">
      <c r="A161" s="866"/>
      <c r="B161" s="867"/>
      <c r="C161" s="866"/>
      <c r="D161" s="866"/>
      <c r="E161" s="866"/>
      <c r="F161" s="866"/>
      <c r="G161" s="866"/>
      <c r="H161" s="866"/>
      <c r="I161" s="866"/>
      <c r="J161" s="868"/>
      <c r="K161" s="868"/>
      <c r="L161" s="799"/>
      <c r="M161" s="747"/>
      <c r="N161" s="744"/>
      <c r="O161" s="744"/>
      <c r="P161" s="744"/>
      <c r="Q161" s="744"/>
      <c r="R161" s="744"/>
      <c r="S161" s="744"/>
      <c r="T161" s="855"/>
      <c r="U161" s="746"/>
      <c r="V161" s="746"/>
      <c r="W161" s="746"/>
      <c r="X161" s="746"/>
      <c r="Y161" s="799"/>
      <c r="Z161" s="799"/>
      <c r="AA161" s="799"/>
      <c r="AB161" s="799"/>
      <c r="AC161" s="799"/>
      <c r="AD161" s="750"/>
      <c r="AE161" s="749"/>
      <c r="AF161" s="749"/>
      <c r="AG161" s="749"/>
      <c r="AH161" s="749"/>
      <c r="AI161" s="749"/>
      <c r="AJ161" s="749"/>
      <c r="AK161" s="749"/>
      <c r="AL161" s="749"/>
      <c r="AM161" s="749"/>
      <c r="AN161" s="749"/>
      <c r="AO161" s="749"/>
      <c r="AP161" s="749"/>
      <c r="AQ161" s="749"/>
      <c r="AR161" s="749"/>
      <c r="AS161" s="749"/>
      <c r="AT161" s="749"/>
      <c r="AU161" s="749"/>
      <c r="AV161" s="749"/>
      <c r="AW161" s="749"/>
      <c r="AX161" s="749"/>
      <c r="AY161" s="749"/>
      <c r="AZ161" s="749"/>
      <c r="BA161" s="749"/>
      <c r="BB161" s="749"/>
      <c r="BC161" s="749"/>
      <c r="BD161" s="749"/>
      <c r="BE161" s="749"/>
      <c r="BF161" s="749"/>
      <c r="BG161" s="749"/>
      <c r="BH161" s="749"/>
      <c r="BI161" s="749"/>
      <c r="BJ161" s="749"/>
      <c r="BK161" s="749"/>
      <c r="BL161" s="749"/>
    </row>
    <row r="162">
      <c r="A162" s="866"/>
      <c r="B162" s="867"/>
      <c r="C162" s="866"/>
      <c r="D162" s="866"/>
      <c r="E162" s="866"/>
      <c r="F162" s="866"/>
      <c r="G162" s="866"/>
      <c r="H162" s="866"/>
      <c r="I162" s="866"/>
      <c r="J162" s="868"/>
      <c r="K162" s="868"/>
      <c r="L162" s="799"/>
      <c r="M162" s="747"/>
      <c r="N162" s="744"/>
      <c r="O162" s="744"/>
      <c r="P162" s="744"/>
      <c r="Q162" s="744"/>
      <c r="R162" s="744"/>
      <c r="S162" s="744"/>
      <c r="T162" s="855"/>
      <c r="U162" s="746"/>
      <c r="V162" s="746"/>
      <c r="W162" s="746"/>
      <c r="X162" s="746"/>
      <c r="Y162" s="799"/>
      <c r="Z162" s="799"/>
      <c r="AA162" s="799"/>
      <c r="AB162" s="799"/>
      <c r="AC162" s="799"/>
      <c r="AD162" s="750"/>
      <c r="AE162" s="749"/>
      <c r="AF162" s="749"/>
      <c r="AG162" s="749"/>
      <c r="AH162" s="749"/>
      <c r="AI162" s="749"/>
      <c r="AJ162" s="749"/>
      <c r="AK162" s="749"/>
      <c r="AL162" s="749"/>
      <c r="AM162" s="749"/>
      <c r="AN162" s="749"/>
      <c r="AO162" s="749"/>
      <c r="AP162" s="749"/>
      <c r="AQ162" s="749"/>
      <c r="AR162" s="749"/>
      <c r="AS162" s="749"/>
      <c r="AT162" s="749"/>
      <c r="AU162" s="749"/>
      <c r="AV162" s="749"/>
      <c r="AW162" s="749"/>
      <c r="AX162" s="749"/>
      <c r="AY162" s="749"/>
      <c r="AZ162" s="749"/>
      <c r="BA162" s="749"/>
      <c r="BB162" s="749"/>
      <c r="BC162" s="749"/>
      <c r="BD162" s="749"/>
      <c r="BE162" s="749"/>
      <c r="BF162" s="749"/>
      <c r="BG162" s="749"/>
      <c r="BH162" s="749"/>
      <c r="BI162" s="749"/>
      <c r="BJ162" s="749"/>
      <c r="BK162" s="749"/>
      <c r="BL162" s="749"/>
    </row>
    <row r="163">
      <c r="A163" s="866"/>
      <c r="B163" s="867"/>
      <c r="C163" s="866"/>
      <c r="D163" s="866"/>
      <c r="E163" s="866"/>
      <c r="F163" s="866"/>
      <c r="G163" s="866"/>
      <c r="H163" s="866"/>
      <c r="I163" s="866"/>
      <c r="J163" s="868"/>
      <c r="K163" s="868"/>
      <c r="L163" s="799"/>
      <c r="M163" s="747"/>
      <c r="N163" s="744"/>
      <c r="O163" s="744"/>
      <c r="P163" s="744"/>
      <c r="Q163" s="744"/>
      <c r="R163" s="744"/>
      <c r="S163" s="744"/>
      <c r="T163" s="855"/>
      <c r="U163" s="746"/>
      <c r="V163" s="746"/>
      <c r="W163" s="746"/>
      <c r="X163" s="746"/>
      <c r="Y163" s="799"/>
      <c r="Z163" s="799"/>
      <c r="AA163" s="799"/>
      <c r="AB163" s="799"/>
      <c r="AC163" s="799"/>
      <c r="AD163" s="750"/>
      <c r="AE163" s="749"/>
      <c r="AF163" s="749"/>
      <c r="AG163" s="749"/>
      <c r="AH163" s="749"/>
      <c r="AI163" s="749"/>
      <c r="AJ163" s="749"/>
      <c r="AK163" s="749"/>
      <c r="AL163" s="749"/>
      <c r="AM163" s="749"/>
      <c r="AN163" s="749"/>
      <c r="AO163" s="749"/>
      <c r="AP163" s="749"/>
      <c r="AQ163" s="749"/>
      <c r="AR163" s="749"/>
      <c r="AS163" s="749"/>
      <c r="AT163" s="749"/>
      <c r="AU163" s="749"/>
      <c r="AV163" s="749"/>
      <c r="AW163" s="749"/>
      <c r="AX163" s="749"/>
      <c r="AY163" s="749"/>
      <c r="AZ163" s="749"/>
      <c r="BA163" s="749"/>
      <c r="BB163" s="749"/>
      <c r="BC163" s="749"/>
      <c r="BD163" s="749"/>
      <c r="BE163" s="749"/>
      <c r="BF163" s="749"/>
      <c r="BG163" s="749"/>
      <c r="BH163" s="749"/>
      <c r="BI163" s="749"/>
      <c r="BJ163" s="749"/>
      <c r="BK163" s="749"/>
      <c r="BL163" s="749"/>
    </row>
    <row r="164">
      <c r="A164" s="866"/>
      <c r="B164" s="867"/>
      <c r="C164" s="866"/>
      <c r="D164" s="866"/>
      <c r="E164" s="866"/>
      <c r="F164" s="866"/>
      <c r="G164" s="866"/>
      <c r="H164" s="866"/>
      <c r="I164" s="866"/>
      <c r="J164" s="868"/>
      <c r="K164" s="868"/>
      <c r="L164" s="799"/>
      <c r="M164" s="747"/>
      <c r="N164" s="744"/>
      <c r="O164" s="744"/>
      <c r="P164" s="744"/>
      <c r="Q164" s="744"/>
      <c r="R164" s="744"/>
      <c r="S164" s="744"/>
      <c r="T164" s="855"/>
      <c r="U164" s="746"/>
      <c r="V164" s="746"/>
      <c r="W164" s="746"/>
      <c r="X164" s="746"/>
      <c r="Y164" s="799"/>
      <c r="Z164" s="799"/>
      <c r="AA164" s="799"/>
      <c r="AB164" s="799"/>
      <c r="AC164" s="799"/>
      <c r="AD164" s="750"/>
      <c r="AE164" s="749"/>
      <c r="AF164" s="749"/>
      <c r="AG164" s="749"/>
      <c r="AH164" s="749"/>
      <c r="AI164" s="749"/>
      <c r="AJ164" s="749"/>
      <c r="AK164" s="749"/>
      <c r="AL164" s="749"/>
      <c r="AM164" s="749"/>
      <c r="AN164" s="749"/>
      <c r="AO164" s="749"/>
      <c r="AP164" s="749"/>
      <c r="AQ164" s="749"/>
      <c r="AR164" s="749"/>
      <c r="AS164" s="749"/>
      <c r="AT164" s="749"/>
      <c r="AU164" s="749"/>
      <c r="AV164" s="749"/>
      <c r="AW164" s="749"/>
      <c r="AX164" s="749"/>
      <c r="AY164" s="749"/>
      <c r="AZ164" s="749"/>
      <c r="BA164" s="749"/>
      <c r="BB164" s="749"/>
      <c r="BC164" s="749"/>
      <c r="BD164" s="749"/>
      <c r="BE164" s="749"/>
      <c r="BF164" s="749"/>
      <c r="BG164" s="749"/>
      <c r="BH164" s="749"/>
      <c r="BI164" s="749"/>
      <c r="BJ164" s="749"/>
      <c r="BK164" s="749"/>
      <c r="BL164" s="749"/>
    </row>
    <row r="165">
      <c r="A165" s="866"/>
      <c r="B165" s="867"/>
      <c r="C165" s="866"/>
      <c r="D165" s="866"/>
      <c r="E165" s="866"/>
      <c r="F165" s="866"/>
      <c r="G165" s="866"/>
      <c r="H165" s="866"/>
      <c r="I165" s="866"/>
      <c r="J165" s="868"/>
      <c r="K165" s="868"/>
      <c r="L165" s="799"/>
      <c r="M165" s="747"/>
      <c r="N165" s="744"/>
      <c r="O165" s="744"/>
      <c r="P165" s="744"/>
      <c r="Q165" s="744"/>
      <c r="R165" s="744"/>
      <c r="S165" s="744"/>
      <c r="T165" s="855"/>
      <c r="U165" s="746"/>
      <c r="V165" s="746"/>
      <c r="W165" s="746"/>
      <c r="X165" s="746"/>
      <c r="Y165" s="799"/>
      <c r="Z165" s="799"/>
      <c r="AA165" s="799"/>
      <c r="AB165" s="799"/>
      <c r="AC165" s="799"/>
      <c r="AD165" s="750"/>
      <c r="AE165" s="749"/>
      <c r="AF165" s="749"/>
      <c r="AG165" s="749"/>
      <c r="AH165" s="749"/>
      <c r="AI165" s="749"/>
      <c r="AJ165" s="749"/>
      <c r="AK165" s="749"/>
      <c r="AL165" s="749"/>
      <c r="AM165" s="749"/>
      <c r="AN165" s="749"/>
      <c r="AO165" s="749"/>
      <c r="AP165" s="749"/>
      <c r="AQ165" s="749"/>
      <c r="AR165" s="749"/>
      <c r="AS165" s="749"/>
      <c r="AT165" s="749"/>
      <c r="AU165" s="749"/>
      <c r="AV165" s="749"/>
      <c r="AW165" s="749"/>
      <c r="AX165" s="749"/>
      <c r="AY165" s="749"/>
      <c r="AZ165" s="749"/>
      <c r="BA165" s="749"/>
      <c r="BB165" s="749"/>
      <c r="BC165" s="749"/>
      <c r="BD165" s="749"/>
      <c r="BE165" s="749"/>
      <c r="BF165" s="749"/>
      <c r="BG165" s="749"/>
      <c r="BH165" s="749"/>
      <c r="BI165" s="749"/>
      <c r="BJ165" s="749"/>
      <c r="BK165" s="749"/>
      <c r="BL165" s="749"/>
    </row>
    <row r="166">
      <c r="A166" s="866"/>
      <c r="B166" s="867"/>
      <c r="C166" s="866"/>
      <c r="D166" s="866"/>
      <c r="E166" s="866"/>
      <c r="F166" s="866"/>
      <c r="G166" s="866"/>
      <c r="H166" s="866"/>
      <c r="I166" s="866"/>
      <c r="J166" s="868"/>
      <c r="K166" s="868"/>
      <c r="L166" s="799"/>
      <c r="M166" s="747"/>
      <c r="N166" s="744"/>
      <c r="O166" s="744"/>
      <c r="P166" s="744"/>
      <c r="Q166" s="744"/>
      <c r="R166" s="744"/>
      <c r="S166" s="744"/>
      <c r="T166" s="855"/>
      <c r="U166" s="746"/>
      <c r="V166" s="746"/>
      <c r="W166" s="746"/>
      <c r="X166" s="746"/>
      <c r="Y166" s="799"/>
      <c r="Z166" s="799"/>
      <c r="AA166" s="799"/>
      <c r="AB166" s="799"/>
      <c r="AC166" s="799"/>
      <c r="AD166" s="750"/>
      <c r="AE166" s="749"/>
      <c r="AF166" s="749"/>
      <c r="AG166" s="749"/>
      <c r="AH166" s="749"/>
      <c r="AI166" s="749"/>
      <c r="AJ166" s="749"/>
      <c r="AK166" s="749"/>
      <c r="AL166" s="749"/>
      <c r="AM166" s="749"/>
      <c r="AN166" s="749"/>
      <c r="AO166" s="749"/>
      <c r="AP166" s="749"/>
      <c r="AQ166" s="749"/>
      <c r="AR166" s="749"/>
      <c r="AS166" s="749"/>
      <c r="AT166" s="749"/>
      <c r="AU166" s="749"/>
      <c r="AV166" s="749"/>
      <c r="AW166" s="749"/>
      <c r="AX166" s="749"/>
      <c r="AY166" s="749"/>
      <c r="AZ166" s="749"/>
      <c r="BA166" s="749"/>
      <c r="BB166" s="749"/>
      <c r="BC166" s="749"/>
      <c r="BD166" s="749"/>
      <c r="BE166" s="749"/>
      <c r="BF166" s="749"/>
      <c r="BG166" s="749"/>
      <c r="BH166" s="749"/>
      <c r="BI166" s="749"/>
      <c r="BJ166" s="749"/>
      <c r="BK166" s="749"/>
      <c r="BL166" s="749"/>
    </row>
    <row r="167">
      <c r="A167" s="866"/>
      <c r="B167" s="867"/>
      <c r="C167" s="866"/>
      <c r="D167" s="866"/>
      <c r="E167" s="866"/>
      <c r="F167" s="866"/>
      <c r="G167" s="866"/>
      <c r="H167" s="866"/>
      <c r="I167" s="866"/>
      <c r="J167" s="868"/>
      <c r="K167" s="868"/>
      <c r="L167" s="799"/>
      <c r="M167" s="747"/>
      <c r="N167" s="744"/>
      <c r="O167" s="744"/>
      <c r="P167" s="744"/>
      <c r="Q167" s="744"/>
      <c r="R167" s="744"/>
      <c r="S167" s="744"/>
      <c r="T167" s="855"/>
      <c r="U167" s="746"/>
      <c r="V167" s="746"/>
      <c r="W167" s="746"/>
      <c r="X167" s="746"/>
      <c r="Y167" s="799"/>
      <c r="Z167" s="799"/>
      <c r="AA167" s="799"/>
      <c r="AB167" s="799"/>
      <c r="AC167" s="799"/>
      <c r="AD167" s="750"/>
      <c r="AE167" s="749"/>
      <c r="AF167" s="749"/>
      <c r="AG167" s="749"/>
      <c r="AH167" s="749"/>
      <c r="AI167" s="749"/>
      <c r="AJ167" s="749"/>
      <c r="AK167" s="749"/>
      <c r="AL167" s="749"/>
      <c r="AM167" s="749"/>
      <c r="AN167" s="749"/>
      <c r="AO167" s="749"/>
      <c r="AP167" s="749"/>
      <c r="AQ167" s="749"/>
      <c r="AR167" s="749"/>
      <c r="AS167" s="749"/>
      <c r="AT167" s="749"/>
      <c r="AU167" s="749"/>
      <c r="AV167" s="749"/>
      <c r="AW167" s="749"/>
      <c r="AX167" s="749"/>
      <c r="AY167" s="749"/>
      <c r="AZ167" s="749"/>
      <c r="BA167" s="749"/>
      <c r="BB167" s="749"/>
      <c r="BC167" s="749"/>
      <c r="BD167" s="749"/>
      <c r="BE167" s="749"/>
      <c r="BF167" s="749"/>
      <c r="BG167" s="749"/>
      <c r="BH167" s="749"/>
      <c r="BI167" s="749"/>
      <c r="BJ167" s="749"/>
      <c r="BK167" s="749"/>
      <c r="BL167" s="749"/>
    </row>
    <row r="168">
      <c r="A168" s="866"/>
      <c r="B168" s="867"/>
      <c r="C168" s="866"/>
      <c r="D168" s="866"/>
      <c r="E168" s="866"/>
      <c r="F168" s="866"/>
      <c r="G168" s="866"/>
      <c r="H168" s="866"/>
      <c r="I168" s="866"/>
      <c r="J168" s="868"/>
      <c r="K168" s="868"/>
      <c r="L168" s="799"/>
      <c r="M168" s="747"/>
      <c r="N168" s="744"/>
      <c r="O168" s="744"/>
      <c r="P168" s="744"/>
      <c r="Q168" s="744"/>
      <c r="R168" s="744"/>
      <c r="S168" s="744"/>
      <c r="T168" s="855"/>
      <c r="U168" s="746"/>
      <c r="V168" s="746"/>
      <c r="W168" s="746"/>
      <c r="X168" s="746"/>
      <c r="Y168" s="799"/>
      <c r="Z168" s="799"/>
      <c r="AA168" s="799"/>
      <c r="AB168" s="799"/>
      <c r="AC168" s="799"/>
      <c r="AD168" s="750"/>
      <c r="AE168" s="749"/>
      <c r="AF168" s="749"/>
      <c r="AG168" s="749"/>
      <c r="AH168" s="749"/>
      <c r="AI168" s="749"/>
      <c r="AJ168" s="749"/>
      <c r="AK168" s="749"/>
      <c r="AL168" s="749"/>
      <c r="AM168" s="749"/>
      <c r="AN168" s="749"/>
      <c r="AO168" s="749"/>
      <c r="AP168" s="749"/>
      <c r="AQ168" s="749"/>
      <c r="AR168" s="749"/>
      <c r="AS168" s="749"/>
      <c r="AT168" s="749"/>
      <c r="AU168" s="749"/>
      <c r="AV168" s="749"/>
      <c r="AW168" s="749"/>
      <c r="AX168" s="749"/>
      <c r="AY168" s="749"/>
      <c r="AZ168" s="749"/>
      <c r="BA168" s="749"/>
      <c r="BB168" s="749"/>
      <c r="BC168" s="749"/>
      <c r="BD168" s="749"/>
      <c r="BE168" s="749"/>
      <c r="BF168" s="749"/>
      <c r="BG168" s="749"/>
      <c r="BH168" s="749"/>
      <c r="BI168" s="749"/>
      <c r="BJ168" s="749"/>
      <c r="BK168" s="749"/>
      <c r="BL168" s="749"/>
    </row>
    <row r="169">
      <c r="A169" s="866"/>
      <c r="B169" s="867"/>
      <c r="C169" s="866"/>
      <c r="D169" s="866"/>
      <c r="E169" s="866"/>
      <c r="F169" s="866"/>
      <c r="G169" s="866"/>
      <c r="H169" s="866"/>
      <c r="I169" s="866"/>
      <c r="J169" s="868"/>
      <c r="K169" s="868"/>
      <c r="L169" s="799"/>
      <c r="M169" s="747"/>
      <c r="N169" s="744"/>
      <c r="O169" s="744"/>
      <c r="P169" s="744"/>
      <c r="Q169" s="744"/>
      <c r="R169" s="744"/>
      <c r="S169" s="744"/>
      <c r="T169" s="855"/>
      <c r="U169" s="746"/>
      <c r="V169" s="746"/>
      <c r="W169" s="746"/>
      <c r="X169" s="746"/>
      <c r="Y169" s="799"/>
      <c r="Z169" s="799"/>
      <c r="AA169" s="799"/>
      <c r="AB169" s="799"/>
      <c r="AC169" s="799"/>
      <c r="AD169" s="750"/>
      <c r="AE169" s="749"/>
      <c r="AF169" s="749"/>
      <c r="AG169" s="749"/>
      <c r="AH169" s="749"/>
      <c r="AI169" s="749"/>
      <c r="AJ169" s="749"/>
      <c r="AK169" s="749"/>
      <c r="AL169" s="749"/>
      <c r="AM169" s="749"/>
      <c r="AN169" s="749"/>
      <c r="AO169" s="749"/>
      <c r="AP169" s="749"/>
      <c r="AQ169" s="749"/>
      <c r="AR169" s="749"/>
      <c r="AS169" s="749"/>
      <c r="AT169" s="749"/>
      <c r="AU169" s="749"/>
      <c r="AV169" s="749"/>
      <c r="AW169" s="749"/>
      <c r="AX169" s="749"/>
      <c r="AY169" s="749"/>
      <c r="AZ169" s="749"/>
      <c r="BA169" s="749"/>
      <c r="BB169" s="749"/>
      <c r="BC169" s="749"/>
      <c r="BD169" s="749"/>
      <c r="BE169" s="749"/>
      <c r="BF169" s="749"/>
      <c r="BG169" s="749"/>
      <c r="BH169" s="749"/>
      <c r="BI169" s="749"/>
      <c r="BJ169" s="749"/>
      <c r="BK169" s="749"/>
      <c r="BL169" s="749"/>
    </row>
    <row r="170">
      <c r="A170" s="866"/>
      <c r="B170" s="867"/>
      <c r="C170" s="866"/>
      <c r="D170" s="866"/>
      <c r="E170" s="866"/>
      <c r="F170" s="866"/>
      <c r="G170" s="866"/>
      <c r="H170" s="866"/>
      <c r="I170" s="866"/>
      <c r="J170" s="868"/>
      <c r="K170" s="868"/>
      <c r="L170" s="799"/>
      <c r="M170" s="747"/>
      <c r="N170" s="744"/>
      <c r="O170" s="744"/>
      <c r="P170" s="744"/>
      <c r="Q170" s="744"/>
      <c r="R170" s="744"/>
      <c r="S170" s="744"/>
      <c r="T170" s="855"/>
      <c r="U170" s="746"/>
      <c r="V170" s="746"/>
      <c r="W170" s="746"/>
      <c r="X170" s="746"/>
      <c r="Y170" s="799"/>
      <c r="Z170" s="799"/>
      <c r="AA170" s="799"/>
      <c r="AB170" s="799"/>
      <c r="AC170" s="799"/>
      <c r="AD170" s="750"/>
      <c r="AE170" s="749"/>
      <c r="AF170" s="749"/>
      <c r="AG170" s="749"/>
      <c r="AH170" s="749"/>
      <c r="AI170" s="749"/>
      <c r="AJ170" s="749"/>
      <c r="AK170" s="749"/>
      <c r="AL170" s="749"/>
      <c r="AM170" s="749"/>
      <c r="AN170" s="749"/>
      <c r="AO170" s="749"/>
      <c r="AP170" s="749"/>
      <c r="AQ170" s="749"/>
      <c r="AR170" s="749"/>
      <c r="AS170" s="749"/>
      <c r="AT170" s="749"/>
      <c r="AU170" s="749"/>
      <c r="AV170" s="749"/>
      <c r="AW170" s="749"/>
      <c r="AX170" s="749"/>
      <c r="AY170" s="749"/>
      <c r="AZ170" s="749"/>
      <c r="BA170" s="749"/>
      <c r="BB170" s="749"/>
      <c r="BC170" s="749"/>
      <c r="BD170" s="749"/>
      <c r="BE170" s="749"/>
      <c r="BF170" s="749"/>
      <c r="BG170" s="749"/>
      <c r="BH170" s="749"/>
      <c r="BI170" s="749"/>
      <c r="BJ170" s="749"/>
      <c r="BK170" s="749"/>
      <c r="BL170" s="749"/>
    </row>
    <row r="171">
      <c r="A171" s="866"/>
      <c r="B171" s="867"/>
      <c r="C171" s="866"/>
      <c r="D171" s="866"/>
      <c r="E171" s="866"/>
      <c r="F171" s="866"/>
      <c r="G171" s="866"/>
      <c r="H171" s="866"/>
      <c r="I171" s="866"/>
      <c r="J171" s="868"/>
      <c r="K171" s="868"/>
      <c r="L171" s="799"/>
      <c r="M171" s="747"/>
      <c r="N171" s="744"/>
      <c r="O171" s="744"/>
      <c r="P171" s="744"/>
      <c r="Q171" s="744"/>
      <c r="R171" s="744"/>
      <c r="S171" s="744"/>
      <c r="T171" s="855"/>
      <c r="U171" s="746"/>
      <c r="V171" s="746"/>
      <c r="W171" s="746"/>
      <c r="X171" s="746"/>
      <c r="Y171" s="799"/>
      <c r="Z171" s="799"/>
      <c r="AA171" s="799"/>
      <c r="AB171" s="799"/>
      <c r="AC171" s="799"/>
      <c r="AD171" s="750"/>
      <c r="AE171" s="749"/>
      <c r="AF171" s="749"/>
      <c r="AG171" s="749"/>
      <c r="AH171" s="749"/>
      <c r="AI171" s="749"/>
      <c r="AJ171" s="749"/>
      <c r="AK171" s="749"/>
      <c r="AL171" s="749"/>
      <c r="AM171" s="749"/>
      <c r="AN171" s="749"/>
      <c r="AO171" s="749"/>
      <c r="AP171" s="749"/>
      <c r="AQ171" s="749"/>
      <c r="AR171" s="749"/>
      <c r="AS171" s="749"/>
      <c r="AT171" s="749"/>
      <c r="AU171" s="749"/>
      <c r="AV171" s="749"/>
      <c r="AW171" s="749"/>
      <c r="AX171" s="749"/>
      <c r="AY171" s="749"/>
      <c r="AZ171" s="749"/>
      <c r="BA171" s="749"/>
      <c r="BB171" s="749"/>
      <c r="BC171" s="749"/>
      <c r="BD171" s="749"/>
      <c r="BE171" s="749"/>
      <c r="BF171" s="749"/>
      <c r="BG171" s="749"/>
      <c r="BH171" s="749"/>
      <c r="BI171" s="749"/>
      <c r="BJ171" s="749"/>
      <c r="BK171" s="749"/>
      <c r="BL171" s="749"/>
    </row>
    <row r="172">
      <c r="A172" s="866"/>
      <c r="B172" s="867"/>
      <c r="C172" s="866"/>
      <c r="D172" s="866"/>
      <c r="E172" s="866"/>
      <c r="F172" s="866"/>
      <c r="G172" s="866"/>
      <c r="H172" s="866"/>
      <c r="I172" s="866"/>
      <c r="J172" s="868"/>
      <c r="K172" s="868"/>
      <c r="L172" s="799"/>
      <c r="M172" s="747"/>
      <c r="N172" s="744"/>
      <c r="O172" s="744"/>
      <c r="P172" s="744"/>
      <c r="Q172" s="744"/>
      <c r="R172" s="744"/>
      <c r="S172" s="744"/>
      <c r="T172" s="855"/>
      <c r="U172" s="746"/>
      <c r="V172" s="746"/>
      <c r="W172" s="746"/>
      <c r="X172" s="746"/>
      <c r="Y172" s="799"/>
      <c r="Z172" s="799"/>
      <c r="AA172" s="799"/>
      <c r="AB172" s="799"/>
      <c r="AC172" s="799"/>
      <c r="AD172" s="750"/>
      <c r="AE172" s="749"/>
      <c r="AF172" s="749"/>
      <c r="AG172" s="749"/>
      <c r="AH172" s="749"/>
      <c r="AI172" s="749"/>
      <c r="AJ172" s="749"/>
      <c r="AK172" s="749"/>
      <c r="AL172" s="749"/>
      <c r="AM172" s="749"/>
      <c r="AN172" s="749"/>
      <c r="AO172" s="749"/>
      <c r="AP172" s="749"/>
      <c r="AQ172" s="749"/>
      <c r="AR172" s="749"/>
      <c r="AS172" s="749"/>
      <c r="AT172" s="749"/>
      <c r="AU172" s="749"/>
      <c r="AV172" s="749"/>
      <c r="AW172" s="749"/>
      <c r="AX172" s="749"/>
      <c r="AY172" s="749"/>
      <c r="AZ172" s="749"/>
      <c r="BA172" s="749"/>
      <c r="BB172" s="749"/>
      <c r="BC172" s="749"/>
      <c r="BD172" s="749"/>
      <c r="BE172" s="749"/>
      <c r="BF172" s="749"/>
      <c r="BG172" s="749"/>
      <c r="BH172" s="749"/>
      <c r="BI172" s="749"/>
      <c r="BJ172" s="749"/>
      <c r="BK172" s="749"/>
      <c r="BL172" s="749"/>
    </row>
    <row r="173">
      <c r="A173" s="866"/>
      <c r="B173" s="867"/>
      <c r="C173" s="866"/>
      <c r="D173" s="866"/>
      <c r="E173" s="866"/>
      <c r="F173" s="866"/>
      <c r="G173" s="866"/>
      <c r="H173" s="866"/>
      <c r="I173" s="866"/>
      <c r="J173" s="868"/>
      <c r="K173" s="868"/>
      <c r="L173" s="799"/>
      <c r="M173" s="747"/>
      <c r="N173" s="744"/>
      <c r="O173" s="744"/>
      <c r="P173" s="744"/>
      <c r="Q173" s="744"/>
      <c r="R173" s="744"/>
      <c r="S173" s="744"/>
      <c r="T173" s="855"/>
      <c r="U173" s="746"/>
      <c r="V173" s="746"/>
      <c r="W173" s="746"/>
      <c r="X173" s="746"/>
      <c r="Y173" s="799"/>
      <c r="Z173" s="799"/>
      <c r="AA173" s="799"/>
      <c r="AB173" s="799"/>
      <c r="AC173" s="799"/>
      <c r="AD173" s="750"/>
      <c r="AE173" s="749"/>
      <c r="AF173" s="749"/>
      <c r="AG173" s="749"/>
      <c r="AH173" s="749"/>
      <c r="AI173" s="749"/>
      <c r="AJ173" s="749"/>
      <c r="AK173" s="749"/>
      <c r="AL173" s="749"/>
      <c r="AM173" s="749"/>
      <c r="AN173" s="749"/>
      <c r="AO173" s="749"/>
      <c r="AP173" s="749"/>
      <c r="AQ173" s="749"/>
      <c r="AR173" s="749"/>
      <c r="AS173" s="749"/>
      <c r="AT173" s="749"/>
      <c r="AU173" s="749"/>
      <c r="AV173" s="749"/>
      <c r="AW173" s="749"/>
      <c r="AX173" s="749"/>
      <c r="AY173" s="749"/>
      <c r="AZ173" s="749"/>
      <c r="BA173" s="749"/>
      <c r="BB173" s="749"/>
      <c r="BC173" s="749"/>
      <c r="BD173" s="749"/>
      <c r="BE173" s="749"/>
      <c r="BF173" s="749"/>
      <c r="BG173" s="749"/>
      <c r="BH173" s="749"/>
      <c r="BI173" s="749"/>
      <c r="BJ173" s="749"/>
      <c r="BK173" s="749"/>
      <c r="BL173" s="749"/>
    </row>
    <row r="174">
      <c r="A174" s="866"/>
      <c r="B174" s="867"/>
      <c r="C174" s="866"/>
      <c r="D174" s="866"/>
      <c r="E174" s="866"/>
      <c r="F174" s="866"/>
      <c r="G174" s="866"/>
      <c r="H174" s="866"/>
      <c r="I174" s="866"/>
      <c r="J174" s="868"/>
      <c r="K174" s="868"/>
      <c r="L174" s="799"/>
      <c r="M174" s="747"/>
      <c r="N174" s="744"/>
      <c r="O174" s="744"/>
      <c r="P174" s="744"/>
      <c r="Q174" s="744"/>
      <c r="R174" s="744"/>
      <c r="S174" s="744"/>
      <c r="T174" s="855"/>
      <c r="U174" s="746"/>
      <c r="V174" s="746"/>
      <c r="W174" s="746"/>
      <c r="X174" s="746"/>
      <c r="Y174" s="799"/>
      <c r="Z174" s="799"/>
      <c r="AA174" s="799"/>
      <c r="AB174" s="799"/>
      <c r="AC174" s="799"/>
      <c r="AD174" s="750"/>
      <c r="AE174" s="749"/>
      <c r="AF174" s="749"/>
      <c r="AG174" s="749"/>
      <c r="AH174" s="749"/>
      <c r="AI174" s="749"/>
      <c r="AJ174" s="749"/>
      <c r="AK174" s="749"/>
      <c r="AL174" s="749"/>
      <c r="AM174" s="749"/>
      <c r="AN174" s="749"/>
      <c r="AO174" s="749"/>
      <c r="AP174" s="749"/>
      <c r="AQ174" s="749"/>
      <c r="AR174" s="749"/>
      <c r="AS174" s="749"/>
      <c r="AT174" s="749"/>
      <c r="AU174" s="749"/>
      <c r="AV174" s="749"/>
      <c r="AW174" s="749"/>
      <c r="AX174" s="749"/>
      <c r="AY174" s="749"/>
      <c r="AZ174" s="749"/>
      <c r="BA174" s="749"/>
      <c r="BB174" s="749"/>
      <c r="BC174" s="749"/>
      <c r="BD174" s="749"/>
      <c r="BE174" s="749"/>
      <c r="BF174" s="749"/>
      <c r="BG174" s="749"/>
      <c r="BH174" s="749"/>
      <c r="BI174" s="749"/>
      <c r="BJ174" s="749"/>
      <c r="BK174" s="749"/>
      <c r="BL174" s="749"/>
    </row>
    <row r="175">
      <c r="A175" s="866"/>
      <c r="B175" s="867"/>
      <c r="C175" s="866"/>
      <c r="D175" s="866"/>
      <c r="E175" s="866"/>
      <c r="F175" s="866"/>
      <c r="G175" s="866"/>
      <c r="H175" s="866"/>
      <c r="I175" s="866"/>
      <c r="J175" s="868"/>
      <c r="K175" s="868"/>
      <c r="L175" s="799"/>
      <c r="M175" s="747"/>
      <c r="N175" s="744"/>
      <c r="O175" s="744"/>
      <c r="P175" s="744"/>
      <c r="Q175" s="744"/>
      <c r="R175" s="744"/>
      <c r="S175" s="744"/>
      <c r="T175" s="855"/>
      <c r="U175" s="746"/>
      <c r="V175" s="746"/>
      <c r="W175" s="746"/>
      <c r="X175" s="746"/>
      <c r="Y175" s="799"/>
      <c r="Z175" s="799"/>
      <c r="AA175" s="799"/>
      <c r="AB175" s="799"/>
      <c r="AC175" s="799"/>
      <c r="AD175" s="750"/>
      <c r="AE175" s="749"/>
      <c r="AF175" s="749"/>
      <c r="AG175" s="749"/>
      <c r="AH175" s="749"/>
      <c r="AI175" s="749"/>
      <c r="AJ175" s="749"/>
      <c r="AK175" s="749"/>
      <c r="AL175" s="749"/>
      <c r="AM175" s="749"/>
      <c r="AN175" s="749"/>
      <c r="AO175" s="749"/>
      <c r="AP175" s="749"/>
      <c r="AQ175" s="749"/>
      <c r="AR175" s="749"/>
      <c r="AS175" s="749"/>
      <c r="AT175" s="749"/>
      <c r="AU175" s="749"/>
      <c r="AV175" s="749"/>
      <c r="AW175" s="749"/>
      <c r="AX175" s="749"/>
      <c r="AY175" s="749"/>
      <c r="AZ175" s="749"/>
      <c r="BA175" s="749"/>
      <c r="BB175" s="749"/>
      <c r="BC175" s="749"/>
      <c r="BD175" s="749"/>
      <c r="BE175" s="749"/>
      <c r="BF175" s="749"/>
      <c r="BG175" s="749"/>
      <c r="BH175" s="749"/>
      <c r="BI175" s="749"/>
      <c r="BJ175" s="749"/>
      <c r="BK175" s="749"/>
      <c r="BL175" s="749"/>
    </row>
    <row r="176">
      <c r="A176" s="866"/>
      <c r="B176" s="867"/>
      <c r="C176" s="866"/>
      <c r="D176" s="866"/>
      <c r="E176" s="866"/>
      <c r="F176" s="866"/>
      <c r="G176" s="866"/>
      <c r="H176" s="866"/>
      <c r="I176" s="866"/>
      <c r="J176" s="868"/>
      <c r="K176" s="868"/>
      <c r="L176" s="799"/>
      <c r="M176" s="747"/>
      <c r="N176" s="744"/>
      <c r="O176" s="744"/>
      <c r="P176" s="744"/>
      <c r="Q176" s="744"/>
      <c r="R176" s="744"/>
      <c r="S176" s="744"/>
      <c r="T176" s="855"/>
      <c r="U176" s="746"/>
      <c r="V176" s="746"/>
      <c r="W176" s="746"/>
      <c r="X176" s="746"/>
      <c r="Y176" s="799"/>
      <c r="Z176" s="799"/>
      <c r="AA176" s="799"/>
      <c r="AB176" s="799"/>
      <c r="AC176" s="799"/>
      <c r="AD176" s="750"/>
      <c r="AE176" s="749"/>
      <c r="AF176" s="749"/>
      <c r="AG176" s="749"/>
      <c r="AH176" s="749"/>
      <c r="AI176" s="749"/>
      <c r="AJ176" s="749"/>
      <c r="AK176" s="749"/>
      <c r="AL176" s="749"/>
      <c r="AM176" s="749"/>
      <c r="AN176" s="749"/>
      <c r="AO176" s="749"/>
      <c r="AP176" s="749"/>
      <c r="AQ176" s="749"/>
      <c r="AR176" s="749"/>
      <c r="AS176" s="749"/>
      <c r="AT176" s="749"/>
      <c r="AU176" s="749"/>
      <c r="AV176" s="749"/>
      <c r="AW176" s="749"/>
      <c r="AX176" s="749"/>
      <c r="AY176" s="749"/>
      <c r="AZ176" s="749"/>
      <c r="BA176" s="749"/>
      <c r="BB176" s="749"/>
      <c r="BC176" s="749"/>
      <c r="BD176" s="749"/>
      <c r="BE176" s="749"/>
      <c r="BF176" s="749"/>
      <c r="BG176" s="749"/>
      <c r="BH176" s="749"/>
      <c r="BI176" s="749"/>
      <c r="BJ176" s="749"/>
      <c r="BK176" s="749"/>
      <c r="BL176" s="749"/>
    </row>
    <row r="177">
      <c r="A177" s="866"/>
      <c r="B177" s="867"/>
      <c r="C177" s="866"/>
      <c r="D177" s="866"/>
      <c r="E177" s="866"/>
      <c r="F177" s="866"/>
      <c r="G177" s="866"/>
      <c r="H177" s="866"/>
      <c r="I177" s="866"/>
      <c r="J177" s="868"/>
      <c r="K177" s="868"/>
      <c r="L177" s="799"/>
      <c r="M177" s="747"/>
      <c r="N177" s="744"/>
      <c r="O177" s="744"/>
      <c r="P177" s="744"/>
      <c r="Q177" s="744"/>
      <c r="R177" s="744"/>
      <c r="S177" s="744"/>
      <c r="T177" s="855"/>
      <c r="U177" s="746"/>
      <c r="V177" s="746"/>
      <c r="W177" s="746"/>
      <c r="X177" s="746"/>
      <c r="Y177" s="799"/>
      <c r="Z177" s="799"/>
      <c r="AA177" s="799"/>
      <c r="AB177" s="799"/>
      <c r="AC177" s="799"/>
      <c r="AD177" s="750"/>
      <c r="AE177" s="749"/>
      <c r="AF177" s="749"/>
      <c r="AG177" s="749"/>
      <c r="AH177" s="749"/>
      <c r="AI177" s="749"/>
      <c r="AJ177" s="749"/>
      <c r="AK177" s="749"/>
      <c r="AL177" s="749"/>
      <c r="AM177" s="749"/>
      <c r="AN177" s="749"/>
      <c r="AO177" s="749"/>
      <c r="AP177" s="749"/>
      <c r="AQ177" s="749"/>
      <c r="AR177" s="749"/>
      <c r="AS177" s="749"/>
      <c r="AT177" s="749"/>
      <c r="AU177" s="749"/>
      <c r="AV177" s="749"/>
      <c r="AW177" s="749"/>
      <c r="AX177" s="749"/>
      <c r="AY177" s="749"/>
      <c r="AZ177" s="749"/>
      <c r="BA177" s="749"/>
      <c r="BB177" s="749"/>
      <c r="BC177" s="749"/>
      <c r="BD177" s="749"/>
      <c r="BE177" s="749"/>
      <c r="BF177" s="749"/>
      <c r="BG177" s="749"/>
      <c r="BH177" s="749"/>
      <c r="BI177" s="749"/>
      <c r="BJ177" s="749"/>
      <c r="BK177" s="749"/>
      <c r="BL177" s="749"/>
    </row>
    <row r="178">
      <c r="A178" s="866"/>
      <c r="B178" s="867"/>
      <c r="C178" s="866"/>
      <c r="D178" s="866"/>
      <c r="E178" s="866"/>
      <c r="F178" s="866"/>
      <c r="G178" s="866"/>
      <c r="H178" s="866"/>
      <c r="I178" s="866"/>
      <c r="J178" s="868"/>
      <c r="K178" s="868"/>
      <c r="L178" s="799"/>
      <c r="M178" s="747"/>
      <c r="N178" s="744"/>
      <c r="O178" s="744"/>
      <c r="P178" s="744"/>
      <c r="Q178" s="744"/>
      <c r="R178" s="744"/>
      <c r="S178" s="744"/>
      <c r="T178" s="855"/>
      <c r="U178" s="746"/>
      <c r="V178" s="746"/>
      <c r="W178" s="746"/>
      <c r="X178" s="746"/>
      <c r="Y178" s="799"/>
      <c r="Z178" s="799"/>
      <c r="AA178" s="799"/>
      <c r="AB178" s="799"/>
      <c r="AC178" s="799"/>
      <c r="AD178" s="750"/>
      <c r="AE178" s="749"/>
      <c r="AF178" s="749"/>
      <c r="AG178" s="749"/>
      <c r="AH178" s="749"/>
      <c r="AI178" s="749"/>
      <c r="AJ178" s="749"/>
      <c r="AK178" s="749"/>
      <c r="AL178" s="749"/>
      <c r="AM178" s="749"/>
      <c r="AN178" s="749"/>
      <c r="AO178" s="749"/>
      <c r="AP178" s="749"/>
      <c r="AQ178" s="749"/>
      <c r="AR178" s="749"/>
      <c r="AS178" s="749"/>
      <c r="AT178" s="749"/>
      <c r="AU178" s="749"/>
      <c r="AV178" s="749"/>
      <c r="AW178" s="749"/>
      <c r="AX178" s="749"/>
      <c r="AY178" s="749"/>
      <c r="AZ178" s="749"/>
      <c r="BA178" s="749"/>
      <c r="BB178" s="749"/>
      <c r="BC178" s="749"/>
      <c r="BD178" s="749"/>
      <c r="BE178" s="749"/>
      <c r="BF178" s="749"/>
      <c r="BG178" s="749"/>
      <c r="BH178" s="749"/>
      <c r="BI178" s="749"/>
      <c r="BJ178" s="749"/>
      <c r="BK178" s="749"/>
      <c r="BL178" s="749"/>
    </row>
    <row r="179">
      <c r="A179" s="866"/>
      <c r="B179" s="867"/>
      <c r="C179" s="866"/>
      <c r="D179" s="866"/>
      <c r="E179" s="866"/>
      <c r="F179" s="866"/>
      <c r="G179" s="866"/>
      <c r="H179" s="866"/>
      <c r="I179" s="866"/>
      <c r="J179" s="868"/>
      <c r="K179" s="868"/>
      <c r="L179" s="799"/>
      <c r="M179" s="747"/>
      <c r="N179" s="744"/>
      <c r="O179" s="744"/>
      <c r="P179" s="744"/>
      <c r="Q179" s="744"/>
      <c r="R179" s="744"/>
      <c r="S179" s="744"/>
      <c r="T179" s="855"/>
      <c r="U179" s="746"/>
      <c r="V179" s="746"/>
      <c r="W179" s="746"/>
      <c r="X179" s="746"/>
      <c r="Y179" s="799"/>
      <c r="Z179" s="799"/>
      <c r="AA179" s="799"/>
      <c r="AB179" s="799"/>
      <c r="AC179" s="799"/>
      <c r="AD179" s="750"/>
      <c r="AE179" s="749"/>
      <c r="AF179" s="749"/>
      <c r="AG179" s="749"/>
      <c r="AH179" s="749"/>
      <c r="AI179" s="749"/>
      <c r="AJ179" s="749"/>
      <c r="AK179" s="749"/>
      <c r="AL179" s="749"/>
      <c r="AM179" s="749"/>
      <c r="AN179" s="749"/>
      <c r="AO179" s="749"/>
      <c r="AP179" s="749"/>
      <c r="AQ179" s="749"/>
      <c r="AR179" s="749"/>
      <c r="AS179" s="749"/>
      <c r="AT179" s="749"/>
      <c r="AU179" s="749"/>
      <c r="AV179" s="749"/>
      <c r="AW179" s="749"/>
      <c r="AX179" s="749"/>
      <c r="AY179" s="749"/>
      <c r="AZ179" s="749"/>
      <c r="BA179" s="749"/>
      <c r="BB179" s="749"/>
      <c r="BC179" s="749"/>
      <c r="BD179" s="749"/>
      <c r="BE179" s="749"/>
      <c r="BF179" s="749"/>
      <c r="BG179" s="749"/>
      <c r="BH179" s="749"/>
      <c r="BI179" s="749"/>
      <c r="BJ179" s="749"/>
      <c r="BK179" s="749"/>
      <c r="BL179" s="749"/>
    </row>
    <row r="180">
      <c r="A180" s="866"/>
      <c r="B180" s="867"/>
      <c r="C180" s="866"/>
      <c r="D180" s="866"/>
      <c r="E180" s="866"/>
      <c r="F180" s="866"/>
      <c r="G180" s="866"/>
      <c r="H180" s="866"/>
      <c r="I180" s="866"/>
      <c r="J180" s="868"/>
      <c r="K180" s="868"/>
      <c r="L180" s="799"/>
      <c r="M180" s="747"/>
      <c r="N180" s="744"/>
      <c r="O180" s="744"/>
      <c r="P180" s="744"/>
      <c r="Q180" s="744"/>
      <c r="R180" s="744"/>
      <c r="S180" s="744"/>
      <c r="T180" s="855"/>
      <c r="U180" s="746"/>
      <c r="V180" s="746"/>
      <c r="W180" s="746"/>
      <c r="X180" s="746"/>
      <c r="Y180" s="799"/>
      <c r="Z180" s="799"/>
      <c r="AA180" s="799"/>
      <c r="AB180" s="799"/>
      <c r="AC180" s="799"/>
      <c r="AD180" s="750"/>
      <c r="AE180" s="749"/>
      <c r="AF180" s="749"/>
      <c r="AG180" s="749"/>
      <c r="AH180" s="749"/>
      <c r="AI180" s="749"/>
      <c r="AJ180" s="749"/>
      <c r="AK180" s="749"/>
      <c r="AL180" s="749"/>
      <c r="AM180" s="749"/>
      <c r="AN180" s="749"/>
      <c r="AO180" s="749"/>
      <c r="AP180" s="749"/>
      <c r="AQ180" s="749"/>
      <c r="AR180" s="749"/>
      <c r="AS180" s="749"/>
      <c r="AT180" s="749"/>
      <c r="AU180" s="749"/>
      <c r="AV180" s="749"/>
      <c r="AW180" s="749"/>
      <c r="AX180" s="749"/>
      <c r="AY180" s="749"/>
      <c r="AZ180" s="749"/>
      <c r="BA180" s="749"/>
      <c r="BB180" s="749"/>
      <c r="BC180" s="749"/>
      <c r="BD180" s="749"/>
      <c r="BE180" s="749"/>
      <c r="BF180" s="749"/>
      <c r="BG180" s="749"/>
      <c r="BH180" s="749"/>
      <c r="BI180" s="749"/>
      <c r="BJ180" s="749"/>
      <c r="BK180" s="749"/>
      <c r="BL180" s="749"/>
    </row>
    <row r="181">
      <c r="A181" s="866"/>
      <c r="B181" s="867"/>
      <c r="C181" s="866"/>
      <c r="D181" s="866"/>
      <c r="E181" s="866"/>
      <c r="F181" s="866"/>
      <c r="G181" s="866"/>
      <c r="H181" s="866"/>
      <c r="I181" s="866"/>
      <c r="J181" s="868"/>
      <c r="K181" s="868"/>
      <c r="L181" s="799"/>
      <c r="M181" s="747"/>
      <c r="N181" s="744"/>
      <c r="O181" s="744"/>
      <c r="P181" s="744"/>
      <c r="Q181" s="744"/>
      <c r="R181" s="744"/>
      <c r="S181" s="744"/>
      <c r="T181" s="855"/>
      <c r="U181" s="746"/>
      <c r="V181" s="746"/>
      <c r="W181" s="746"/>
      <c r="X181" s="746"/>
      <c r="Y181" s="799"/>
      <c r="Z181" s="799"/>
      <c r="AA181" s="799"/>
      <c r="AB181" s="799"/>
      <c r="AC181" s="799"/>
      <c r="AD181" s="750"/>
      <c r="AE181" s="749"/>
      <c r="AF181" s="749"/>
      <c r="AG181" s="749"/>
      <c r="AH181" s="749"/>
      <c r="AI181" s="749"/>
      <c r="AJ181" s="749"/>
      <c r="AK181" s="749"/>
      <c r="AL181" s="749"/>
      <c r="AM181" s="749"/>
      <c r="AN181" s="749"/>
      <c r="AO181" s="749"/>
      <c r="AP181" s="749"/>
      <c r="AQ181" s="749"/>
      <c r="AR181" s="749"/>
      <c r="AS181" s="749"/>
      <c r="AT181" s="749"/>
      <c r="AU181" s="749"/>
      <c r="AV181" s="749"/>
      <c r="AW181" s="749"/>
      <c r="AX181" s="749"/>
      <c r="AY181" s="749"/>
      <c r="AZ181" s="749"/>
      <c r="BA181" s="749"/>
      <c r="BB181" s="749"/>
      <c r="BC181" s="749"/>
      <c r="BD181" s="749"/>
      <c r="BE181" s="749"/>
      <c r="BF181" s="749"/>
      <c r="BG181" s="749"/>
      <c r="BH181" s="749"/>
      <c r="BI181" s="749"/>
      <c r="BJ181" s="749"/>
      <c r="BK181" s="749"/>
      <c r="BL181" s="749"/>
    </row>
    <row r="182">
      <c r="A182" s="866"/>
      <c r="B182" s="867"/>
      <c r="C182" s="866"/>
      <c r="D182" s="866"/>
      <c r="E182" s="866"/>
      <c r="F182" s="866"/>
      <c r="G182" s="866"/>
      <c r="H182" s="866"/>
      <c r="I182" s="866"/>
      <c r="J182" s="868"/>
      <c r="K182" s="868"/>
      <c r="L182" s="799"/>
      <c r="M182" s="747"/>
      <c r="N182" s="744"/>
      <c r="O182" s="744"/>
      <c r="P182" s="744"/>
      <c r="Q182" s="744"/>
      <c r="R182" s="744"/>
      <c r="S182" s="744"/>
      <c r="T182" s="855"/>
      <c r="U182" s="746"/>
      <c r="V182" s="746"/>
      <c r="W182" s="746"/>
      <c r="X182" s="746"/>
      <c r="Y182" s="799"/>
      <c r="Z182" s="799"/>
      <c r="AA182" s="799"/>
      <c r="AB182" s="799"/>
      <c r="AC182" s="799"/>
      <c r="AD182" s="750"/>
      <c r="AE182" s="749"/>
      <c r="AF182" s="749"/>
      <c r="AG182" s="749"/>
      <c r="AH182" s="749"/>
      <c r="AI182" s="749"/>
      <c r="AJ182" s="749"/>
      <c r="AK182" s="749"/>
      <c r="AL182" s="749"/>
      <c r="AM182" s="749"/>
      <c r="AN182" s="749"/>
      <c r="AO182" s="749"/>
      <c r="AP182" s="749"/>
      <c r="AQ182" s="749"/>
      <c r="AR182" s="749"/>
      <c r="AS182" s="749"/>
      <c r="AT182" s="749"/>
      <c r="AU182" s="749"/>
      <c r="AV182" s="749"/>
      <c r="AW182" s="749"/>
      <c r="AX182" s="749"/>
      <c r="AY182" s="749"/>
      <c r="AZ182" s="749"/>
      <c r="BA182" s="749"/>
      <c r="BB182" s="749"/>
      <c r="BC182" s="749"/>
      <c r="BD182" s="749"/>
      <c r="BE182" s="749"/>
      <c r="BF182" s="749"/>
      <c r="BG182" s="749"/>
      <c r="BH182" s="749"/>
      <c r="BI182" s="749"/>
      <c r="BJ182" s="749"/>
      <c r="BK182" s="749"/>
      <c r="BL182" s="749"/>
    </row>
    <row r="183">
      <c r="A183" s="866"/>
      <c r="B183" s="867"/>
      <c r="C183" s="866"/>
      <c r="D183" s="866"/>
      <c r="E183" s="866"/>
      <c r="F183" s="866"/>
      <c r="G183" s="866"/>
      <c r="H183" s="866"/>
      <c r="I183" s="866"/>
      <c r="J183" s="868"/>
      <c r="K183" s="868"/>
      <c r="L183" s="799"/>
      <c r="M183" s="747"/>
      <c r="N183" s="744"/>
      <c r="O183" s="744"/>
      <c r="P183" s="744"/>
      <c r="Q183" s="744"/>
      <c r="R183" s="744"/>
      <c r="S183" s="744"/>
      <c r="T183" s="855"/>
      <c r="U183" s="746"/>
      <c r="V183" s="746"/>
      <c r="W183" s="746"/>
      <c r="X183" s="746"/>
      <c r="Y183" s="799"/>
      <c r="Z183" s="799"/>
      <c r="AA183" s="799"/>
      <c r="AB183" s="799"/>
      <c r="AC183" s="799"/>
      <c r="AD183" s="750"/>
      <c r="AE183" s="749"/>
      <c r="AF183" s="749"/>
      <c r="AG183" s="749"/>
      <c r="AH183" s="749"/>
      <c r="AI183" s="749"/>
      <c r="AJ183" s="749"/>
      <c r="AK183" s="749"/>
      <c r="AL183" s="749"/>
      <c r="AM183" s="749"/>
      <c r="AN183" s="749"/>
      <c r="AO183" s="749"/>
      <c r="AP183" s="749"/>
      <c r="AQ183" s="749"/>
      <c r="AR183" s="749"/>
      <c r="AS183" s="749"/>
      <c r="AT183" s="749"/>
      <c r="AU183" s="749"/>
      <c r="AV183" s="749"/>
      <c r="AW183" s="749"/>
      <c r="AX183" s="749"/>
      <c r="AY183" s="749"/>
      <c r="AZ183" s="749"/>
      <c r="BA183" s="749"/>
      <c r="BB183" s="749"/>
      <c r="BC183" s="749"/>
      <c r="BD183" s="749"/>
      <c r="BE183" s="749"/>
      <c r="BF183" s="749"/>
      <c r="BG183" s="749"/>
      <c r="BH183" s="749"/>
      <c r="BI183" s="749"/>
      <c r="BJ183" s="749"/>
      <c r="BK183" s="749"/>
      <c r="BL183" s="749"/>
    </row>
    <row r="184">
      <c r="A184" s="866"/>
      <c r="B184" s="867"/>
      <c r="C184" s="866"/>
      <c r="D184" s="866"/>
      <c r="E184" s="866"/>
      <c r="F184" s="866"/>
      <c r="G184" s="866"/>
      <c r="H184" s="866"/>
      <c r="I184" s="866"/>
      <c r="J184" s="868"/>
      <c r="K184" s="868"/>
      <c r="L184" s="799"/>
      <c r="M184" s="747"/>
      <c r="N184" s="744"/>
      <c r="O184" s="744"/>
      <c r="P184" s="744"/>
      <c r="Q184" s="744"/>
      <c r="R184" s="744"/>
      <c r="S184" s="744"/>
      <c r="T184" s="855"/>
      <c r="U184" s="746"/>
      <c r="V184" s="746"/>
      <c r="W184" s="746"/>
      <c r="X184" s="746"/>
      <c r="Y184" s="799"/>
      <c r="Z184" s="799"/>
      <c r="AA184" s="799"/>
      <c r="AB184" s="799"/>
      <c r="AC184" s="799"/>
      <c r="AD184" s="750"/>
      <c r="AE184" s="749"/>
      <c r="AF184" s="749"/>
      <c r="AG184" s="749"/>
      <c r="AH184" s="749"/>
      <c r="AI184" s="749"/>
      <c r="AJ184" s="749"/>
      <c r="AK184" s="749"/>
      <c r="AL184" s="749"/>
      <c r="AM184" s="749"/>
      <c r="AN184" s="749"/>
      <c r="AO184" s="749"/>
      <c r="AP184" s="749"/>
      <c r="AQ184" s="749"/>
      <c r="AR184" s="749"/>
      <c r="AS184" s="749"/>
      <c r="AT184" s="749"/>
      <c r="AU184" s="749"/>
      <c r="AV184" s="749"/>
      <c r="AW184" s="749"/>
      <c r="AX184" s="749"/>
      <c r="AY184" s="749"/>
      <c r="AZ184" s="749"/>
      <c r="BA184" s="749"/>
      <c r="BB184" s="749"/>
      <c r="BC184" s="749"/>
      <c r="BD184" s="749"/>
      <c r="BE184" s="749"/>
      <c r="BF184" s="749"/>
      <c r="BG184" s="749"/>
      <c r="BH184" s="749"/>
      <c r="BI184" s="749"/>
      <c r="BJ184" s="749"/>
      <c r="BK184" s="749"/>
      <c r="BL184" s="749"/>
    </row>
    <row r="185">
      <c r="A185" s="866"/>
      <c r="B185" s="867"/>
      <c r="C185" s="866"/>
      <c r="D185" s="866"/>
      <c r="E185" s="866"/>
      <c r="F185" s="866"/>
      <c r="G185" s="866"/>
      <c r="H185" s="866"/>
      <c r="I185" s="866"/>
      <c r="J185" s="868"/>
      <c r="K185" s="868"/>
      <c r="L185" s="799"/>
      <c r="M185" s="747"/>
      <c r="N185" s="744"/>
      <c r="O185" s="744"/>
      <c r="P185" s="744"/>
      <c r="Q185" s="744"/>
      <c r="R185" s="744"/>
      <c r="S185" s="744"/>
      <c r="T185" s="855"/>
      <c r="U185" s="746"/>
      <c r="V185" s="746"/>
      <c r="W185" s="746"/>
      <c r="X185" s="746"/>
      <c r="Y185" s="799"/>
      <c r="Z185" s="799"/>
      <c r="AA185" s="799"/>
      <c r="AB185" s="799"/>
      <c r="AC185" s="799"/>
      <c r="AD185" s="750"/>
      <c r="AE185" s="749"/>
      <c r="AF185" s="749"/>
      <c r="AG185" s="749"/>
      <c r="AH185" s="749"/>
      <c r="AI185" s="749"/>
      <c r="AJ185" s="749"/>
      <c r="AK185" s="749"/>
      <c r="AL185" s="749"/>
      <c r="AM185" s="749"/>
      <c r="AN185" s="749"/>
      <c r="AO185" s="749"/>
      <c r="AP185" s="749"/>
      <c r="AQ185" s="749"/>
      <c r="AR185" s="749"/>
      <c r="AS185" s="749"/>
      <c r="AT185" s="749"/>
      <c r="AU185" s="749"/>
      <c r="AV185" s="749"/>
      <c r="AW185" s="749"/>
      <c r="AX185" s="749"/>
      <c r="AY185" s="749"/>
      <c r="AZ185" s="749"/>
      <c r="BA185" s="749"/>
      <c r="BB185" s="749"/>
      <c r="BC185" s="749"/>
      <c r="BD185" s="749"/>
      <c r="BE185" s="749"/>
      <c r="BF185" s="749"/>
      <c r="BG185" s="749"/>
      <c r="BH185" s="749"/>
      <c r="BI185" s="749"/>
      <c r="BJ185" s="749"/>
      <c r="BK185" s="749"/>
      <c r="BL185" s="749"/>
    </row>
    <row r="186">
      <c r="A186" s="866"/>
      <c r="B186" s="867"/>
      <c r="C186" s="866"/>
      <c r="D186" s="866"/>
      <c r="E186" s="866"/>
      <c r="F186" s="866"/>
      <c r="G186" s="866"/>
      <c r="H186" s="866"/>
      <c r="I186" s="866"/>
      <c r="J186" s="868"/>
      <c r="K186" s="868"/>
      <c r="L186" s="799"/>
      <c r="M186" s="747"/>
      <c r="N186" s="744"/>
      <c r="O186" s="744"/>
      <c r="P186" s="744"/>
      <c r="Q186" s="744"/>
      <c r="R186" s="744"/>
      <c r="S186" s="744"/>
      <c r="T186" s="855"/>
      <c r="U186" s="746"/>
      <c r="V186" s="746"/>
      <c r="W186" s="746"/>
      <c r="X186" s="746"/>
      <c r="Y186" s="799"/>
      <c r="Z186" s="799"/>
      <c r="AA186" s="799"/>
      <c r="AB186" s="799"/>
      <c r="AC186" s="799"/>
      <c r="AD186" s="750"/>
      <c r="AE186" s="749"/>
      <c r="AF186" s="749"/>
      <c r="AG186" s="749"/>
      <c r="AH186" s="749"/>
      <c r="AI186" s="749"/>
      <c r="AJ186" s="749"/>
      <c r="AK186" s="749"/>
      <c r="AL186" s="749"/>
      <c r="AM186" s="749"/>
      <c r="AN186" s="749"/>
      <c r="AO186" s="749"/>
      <c r="AP186" s="749"/>
      <c r="AQ186" s="749"/>
      <c r="AR186" s="749"/>
      <c r="AS186" s="749"/>
      <c r="AT186" s="749"/>
      <c r="AU186" s="749"/>
      <c r="AV186" s="749"/>
      <c r="AW186" s="749"/>
      <c r="AX186" s="749"/>
      <c r="AY186" s="749"/>
      <c r="AZ186" s="749"/>
      <c r="BA186" s="749"/>
      <c r="BB186" s="749"/>
      <c r="BC186" s="749"/>
      <c r="BD186" s="749"/>
      <c r="BE186" s="749"/>
      <c r="BF186" s="749"/>
      <c r="BG186" s="749"/>
      <c r="BH186" s="749"/>
      <c r="BI186" s="749"/>
      <c r="BJ186" s="749"/>
      <c r="BK186" s="749"/>
      <c r="BL186" s="749"/>
    </row>
    <row r="187">
      <c r="A187" s="866"/>
      <c r="B187" s="867"/>
      <c r="C187" s="866"/>
      <c r="D187" s="866"/>
      <c r="E187" s="866"/>
      <c r="F187" s="866"/>
      <c r="G187" s="866"/>
      <c r="H187" s="866"/>
      <c r="I187" s="866"/>
      <c r="J187" s="868"/>
      <c r="K187" s="868"/>
      <c r="L187" s="799"/>
      <c r="M187" s="747"/>
      <c r="N187" s="744"/>
      <c r="O187" s="744"/>
      <c r="P187" s="744"/>
      <c r="Q187" s="744"/>
      <c r="R187" s="744"/>
      <c r="S187" s="744"/>
      <c r="T187" s="855"/>
      <c r="U187" s="746"/>
      <c r="V187" s="746"/>
      <c r="W187" s="746"/>
      <c r="X187" s="746"/>
      <c r="Y187" s="799"/>
      <c r="Z187" s="799"/>
      <c r="AA187" s="799"/>
      <c r="AB187" s="799"/>
      <c r="AC187" s="799"/>
      <c r="AD187" s="750"/>
      <c r="AE187" s="749"/>
      <c r="AF187" s="749"/>
      <c r="AG187" s="749"/>
      <c r="AH187" s="749"/>
      <c r="AI187" s="749"/>
      <c r="AJ187" s="749"/>
      <c r="AK187" s="749"/>
      <c r="AL187" s="749"/>
      <c r="AM187" s="749"/>
      <c r="AN187" s="749"/>
      <c r="AO187" s="749"/>
      <c r="AP187" s="749"/>
      <c r="AQ187" s="749"/>
      <c r="AR187" s="749"/>
      <c r="AS187" s="749"/>
      <c r="AT187" s="749"/>
      <c r="AU187" s="749"/>
      <c r="AV187" s="749"/>
      <c r="AW187" s="749"/>
      <c r="AX187" s="749"/>
      <c r="AY187" s="749"/>
      <c r="AZ187" s="749"/>
      <c r="BA187" s="749"/>
      <c r="BB187" s="749"/>
      <c r="BC187" s="749"/>
      <c r="BD187" s="749"/>
      <c r="BE187" s="749"/>
      <c r="BF187" s="749"/>
      <c r="BG187" s="749"/>
      <c r="BH187" s="749"/>
      <c r="BI187" s="749"/>
      <c r="BJ187" s="749"/>
      <c r="BK187" s="749"/>
      <c r="BL187" s="749"/>
    </row>
    <row r="188">
      <c r="A188" s="866"/>
      <c r="B188" s="867"/>
      <c r="C188" s="866"/>
      <c r="D188" s="866"/>
      <c r="E188" s="866"/>
      <c r="F188" s="866"/>
      <c r="G188" s="866"/>
      <c r="H188" s="866"/>
      <c r="I188" s="866"/>
      <c r="J188" s="868"/>
      <c r="K188" s="868"/>
      <c r="L188" s="799"/>
      <c r="M188" s="747"/>
      <c r="N188" s="744"/>
      <c r="O188" s="744"/>
      <c r="P188" s="744"/>
      <c r="Q188" s="744"/>
      <c r="R188" s="744"/>
      <c r="S188" s="744"/>
      <c r="T188" s="855"/>
      <c r="U188" s="746"/>
      <c r="V188" s="746"/>
      <c r="W188" s="746"/>
      <c r="X188" s="746"/>
      <c r="Y188" s="799"/>
      <c r="Z188" s="799"/>
      <c r="AA188" s="799"/>
      <c r="AB188" s="799"/>
      <c r="AC188" s="799"/>
      <c r="AD188" s="750"/>
      <c r="AE188" s="749"/>
      <c r="AF188" s="749"/>
      <c r="AG188" s="749"/>
      <c r="AH188" s="749"/>
      <c r="AI188" s="749"/>
      <c r="AJ188" s="749"/>
      <c r="AK188" s="749"/>
      <c r="AL188" s="749"/>
      <c r="AM188" s="749"/>
      <c r="AN188" s="749"/>
      <c r="AO188" s="749"/>
      <c r="AP188" s="749"/>
      <c r="AQ188" s="749"/>
      <c r="AR188" s="749"/>
      <c r="AS188" s="749"/>
      <c r="AT188" s="749"/>
      <c r="AU188" s="749"/>
      <c r="AV188" s="749"/>
      <c r="AW188" s="749"/>
      <c r="AX188" s="749"/>
      <c r="AY188" s="749"/>
      <c r="AZ188" s="749"/>
      <c r="BA188" s="749"/>
      <c r="BB188" s="749"/>
      <c r="BC188" s="749"/>
      <c r="BD188" s="749"/>
      <c r="BE188" s="749"/>
      <c r="BF188" s="749"/>
      <c r="BG188" s="749"/>
      <c r="BH188" s="749"/>
      <c r="BI188" s="749"/>
      <c r="BJ188" s="749"/>
      <c r="BK188" s="749"/>
      <c r="BL188" s="749"/>
    </row>
    <row r="189">
      <c r="A189" s="866"/>
      <c r="B189" s="867"/>
      <c r="C189" s="866"/>
      <c r="D189" s="866"/>
      <c r="E189" s="866"/>
      <c r="F189" s="866"/>
      <c r="G189" s="866"/>
      <c r="H189" s="866"/>
      <c r="I189" s="866"/>
      <c r="J189" s="868"/>
      <c r="K189" s="868"/>
      <c r="L189" s="799"/>
      <c r="M189" s="747"/>
      <c r="N189" s="744"/>
      <c r="O189" s="744"/>
      <c r="P189" s="744"/>
      <c r="Q189" s="744"/>
      <c r="R189" s="744"/>
      <c r="S189" s="744"/>
      <c r="T189" s="855"/>
      <c r="U189" s="746"/>
      <c r="V189" s="746"/>
      <c r="W189" s="746"/>
      <c r="X189" s="746"/>
      <c r="Y189" s="799"/>
      <c r="Z189" s="799"/>
      <c r="AA189" s="799"/>
      <c r="AB189" s="799"/>
      <c r="AC189" s="799"/>
      <c r="AD189" s="750"/>
      <c r="AE189" s="749"/>
      <c r="AF189" s="749"/>
      <c r="AG189" s="749"/>
      <c r="AH189" s="749"/>
      <c r="AI189" s="749"/>
      <c r="AJ189" s="749"/>
      <c r="AK189" s="749"/>
      <c r="AL189" s="749"/>
      <c r="AM189" s="749"/>
      <c r="AN189" s="749"/>
      <c r="AO189" s="749"/>
      <c r="AP189" s="749"/>
      <c r="AQ189" s="749"/>
      <c r="AR189" s="749"/>
      <c r="AS189" s="749"/>
      <c r="AT189" s="749"/>
      <c r="AU189" s="749"/>
      <c r="AV189" s="749"/>
      <c r="AW189" s="749"/>
      <c r="AX189" s="749"/>
      <c r="AY189" s="749"/>
      <c r="AZ189" s="749"/>
      <c r="BA189" s="749"/>
      <c r="BB189" s="749"/>
      <c r="BC189" s="749"/>
      <c r="BD189" s="749"/>
      <c r="BE189" s="749"/>
      <c r="BF189" s="749"/>
      <c r="BG189" s="749"/>
      <c r="BH189" s="749"/>
      <c r="BI189" s="749"/>
      <c r="BJ189" s="749"/>
      <c r="BK189" s="749"/>
      <c r="BL189" s="749"/>
    </row>
    <row r="190">
      <c r="A190" s="866"/>
      <c r="B190" s="867"/>
      <c r="C190" s="866"/>
      <c r="D190" s="866"/>
      <c r="E190" s="866"/>
      <c r="F190" s="866"/>
      <c r="G190" s="866"/>
      <c r="H190" s="866"/>
      <c r="I190" s="866"/>
      <c r="J190" s="868"/>
      <c r="K190" s="868"/>
      <c r="L190" s="799"/>
      <c r="M190" s="747"/>
      <c r="N190" s="744"/>
      <c r="O190" s="744"/>
      <c r="P190" s="744"/>
      <c r="Q190" s="744"/>
      <c r="R190" s="744"/>
      <c r="S190" s="744"/>
      <c r="T190" s="855"/>
      <c r="U190" s="746"/>
      <c r="V190" s="746"/>
      <c r="W190" s="746"/>
      <c r="X190" s="746"/>
      <c r="Y190" s="799"/>
      <c r="Z190" s="799"/>
      <c r="AA190" s="799"/>
      <c r="AB190" s="799"/>
      <c r="AC190" s="799"/>
      <c r="AD190" s="750"/>
      <c r="AE190" s="749"/>
      <c r="AF190" s="749"/>
      <c r="AG190" s="749"/>
      <c r="AH190" s="749"/>
      <c r="AI190" s="749"/>
      <c r="AJ190" s="749"/>
      <c r="AK190" s="749"/>
      <c r="AL190" s="749"/>
      <c r="AM190" s="749"/>
      <c r="AN190" s="749"/>
      <c r="AO190" s="749"/>
      <c r="AP190" s="749"/>
      <c r="AQ190" s="749"/>
      <c r="AR190" s="749"/>
      <c r="AS190" s="749"/>
      <c r="AT190" s="749"/>
      <c r="AU190" s="749"/>
      <c r="AV190" s="749"/>
      <c r="AW190" s="749"/>
      <c r="AX190" s="749"/>
      <c r="AY190" s="749"/>
      <c r="AZ190" s="749"/>
      <c r="BA190" s="749"/>
      <c r="BB190" s="749"/>
      <c r="BC190" s="749"/>
      <c r="BD190" s="749"/>
      <c r="BE190" s="749"/>
      <c r="BF190" s="749"/>
      <c r="BG190" s="749"/>
      <c r="BH190" s="749"/>
      <c r="BI190" s="749"/>
      <c r="BJ190" s="749"/>
      <c r="BK190" s="749"/>
      <c r="BL190" s="749"/>
    </row>
    <row r="191">
      <c r="A191" s="866"/>
      <c r="B191" s="867"/>
      <c r="C191" s="866"/>
      <c r="D191" s="866"/>
      <c r="E191" s="866"/>
      <c r="F191" s="866"/>
      <c r="G191" s="866"/>
      <c r="H191" s="866"/>
      <c r="I191" s="866"/>
      <c r="J191" s="868"/>
      <c r="K191" s="868"/>
      <c r="L191" s="799"/>
      <c r="M191" s="747"/>
      <c r="N191" s="744"/>
      <c r="O191" s="744"/>
      <c r="P191" s="744"/>
      <c r="Q191" s="744"/>
      <c r="R191" s="744"/>
      <c r="S191" s="744"/>
      <c r="T191" s="855"/>
      <c r="U191" s="746"/>
      <c r="V191" s="746"/>
      <c r="W191" s="746"/>
      <c r="X191" s="746"/>
      <c r="Y191" s="799"/>
      <c r="Z191" s="799"/>
      <c r="AA191" s="799"/>
      <c r="AB191" s="799"/>
      <c r="AC191" s="799"/>
      <c r="AD191" s="750"/>
      <c r="AE191" s="749"/>
      <c r="AF191" s="749"/>
      <c r="AG191" s="749"/>
      <c r="AH191" s="749"/>
      <c r="AI191" s="749"/>
      <c r="AJ191" s="749"/>
      <c r="AK191" s="749"/>
      <c r="AL191" s="749"/>
      <c r="AM191" s="749"/>
      <c r="AN191" s="749"/>
      <c r="AO191" s="749"/>
      <c r="AP191" s="749"/>
      <c r="AQ191" s="749"/>
      <c r="AR191" s="749"/>
      <c r="AS191" s="749"/>
      <c r="AT191" s="749"/>
      <c r="AU191" s="749"/>
      <c r="AV191" s="749"/>
      <c r="AW191" s="749"/>
      <c r="AX191" s="749"/>
      <c r="AY191" s="749"/>
      <c r="AZ191" s="749"/>
      <c r="BA191" s="749"/>
      <c r="BB191" s="749"/>
      <c r="BC191" s="749"/>
      <c r="BD191" s="749"/>
      <c r="BE191" s="749"/>
      <c r="BF191" s="749"/>
      <c r="BG191" s="749"/>
      <c r="BH191" s="749"/>
      <c r="BI191" s="749"/>
      <c r="BJ191" s="749"/>
      <c r="BK191" s="749"/>
      <c r="BL191" s="749"/>
    </row>
    <row r="192">
      <c r="A192" s="866"/>
      <c r="B192" s="867"/>
      <c r="C192" s="866"/>
      <c r="D192" s="866"/>
      <c r="E192" s="866"/>
      <c r="F192" s="866"/>
      <c r="G192" s="866"/>
      <c r="H192" s="866"/>
      <c r="I192" s="866"/>
      <c r="J192" s="868"/>
      <c r="K192" s="868"/>
      <c r="L192" s="799"/>
      <c r="M192" s="747"/>
      <c r="N192" s="744"/>
      <c r="O192" s="744"/>
      <c r="P192" s="744"/>
      <c r="Q192" s="744"/>
      <c r="R192" s="744"/>
      <c r="S192" s="744"/>
      <c r="T192" s="855"/>
      <c r="U192" s="746"/>
      <c r="V192" s="746"/>
      <c r="W192" s="746"/>
      <c r="X192" s="746"/>
      <c r="Y192" s="799"/>
      <c r="Z192" s="799"/>
      <c r="AA192" s="799"/>
      <c r="AB192" s="799"/>
      <c r="AC192" s="799"/>
      <c r="AD192" s="750"/>
      <c r="AE192" s="749"/>
      <c r="AF192" s="749"/>
      <c r="AG192" s="749"/>
      <c r="AH192" s="749"/>
      <c r="AI192" s="749"/>
      <c r="AJ192" s="749"/>
      <c r="AK192" s="749"/>
      <c r="AL192" s="749"/>
      <c r="AM192" s="749"/>
      <c r="AN192" s="749"/>
      <c r="AO192" s="749"/>
      <c r="AP192" s="749"/>
      <c r="AQ192" s="749"/>
      <c r="AR192" s="749"/>
      <c r="AS192" s="749"/>
      <c r="AT192" s="749"/>
      <c r="AU192" s="749"/>
      <c r="AV192" s="749"/>
      <c r="AW192" s="749"/>
      <c r="AX192" s="749"/>
      <c r="AY192" s="749"/>
      <c r="AZ192" s="749"/>
      <c r="BA192" s="749"/>
      <c r="BB192" s="749"/>
      <c r="BC192" s="749"/>
      <c r="BD192" s="749"/>
      <c r="BE192" s="749"/>
      <c r="BF192" s="749"/>
      <c r="BG192" s="749"/>
      <c r="BH192" s="749"/>
      <c r="BI192" s="749"/>
      <c r="BJ192" s="749"/>
      <c r="BK192" s="749"/>
      <c r="BL192" s="749"/>
    </row>
    <row r="193">
      <c r="A193" s="866"/>
      <c r="B193" s="867"/>
      <c r="C193" s="866"/>
      <c r="D193" s="866"/>
      <c r="E193" s="866"/>
      <c r="F193" s="866"/>
      <c r="G193" s="866"/>
      <c r="H193" s="866"/>
      <c r="I193" s="866"/>
      <c r="J193" s="868"/>
      <c r="K193" s="868"/>
      <c r="L193" s="799"/>
      <c r="M193" s="747"/>
      <c r="N193" s="744"/>
      <c r="O193" s="744"/>
      <c r="P193" s="744"/>
      <c r="Q193" s="744"/>
      <c r="R193" s="744"/>
      <c r="S193" s="744"/>
      <c r="T193" s="855"/>
      <c r="U193" s="746"/>
      <c r="V193" s="746"/>
      <c r="W193" s="746"/>
      <c r="X193" s="746"/>
      <c r="Y193" s="799"/>
      <c r="Z193" s="799"/>
      <c r="AA193" s="799"/>
      <c r="AB193" s="799"/>
      <c r="AC193" s="799"/>
      <c r="AD193" s="750"/>
      <c r="AE193" s="749"/>
      <c r="AF193" s="749"/>
      <c r="AG193" s="749"/>
      <c r="AH193" s="749"/>
      <c r="AI193" s="749"/>
      <c r="AJ193" s="749"/>
      <c r="AK193" s="749"/>
      <c r="AL193" s="749"/>
      <c r="AM193" s="749"/>
      <c r="AN193" s="749"/>
      <c r="AO193" s="749"/>
      <c r="AP193" s="749"/>
      <c r="AQ193" s="749"/>
      <c r="AR193" s="749"/>
      <c r="AS193" s="749"/>
      <c r="AT193" s="749"/>
      <c r="AU193" s="749"/>
      <c r="AV193" s="749"/>
      <c r="AW193" s="749"/>
      <c r="AX193" s="749"/>
      <c r="AY193" s="749"/>
      <c r="AZ193" s="749"/>
      <c r="BA193" s="749"/>
      <c r="BB193" s="749"/>
      <c r="BC193" s="749"/>
      <c r="BD193" s="749"/>
      <c r="BE193" s="749"/>
      <c r="BF193" s="749"/>
      <c r="BG193" s="749"/>
      <c r="BH193" s="749"/>
      <c r="BI193" s="749"/>
      <c r="BJ193" s="749"/>
      <c r="BK193" s="749"/>
      <c r="BL193" s="749"/>
    </row>
    <row r="194">
      <c r="A194" s="866"/>
      <c r="B194" s="867"/>
      <c r="C194" s="866"/>
      <c r="D194" s="866"/>
      <c r="E194" s="866"/>
      <c r="F194" s="866"/>
      <c r="G194" s="866"/>
      <c r="H194" s="866"/>
      <c r="I194" s="866"/>
      <c r="J194" s="868"/>
      <c r="K194" s="868"/>
      <c r="L194" s="799"/>
      <c r="M194" s="747"/>
      <c r="N194" s="744"/>
      <c r="O194" s="744"/>
      <c r="P194" s="744"/>
      <c r="Q194" s="744"/>
      <c r="R194" s="744"/>
      <c r="S194" s="744"/>
      <c r="T194" s="855"/>
      <c r="U194" s="746"/>
      <c r="V194" s="746"/>
      <c r="W194" s="746"/>
      <c r="X194" s="746"/>
      <c r="Y194" s="799"/>
      <c r="Z194" s="799"/>
      <c r="AA194" s="799"/>
      <c r="AB194" s="799"/>
      <c r="AC194" s="799"/>
      <c r="AD194" s="750"/>
      <c r="AE194" s="749"/>
      <c r="AF194" s="749"/>
      <c r="AG194" s="749"/>
      <c r="AH194" s="749"/>
      <c r="AI194" s="749"/>
      <c r="AJ194" s="749"/>
      <c r="AK194" s="749"/>
      <c r="AL194" s="749"/>
      <c r="AM194" s="749"/>
      <c r="AN194" s="749"/>
      <c r="AO194" s="749"/>
      <c r="AP194" s="749"/>
      <c r="AQ194" s="749"/>
      <c r="AR194" s="749"/>
      <c r="AS194" s="749"/>
      <c r="AT194" s="749"/>
      <c r="AU194" s="749"/>
      <c r="AV194" s="749"/>
      <c r="AW194" s="749"/>
      <c r="AX194" s="749"/>
      <c r="AY194" s="749"/>
      <c r="AZ194" s="749"/>
      <c r="BA194" s="749"/>
      <c r="BB194" s="749"/>
      <c r="BC194" s="749"/>
      <c r="BD194" s="749"/>
      <c r="BE194" s="749"/>
      <c r="BF194" s="749"/>
      <c r="BG194" s="749"/>
      <c r="BH194" s="749"/>
      <c r="BI194" s="749"/>
      <c r="BJ194" s="749"/>
      <c r="BK194" s="749"/>
      <c r="BL194" s="749"/>
    </row>
    <row r="195">
      <c r="A195" s="866"/>
      <c r="B195" s="867"/>
      <c r="C195" s="866"/>
      <c r="D195" s="866"/>
      <c r="E195" s="866"/>
      <c r="F195" s="866"/>
      <c r="G195" s="866"/>
      <c r="H195" s="866"/>
      <c r="I195" s="866"/>
      <c r="J195" s="868"/>
      <c r="K195" s="868"/>
      <c r="L195" s="799"/>
      <c r="M195" s="747"/>
      <c r="N195" s="744"/>
      <c r="O195" s="744"/>
      <c r="P195" s="744"/>
      <c r="Q195" s="744"/>
      <c r="R195" s="744"/>
      <c r="S195" s="744"/>
      <c r="T195" s="855"/>
      <c r="U195" s="746"/>
      <c r="V195" s="746"/>
      <c r="W195" s="746"/>
      <c r="X195" s="746"/>
      <c r="Y195" s="799"/>
      <c r="Z195" s="799"/>
      <c r="AA195" s="799"/>
      <c r="AB195" s="799"/>
      <c r="AC195" s="799"/>
      <c r="AD195" s="750"/>
      <c r="AE195" s="749"/>
      <c r="AF195" s="749"/>
      <c r="AG195" s="749"/>
      <c r="AH195" s="749"/>
      <c r="AI195" s="749"/>
      <c r="AJ195" s="749"/>
      <c r="AK195" s="749"/>
      <c r="AL195" s="749"/>
      <c r="AM195" s="749"/>
      <c r="AN195" s="749"/>
      <c r="AO195" s="749"/>
      <c r="AP195" s="749"/>
      <c r="AQ195" s="749"/>
      <c r="AR195" s="749"/>
      <c r="AS195" s="749"/>
      <c r="AT195" s="749"/>
      <c r="AU195" s="749"/>
      <c r="AV195" s="749"/>
      <c r="AW195" s="749"/>
      <c r="AX195" s="749"/>
      <c r="AY195" s="749"/>
      <c r="AZ195" s="749"/>
      <c r="BA195" s="749"/>
      <c r="BB195" s="749"/>
      <c r="BC195" s="749"/>
      <c r="BD195" s="749"/>
      <c r="BE195" s="749"/>
      <c r="BF195" s="749"/>
      <c r="BG195" s="749"/>
      <c r="BH195" s="749"/>
      <c r="BI195" s="749"/>
      <c r="BJ195" s="749"/>
      <c r="BK195" s="749"/>
      <c r="BL195" s="749"/>
    </row>
    <row r="196">
      <c r="A196" s="866"/>
      <c r="B196" s="867"/>
      <c r="C196" s="866"/>
      <c r="D196" s="866"/>
      <c r="E196" s="866"/>
      <c r="F196" s="866"/>
      <c r="G196" s="866"/>
      <c r="H196" s="866"/>
      <c r="I196" s="866"/>
      <c r="J196" s="868"/>
      <c r="K196" s="868"/>
      <c r="L196" s="799"/>
      <c r="M196" s="747"/>
      <c r="N196" s="744"/>
      <c r="O196" s="744"/>
      <c r="P196" s="744"/>
      <c r="Q196" s="744"/>
      <c r="R196" s="744"/>
      <c r="S196" s="744"/>
      <c r="T196" s="855"/>
      <c r="U196" s="746"/>
      <c r="V196" s="746"/>
      <c r="W196" s="746"/>
      <c r="X196" s="746"/>
      <c r="Y196" s="799"/>
      <c r="Z196" s="799"/>
      <c r="AA196" s="799"/>
      <c r="AB196" s="799"/>
      <c r="AC196" s="799"/>
      <c r="AD196" s="750"/>
      <c r="AE196" s="749"/>
      <c r="AF196" s="749"/>
      <c r="AG196" s="749"/>
      <c r="AH196" s="749"/>
      <c r="AI196" s="749"/>
      <c r="AJ196" s="749"/>
      <c r="AK196" s="749"/>
      <c r="AL196" s="749"/>
      <c r="AM196" s="749"/>
      <c r="AN196" s="749"/>
      <c r="AO196" s="749"/>
      <c r="AP196" s="749"/>
      <c r="AQ196" s="749"/>
      <c r="AR196" s="749"/>
      <c r="AS196" s="749"/>
      <c r="AT196" s="749"/>
      <c r="AU196" s="749"/>
      <c r="AV196" s="749"/>
      <c r="AW196" s="749"/>
      <c r="AX196" s="749"/>
      <c r="AY196" s="749"/>
      <c r="AZ196" s="749"/>
      <c r="BA196" s="749"/>
      <c r="BB196" s="749"/>
      <c r="BC196" s="749"/>
      <c r="BD196" s="749"/>
      <c r="BE196" s="749"/>
      <c r="BF196" s="749"/>
      <c r="BG196" s="749"/>
      <c r="BH196" s="749"/>
      <c r="BI196" s="749"/>
      <c r="BJ196" s="749"/>
      <c r="BK196" s="749"/>
      <c r="BL196" s="749"/>
    </row>
    <row r="197">
      <c r="A197" s="866"/>
      <c r="B197" s="867"/>
      <c r="C197" s="866"/>
      <c r="D197" s="866"/>
      <c r="E197" s="866"/>
      <c r="F197" s="866"/>
      <c r="G197" s="866"/>
      <c r="H197" s="866"/>
      <c r="I197" s="866"/>
      <c r="J197" s="868"/>
      <c r="K197" s="868"/>
      <c r="L197" s="799"/>
      <c r="M197" s="747"/>
      <c r="N197" s="744"/>
      <c r="O197" s="744"/>
      <c r="P197" s="744"/>
      <c r="Q197" s="744"/>
      <c r="R197" s="744"/>
      <c r="S197" s="744"/>
      <c r="T197" s="855"/>
      <c r="U197" s="746"/>
      <c r="V197" s="746"/>
      <c r="W197" s="746"/>
      <c r="X197" s="746"/>
      <c r="Y197" s="799"/>
      <c r="Z197" s="799"/>
      <c r="AA197" s="799"/>
      <c r="AB197" s="799"/>
      <c r="AC197" s="799"/>
      <c r="AD197" s="750"/>
      <c r="AE197" s="749"/>
      <c r="AF197" s="749"/>
      <c r="AG197" s="749"/>
      <c r="AH197" s="749"/>
      <c r="AI197" s="749"/>
      <c r="AJ197" s="749"/>
      <c r="AK197" s="749"/>
      <c r="AL197" s="749"/>
      <c r="AM197" s="749"/>
      <c r="AN197" s="749"/>
      <c r="AO197" s="749"/>
      <c r="AP197" s="749"/>
      <c r="AQ197" s="749"/>
      <c r="AR197" s="749"/>
      <c r="AS197" s="749"/>
      <c r="AT197" s="749"/>
      <c r="AU197" s="749"/>
      <c r="AV197" s="749"/>
      <c r="AW197" s="749"/>
      <c r="AX197" s="749"/>
      <c r="AY197" s="749"/>
      <c r="AZ197" s="749"/>
      <c r="BA197" s="749"/>
      <c r="BB197" s="749"/>
      <c r="BC197" s="749"/>
      <c r="BD197" s="749"/>
      <c r="BE197" s="749"/>
      <c r="BF197" s="749"/>
      <c r="BG197" s="749"/>
      <c r="BH197" s="749"/>
      <c r="BI197" s="749"/>
      <c r="BJ197" s="749"/>
      <c r="BK197" s="749"/>
      <c r="BL197" s="749"/>
    </row>
    <row r="198">
      <c r="A198" s="866"/>
      <c r="B198" s="867"/>
      <c r="C198" s="866"/>
      <c r="D198" s="866"/>
      <c r="E198" s="866"/>
      <c r="F198" s="866"/>
      <c r="G198" s="866"/>
      <c r="H198" s="866"/>
      <c r="I198" s="866"/>
      <c r="J198" s="868"/>
      <c r="K198" s="868"/>
      <c r="L198" s="799"/>
      <c r="M198" s="747"/>
      <c r="N198" s="744"/>
      <c r="O198" s="744"/>
      <c r="P198" s="744"/>
      <c r="Q198" s="744"/>
      <c r="R198" s="744"/>
      <c r="S198" s="744"/>
      <c r="T198" s="855"/>
      <c r="U198" s="746"/>
      <c r="V198" s="746"/>
      <c r="W198" s="746"/>
      <c r="X198" s="746"/>
      <c r="Y198" s="799"/>
      <c r="Z198" s="799"/>
      <c r="AA198" s="799"/>
      <c r="AB198" s="799"/>
      <c r="AC198" s="799"/>
      <c r="AD198" s="750"/>
      <c r="AE198" s="749"/>
      <c r="AF198" s="749"/>
      <c r="AG198" s="749"/>
      <c r="AH198" s="749"/>
      <c r="AI198" s="749"/>
      <c r="AJ198" s="749"/>
      <c r="AK198" s="749"/>
      <c r="AL198" s="749"/>
      <c r="AM198" s="749"/>
      <c r="AN198" s="749"/>
      <c r="AO198" s="749"/>
      <c r="AP198" s="749"/>
      <c r="AQ198" s="749"/>
      <c r="AR198" s="749"/>
      <c r="AS198" s="749"/>
      <c r="AT198" s="749"/>
      <c r="AU198" s="749"/>
      <c r="AV198" s="749"/>
      <c r="AW198" s="749"/>
      <c r="AX198" s="749"/>
      <c r="AY198" s="749"/>
      <c r="AZ198" s="749"/>
      <c r="BA198" s="749"/>
      <c r="BB198" s="749"/>
      <c r="BC198" s="749"/>
      <c r="BD198" s="749"/>
      <c r="BE198" s="749"/>
      <c r="BF198" s="749"/>
      <c r="BG198" s="749"/>
      <c r="BH198" s="749"/>
      <c r="BI198" s="749"/>
      <c r="BJ198" s="749"/>
      <c r="BK198" s="749"/>
      <c r="BL198" s="749"/>
    </row>
    <row r="199">
      <c r="A199" s="866"/>
      <c r="B199" s="867"/>
      <c r="C199" s="866"/>
      <c r="D199" s="866"/>
      <c r="E199" s="866"/>
      <c r="F199" s="866"/>
      <c r="G199" s="866"/>
      <c r="H199" s="866"/>
      <c r="I199" s="866"/>
      <c r="J199" s="868"/>
      <c r="K199" s="868"/>
      <c r="L199" s="799"/>
      <c r="M199" s="747"/>
      <c r="N199" s="744"/>
      <c r="O199" s="744"/>
      <c r="P199" s="744"/>
      <c r="Q199" s="744"/>
      <c r="R199" s="744"/>
      <c r="S199" s="744"/>
      <c r="T199" s="855"/>
      <c r="U199" s="746"/>
      <c r="V199" s="746"/>
      <c r="W199" s="746"/>
      <c r="X199" s="746"/>
      <c r="Y199" s="799"/>
      <c r="Z199" s="799"/>
      <c r="AA199" s="799"/>
      <c r="AB199" s="799"/>
      <c r="AC199" s="799"/>
      <c r="AD199" s="750"/>
      <c r="AE199" s="749"/>
      <c r="AF199" s="749"/>
      <c r="AG199" s="749"/>
      <c r="AH199" s="749"/>
      <c r="AI199" s="749"/>
      <c r="AJ199" s="749"/>
      <c r="AK199" s="749"/>
      <c r="AL199" s="749"/>
      <c r="AM199" s="749"/>
      <c r="AN199" s="749"/>
      <c r="AO199" s="749"/>
      <c r="AP199" s="749"/>
      <c r="AQ199" s="749"/>
      <c r="AR199" s="749"/>
      <c r="AS199" s="749"/>
      <c r="AT199" s="749"/>
      <c r="AU199" s="749"/>
      <c r="AV199" s="749"/>
      <c r="AW199" s="749"/>
      <c r="AX199" s="749"/>
      <c r="AY199" s="749"/>
      <c r="AZ199" s="749"/>
      <c r="BA199" s="749"/>
      <c r="BB199" s="749"/>
      <c r="BC199" s="749"/>
      <c r="BD199" s="749"/>
      <c r="BE199" s="749"/>
      <c r="BF199" s="749"/>
      <c r="BG199" s="749"/>
      <c r="BH199" s="749"/>
      <c r="BI199" s="749"/>
      <c r="BJ199" s="749"/>
      <c r="BK199" s="749"/>
      <c r="BL199" s="749"/>
    </row>
    <row r="200">
      <c r="A200" s="866"/>
      <c r="B200" s="867"/>
      <c r="C200" s="866"/>
      <c r="D200" s="866"/>
      <c r="E200" s="866"/>
      <c r="F200" s="866"/>
      <c r="G200" s="866"/>
      <c r="H200" s="866"/>
      <c r="I200" s="866"/>
      <c r="J200" s="868"/>
      <c r="K200" s="868"/>
      <c r="L200" s="799"/>
      <c r="M200" s="747"/>
      <c r="N200" s="744"/>
      <c r="O200" s="744"/>
      <c r="P200" s="744"/>
      <c r="Q200" s="744"/>
      <c r="R200" s="744"/>
      <c r="S200" s="744"/>
      <c r="T200" s="855"/>
      <c r="U200" s="746"/>
      <c r="V200" s="746"/>
      <c r="W200" s="746"/>
      <c r="X200" s="746"/>
      <c r="Y200" s="799"/>
      <c r="Z200" s="799"/>
      <c r="AA200" s="799"/>
      <c r="AB200" s="799"/>
      <c r="AC200" s="799"/>
      <c r="AD200" s="750"/>
      <c r="AE200" s="749"/>
      <c r="AF200" s="749"/>
      <c r="AG200" s="749"/>
      <c r="AH200" s="749"/>
      <c r="AI200" s="749"/>
      <c r="AJ200" s="749"/>
      <c r="AK200" s="749"/>
      <c r="AL200" s="749"/>
      <c r="AM200" s="749"/>
      <c r="AN200" s="749"/>
      <c r="AO200" s="749"/>
      <c r="AP200" s="749"/>
      <c r="AQ200" s="749"/>
      <c r="AR200" s="749"/>
      <c r="AS200" s="749"/>
      <c r="AT200" s="749"/>
      <c r="AU200" s="749"/>
      <c r="AV200" s="749"/>
      <c r="AW200" s="749"/>
      <c r="AX200" s="749"/>
      <c r="AY200" s="749"/>
      <c r="AZ200" s="749"/>
      <c r="BA200" s="749"/>
      <c r="BB200" s="749"/>
      <c r="BC200" s="749"/>
      <c r="BD200" s="749"/>
      <c r="BE200" s="749"/>
      <c r="BF200" s="749"/>
      <c r="BG200" s="749"/>
      <c r="BH200" s="749"/>
      <c r="BI200" s="749"/>
      <c r="BJ200" s="749"/>
      <c r="BK200" s="749"/>
      <c r="BL200" s="749"/>
    </row>
    <row r="201">
      <c r="A201" s="866"/>
      <c r="B201" s="867"/>
      <c r="C201" s="866"/>
      <c r="D201" s="866"/>
      <c r="E201" s="866"/>
      <c r="F201" s="866"/>
      <c r="G201" s="866"/>
      <c r="H201" s="866"/>
      <c r="I201" s="866"/>
      <c r="J201" s="868"/>
      <c r="K201" s="868"/>
      <c r="L201" s="799"/>
      <c r="M201" s="747"/>
      <c r="N201" s="744"/>
      <c r="O201" s="744"/>
      <c r="P201" s="744"/>
      <c r="Q201" s="744"/>
      <c r="R201" s="744"/>
      <c r="S201" s="744"/>
      <c r="T201" s="855"/>
      <c r="U201" s="746"/>
      <c r="V201" s="746"/>
      <c r="W201" s="746"/>
      <c r="X201" s="746"/>
      <c r="Y201" s="799"/>
      <c r="Z201" s="799"/>
      <c r="AA201" s="799"/>
      <c r="AB201" s="799"/>
      <c r="AC201" s="799"/>
      <c r="AD201" s="750"/>
      <c r="AE201" s="749"/>
      <c r="AF201" s="749"/>
      <c r="AG201" s="749"/>
      <c r="AH201" s="749"/>
      <c r="AI201" s="749"/>
      <c r="AJ201" s="749"/>
      <c r="AK201" s="749"/>
      <c r="AL201" s="749"/>
      <c r="AM201" s="749"/>
      <c r="AN201" s="749"/>
      <c r="AO201" s="749"/>
      <c r="AP201" s="749"/>
      <c r="AQ201" s="749"/>
      <c r="AR201" s="749"/>
      <c r="AS201" s="749"/>
      <c r="AT201" s="749"/>
      <c r="AU201" s="749"/>
      <c r="AV201" s="749"/>
      <c r="AW201" s="749"/>
      <c r="AX201" s="749"/>
      <c r="AY201" s="749"/>
      <c r="AZ201" s="749"/>
      <c r="BA201" s="749"/>
      <c r="BB201" s="749"/>
      <c r="BC201" s="749"/>
      <c r="BD201" s="749"/>
      <c r="BE201" s="749"/>
      <c r="BF201" s="749"/>
      <c r="BG201" s="749"/>
      <c r="BH201" s="749"/>
      <c r="BI201" s="749"/>
      <c r="BJ201" s="749"/>
      <c r="BK201" s="749"/>
      <c r="BL201" s="749"/>
    </row>
    <row r="202">
      <c r="A202" s="866"/>
      <c r="B202" s="867"/>
      <c r="C202" s="866"/>
      <c r="D202" s="866"/>
      <c r="E202" s="866"/>
      <c r="F202" s="866"/>
      <c r="G202" s="866"/>
      <c r="H202" s="866"/>
      <c r="I202" s="866"/>
      <c r="J202" s="868"/>
      <c r="K202" s="868"/>
      <c r="L202" s="799"/>
      <c r="M202" s="747"/>
      <c r="N202" s="744"/>
      <c r="O202" s="744"/>
      <c r="P202" s="744"/>
      <c r="Q202" s="744"/>
      <c r="R202" s="744"/>
      <c r="S202" s="744"/>
      <c r="T202" s="855"/>
      <c r="U202" s="746"/>
      <c r="V202" s="746"/>
      <c r="W202" s="746"/>
      <c r="X202" s="746"/>
      <c r="Y202" s="799"/>
      <c r="Z202" s="799"/>
      <c r="AA202" s="799"/>
      <c r="AB202" s="799"/>
      <c r="AC202" s="799"/>
      <c r="AD202" s="750"/>
      <c r="AE202" s="749"/>
      <c r="AF202" s="749"/>
      <c r="AG202" s="749"/>
      <c r="AH202" s="749"/>
      <c r="AI202" s="749"/>
      <c r="AJ202" s="749"/>
      <c r="AK202" s="749"/>
      <c r="AL202" s="749"/>
      <c r="AM202" s="749"/>
      <c r="AN202" s="749"/>
      <c r="AO202" s="749"/>
      <c r="AP202" s="749"/>
      <c r="AQ202" s="749"/>
      <c r="AR202" s="749"/>
      <c r="AS202" s="749"/>
      <c r="AT202" s="749"/>
      <c r="AU202" s="749"/>
      <c r="AV202" s="749"/>
      <c r="AW202" s="749"/>
      <c r="AX202" s="749"/>
      <c r="AY202" s="749"/>
      <c r="AZ202" s="749"/>
      <c r="BA202" s="749"/>
      <c r="BB202" s="749"/>
      <c r="BC202" s="749"/>
      <c r="BD202" s="749"/>
      <c r="BE202" s="749"/>
      <c r="BF202" s="749"/>
      <c r="BG202" s="749"/>
      <c r="BH202" s="749"/>
      <c r="BI202" s="749"/>
      <c r="BJ202" s="749"/>
      <c r="BK202" s="749"/>
      <c r="BL202" s="749"/>
    </row>
    <row r="203">
      <c r="A203" s="866"/>
      <c r="B203" s="867"/>
      <c r="C203" s="866"/>
      <c r="D203" s="866"/>
      <c r="E203" s="866"/>
      <c r="F203" s="866"/>
      <c r="G203" s="866"/>
      <c r="H203" s="866"/>
      <c r="I203" s="866"/>
      <c r="J203" s="868"/>
      <c r="K203" s="868"/>
      <c r="L203" s="799"/>
      <c r="M203" s="747"/>
      <c r="N203" s="744"/>
      <c r="O203" s="744"/>
      <c r="P203" s="744"/>
      <c r="Q203" s="744"/>
      <c r="R203" s="744"/>
      <c r="S203" s="744"/>
      <c r="T203" s="855"/>
      <c r="U203" s="746"/>
      <c r="V203" s="746"/>
      <c r="W203" s="746"/>
      <c r="X203" s="746"/>
      <c r="Y203" s="799"/>
      <c r="Z203" s="799"/>
      <c r="AA203" s="799"/>
      <c r="AB203" s="799"/>
      <c r="AC203" s="799"/>
      <c r="AD203" s="750"/>
      <c r="AE203" s="749"/>
      <c r="AF203" s="749"/>
      <c r="AG203" s="749"/>
      <c r="AH203" s="749"/>
      <c r="AI203" s="749"/>
      <c r="AJ203" s="749"/>
      <c r="AK203" s="749"/>
      <c r="AL203" s="749"/>
      <c r="AM203" s="749"/>
      <c r="AN203" s="749"/>
      <c r="AO203" s="749"/>
      <c r="AP203" s="749"/>
      <c r="AQ203" s="749"/>
      <c r="AR203" s="749"/>
      <c r="AS203" s="749"/>
      <c r="AT203" s="749"/>
      <c r="AU203" s="749"/>
      <c r="AV203" s="749"/>
      <c r="AW203" s="749"/>
      <c r="AX203" s="749"/>
      <c r="AY203" s="749"/>
      <c r="AZ203" s="749"/>
      <c r="BA203" s="749"/>
      <c r="BB203" s="749"/>
      <c r="BC203" s="749"/>
      <c r="BD203" s="749"/>
      <c r="BE203" s="749"/>
      <c r="BF203" s="749"/>
      <c r="BG203" s="749"/>
      <c r="BH203" s="749"/>
      <c r="BI203" s="749"/>
      <c r="BJ203" s="749"/>
      <c r="BK203" s="749"/>
      <c r="BL203" s="749"/>
    </row>
    <row r="204">
      <c r="A204" s="866"/>
      <c r="B204" s="867"/>
      <c r="C204" s="866"/>
      <c r="D204" s="866"/>
      <c r="E204" s="866"/>
      <c r="F204" s="866"/>
      <c r="G204" s="866"/>
      <c r="H204" s="866"/>
      <c r="I204" s="866"/>
      <c r="J204" s="868"/>
      <c r="K204" s="868"/>
      <c r="L204" s="799"/>
      <c r="M204" s="747"/>
      <c r="N204" s="744"/>
      <c r="O204" s="744"/>
      <c r="P204" s="744"/>
      <c r="Q204" s="744"/>
      <c r="R204" s="744"/>
      <c r="S204" s="744"/>
      <c r="T204" s="855"/>
      <c r="U204" s="746"/>
      <c r="V204" s="746"/>
      <c r="W204" s="746"/>
      <c r="X204" s="746"/>
      <c r="Y204" s="799"/>
      <c r="Z204" s="799"/>
      <c r="AA204" s="799"/>
      <c r="AB204" s="799"/>
      <c r="AC204" s="799"/>
      <c r="AD204" s="750"/>
      <c r="AE204" s="749"/>
      <c r="AF204" s="749"/>
      <c r="AG204" s="749"/>
      <c r="AH204" s="749"/>
      <c r="AI204" s="749"/>
      <c r="AJ204" s="749"/>
      <c r="AK204" s="749"/>
      <c r="AL204" s="749"/>
      <c r="AM204" s="749"/>
      <c r="AN204" s="749"/>
      <c r="AO204" s="749"/>
      <c r="AP204" s="749"/>
      <c r="AQ204" s="749"/>
      <c r="AR204" s="749"/>
      <c r="AS204" s="749"/>
      <c r="AT204" s="749"/>
      <c r="AU204" s="749"/>
      <c r="AV204" s="749"/>
      <c r="AW204" s="749"/>
      <c r="AX204" s="749"/>
      <c r="AY204" s="749"/>
      <c r="AZ204" s="749"/>
      <c r="BA204" s="749"/>
      <c r="BB204" s="749"/>
      <c r="BC204" s="749"/>
      <c r="BD204" s="749"/>
      <c r="BE204" s="749"/>
      <c r="BF204" s="749"/>
      <c r="BG204" s="749"/>
      <c r="BH204" s="749"/>
      <c r="BI204" s="749"/>
      <c r="BJ204" s="749"/>
      <c r="BK204" s="749"/>
      <c r="BL204" s="749"/>
    </row>
    <row r="205">
      <c r="A205" s="866"/>
      <c r="B205" s="867"/>
      <c r="C205" s="866"/>
      <c r="D205" s="866"/>
      <c r="E205" s="866"/>
      <c r="F205" s="866"/>
      <c r="G205" s="866"/>
      <c r="H205" s="866"/>
      <c r="I205" s="866"/>
      <c r="J205" s="868"/>
      <c r="K205" s="868"/>
      <c r="L205" s="799"/>
      <c r="M205" s="747"/>
      <c r="N205" s="744"/>
      <c r="O205" s="744"/>
      <c r="P205" s="744"/>
      <c r="Q205" s="744"/>
      <c r="R205" s="744"/>
      <c r="S205" s="744"/>
      <c r="T205" s="855"/>
      <c r="U205" s="746"/>
      <c r="V205" s="746"/>
      <c r="W205" s="746"/>
      <c r="X205" s="746"/>
      <c r="Y205" s="799"/>
      <c r="Z205" s="799"/>
      <c r="AA205" s="799"/>
      <c r="AB205" s="799"/>
      <c r="AC205" s="799"/>
      <c r="AD205" s="750"/>
      <c r="AE205" s="749"/>
      <c r="AF205" s="749"/>
      <c r="AG205" s="749"/>
      <c r="AH205" s="749"/>
      <c r="AI205" s="749"/>
      <c r="AJ205" s="749"/>
      <c r="AK205" s="749"/>
      <c r="AL205" s="749"/>
      <c r="AM205" s="749"/>
      <c r="AN205" s="749"/>
      <c r="AO205" s="749"/>
      <c r="AP205" s="749"/>
      <c r="AQ205" s="749"/>
      <c r="AR205" s="749"/>
      <c r="AS205" s="749"/>
      <c r="AT205" s="749"/>
      <c r="AU205" s="749"/>
      <c r="AV205" s="749"/>
      <c r="AW205" s="749"/>
      <c r="AX205" s="749"/>
      <c r="AY205" s="749"/>
      <c r="AZ205" s="749"/>
      <c r="BA205" s="749"/>
      <c r="BB205" s="749"/>
      <c r="BC205" s="749"/>
      <c r="BD205" s="749"/>
      <c r="BE205" s="749"/>
      <c r="BF205" s="749"/>
      <c r="BG205" s="749"/>
      <c r="BH205" s="749"/>
      <c r="BI205" s="749"/>
      <c r="BJ205" s="749"/>
      <c r="BK205" s="749"/>
      <c r="BL205" s="749"/>
    </row>
    <row r="206">
      <c r="A206" s="866"/>
      <c r="B206" s="867"/>
      <c r="C206" s="866"/>
      <c r="D206" s="866"/>
      <c r="E206" s="866"/>
      <c r="F206" s="866"/>
      <c r="G206" s="866"/>
      <c r="H206" s="866"/>
      <c r="I206" s="866"/>
      <c r="J206" s="868"/>
      <c r="K206" s="868"/>
      <c r="L206" s="799"/>
      <c r="M206" s="747"/>
      <c r="N206" s="744"/>
      <c r="O206" s="744"/>
      <c r="P206" s="744"/>
      <c r="Q206" s="744"/>
      <c r="R206" s="744"/>
      <c r="S206" s="744"/>
      <c r="T206" s="855"/>
      <c r="U206" s="746"/>
      <c r="V206" s="746"/>
      <c r="W206" s="746"/>
      <c r="X206" s="746"/>
      <c r="Y206" s="799"/>
      <c r="Z206" s="799"/>
      <c r="AA206" s="799"/>
      <c r="AB206" s="799"/>
      <c r="AC206" s="799"/>
      <c r="AD206" s="750"/>
      <c r="AE206" s="749"/>
      <c r="AF206" s="749"/>
      <c r="AG206" s="749"/>
      <c r="AH206" s="749"/>
      <c r="AI206" s="749"/>
      <c r="AJ206" s="749"/>
      <c r="AK206" s="749"/>
      <c r="AL206" s="749"/>
      <c r="AM206" s="749"/>
      <c r="AN206" s="749"/>
      <c r="AO206" s="749"/>
      <c r="AP206" s="749"/>
      <c r="AQ206" s="749"/>
      <c r="AR206" s="749"/>
      <c r="AS206" s="749"/>
      <c r="AT206" s="749"/>
      <c r="AU206" s="749"/>
      <c r="AV206" s="749"/>
      <c r="AW206" s="749"/>
      <c r="AX206" s="749"/>
      <c r="AY206" s="749"/>
      <c r="AZ206" s="749"/>
      <c r="BA206" s="749"/>
      <c r="BB206" s="749"/>
      <c r="BC206" s="749"/>
      <c r="BD206" s="749"/>
      <c r="BE206" s="749"/>
      <c r="BF206" s="749"/>
      <c r="BG206" s="749"/>
      <c r="BH206" s="749"/>
      <c r="BI206" s="749"/>
      <c r="BJ206" s="749"/>
      <c r="BK206" s="749"/>
      <c r="BL206" s="749"/>
    </row>
    <row r="207">
      <c r="A207" s="866"/>
      <c r="B207" s="867"/>
      <c r="C207" s="866"/>
      <c r="D207" s="866"/>
      <c r="E207" s="866"/>
      <c r="F207" s="866"/>
      <c r="G207" s="866"/>
      <c r="H207" s="866"/>
      <c r="I207" s="866"/>
      <c r="J207" s="868"/>
      <c r="K207" s="868"/>
      <c r="L207" s="799"/>
      <c r="M207" s="747"/>
      <c r="N207" s="744"/>
      <c r="O207" s="744"/>
      <c r="P207" s="744"/>
      <c r="Q207" s="744"/>
      <c r="R207" s="744"/>
      <c r="S207" s="744"/>
      <c r="T207" s="855"/>
      <c r="U207" s="746"/>
      <c r="V207" s="746"/>
      <c r="W207" s="746"/>
      <c r="X207" s="746"/>
      <c r="Y207" s="799"/>
      <c r="Z207" s="799"/>
      <c r="AA207" s="799"/>
      <c r="AB207" s="799"/>
      <c r="AC207" s="799"/>
      <c r="AD207" s="750"/>
      <c r="AE207" s="749"/>
      <c r="AF207" s="749"/>
      <c r="AG207" s="749"/>
      <c r="AH207" s="749"/>
      <c r="AI207" s="749"/>
      <c r="AJ207" s="749"/>
      <c r="AK207" s="749"/>
      <c r="AL207" s="749"/>
      <c r="AM207" s="749"/>
      <c r="AN207" s="749"/>
      <c r="AO207" s="749"/>
      <c r="AP207" s="749"/>
      <c r="AQ207" s="749"/>
      <c r="AR207" s="749"/>
      <c r="AS207" s="749"/>
      <c r="AT207" s="749"/>
      <c r="AU207" s="749"/>
      <c r="AV207" s="749"/>
      <c r="AW207" s="749"/>
      <c r="AX207" s="749"/>
      <c r="AY207" s="749"/>
      <c r="AZ207" s="749"/>
      <c r="BA207" s="749"/>
      <c r="BB207" s="749"/>
      <c r="BC207" s="749"/>
      <c r="BD207" s="749"/>
      <c r="BE207" s="749"/>
      <c r="BF207" s="749"/>
      <c r="BG207" s="749"/>
      <c r="BH207" s="749"/>
      <c r="BI207" s="749"/>
      <c r="BJ207" s="749"/>
      <c r="BK207" s="749"/>
      <c r="BL207" s="749"/>
    </row>
    <row r="208">
      <c r="A208" s="866"/>
      <c r="B208" s="867"/>
      <c r="C208" s="866"/>
      <c r="D208" s="866"/>
      <c r="E208" s="866"/>
      <c r="F208" s="866"/>
      <c r="G208" s="866"/>
      <c r="H208" s="866"/>
      <c r="I208" s="866"/>
      <c r="J208" s="868"/>
      <c r="K208" s="868"/>
      <c r="L208" s="799"/>
      <c r="M208" s="747"/>
      <c r="N208" s="744"/>
      <c r="O208" s="744"/>
      <c r="P208" s="744"/>
      <c r="Q208" s="744"/>
      <c r="R208" s="744"/>
      <c r="S208" s="744"/>
      <c r="T208" s="855"/>
      <c r="U208" s="746"/>
      <c r="V208" s="746"/>
      <c r="W208" s="746"/>
      <c r="X208" s="746"/>
      <c r="Y208" s="799"/>
      <c r="Z208" s="799"/>
      <c r="AA208" s="799"/>
      <c r="AB208" s="799"/>
      <c r="AC208" s="799"/>
      <c r="AD208" s="750"/>
      <c r="AE208" s="749"/>
      <c r="AF208" s="749"/>
      <c r="AG208" s="749"/>
      <c r="AH208" s="749"/>
      <c r="AI208" s="749"/>
      <c r="AJ208" s="749"/>
      <c r="AK208" s="749"/>
      <c r="AL208" s="749"/>
      <c r="AM208" s="749"/>
      <c r="AN208" s="749"/>
      <c r="AO208" s="749"/>
      <c r="AP208" s="749"/>
      <c r="AQ208" s="749"/>
      <c r="AR208" s="749"/>
      <c r="AS208" s="749"/>
      <c r="AT208" s="749"/>
      <c r="AU208" s="749"/>
      <c r="AV208" s="749"/>
      <c r="AW208" s="749"/>
      <c r="AX208" s="749"/>
      <c r="AY208" s="749"/>
      <c r="AZ208" s="749"/>
      <c r="BA208" s="749"/>
      <c r="BB208" s="749"/>
      <c r="BC208" s="749"/>
      <c r="BD208" s="749"/>
      <c r="BE208" s="749"/>
      <c r="BF208" s="749"/>
      <c r="BG208" s="749"/>
      <c r="BH208" s="749"/>
      <c r="BI208" s="749"/>
      <c r="BJ208" s="749"/>
      <c r="BK208" s="749"/>
      <c r="BL208" s="749"/>
    </row>
    <row r="209">
      <c r="A209" s="866"/>
      <c r="B209" s="867"/>
      <c r="C209" s="866"/>
      <c r="D209" s="866"/>
      <c r="E209" s="866"/>
      <c r="F209" s="866"/>
      <c r="G209" s="866"/>
      <c r="H209" s="866"/>
      <c r="I209" s="866"/>
      <c r="J209" s="868"/>
      <c r="K209" s="868"/>
      <c r="L209" s="799"/>
      <c r="M209" s="747"/>
      <c r="N209" s="744"/>
      <c r="O209" s="744"/>
      <c r="P209" s="744"/>
      <c r="Q209" s="744"/>
      <c r="R209" s="744"/>
      <c r="S209" s="744"/>
      <c r="T209" s="855"/>
      <c r="U209" s="746"/>
      <c r="V209" s="746"/>
      <c r="W209" s="746"/>
      <c r="X209" s="746"/>
      <c r="Y209" s="799"/>
      <c r="Z209" s="799"/>
      <c r="AA209" s="799"/>
      <c r="AB209" s="799"/>
      <c r="AC209" s="799"/>
      <c r="AD209" s="750"/>
      <c r="AE209" s="749"/>
      <c r="AF209" s="749"/>
      <c r="AG209" s="749"/>
      <c r="AH209" s="749"/>
      <c r="AI209" s="749"/>
      <c r="AJ209" s="749"/>
      <c r="AK209" s="749"/>
      <c r="AL209" s="749"/>
      <c r="AM209" s="749"/>
      <c r="AN209" s="749"/>
      <c r="AO209" s="749"/>
      <c r="AP209" s="749"/>
      <c r="AQ209" s="749"/>
      <c r="AR209" s="749"/>
      <c r="AS209" s="749"/>
      <c r="AT209" s="749"/>
      <c r="AU209" s="749"/>
      <c r="AV209" s="749"/>
      <c r="AW209" s="749"/>
      <c r="AX209" s="749"/>
      <c r="AY209" s="749"/>
      <c r="AZ209" s="749"/>
      <c r="BA209" s="749"/>
      <c r="BB209" s="749"/>
      <c r="BC209" s="749"/>
      <c r="BD209" s="749"/>
      <c r="BE209" s="749"/>
      <c r="BF209" s="749"/>
      <c r="BG209" s="749"/>
      <c r="BH209" s="749"/>
      <c r="BI209" s="749"/>
      <c r="BJ209" s="749"/>
      <c r="BK209" s="749"/>
      <c r="BL209" s="749"/>
    </row>
    <row r="210">
      <c r="A210" s="866"/>
      <c r="B210" s="867"/>
      <c r="C210" s="866"/>
      <c r="D210" s="866"/>
      <c r="E210" s="866"/>
      <c r="F210" s="866"/>
      <c r="G210" s="866"/>
      <c r="H210" s="866"/>
      <c r="I210" s="866"/>
      <c r="J210" s="868"/>
      <c r="K210" s="868"/>
      <c r="L210" s="799"/>
      <c r="M210" s="747"/>
      <c r="N210" s="744"/>
      <c r="O210" s="744"/>
      <c r="P210" s="744"/>
      <c r="Q210" s="744"/>
      <c r="R210" s="744"/>
      <c r="S210" s="744"/>
      <c r="T210" s="855"/>
      <c r="U210" s="746"/>
      <c r="V210" s="746"/>
      <c r="W210" s="746"/>
      <c r="X210" s="746"/>
      <c r="Y210" s="799"/>
      <c r="Z210" s="799"/>
      <c r="AA210" s="799"/>
      <c r="AB210" s="799"/>
      <c r="AC210" s="799"/>
      <c r="AD210" s="750"/>
      <c r="AE210" s="749"/>
      <c r="AF210" s="749"/>
      <c r="AG210" s="749"/>
      <c r="AH210" s="749"/>
      <c r="AI210" s="749"/>
      <c r="AJ210" s="749"/>
      <c r="AK210" s="749"/>
      <c r="AL210" s="749"/>
      <c r="AM210" s="749"/>
      <c r="AN210" s="749"/>
      <c r="AO210" s="749"/>
      <c r="AP210" s="749"/>
      <c r="AQ210" s="749"/>
      <c r="AR210" s="749"/>
      <c r="AS210" s="749"/>
      <c r="AT210" s="749"/>
      <c r="AU210" s="749"/>
      <c r="AV210" s="749"/>
      <c r="AW210" s="749"/>
      <c r="AX210" s="749"/>
      <c r="AY210" s="749"/>
      <c r="AZ210" s="749"/>
      <c r="BA210" s="749"/>
      <c r="BB210" s="749"/>
      <c r="BC210" s="749"/>
      <c r="BD210" s="749"/>
      <c r="BE210" s="749"/>
      <c r="BF210" s="749"/>
      <c r="BG210" s="749"/>
      <c r="BH210" s="749"/>
      <c r="BI210" s="749"/>
      <c r="BJ210" s="749"/>
      <c r="BK210" s="749"/>
      <c r="BL210" s="749"/>
    </row>
    <row r="211">
      <c r="A211" s="866"/>
      <c r="B211" s="867"/>
      <c r="C211" s="866"/>
      <c r="D211" s="866"/>
      <c r="E211" s="866"/>
      <c r="F211" s="866"/>
      <c r="G211" s="866"/>
      <c r="H211" s="866"/>
      <c r="I211" s="866"/>
      <c r="J211" s="868"/>
      <c r="K211" s="868"/>
      <c r="L211" s="799"/>
      <c r="M211" s="747"/>
      <c r="N211" s="744"/>
      <c r="O211" s="744"/>
      <c r="P211" s="744"/>
      <c r="Q211" s="744"/>
      <c r="R211" s="744"/>
      <c r="S211" s="744"/>
      <c r="T211" s="855"/>
      <c r="U211" s="746"/>
      <c r="V211" s="746"/>
      <c r="W211" s="746"/>
      <c r="X211" s="746"/>
      <c r="Y211" s="799"/>
      <c r="Z211" s="799"/>
      <c r="AA211" s="799"/>
      <c r="AB211" s="799"/>
      <c r="AC211" s="799"/>
      <c r="AD211" s="750"/>
      <c r="AE211" s="749"/>
      <c r="AF211" s="749"/>
      <c r="AG211" s="749"/>
      <c r="AH211" s="749"/>
      <c r="AI211" s="749"/>
      <c r="AJ211" s="749"/>
      <c r="AK211" s="749"/>
      <c r="AL211" s="749"/>
      <c r="AM211" s="749"/>
      <c r="AN211" s="749"/>
      <c r="AO211" s="749"/>
      <c r="AP211" s="749"/>
      <c r="AQ211" s="749"/>
      <c r="AR211" s="749"/>
      <c r="AS211" s="749"/>
      <c r="AT211" s="749"/>
      <c r="AU211" s="749"/>
      <c r="AV211" s="749"/>
      <c r="AW211" s="749"/>
      <c r="AX211" s="749"/>
      <c r="AY211" s="749"/>
      <c r="AZ211" s="749"/>
      <c r="BA211" s="749"/>
      <c r="BB211" s="749"/>
      <c r="BC211" s="749"/>
      <c r="BD211" s="749"/>
      <c r="BE211" s="749"/>
      <c r="BF211" s="749"/>
      <c r="BG211" s="749"/>
      <c r="BH211" s="749"/>
      <c r="BI211" s="749"/>
      <c r="BJ211" s="749"/>
      <c r="BK211" s="749"/>
      <c r="BL211" s="749"/>
    </row>
    <row r="212">
      <c r="A212" s="866"/>
      <c r="B212" s="867"/>
      <c r="C212" s="866"/>
      <c r="D212" s="866"/>
      <c r="E212" s="866"/>
      <c r="F212" s="866"/>
      <c r="G212" s="866"/>
      <c r="H212" s="866"/>
      <c r="I212" s="866"/>
      <c r="J212" s="868"/>
      <c r="K212" s="868"/>
      <c r="L212" s="799"/>
      <c r="M212" s="747"/>
      <c r="N212" s="744"/>
      <c r="O212" s="744"/>
      <c r="P212" s="744"/>
      <c r="Q212" s="744"/>
      <c r="R212" s="744"/>
      <c r="S212" s="744"/>
      <c r="T212" s="855"/>
      <c r="U212" s="746"/>
      <c r="V212" s="746"/>
      <c r="W212" s="746"/>
      <c r="X212" s="746"/>
      <c r="Y212" s="799"/>
      <c r="Z212" s="799"/>
      <c r="AA212" s="799"/>
      <c r="AB212" s="799"/>
      <c r="AC212" s="799"/>
      <c r="AD212" s="750"/>
      <c r="AE212" s="749"/>
      <c r="AF212" s="749"/>
      <c r="AG212" s="749"/>
      <c r="AH212" s="749"/>
      <c r="AI212" s="749"/>
      <c r="AJ212" s="749"/>
      <c r="AK212" s="749"/>
      <c r="AL212" s="749"/>
      <c r="AM212" s="749"/>
      <c r="AN212" s="749"/>
      <c r="AO212" s="749"/>
      <c r="AP212" s="749"/>
      <c r="AQ212" s="749"/>
      <c r="AR212" s="749"/>
      <c r="AS212" s="749"/>
      <c r="AT212" s="749"/>
      <c r="AU212" s="749"/>
      <c r="AV212" s="749"/>
      <c r="AW212" s="749"/>
      <c r="AX212" s="749"/>
      <c r="AY212" s="749"/>
      <c r="AZ212" s="749"/>
      <c r="BA212" s="749"/>
      <c r="BB212" s="749"/>
      <c r="BC212" s="749"/>
      <c r="BD212" s="749"/>
      <c r="BE212" s="749"/>
      <c r="BF212" s="749"/>
      <c r="BG212" s="749"/>
      <c r="BH212" s="749"/>
      <c r="BI212" s="749"/>
      <c r="BJ212" s="749"/>
      <c r="BK212" s="749"/>
      <c r="BL212" s="749"/>
    </row>
    <row r="213">
      <c r="A213" s="866"/>
      <c r="B213" s="867"/>
      <c r="C213" s="866"/>
      <c r="D213" s="866"/>
      <c r="E213" s="866"/>
      <c r="F213" s="866"/>
      <c r="G213" s="866"/>
      <c r="H213" s="866"/>
      <c r="I213" s="866"/>
      <c r="J213" s="868"/>
      <c r="K213" s="868"/>
      <c r="L213" s="799"/>
      <c r="M213" s="747"/>
      <c r="N213" s="744"/>
      <c r="O213" s="744"/>
      <c r="P213" s="744"/>
      <c r="Q213" s="744"/>
      <c r="R213" s="744"/>
      <c r="S213" s="744"/>
      <c r="T213" s="855"/>
      <c r="U213" s="746"/>
      <c r="V213" s="746"/>
      <c r="W213" s="746"/>
      <c r="X213" s="746"/>
      <c r="Y213" s="799"/>
      <c r="Z213" s="799"/>
      <c r="AA213" s="799"/>
      <c r="AB213" s="799"/>
      <c r="AC213" s="799"/>
      <c r="AD213" s="750"/>
      <c r="AE213" s="749"/>
      <c r="AF213" s="749"/>
      <c r="AG213" s="749"/>
      <c r="AH213" s="749"/>
      <c r="AI213" s="749"/>
      <c r="AJ213" s="749"/>
      <c r="AK213" s="749"/>
      <c r="AL213" s="749"/>
      <c r="AM213" s="749"/>
      <c r="AN213" s="749"/>
      <c r="AO213" s="749"/>
      <c r="AP213" s="749"/>
      <c r="AQ213" s="749"/>
      <c r="AR213" s="749"/>
      <c r="AS213" s="749"/>
      <c r="AT213" s="749"/>
      <c r="AU213" s="749"/>
      <c r="AV213" s="749"/>
      <c r="AW213" s="749"/>
      <c r="AX213" s="749"/>
      <c r="AY213" s="749"/>
      <c r="AZ213" s="749"/>
      <c r="BA213" s="749"/>
      <c r="BB213" s="749"/>
      <c r="BC213" s="749"/>
      <c r="BD213" s="749"/>
      <c r="BE213" s="749"/>
      <c r="BF213" s="749"/>
      <c r="BG213" s="749"/>
      <c r="BH213" s="749"/>
      <c r="BI213" s="749"/>
      <c r="BJ213" s="749"/>
      <c r="BK213" s="749"/>
      <c r="BL213" s="749"/>
    </row>
    <row r="214">
      <c r="A214" s="866"/>
      <c r="B214" s="867"/>
      <c r="C214" s="866"/>
      <c r="D214" s="866"/>
      <c r="E214" s="866"/>
      <c r="F214" s="866"/>
      <c r="G214" s="866"/>
      <c r="H214" s="866"/>
      <c r="I214" s="866"/>
      <c r="J214" s="868"/>
      <c r="K214" s="868"/>
      <c r="L214" s="799"/>
      <c r="M214" s="747"/>
      <c r="N214" s="744"/>
      <c r="O214" s="744"/>
      <c r="P214" s="744"/>
      <c r="Q214" s="744"/>
      <c r="R214" s="744"/>
      <c r="S214" s="744"/>
      <c r="T214" s="855"/>
      <c r="U214" s="746"/>
      <c r="V214" s="746"/>
      <c r="W214" s="746"/>
      <c r="X214" s="746"/>
      <c r="Y214" s="799"/>
      <c r="Z214" s="799"/>
      <c r="AA214" s="799"/>
      <c r="AB214" s="799"/>
      <c r="AC214" s="799"/>
      <c r="AD214" s="750"/>
      <c r="AE214" s="749"/>
      <c r="AF214" s="749"/>
      <c r="AG214" s="749"/>
      <c r="AH214" s="749"/>
      <c r="AI214" s="749"/>
      <c r="AJ214" s="749"/>
      <c r="AK214" s="749"/>
      <c r="AL214" s="749"/>
      <c r="AM214" s="749"/>
      <c r="AN214" s="749"/>
      <c r="AO214" s="749"/>
      <c r="AP214" s="749"/>
      <c r="AQ214" s="749"/>
      <c r="AR214" s="749"/>
      <c r="AS214" s="749"/>
      <c r="AT214" s="749"/>
      <c r="AU214" s="749"/>
      <c r="AV214" s="749"/>
      <c r="AW214" s="749"/>
      <c r="AX214" s="749"/>
      <c r="AY214" s="749"/>
      <c r="AZ214" s="749"/>
      <c r="BA214" s="749"/>
      <c r="BB214" s="749"/>
      <c r="BC214" s="749"/>
      <c r="BD214" s="749"/>
      <c r="BE214" s="749"/>
      <c r="BF214" s="749"/>
      <c r="BG214" s="749"/>
      <c r="BH214" s="749"/>
      <c r="BI214" s="749"/>
      <c r="BJ214" s="749"/>
      <c r="BK214" s="749"/>
      <c r="BL214" s="749"/>
    </row>
    <row r="215">
      <c r="A215" s="866"/>
      <c r="B215" s="867"/>
      <c r="C215" s="866"/>
      <c r="D215" s="866"/>
      <c r="E215" s="866"/>
      <c r="F215" s="866"/>
      <c r="G215" s="866"/>
      <c r="H215" s="866"/>
      <c r="I215" s="866"/>
      <c r="J215" s="868"/>
      <c r="K215" s="868"/>
      <c r="L215" s="799"/>
      <c r="M215" s="747"/>
      <c r="N215" s="744"/>
      <c r="O215" s="744"/>
      <c r="P215" s="744"/>
      <c r="Q215" s="744"/>
      <c r="R215" s="744"/>
      <c r="S215" s="744"/>
      <c r="T215" s="855"/>
      <c r="U215" s="746"/>
      <c r="V215" s="746"/>
      <c r="W215" s="746"/>
      <c r="X215" s="746"/>
      <c r="Y215" s="799"/>
      <c r="Z215" s="799"/>
      <c r="AA215" s="799"/>
      <c r="AB215" s="799"/>
      <c r="AC215" s="799"/>
      <c r="AD215" s="750"/>
      <c r="AE215" s="749"/>
      <c r="AF215" s="749"/>
      <c r="AG215" s="749"/>
      <c r="AH215" s="749"/>
      <c r="AI215" s="749"/>
      <c r="AJ215" s="749"/>
      <c r="AK215" s="749"/>
      <c r="AL215" s="749"/>
      <c r="AM215" s="749"/>
      <c r="AN215" s="749"/>
      <c r="AO215" s="749"/>
      <c r="AP215" s="749"/>
      <c r="AQ215" s="749"/>
      <c r="AR215" s="749"/>
      <c r="AS215" s="749"/>
      <c r="AT215" s="749"/>
      <c r="AU215" s="749"/>
      <c r="AV215" s="749"/>
      <c r="AW215" s="749"/>
      <c r="AX215" s="749"/>
      <c r="AY215" s="749"/>
      <c r="AZ215" s="749"/>
      <c r="BA215" s="749"/>
      <c r="BB215" s="749"/>
      <c r="BC215" s="749"/>
      <c r="BD215" s="749"/>
      <c r="BE215" s="749"/>
      <c r="BF215" s="749"/>
      <c r="BG215" s="749"/>
      <c r="BH215" s="749"/>
      <c r="BI215" s="749"/>
      <c r="BJ215" s="749"/>
      <c r="BK215" s="749"/>
      <c r="BL215" s="749"/>
    </row>
    <row r="216">
      <c r="A216" s="866"/>
      <c r="B216" s="867"/>
      <c r="C216" s="866"/>
      <c r="D216" s="866"/>
      <c r="E216" s="866"/>
      <c r="F216" s="866"/>
      <c r="G216" s="866"/>
      <c r="H216" s="866"/>
      <c r="I216" s="866"/>
      <c r="J216" s="868"/>
      <c r="K216" s="868"/>
      <c r="L216" s="799"/>
      <c r="M216" s="747"/>
      <c r="N216" s="744"/>
      <c r="O216" s="744"/>
      <c r="P216" s="744"/>
      <c r="Q216" s="744"/>
      <c r="R216" s="744"/>
      <c r="S216" s="744"/>
      <c r="T216" s="855"/>
      <c r="U216" s="746"/>
      <c r="V216" s="746"/>
      <c r="W216" s="746"/>
      <c r="X216" s="746"/>
      <c r="Y216" s="799"/>
      <c r="Z216" s="799"/>
      <c r="AA216" s="799"/>
      <c r="AB216" s="799"/>
      <c r="AC216" s="799"/>
      <c r="AD216" s="750"/>
      <c r="AE216" s="749"/>
      <c r="AF216" s="749"/>
      <c r="AG216" s="749"/>
      <c r="AH216" s="749"/>
      <c r="AI216" s="749"/>
      <c r="AJ216" s="749"/>
      <c r="AK216" s="749"/>
      <c r="AL216" s="749"/>
      <c r="AM216" s="749"/>
      <c r="AN216" s="749"/>
      <c r="AO216" s="749"/>
      <c r="AP216" s="749"/>
      <c r="AQ216" s="749"/>
      <c r="AR216" s="749"/>
      <c r="AS216" s="749"/>
      <c r="AT216" s="749"/>
      <c r="AU216" s="749"/>
      <c r="AV216" s="749"/>
      <c r="AW216" s="749"/>
      <c r="AX216" s="749"/>
      <c r="AY216" s="749"/>
      <c r="AZ216" s="749"/>
      <c r="BA216" s="749"/>
      <c r="BB216" s="749"/>
      <c r="BC216" s="749"/>
      <c r="BD216" s="749"/>
      <c r="BE216" s="749"/>
      <c r="BF216" s="749"/>
      <c r="BG216" s="749"/>
      <c r="BH216" s="749"/>
      <c r="BI216" s="749"/>
      <c r="BJ216" s="749"/>
      <c r="BK216" s="749"/>
      <c r="BL216" s="749"/>
    </row>
    <row r="217">
      <c r="A217" s="866"/>
      <c r="B217" s="867"/>
      <c r="C217" s="866"/>
      <c r="D217" s="866"/>
      <c r="E217" s="866"/>
      <c r="F217" s="866"/>
      <c r="G217" s="866"/>
      <c r="H217" s="866"/>
      <c r="I217" s="866"/>
      <c r="J217" s="868"/>
      <c r="K217" s="868"/>
      <c r="L217" s="799"/>
      <c r="M217" s="747"/>
      <c r="N217" s="744"/>
      <c r="O217" s="744"/>
      <c r="P217" s="744"/>
      <c r="Q217" s="744"/>
      <c r="R217" s="744"/>
      <c r="S217" s="744"/>
      <c r="T217" s="855"/>
      <c r="U217" s="746"/>
      <c r="V217" s="746"/>
      <c r="W217" s="746"/>
      <c r="X217" s="746"/>
      <c r="Y217" s="799"/>
      <c r="Z217" s="799"/>
      <c r="AA217" s="799"/>
      <c r="AB217" s="799"/>
      <c r="AC217" s="799"/>
      <c r="AD217" s="750"/>
      <c r="AE217" s="749"/>
      <c r="AF217" s="749"/>
      <c r="AG217" s="749"/>
      <c r="AH217" s="749"/>
      <c r="AI217" s="749"/>
      <c r="AJ217" s="749"/>
      <c r="AK217" s="749"/>
      <c r="AL217" s="749"/>
      <c r="AM217" s="749"/>
      <c r="AN217" s="749"/>
      <c r="AO217" s="749"/>
      <c r="AP217" s="749"/>
      <c r="AQ217" s="749"/>
      <c r="AR217" s="749"/>
      <c r="AS217" s="749"/>
      <c r="AT217" s="749"/>
      <c r="AU217" s="749"/>
      <c r="AV217" s="749"/>
      <c r="AW217" s="749"/>
      <c r="AX217" s="749"/>
      <c r="AY217" s="749"/>
      <c r="AZ217" s="749"/>
      <c r="BA217" s="749"/>
      <c r="BB217" s="749"/>
      <c r="BC217" s="749"/>
      <c r="BD217" s="749"/>
      <c r="BE217" s="749"/>
      <c r="BF217" s="749"/>
      <c r="BG217" s="749"/>
      <c r="BH217" s="749"/>
      <c r="BI217" s="749"/>
      <c r="BJ217" s="749"/>
      <c r="BK217" s="749"/>
      <c r="BL217" s="749"/>
    </row>
    <row r="218">
      <c r="A218" s="866"/>
      <c r="B218" s="867"/>
      <c r="C218" s="866"/>
      <c r="D218" s="866"/>
      <c r="E218" s="866"/>
      <c r="F218" s="866"/>
      <c r="G218" s="866"/>
      <c r="H218" s="866"/>
      <c r="I218" s="866"/>
      <c r="J218" s="868"/>
      <c r="K218" s="868"/>
      <c r="L218" s="799"/>
      <c r="M218" s="747"/>
      <c r="N218" s="744"/>
      <c r="O218" s="744"/>
      <c r="P218" s="744"/>
      <c r="Q218" s="744"/>
      <c r="R218" s="744"/>
      <c r="S218" s="744"/>
      <c r="T218" s="855"/>
      <c r="U218" s="746"/>
      <c r="V218" s="746"/>
      <c r="W218" s="746"/>
      <c r="X218" s="746"/>
      <c r="Y218" s="799"/>
      <c r="Z218" s="799"/>
      <c r="AA218" s="799"/>
      <c r="AB218" s="799"/>
      <c r="AC218" s="799"/>
      <c r="AD218" s="750"/>
      <c r="AE218" s="749"/>
      <c r="AF218" s="749"/>
      <c r="AG218" s="749"/>
      <c r="AH218" s="749"/>
      <c r="AI218" s="749"/>
      <c r="AJ218" s="749"/>
      <c r="AK218" s="749"/>
      <c r="AL218" s="749"/>
      <c r="AM218" s="749"/>
      <c r="AN218" s="749"/>
      <c r="AO218" s="749"/>
      <c r="AP218" s="749"/>
      <c r="AQ218" s="749"/>
      <c r="AR218" s="749"/>
      <c r="AS218" s="749"/>
      <c r="AT218" s="749"/>
      <c r="AU218" s="749"/>
      <c r="AV218" s="749"/>
      <c r="AW218" s="749"/>
      <c r="AX218" s="749"/>
      <c r="AY218" s="749"/>
      <c r="AZ218" s="749"/>
      <c r="BA218" s="749"/>
      <c r="BB218" s="749"/>
      <c r="BC218" s="749"/>
      <c r="BD218" s="749"/>
      <c r="BE218" s="749"/>
      <c r="BF218" s="749"/>
      <c r="BG218" s="749"/>
      <c r="BH218" s="749"/>
      <c r="BI218" s="749"/>
      <c r="BJ218" s="749"/>
      <c r="BK218" s="749"/>
      <c r="BL218" s="749"/>
    </row>
    <row r="219">
      <c r="A219" s="866"/>
      <c r="B219" s="867"/>
      <c r="C219" s="866"/>
      <c r="D219" s="866"/>
      <c r="E219" s="866"/>
      <c r="F219" s="866"/>
      <c r="G219" s="866"/>
      <c r="H219" s="866"/>
      <c r="I219" s="866"/>
      <c r="J219" s="868"/>
      <c r="K219" s="868"/>
      <c r="L219" s="799"/>
      <c r="M219" s="747"/>
      <c r="N219" s="744"/>
      <c r="O219" s="744"/>
      <c r="P219" s="744"/>
      <c r="Q219" s="744"/>
      <c r="R219" s="744"/>
      <c r="S219" s="744"/>
      <c r="T219" s="855"/>
      <c r="U219" s="746"/>
      <c r="V219" s="746"/>
      <c r="W219" s="746"/>
      <c r="X219" s="746"/>
      <c r="Y219" s="799"/>
      <c r="Z219" s="799"/>
      <c r="AA219" s="799"/>
      <c r="AB219" s="799"/>
      <c r="AC219" s="799"/>
      <c r="AD219" s="750"/>
      <c r="AE219" s="749"/>
      <c r="AF219" s="749"/>
      <c r="AG219" s="749"/>
      <c r="AH219" s="749"/>
      <c r="AI219" s="749"/>
      <c r="AJ219" s="749"/>
      <c r="AK219" s="749"/>
      <c r="AL219" s="749"/>
      <c r="AM219" s="749"/>
      <c r="AN219" s="749"/>
      <c r="AO219" s="749"/>
      <c r="AP219" s="749"/>
      <c r="AQ219" s="749"/>
      <c r="AR219" s="749"/>
      <c r="AS219" s="749"/>
      <c r="AT219" s="749"/>
      <c r="AU219" s="749"/>
      <c r="AV219" s="749"/>
      <c r="AW219" s="749"/>
      <c r="AX219" s="749"/>
      <c r="AY219" s="749"/>
      <c r="AZ219" s="749"/>
      <c r="BA219" s="749"/>
      <c r="BB219" s="749"/>
      <c r="BC219" s="749"/>
      <c r="BD219" s="749"/>
      <c r="BE219" s="749"/>
      <c r="BF219" s="749"/>
      <c r="BG219" s="749"/>
      <c r="BH219" s="749"/>
      <c r="BI219" s="749"/>
      <c r="BJ219" s="749"/>
      <c r="BK219" s="749"/>
      <c r="BL219" s="749"/>
    </row>
    <row r="220">
      <c r="A220" s="866"/>
      <c r="B220" s="867"/>
      <c r="C220" s="866"/>
      <c r="D220" s="866"/>
      <c r="E220" s="866"/>
      <c r="F220" s="866"/>
      <c r="G220" s="866"/>
      <c r="H220" s="866"/>
      <c r="I220" s="866"/>
      <c r="J220" s="868"/>
      <c r="K220" s="868"/>
      <c r="L220" s="799"/>
      <c r="M220" s="747"/>
      <c r="N220" s="744"/>
      <c r="O220" s="744"/>
      <c r="P220" s="744"/>
      <c r="Q220" s="744"/>
      <c r="R220" s="744"/>
      <c r="S220" s="744"/>
      <c r="T220" s="855"/>
      <c r="U220" s="746"/>
      <c r="V220" s="746"/>
      <c r="W220" s="746"/>
      <c r="X220" s="746"/>
      <c r="Y220" s="799"/>
      <c r="Z220" s="799"/>
      <c r="AA220" s="799"/>
      <c r="AB220" s="799"/>
      <c r="AC220" s="799"/>
      <c r="AD220" s="750"/>
      <c r="AE220" s="749"/>
      <c r="AF220" s="749"/>
      <c r="AG220" s="749"/>
      <c r="AH220" s="749"/>
      <c r="AI220" s="749"/>
      <c r="AJ220" s="749"/>
      <c r="AK220" s="749"/>
      <c r="AL220" s="749"/>
      <c r="AM220" s="749"/>
      <c r="AN220" s="749"/>
      <c r="AO220" s="749"/>
      <c r="AP220" s="749"/>
      <c r="AQ220" s="749"/>
      <c r="AR220" s="749"/>
      <c r="AS220" s="749"/>
      <c r="AT220" s="749"/>
      <c r="AU220" s="749"/>
      <c r="AV220" s="749"/>
      <c r="AW220" s="749"/>
      <c r="AX220" s="749"/>
      <c r="AY220" s="749"/>
      <c r="AZ220" s="749"/>
      <c r="BA220" s="749"/>
      <c r="BB220" s="749"/>
      <c r="BC220" s="749"/>
      <c r="BD220" s="749"/>
      <c r="BE220" s="749"/>
      <c r="BF220" s="749"/>
      <c r="BG220" s="749"/>
      <c r="BH220" s="749"/>
      <c r="BI220" s="749"/>
      <c r="BJ220" s="749"/>
      <c r="BK220" s="749"/>
      <c r="BL220" s="749"/>
    </row>
    <row r="221">
      <c r="A221" s="866"/>
      <c r="B221" s="867"/>
      <c r="C221" s="866"/>
      <c r="D221" s="866"/>
      <c r="E221" s="866"/>
      <c r="F221" s="866"/>
      <c r="G221" s="866"/>
      <c r="H221" s="866"/>
      <c r="I221" s="866"/>
      <c r="J221" s="868"/>
      <c r="K221" s="868"/>
      <c r="L221" s="799"/>
      <c r="M221" s="747"/>
      <c r="N221" s="744"/>
      <c r="O221" s="744"/>
      <c r="P221" s="744"/>
      <c r="Q221" s="744"/>
      <c r="R221" s="744"/>
      <c r="S221" s="744"/>
      <c r="T221" s="855"/>
      <c r="U221" s="746"/>
      <c r="V221" s="746"/>
      <c r="W221" s="746"/>
      <c r="X221" s="746"/>
      <c r="Y221" s="799"/>
      <c r="Z221" s="799"/>
      <c r="AA221" s="799"/>
      <c r="AB221" s="799"/>
      <c r="AC221" s="799"/>
      <c r="AD221" s="750"/>
      <c r="AE221" s="749"/>
      <c r="AF221" s="749"/>
      <c r="AG221" s="749"/>
      <c r="AH221" s="749"/>
      <c r="AI221" s="749"/>
      <c r="AJ221" s="749"/>
      <c r="AK221" s="749"/>
      <c r="AL221" s="749"/>
      <c r="AM221" s="749"/>
      <c r="AN221" s="749"/>
      <c r="AO221" s="749"/>
      <c r="AP221" s="749"/>
      <c r="AQ221" s="749"/>
      <c r="AR221" s="749"/>
      <c r="AS221" s="749"/>
      <c r="AT221" s="749"/>
      <c r="AU221" s="749"/>
      <c r="AV221" s="749"/>
      <c r="AW221" s="749"/>
      <c r="AX221" s="749"/>
      <c r="AY221" s="749"/>
      <c r="AZ221" s="749"/>
      <c r="BA221" s="749"/>
      <c r="BB221" s="749"/>
      <c r="BC221" s="749"/>
      <c r="BD221" s="749"/>
      <c r="BE221" s="749"/>
      <c r="BF221" s="749"/>
      <c r="BG221" s="749"/>
      <c r="BH221" s="749"/>
      <c r="BI221" s="749"/>
      <c r="BJ221" s="749"/>
      <c r="BK221" s="749"/>
      <c r="BL221" s="749"/>
    </row>
    <row r="222">
      <c r="A222" s="866"/>
      <c r="B222" s="867"/>
      <c r="C222" s="866"/>
      <c r="D222" s="866"/>
      <c r="E222" s="866"/>
      <c r="F222" s="866"/>
      <c r="G222" s="866"/>
      <c r="H222" s="866"/>
      <c r="I222" s="866"/>
      <c r="J222" s="868"/>
      <c r="K222" s="868"/>
      <c r="L222" s="799"/>
      <c r="M222" s="747"/>
      <c r="N222" s="744"/>
      <c r="O222" s="744"/>
      <c r="P222" s="744"/>
      <c r="Q222" s="744"/>
      <c r="R222" s="744"/>
      <c r="S222" s="744"/>
      <c r="T222" s="855"/>
      <c r="U222" s="746"/>
      <c r="V222" s="746"/>
      <c r="W222" s="746"/>
      <c r="X222" s="746"/>
      <c r="Y222" s="799"/>
      <c r="Z222" s="799"/>
      <c r="AA222" s="799"/>
      <c r="AB222" s="799"/>
      <c r="AC222" s="799"/>
      <c r="AD222" s="750"/>
      <c r="AE222" s="749"/>
      <c r="AF222" s="749"/>
      <c r="AG222" s="749"/>
      <c r="AH222" s="749"/>
      <c r="AI222" s="749"/>
      <c r="AJ222" s="749"/>
      <c r="AK222" s="749"/>
      <c r="AL222" s="749"/>
      <c r="AM222" s="749"/>
      <c r="AN222" s="749"/>
      <c r="AO222" s="749"/>
      <c r="AP222" s="749"/>
      <c r="AQ222" s="749"/>
      <c r="AR222" s="749"/>
      <c r="AS222" s="749"/>
      <c r="AT222" s="749"/>
      <c r="AU222" s="749"/>
      <c r="AV222" s="749"/>
      <c r="AW222" s="749"/>
      <c r="AX222" s="749"/>
      <c r="AY222" s="749"/>
      <c r="AZ222" s="749"/>
      <c r="BA222" s="749"/>
      <c r="BB222" s="749"/>
      <c r="BC222" s="749"/>
      <c r="BD222" s="749"/>
      <c r="BE222" s="749"/>
      <c r="BF222" s="749"/>
      <c r="BG222" s="749"/>
      <c r="BH222" s="749"/>
      <c r="BI222" s="749"/>
      <c r="BJ222" s="749"/>
      <c r="BK222" s="749"/>
      <c r="BL222" s="749"/>
    </row>
    <row r="223">
      <c r="A223" s="866"/>
      <c r="B223" s="867"/>
      <c r="C223" s="866"/>
      <c r="D223" s="866"/>
      <c r="E223" s="866"/>
      <c r="F223" s="866"/>
      <c r="G223" s="866"/>
      <c r="H223" s="866"/>
      <c r="I223" s="866"/>
      <c r="J223" s="868"/>
      <c r="K223" s="868"/>
      <c r="L223" s="799"/>
      <c r="M223" s="747"/>
      <c r="N223" s="744"/>
      <c r="O223" s="744"/>
      <c r="P223" s="744"/>
      <c r="Q223" s="744"/>
      <c r="R223" s="744"/>
      <c r="S223" s="744"/>
      <c r="T223" s="855"/>
      <c r="U223" s="746"/>
      <c r="V223" s="746"/>
      <c r="W223" s="746"/>
      <c r="X223" s="746"/>
      <c r="Y223" s="799"/>
      <c r="Z223" s="799"/>
      <c r="AA223" s="799"/>
      <c r="AB223" s="799"/>
      <c r="AC223" s="799"/>
      <c r="AD223" s="750"/>
      <c r="AE223" s="749"/>
      <c r="AF223" s="749"/>
      <c r="AG223" s="749"/>
      <c r="AH223" s="749"/>
      <c r="AI223" s="749"/>
      <c r="AJ223" s="749"/>
      <c r="AK223" s="749"/>
      <c r="AL223" s="749"/>
      <c r="AM223" s="749"/>
      <c r="AN223" s="749"/>
      <c r="AO223" s="749"/>
      <c r="AP223" s="749"/>
      <c r="AQ223" s="749"/>
      <c r="AR223" s="749"/>
      <c r="AS223" s="749"/>
      <c r="AT223" s="749"/>
      <c r="AU223" s="749"/>
      <c r="AV223" s="749"/>
      <c r="AW223" s="749"/>
      <c r="AX223" s="749"/>
      <c r="AY223" s="749"/>
      <c r="AZ223" s="749"/>
      <c r="BA223" s="749"/>
      <c r="BB223" s="749"/>
      <c r="BC223" s="749"/>
      <c r="BD223" s="749"/>
      <c r="BE223" s="749"/>
      <c r="BF223" s="749"/>
      <c r="BG223" s="749"/>
      <c r="BH223" s="749"/>
      <c r="BI223" s="749"/>
      <c r="BJ223" s="749"/>
      <c r="BK223" s="749"/>
      <c r="BL223" s="749"/>
    </row>
    <row r="224">
      <c r="A224" s="866"/>
      <c r="B224" s="867"/>
      <c r="C224" s="866"/>
      <c r="D224" s="866"/>
      <c r="E224" s="866"/>
      <c r="F224" s="866"/>
      <c r="G224" s="866"/>
      <c r="H224" s="866"/>
      <c r="I224" s="866"/>
      <c r="J224" s="868"/>
      <c r="K224" s="868"/>
      <c r="L224" s="799"/>
      <c r="M224" s="747"/>
      <c r="N224" s="744"/>
      <c r="O224" s="744"/>
      <c r="P224" s="744"/>
      <c r="Q224" s="744"/>
      <c r="R224" s="744"/>
      <c r="S224" s="744"/>
      <c r="T224" s="855"/>
      <c r="U224" s="746"/>
      <c r="V224" s="746"/>
      <c r="W224" s="746"/>
      <c r="X224" s="746"/>
      <c r="Y224" s="799"/>
      <c r="Z224" s="799"/>
      <c r="AA224" s="799"/>
      <c r="AB224" s="799"/>
      <c r="AC224" s="799"/>
      <c r="AD224" s="750"/>
      <c r="AE224" s="749"/>
      <c r="AF224" s="749"/>
      <c r="AG224" s="749"/>
      <c r="AH224" s="749"/>
      <c r="AI224" s="749"/>
      <c r="AJ224" s="749"/>
      <c r="AK224" s="749"/>
      <c r="AL224" s="749"/>
      <c r="AM224" s="749"/>
      <c r="AN224" s="749"/>
      <c r="AO224" s="749"/>
      <c r="AP224" s="749"/>
      <c r="AQ224" s="749"/>
      <c r="AR224" s="749"/>
      <c r="AS224" s="749"/>
      <c r="AT224" s="749"/>
      <c r="AU224" s="749"/>
      <c r="AV224" s="749"/>
      <c r="AW224" s="749"/>
      <c r="AX224" s="749"/>
      <c r="AY224" s="749"/>
      <c r="AZ224" s="749"/>
      <c r="BA224" s="749"/>
      <c r="BB224" s="749"/>
      <c r="BC224" s="749"/>
      <c r="BD224" s="749"/>
      <c r="BE224" s="749"/>
      <c r="BF224" s="749"/>
      <c r="BG224" s="749"/>
      <c r="BH224" s="749"/>
      <c r="BI224" s="749"/>
      <c r="BJ224" s="749"/>
      <c r="BK224" s="749"/>
      <c r="BL224" s="749"/>
    </row>
    <row r="225">
      <c r="A225" s="866"/>
      <c r="B225" s="867"/>
      <c r="C225" s="866"/>
      <c r="D225" s="866"/>
      <c r="E225" s="866"/>
      <c r="F225" s="866"/>
      <c r="G225" s="866"/>
      <c r="H225" s="866"/>
      <c r="I225" s="866"/>
      <c r="J225" s="868"/>
      <c r="K225" s="868"/>
      <c r="L225" s="799"/>
      <c r="M225" s="747"/>
      <c r="N225" s="744"/>
      <c r="O225" s="744"/>
      <c r="P225" s="744"/>
      <c r="Q225" s="744"/>
      <c r="R225" s="744"/>
      <c r="S225" s="744"/>
      <c r="T225" s="855"/>
      <c r="U225" s="746"/>
      <c r="V225" s="746"/>
      <c r="W225" s="746"/>
      <c r="X225" s="746"/>
      <c r="Y225" s="799"/>
      <c r="Z225" s="799"/>
      <c r="AA225" s="799"/>
      <c r="AB225" s="799"/>
      <c r="AC225" s="799"/>
      <c r="AD225" s="750"/>
      <c r="AE225" s="749"/>
      <c r="AF225" s="749"/>
      <c r="AG225" s="749"/>
      <c r="AH225" s="749"/>
      <c r="AI225" s="749"/>
      <c r="AJ225" s="749"/>
      <c r="AK225" s="749"/>
      <c r="AL225" s="749"/>
      <c r="AM225" s="749"/>
      <c r="AN225" s="749"/>
      <c r="AO225" s="749"/>
      <c r="AP225" s="749"/>
      <c r="AQ225" s="749"/>
      <c r="AR225" s="749"/>
      <c r="AS225" s="749"/>
      <c r="AT225" s="749"/>
      <c r="AU225" s="749"/>
      <c r="AV225" s="749"/>
      <c r="AW225" s="749"/>
      <c r="AX225" s="749"/>
      <c r="AY225" s="749"/>
      <c r="AZ225" s="749"/>
      <c r="BA225" s="749"/>
      <c r="BB225" s="749"/>
      <c r="BC225" s="749"/>
      <c r="BD225" s="749"/>
      <c r="BE225" s="749"/>
      <c r="BF225" s="749"/>
      <c r="BG225" s="749"/>
      <c r="BH225" s="749"/>
      <c r="BI225" s="749"/>
      <c r="BJ225" s="749"/>
      <c r="BK225" s="749"/>
      <c r="BL225" s="749"/>
    </row>
    <row r="226">
      <c r="A226" s="866"/>
      <c r="B226" s="867"/>
      <c r="C226" s="866"/>
      <c r="D226" s="866"/>
      <c r="E226" s="866"/>
      <c r="F226" s="866"/>
      <c r="G226" s="866"/>
      <c r="H226" s="866"/>
      <c r="I226" s="866"/>
      <c r="J226" s="868"/>
      <c r="K226" s="868"/>
      <c r="L226" s="799"/>
      <c r="M226" s="747"/>
      <c r="N226" s="744"/>
      <c r="O226" s="744"/>
      <c r="P226" s="744"/>
      <c r="Q226" s="744"/>
      <c r="R226" s="744"/>
      <c r="S226" s="744"/>
      <c r="T226" s="855"/>
      <c r="U226" s="746"/>
      <c r="V226" s="746"/>
      <c r="W226" s="746"/>
      <c r="X226" s="746"/>
      <c r="Y226" s="799"/>
      <c r="Z226" s="799"/>
      <c r="AA226" s="799"/>
      <c r="AB226" s="799"/>
      <c r="AC226" s="799"/>
      <c r="AD226" s="750"/>
      <c r="AE226" s="749"/>
      <c r="AF226" s="749"/>
      <c r="AG226" s="749"/>
      <c r="AH226" s="749"/>
      <c r="AI226" s="749"/>
      <c r="AJ226" s="749"/>
      <c r="AK226" s="749"/>
      <c r="AL226" s="749"/>
      <c r="AM226" s="749"/>
      <c r="AN226" s="749"/>
      <c r="AO226" s="749"/>
      <c r="AP226" s="749"/>
      <c r="AQ226" s="749"/>
      <c r="AR226" s="749"/>
      <c r="AS226" s="749"/>
      <c r="AT226" s="749"/>
      <c r="AU226" s="749"/>
      <c r="AV226" s="749"/>
      <c r="AW226" s="749"/>
      <c r="AX226" s="749"/>
      <c r="AY226" s="749"/>
      <c r="AZ226" s="749"/>
      <c r="BA226" s="749"/>
      <c r="BB226" s="749"/>
      <c r="BC226" s="749"/>
      <c r="BD226" s="749"/>
      <c r="BE226" s="749"/>
      <c r="BF226" s="749"/>
      <c r="BG226" s="749"/>
      <c r="BH226" s="749"/>
      <c r="BI226" s="749"/>
      <c r="BJ226" s="749"/>
      <c r="BK226" s="749"/>
      <c r="BL226" s="749"/>
    </row>
    <row r="227">
      <c r="A227" s="866"/>
      <c r="B227" s="867"/>
      <c r="C227" s="866"/>
      <c r="D227" s="866"/>
      <c r="E227" s="866"/>
      <c r="F227" s="866"/>
      <c r="G227" s="866"/>
      <c r="H227" s="866"/>
      <c r="I227" s="866"/>
      <c r="J227" s="868"/>
      <c r="K227" s="868"/>
      <c r="L227" s="799"/>
      <c r="M227" s="747"/>
      <c r="N227" s="744"/>
      <c r="O227" s="744"/>
      <c r="P227" s="744"/>
      <c r="Q227" s="744"/>
      <c r="R227" s="744"/>
      <c r="S227" s="744"/>
      <c r="T227" s="855"/>
      <c r="U227" s="746"/>
      <c r="V227" s="746"/>
      <c r="W227" s="746"/>
      <c r="X227" s="746"/>
      <c r="Y227" s="799"/>
      <c r="Z227" s="799"/>
      <c r="AA227" s="799"/>
      <c r="AB227" s="799"/>
      <c r="AC227" s="799"/>
      <c r="AD227" s="750"/>
      <c r="AE227" s="749"/>
      <c r="AF227" s="749"/>
      <c r="AG227" s="749"/>
      <c r="AH227" s="749"/>
      <c r="AI227" s="749"/>
      <c r="AJ227" s="749"/>
      <c r="AK227" s="749"/>
      <c r="AL227" s="749"/>
      <c r="AM227" s="749"/>
      <c r="AN227" s="749"/>
      <c r="AO227" s="749"/>
      <c r="AP227" s="749"/>
      <c r="AQ227" s="749"/>
      <c r="AR227" s="749"/>
      <c r="AS227" s="749"/>
      <c r="AT227" s="749"/>
      <c r="AU227" s="749"/>
      <c r="AV227" s="749"/>
      <c r="AW227" s="749"/>
      <c r="AX227" s="749"/>
      <c r="AY227" s="749"/>
      <c r="AZ227" s="749"/>
      <c r="BA227" s="749"/>
      <c r="BB227" s="749"/>
      <c r="BC227" s="749"/>
      <c r="BD227" s="749"/>
      <c r="BE227" s="749"/>
      <c r="BF227" s="749"/>
      <c r="BG227" s="749"/>
      <c r="BH227" s="749"/>
      <c r="BI227" s="749"/>
      <c r="BJ227" s="749"/>
      <c r="BK227" s="749"/>
      <c r="BL227" s="749"/>
    </row>
    <row r="228">
      <c r="A228" s="866"/>
      <c r="B228" s="867"/>
      <c r="C228" s="866"/>
      <c r="D228" s="866"/>
      <c r="E228" s="866"/>
      <c r="F228" s="866"/>
      <c r="G228" s="866"/>
      <c r="H228" s="866"/>
      <c r="I228" s="866"/>
      <c r="J228" s="868"/>
      <c r="K228" s="868"/>
      <c r="L228" s="799"/>
      <c r="M228" s="747"/>
      <c r="N228" s="744"/>
      <c r="O228" s="744"/>
      <c r="P228" s="744"/>
      <c r="Q228" s="744"/>
      <c r="R228" s="744"/>
      <c r="S228" s="744"/>
      <c r="T228" s="855"/>
      <c r="U228" s="746"/>
      <c r="V228" s="746"/>
      <c r="W228" s="746"/>
      <c r="X228" s="746"/>
      <c r="Y228" s="799"/>
      <c r="Z228" s="799"/>
      <c r="AA228" s="799"/>
      <c r="AB228" s="799"/>
      <c r="AC228" s="799"/>
      <c r="AD228" s="750"/>
      <c r="AE228" s="749"/>
      <c r="AF228" s="749"/>
      <c r="AG228" s="749"/>
      <c r="AH228" s="749"/>
      <c r="AI228" s="749"/>
      <c r="AJ228" s="749"/>
      <c r="AK228" s="749"/>
      <c r="AL228" s="749"/>
      <c r="AM228" s="749"/>
      <c r="AN228" s="749"/>
      <c r="AO228" s="749"/>
      <c r="AP228" s="749"/>
      <c r="AQ228" s="749"/>
      <c r="AR228" s="749"/>
      <c r="AS228" s="749"/>
      <c r="AT228" s="749"/>
      <c r="AU228" s="749"/>
      <c r="AV228" s="749"/>
      <c r="AW228" s="749"/>
      <c r="AX228" s="749"/>
      <c r="AY228" s="749"/>
      <c r="AZ228" s="749"/>
      <c r="BA228" s="749"/>
      <c r="BB228" s="749"/>
      <c r="BC228" s="749"/>
      <c r="BD228" s="749"/>
      <c r="BE228" s="749"/>
      <c r="BF228" s="749"/>
      <c r="BG228" s="749"/>
      <c r="BH228" s="749"/>
      <c r="BI228" s="749"/>
      <c r="BJ228" s="749"/>
      <c r="BK228" s="749"/>
      <c r="BL228" s="749"/>
    </row>
    <row r="229">
      <c r="A229" s="866"/>
      <c r="B229" s="867"/>
      <c r="C229" s="866"/>
      <c r="D229" s="866"/>
      <c r="E229" s="866"/>
      <c r="F229" s="866"/>
      <c r="G229" s="866"/>
      <c r="H229" s="866"/>
      <c r="I229" s="866"/>
      <c r="J229" s="868"/>
      <c r="K229" s="868"/>
      <c r="L229" s="799"/>
      <c r="M229" s="747"/>
      <c r="N229" s="744"/>
      <c r="O229" s="744"/>
      <c r="P229" s="744"/>
      <c r="Q229" s="744"/>
      <c r="R229" s="744"/>
      <c r="S229" s="744"/>
      <c r="T229" s="855"/>
      <c r="U229" s="746"/>
      <c r="V229" s="746"/>
      <c r="W229" s="746"/>
      <c r="X229" s="746"/>
      <c r="Y229" s="799"/>
      <c r="Z229" s="799"/>
      <c r="AA229" s="799"/>
      <c r="AB229" s="799"/>
      <c r="AC229" s="799"/>
      <c r="AD229" s="750"/>
      <c r="AE229" s="749"/>
      <c r="AF229" s="749"/>
      <c r="AG229" s="749"/>
      <c r="AH229" s="749"/>
      <c r="AI229" s="749"/>
      <c r="AJ229" s="749"/>
      <c r="AK229" s="749"/>
      <c r="AL229" s="749"/>
      <c r="AM229" s="749"/>
      <c r="AN229" s="749"/>
      <c r="AO229" s="749"/>
      <c r="AP229" s="749"/>
      <c r="AQ229" s="749"/>
      <c r="AR229" s="749"/>
      <c r="AS229" s="749"/>
      <c r="AT229" s="749"/>
      <c r="AU229" s="749"/>
      <c r="AV229" s="749"/>
      <c r="AW229" s="749"/>
      <c r="AX229" s="749"/>
      <c r="AY229" s="749"/>
      <c r="AZ229" s="749"/>
      <c r="BA229" s="749"/>
      <c r="BB229" s="749"/>
      <c r="BC229" s="749"/>
      <c r="BD229" s="749"/>
      <c r="BE229" s="749"/>
      <c r="BF229" s="749"/>
      <c r="BG229" s="749"/>
      <c r="BH229" s="749"/>
      <c r="BI229" s="749"/>
      <c r="BJ229" s="749"/>
      <c r="BK229" s="749"/>
      <c r="BL229" s="749"/>
    </row>
    <row r="230">
      <c r="A230" s="866"/>
      <c r="B230" s="867"/>
      <c r="C230" s="866"/>
      <c r="D230" s="866"/>
      <c r="E230" s="866"/>
      <c r="F230" s="866"/>
      <c r="G230" s="866"/>
      <c r="H230" s="866"/>
      <c r="I230" s="866"/>
      <c r="J230" s="868"/>
      <c r="K230" s="868"/>
      <c r="L230" s="799"/>
      <c r="M230" s="747"/>
      <c r="N230" s="744"/>
      <c r="O230" s="744"/>
      <c r="P230" s="744"/>
      <c r="Q230" s="744"/>
      <c r="R230" s="744"/>
      <c r="S230" s="744"/>
      <c r="T230" s="855"/>
      <c r="U230" s="746"/>
      <c r="V230" s="746"/>
      <c r="W230" s="746"/>
      <c r="X230" s="746"/>
      <c r="Y230" s="799"/>
      <c r="Z230" s="799"/>
      <c r="AA230" s="799"/>
      <c r="AB230" s="799"/>
      <c r="AC230" s="799"/>
      <c r="AD230" s="750"/>
      <c r="AE230" s="749"/>
      <c r="AF230" s="749"/>
      <c r="AG230" s="749"/>
      <c r="AH230" s="749"/>
      <c r="AI230" s="749"/>
      <c r="AJ230" s="749"/>
      <c r="AK230" s="749"/>
      <c r="AL230" s="749"/>
      <c r="AM230" s="749"/>
      <c r="AN230" s="749"/>
      <c r="AO230" s="749"/>
      <c r="AP230" s="749"/>
      <c r="AQ230" s="749"/>
      <c r="AR230" s="749"/>
      <c r="AS230" s="749"/>
      <c r="AT230" s="749"/>
      <c r="AU230" s="749"/>
      <c r="AV230" s="749"/>
      <c r="AW230" s="749"/>
      <c r="AX230" s="749"/>
      <c r="AY230" s="749"/>
      <c r="AZ230" s="749"/>
      <c r="BA230" s="749"/>
      <c r="BB230" s="749"/>
      <c r="BC230" s="749"/>
      <c r="BD230" s="749"/>
      <c r="BE230" s="749"/>
      <c r="BF230" s="749"/>
      <c r="BG230" s="749"/>
      <c r="BH230" s="749"/>
      <c r="BI230" s="749"/>
      <c r="BJ230" s="749"/>
      <c r="BK230" s="749"/>
      <c r="BL230" s="749"/>
    </row>
    <row r="231">
      <c r="A231" s="866"/>
      <c r="B231" s="867"/>
      <c r="C231" s="866"/>
      <c r="D231" s="866"/>
      <c r="E231" s="866"/>
      <c r="F231" s="866"/>
      <c r="G231" s="866"/>
      <c r="H231" s="866"/>
      <c r="I231" s="866"/>
      <c r="J231" s="868"/>
      <c r="K231" s="868"/>
      <c r="L231" s="799"/>
      <c r="M231" s="747"/>
      <c r="N231" s="744"/>
      <c r="O231" s="744"/>
      <c r="P231" s="744"/>
      <c r="Q231" s="744"/>
      <c r="R231" s="744"/>
      <c r="S231" s="744"/>
      <c r="T231" s="855"/>
      <c r="U231" s="746"/>
      <c r="V231" s="746"/>
      <c r="W231" s="746"/>
      <c r="X231" s="746"/>
      <c r="Y231" s="799"/>
      <c r="Z231" s="799"/>
      <c r="AA231" s="799"/>
      <c r="AB231" s="799"/>
      <c r="AC231" s="799"/>
      <c r="AD231" s="750"/>
      <c r="AE231" s="749"/>
      <c r="AF231" s="749"/>
      <c r="AG231" s="749"/>
      <c r="AH231" s="749"/>
      <c r="AI231" s="749"/>
      <c r="AJ231" s="749"/>
      <c r="AK231" s="749"/>
      <c r="AL231" s="749"/>
      <c r="AM231" s="749"/>
      <c r="AN231" s="749"/>
      <c r="AO231" s="749"/>
      <c r="AP231" s="749"/>
      <c r="AQ231" s="749"/>
      <c r="AR231" s="749"/>
      <c r="AS231" s="749"/>
      <c r="AT231" s="749"/>
      <c r="AU231" s="749"/>
      <c r="AV231" s="749"/>
      <c r="AW231" s="749"/>
      <c r="AX231" s="749"/>
      <c r="AY231" s="749"/>
      <c r="AZ231" s="749"/>
      <c r="BA231" s="749"/>
      <c r="BB231" s="749"/>
      <c r="BC231" s="749"/>
      <c r="BD231" s="749"/>
      <c r="BE231" s="749"/>
      <c r="BF231" s="749"/>
      <c r="BG231" s="749"/>
      <c r="BH231" s="749"/>
      <c r="BI231" s="749"/>
      <c r="BJ231" s="749"/>
      <c r="BK231" s="749"/>
      <c r="BL231" s="749"/>
    </row>
    <row r="232">
      <c r="A232" s="866"/>
      <c r="B232" s="867"/>
      <c r="C232" s="866"/>
      <c r="D232" s="866"/>
      <c r="E232" s="866"/>
      <c r="F232" s="866"/>
      <c r="G232" s="866"/>
      <c r="H232" s="866"/>
      <c r="I232" s="866"/>
      <c r="J232" s="868"/>
      <c r="K232" s="868"/>
      <c r="L232" s="799"/>
      <c r="M232" s="747"/>
      <c r="N232" s="744"/>
      <c r="O232" s="744"/>
      <c r="P232" s="744"/>
      <c r="Q232" s="744"/>
      <c r="R232" s="744"/>
      <c r="S232" s="744"/>
      <c r="T232" s="855"/>
      <c r="U232" s="746"/>
      <c r="V232" s="746"/>
      <c r="W232" s="746"/>
      <c r="X232" s="746"/>
      <c r="Y232" s="799"/>
      <c r="Z232" s="799"/>
      <c r="AA232" s="799"/>
      <c r="AB232" s="799"/>
      <c r="AC232" s="799"/>
      <c r="AD232" s="750"/>
      <c r="AE232" s="749"/>
      <c r="AF232" s="749"/>
      <c r="AG232" s="749"/>
      <c r="AH232" s="749"/>
      <c r="AI232" s="749"/>
      <c r="AJ232" s="749"/>
      <c r="AK232" s="749"/>
      <c r="AL232" s="749"/>
      <c r="AM232" s="749"/>
      <c r="AN232" s="749"/>
      <c r="AO232" s="749"/>
      <c r="AP232" s="749"/>
      <c r="AQ232" s="749"/>
      <c r="AR232" s="749"/>
      <c r="AS232" s="749"/>
      <c r="AT232" s="749"/>
      <c r="AU232" s="749"/>
      <c r="AV232" s="749"/>
      <c r="AW232" s="749"/>
      <c r="AX232" s="749"/>
      <c r="AY232" s="749"/>
      <c r="AZ232" s="749"/>
      <c r="BA232" s="749"/>
      <c r="BB232" s="749"/>
      <c r="BC232" s="749"/>
      <c r="BD232" s="749"/>
      <c r="BE232" s="749"/>
      <c r="BF232" s="749"/>
      <c r="BG232" s="749"/>
      <c r="BH232" s="749"/>
      <c r="BI232" s="749"/>
      <c r="BJ232" s="749"/>
      <c r="BK232" s="749"/>
      <c r="BL232" s="749"/>
    </row>
    <row r="233">
      <c r="A233" s="866"/>
      <c r="B233" s="867"/>
      <c r="C233" s="866"/>
      <c r="D233" s="866"/>
      <c r="E233" s="866"/>
      <c r="F233" s="866"/>
      <c r="G233" s="866"/>
      <c r="H233" s="866"/>
      <c r="I233" s="866"/>
      <c r="J233" s="868"/>
      <c r="K233" s="868"/>
      <c r="L233" s="799"/>
      <c r="M233" s="747"/>
      <c r="N233" s="744"/>
      <c r="O233" s="744"/>
      <c r="P233" s="744"/>
      <c r="Q233" s="744"/>
      <c r="R233" s="744"/>
      <c r="S233" s="744"/>
      <c r="T233" s="855"/>
      <c r="U233" s="746"/>
      <c r="V233" s="746"/>
      <c r="W233" s="746"/>
      <c r="X233" s="746"/>
      <c r="Y233" s="799"/>
      <c r="Z233" s="799"/>
      <c r="AA233" s="799"/>
      <c r="AB233" s="799"/>
      <c r="AC233" s="799"/>
      <c r="AD233" s="750"/>
      <c r="AE233" s="749"/>
      <c r="AF233" s="749"/>
      <c r="AG233" s="749"/>
      <c r="AH233" s="749"/>
      <c r="AI233" s="749"/>
      <c r="AJ233" s="749"/>
      <c r="AK233" s="749"/>
      <c r="AL233" s="749"/>
      <c r="AM233" s="749"/>
      <c r="AN233" s="749"/>
      <c r="AO233" s="749"/>
      <c r="AP233" s="749"/>
      <c r="AQ233" s="749"/>
      <c r="AR233" s="749"/>
      <c r="AS233" s="749"/>
      <c r="AT233" s="749"/>
      <c r="AU233" s="749"/>
      <c r="AV233" s="749"/>
      <c r="AW233" s="749"/>
      <c r="AX233" s="749"/>
      <c r="AY233" s="749"/>
      <c r="AZ233" s="749"/>
      <c r="BA233" s="749"/>
      <c r="BB233" s="749"/>
      <c r="BC233" s="749"/>
      <c r="BD233" s="749"/>
      <c r="BE233" s="749"/>
      <c r="BF233" s="749"/>
      <c r="BG233" s="749"/>
      <c r="BH233" s="749"/>
      <c r="BI233" s="749"/>
      <c r="BJ233" s="749"/>
      <c r="BK233" s="749"/>
      <c r="BL233" s="749"/>
    </row>
    <row r="234">
      <c r="A234" s="866"/>
      <c r="B234" s="867"/>
      <c r="C234" s="866"/>
      <c r="D234" s="866"/>
      <c r="E234" s="866"/>
      <c r="F234" s="866"/>
      <c r="G234" s="866"/>
      <c r="H234" s="866"/>
      <c r="I234" s="866"/>
      <c r="J234" s="868"/>
      <c r="K234" s="868"/>
      <c r="L234" s="799"/>
      <c r="M234" s="747"/>
      <c r="N234" s="744"/>
      <c r="O234" s="744"/>
      <c r="P234" s="744"/>
      <c r="Q234" s="744"/>
      <c r="R234" s="744"/>
      <c r="S234" s="744"/>
      <c r="T234" s="855"/>
      <c r="U234" s="746"/>
      <c r="V234" s="746"/>
      <c r="W234" s="746"/>
      <c r="X234" s="746"/>
      <c r="Y234" s="799"/>
      <c r="Z234" s="799"/>
      <c r="AA234" s="799"/>
      <c r="AB234" s="799"/>
      <c r="AC234" s="799"/>
      <c r="AD234" s="750"/>
      <c r="AE234" s="749"/>
      <c r="AF234" s="749"/>
      <c r="AG234" s="749"/>
      <c r="AH234" s="749"/>
      <c r="AI234" s="749"/>
      <c r="AJ234" s="749"/>
      <c r="AK234" s="749"/>
      <c r="AL234" s="749"/>
      <c r="AM234" s="749"/>
      <c r="AN234" s="749"/>
      <c r="AO234" s="749"/>
      <c r="AP234" s="749"/>
      <c r="AQ234" s="749"/>
      <c r="AR234" s="749"/>
      <c r="AS234" s="749"/>
      <c r="AT234" s="749"/>
      <c r="AU234" s="749"/>
      <c r="AV234" s="749"/>
      <c r="AW234" s="749"/>
      <c r="AX234" s="749"/>
      <c r="AY234" s="749"/>
      <c r="AZ234" s="749"/>
      <c r="BA234" s="749"/>
      <c r="BB234" s="749"/>
      <c r="BC234" s="749"/>
      <c r="BD234" s="749"/>
      <c r="BE234" s="749"/>
      <c r="BF234" s="749"/>
      <c r="BG234" s="749"/>
      <c r="BH234" s="749"/>
      <c r="BI234" s="749"/>
      <c r="BJ234" s="749"/>
      <c r="BK234" s="749"/>
      <c r="BL234" s="749"/>
    </row>
    <row r="235">
      <c r="A235" s="866"/>
      <c r="B235" s="867"/>
      <c r="C235" s="866"/>
      <c r="D235" s="866"/>
      <c r="E235" s="866"/>
      <c r="F235" s="866"/>
      <c r="G235" s="866"/>
      <c r="H235" s="866"/>
      <c r="I235" s="866"/>
      <c r="J235" s="868"/>
      <c r="K235" s="868"/>
      <c r="L235" s="799"/>
      <c r="M235" s="747"/>
      <c r="N235" s="744"/>
      <c r="O235" s="744"/>
      <c r="P235" s="744"/>
      <c r="Q235" s="744"/>
      <c r="R235" s="744"/>
      <c r="S235" s="744"/>
      <c r="T235" s="855"/>
      <c r="U235" s="746"/>
      <c r="V235" s="746"/>
      <c r="W235" s="746"/>
      <c r="X235" s="746"/>
      <c r="Y235" s="799"/>
      <c r="Z235" s="799"/>
      <c r="AA235" s="799"/>
      <c r="AB235" s="799"/>
      <c r="AC235" s="799"/>
      <c r="AD235" s="750"/>
      <c r="AE235" s="749"/>
      <c r="AF235" s="749"/>
      <c r="AG235" s="749"/>
      <c r="AH235" s="749"/>
      <c r="AI235" s="749"/>
      <c r="AJ235" s="749"/>
      <c r="AK235" s="749"/>
      <c r="AL235" s="749"/>
      <c r="AM235" s="749"/>
      <c r="AN235" s="749"/>
      <c r="AO235" s="749"/>
      <c r="AP235" s="749"/>
      <c r="AQ235" s="749"/>
      <c r="AR235" s="749"/>
      <c r="AS235" s="749"/>
      <c r="AT235" s="749"/>
      <c r="AU235" s="749"/>
      <c r="AV235" s="749"/>
      <c r="AW235" s="749"/>
      <c r="AX235" s="749"/>
      <c r="AY235" s="749"/>
      <c r="AZ235" s="749"/>
      <c r="BA235" s="749"/>
      <c r="BB235" s="749"/>
      <c r="BC235" s="749"/>
      <c r="BD235" s="749"/>
      <c r="BE235" s="749"/>
      <c r="BF235" s="749"/>
      <c r="BG235" s="749"/>
      <c r="BH235" s="749"/>
      <c r="BI235" s="749"/>
      <c r="BJ235" s="749"/>
      <c r="BK235" s="749"/>
      <c r="BL235" s="749"/>
    </row>
    <row r="236">
      <c r="A236" s="866"/>
      <c r="B236" s="867"/>
      <c r="C236" s="866"/>
      <c r="D236" s="866"/>
      <c r="E236" s="866"/>
      <c r="F236" s="866"/>
      <c r="G236" s="866"/>
      <c r="H236" s="866"/>
      <c r="I236" s="866"/>
      <c r="J236" s="868"/>
      <c r="K236" s="868"/>
      <c r="L236" s="799"/>
      <c r="M236" s="747"/>
      <c r="N236" s="744"/>
      <c r="O236" s="744"/>
      <c r="P236" s="744"/>
      <c r="Q236" s="744"/>
      <c r="R236" s="744"/>
      <c r="S236" s="744"/>
      <c r="T236" s="855"/>
      <c r="U236" s="746"/>
      <c r="V236" s="746"/>
      <c r="W236" s="746"/>
      <c r="X236" s="746"/>
      <c r="Y236" s="799"/>
      <c r="Z236" s="799"/>
      <c r="AA236" s="799"/>
      <c r="AB236" s="799"/>
      <c r="AC236" s="799"/>
      <c r="AD236" s="750"/>
      <c r="AE236" s="749"/>
      <c r="AF236" s="749"/>
      <c r="AG236" s="749"/>
      <c r="AH236" s="749"/>
      <c r="AI236" s="749"/>
      <c r="AJ236" s="749"/>
      <c r="AK236" s="749"/>
      <c r="AL236" s="749"/>
      <c r="AM236" s="749"/>
      <c r="AN236" s="749"/>
      <c r="AO236" s="749"/>
      <c r="AP236" s="749"/>
      <c r="AQ236" s="749"/>
      <c r="AR236" s="749"/>
      <c r="AS236" s="749"/>
      <c r="AT236" s="749"/>
      <c r="AU236" s="749"/>
      <c r="AV236" s="749"/>
      <c r="AW236" s="749"/>
      <c r="AX236" s="749"/>
      <c r="AY236" s="749"/>
      <c r="AZ236" s="749"/>
      <c r="BA236" s="749"/>
      <c r="BB236" s="749"/>
      <c r="BC236" s="749"/>
      <c r="BD236" s="749"/>
      <c r="BE236" s="749"/>
      <c r="BF236" s="749"/>
      <c r="BG236" s="749"/>
      <c r="BH236" s="749"/>
      <c r="BI236" s="749"/>
      <c r="BJ236" s="749"/>
      <c r="BK236" s="749"/>
      <c r="BL236" s="749"/>
    </row>
    <row r="237">
      <c r="A237" s="866"/>
      <c r="B237" s="867"/>
      <c r="C237" s="866"/>
      <c r="D237" s="866"/>
      <c r="E237" s="866"/>
      <c r="F237" s="866"/>
      <c r="G237" s="866"/>
      <c r="H237" s="866"/>
      <c r="I237" s="866"/>
      <c r="J237" s="868"/>
      <c r="K237" s="868"/>
      <c r="L237" s="799"/>
      <c r="M237" s="747"/>
      <c r="N237" s="744"/>
      <c r="O237" s="744"/>
      <c r="P237" s="744"/>
      <c r="Q237" s="744"/>
      <c r="R237" s="744"/>
      <c r="S237" s="744"/>
      <c r="T237" s="855"/>
      <c r="U237" s="746"/>
      <c r="V237" s="746"/>
      <c r="W237" s="746"/>
      <c r="X237" s="746"/>
      <c r="Y237" s="799"/>
      <c r="Z237" s="799"/>
      <c r="AA237" s="799"/>
      <c r="AB237" s="799"/>
      <c r="AC237" s="799"/>
      <c r="AD237" s="750"/>
      <c r="AE237" s="749"/>
      <c r="AF237" s="749"/>
      <c r="AG237" s="749"/>
      <c r="AH237" s="749"/>
      <c r="AI237" s="749"/>
      <c r="AJ237" s="749"/>
      <c r="AK237" s="749"/>
      <c r="AL237" s="749"/>
      <c r="AM237" s="749"/>
      <c r="AN237" s="749"/>
      <c r="AO237" s="749"/>
      <c r="AP237" s="749"/>
      <c r="AQ237" s="749"/>
      <c r="AR237" s="749"/>
      <c r="AS237" s="749"/>
      <c r="AT237" s="749"/>
      <c r="AU237" s="749"/>
      <c r="AV237" s="749"/>
      <c r="AW237" s="749"/>
      <c r="AX237" s="749"/>
      <c r="AY237" s="749"/>
      <c r="AZ237" s="749"/>
      <c r="BA237" s="749"/>
      <c r="BB237" s="749"/>
      <c r="BC237" s="749"/>
      <c r="BD237" s="749"/>
      <c r="BE237" s="749"/>
      <c r="BF237" s="749"/>
      <c r="BG237" s="749"/>
      <c r="BH237" s="749"/>
      <c r="BI237" s="749"/>
      <c r="BJ237" s="749"/>
      <c r="BK237" s="749"/>
      <c r="BL237" s="749"/>
    </row>
    <row r="238">
      <c r="A238" s="866"/>
      <c r="B238" s="867"/>
      <c r="C238" s="866"/>
      <c r="D238" s="866"/>
      <c r="E238" s="866"/>
      <c r="F238" s="866"/>
      <c r="G238" s="866"/>
      <c r="H238" s="866"/>
      <c r="I238" s="866"/>
      <c r="J238" s="868"/>
      <c r="K238" s="868"/>
      <c r="L238" s="799"/>
      <c r="M238" s="747"/>
      <c r="N238" s="744"/>
      <c r="O238" s="744"/>
      <c r="P238" s="744"/>
      <c r="Q238" s="744"/>
      <c r="R238" s="744"/>
      <c r="S238" s="744"/>
      <c r="T238" s="855"/>
      <c r="U238" s="746"/>
      <c r="V238" s="746"/>
      <c r="W238" s="746"/>
      <c r="X238" s="746"/>
      <c r="Y238" s="799"/>
      <c r="Z238" s="799"/>
      <c r="AA238" s="799"/>
      <c r="AB238" s="799"/>
      <c r="AC238" s="799"/>
      <c r="AD238" s="750"/>
      <c r="AE238" s="749"/>
      <c r="AF238" s="749"/>
      <c r="AG238" s="749"/>
      <c r="AH238" s="749"/>
      <c r="AI238" s="749"/>
      <c r="AJ238" s="749"/>
      <c r="AK238" s="749"/>
      <c r="AL238" s="749"/>
      <c r="AM238" s="749"/>
      <c r="AN238" s="749"/>
      <c r="AO238" s="749"/>
      <c r="AP238" s="749"/>
      <c r="AQ238" s="749"/>
      <c r="AR238" s="749"/>
      <c r="AS238" s="749"/>
      <c r="AT238" s="749"/>
      <c r="AU238" s="749"/>
      <c r="AV238" s="749"/>
      <c r="AW238" s="749"/>
      <c r="AX238" s="749"/>
      <c r="AY238" s="749"/>
      <c r="AZ238" s="749"/>
      <c r="BA238" s="749"/>
      <c r="BB238" s="749"/>
      <c r="BC238" s="749"/>
      <c r="BD238" s="749"/>
      <c r="BE238" s="749"/>
      <c r="BF238" s="749"/>
      <c r="BG238" s="749"/>
      <c r="BH238" s="749"/>
      <c r="BI238" s="749"/>
      <c r="BJ238" s="749"/>
      <c r="BK238" s="749"/>
      <c r="BL238" s="749"/>
    </row>
    <row r="239">
      <c r="A239" s="866"/>
      <c r="B239" s="867"/>
      <c r="C239" s="866"/>
      <c r="D239" s="866"/>
      <c r="E239" s="866"/>
      <c r="F239" s="866"/>
      <c r="G239" s="866"/>
      <c r="H239" s="866"/>
      <c r="I239" s="866"/>
      <c r="J239" s="868"/>
      <c r="K239" s="868"/>
      <c r="L239" s="799"/>
      <c r="M239" s="747"/>
      <c r="N239" s="744"/>
      <c r="O239" s="744"/>
      <c r="P239" s="744"/>
      <c r="Q239" s="744"/>
      <c r="R239" s="744"/>
      <c r="S239" s="744"/>
      <c r="T239" s="855"/>
      <c r="U239" s="746"/>
      <c r="V239" s="746"/>
      <c r="W239" s="746"/>
      <c r="X239" s="746"/>
      <c r="Y239" s="799"/>
      <c r="Z239" s="799"/>
      <c r="AA239" s="799"/>
      <c r="AB239" s="799"/>
      <c r="AC239" s="799"/>
      <c r="AD239" s="750"/>
      <c r="AE239" s="749"/>
      <c r="AF239" s="749"/>
      <c r="AG239" s="749"/>
      <c r="AH239" s="749"/>
      <c r="AI239" s="749"/>
      <c r="AJ239" s="749"/>
      <c r="AK239" s="749"/>
      <c r="AL239" s="749"/>
      <c r="AM239" s="749"/>
      <c r="AN239" s="749"/>
      <c r="AO239" s="749"/>
      <c r="AP239" s="749"/>
      <c r="AQ239" s="749"/>
      <c r="AR239" s="749"/>
      <c r="AS239" s="749"/>
      <c r="AT239" s="749"/>
      <c r="AU239" s="749"/>
      <c r="AV239" s="749"/>
      <c r="AW239" s="749"/>
      <c r="AX239" s="749"/>
      <c r="AY239" s="749"/>
      <c r="AZ239" s="749"/>
      <c r="BA239" s="749"/>
      <c r="BB239" s="749"/>
      <c r="BC239" s="749"/>
      <c r="BD239" s="749"/>
      <c r="BE239" s="749"/>
      <c r="BF239" s="749"/>
      <c r="BG239" s="749"/>
      <c r="BH239" s="749"/>
      <c r="BI239" s="749"/>
      <c r="BJ239" s="749"/>
      <c r="BK239" s="749"/>
      <c r="BL239" s="749"/>
    </row>
    <row r="240">
      <c r="A240" s="866"/>
      <c r="B240" s="867"/>
      <c r="C240" s="866"/>
      <c r="D240" s="866"/>
      <c r="E240" s="866"/>
      <c r="F240" s="866"/>
      <c r="G240" s="866"/>
      <c r="H240" s="866"/>
      <c r="I240" s="866"/>
      <c r="J240" s="868"/>
      <c r="K240" s="868"/>
      <c r="L240" s="799"/>
      <c r="M240" s="747"/>
      <c r="N240" s="744"/>
      <c r="O240" s="744"/>
      <c r="P240" s="744"/>
      <c r="Q240" s="744"/>
      <c r="R240" s="744"/>
      <c r="S240" s="744"/>
      <c r="T240" s="855"/>
      <c r="U240" s="746"/>
      <c r="V240" s="746"/>
      <c r="W240" s="746"/>
      <c r="X240" s="746"/>
      <c r="Y240" s="799"/>
      <c r="Z240" s="799"/>
      <c r="AA240" s="799"/>
      <c r="AB240" s="799"/>
      <c r="AC240" s="799"/>
      <c r="AD240" s="750"/>
      <c r="AE240" s="749"/>
      <c r="AF240" s="749"/>
      <c r="AG240" s="749"/>
      <c r="AH240" s="749"/>
      <c r="AI240" s="749"/>
      <c r="AJ240" s="749"/>
      <c r="AK240" s="749"/>
      <c r="AL240" s="749"/>
      <c r="AM240" s="749"/>
      <c r="AN240" s="749"/>
      <c r="AO240" s="749"/>
      <c r="AP240" s="749"/>
      <c r="AQ240" s="749"/>
      <c r="AR240" s="749"/>
      <c r="AS240" s="749"/>
      <c r="AT240" s="749"/>
      <c r="AU240" s="749"/>
      <c r="AV240" s="749"/>
      <c r="AW240" s="749"/>
      <c r="AX240" s="749"/>
      <c r="AY240" s="749"/>
      <c r="AZ240" s="749"/>
      <c r="BA240" s="749"/>
      <c r="BB240" s="749"/>
      <c r="BC240" s="749"/>
      <c r="BD240" s="749"/>
      <c r="BE240" s="749"/>
      <c r="BF240" s="749"/>
      <c r="BG240" s="749"/>
      <c r="BH240" s="749"/>
      <c r="BI240" s="749"/>
      <c r="BJ240" s="749"/>
      <c r="BK240" s="749"/>
      <c r="BL240" s="749"/>
    </row>
    <row r="241">
      <c r="A241" s="866"/>
      <c r="B241" s="867"/>
      <c r="C241" s="866"/>
      <c r="D241" s="866"/>
      <c r="E241" s="866"/>
      <c r="F241" s="866"/>
      <c r="G241" s="866"/>
      <c r="H241" s="866"/>
      <c r="I241" s="866"/>
      <c r="J241" s="868"/>
      <c r="K241" s="868"/>
      <c r="L241" s="799"/>
      <c r="M241" s="747"/>
      <c r="N241" s="744"/>
      <c r="O241" s="744"/>
      <c r="P241" s="744"/>
      <c r="Q241" s="744"/>
      <c r="R241" s="744"/>
      <c r="S241" s="744"/>
      <c r="T241" s="855"/>
      <c r="U241" s="746"/>
      <c r="V241" s="746"/>
      <c r="W241" s="746"/>
      <c r="X241" s="746"/>
      <c r="Y241" s="799"/>
      <c r="Z241" s="799"/>
      <c r="AA241" s="799"/>
      <c r="AB241" s="799"/>
      <c r="AC241" s="799"/>
      <c r="AD241" s="750"/>
      <c r="AE241" s="749"/>
      <c r="AF241" s="749"/>
      <c r="AG241" s="749"/>
      <c r="AH241" s="749"/>
      <c r="AI241" s="749"/>
      <c r="AJ241" s="749"/>
      <c r="AK241" s="749"/>
      <c r="AL241" s="749"/>
      <c r="AM241" s="749"/>
      <c r="AN241" s="749"/>
      <c r="AO241" s="749"/>
      <c r="AP241" s="749"/>
      <c r="AQ241" s="749"/>
      <c r="AR241" s="749"/>
      <c r="AS241" s="749"/>
      <c r="AT241" s="749"/>
      <c r="AU241" s="749"/>
      <c r="AV241" s="749"/>
      <c r="AW241" s="749"/>
      <c r="AX241" s="749"/>
      <c r="AY241" s="749"/>
      <c r="AZ241" s="749"/>
      <c r="BA241" s="749"/>
      <c r="BB241" s="749"/>
      <c r="BC241" s="749"/>
      <c r="BD241" s="749"/>
      <c r="BE241" s="749"/>
      <c r="BF241" s="749"/>
      <c r="BG241" s="749"/>
      <c r="BH241" s="749"/>
      <c r="BI241" s="749"/>
      <c r="BJ241" s="749"/>
      <c r="BK241" s="749"/>
      <c r="BL241" s="749"/>
    </row>
    <row r="242">
      <c r="A242" s="866"/>
      <c r="B242" s="867"/>
      <c r="C242" s="866"/>
      <c r="D242" s="866"/>
      <c r="E242" s="866"/>
      <c r="F242" s="866"/>
      <c r="G242" s="866"/>
      <c r="H242" s="866"/>
      <c r="I242" s="866"/>
      <c r="J242" s="868"/>
      <c r="K242" s="868"/>
      <c r="L242" s="799"/>
      <c r="M242" s="747"/>
      <c r="N242" s="744"/>
      <c r="O242" s="744"/>
      <c r="P242" s="744"/>
      <c r="Q242" s="744"/>
      <c r="R242" s="744"/>
      <c r="S242" s="744"/>
      <c r="T242" s="855"/>
      <c r="U242" s="746"/>
      <c r="V242" s="746"/>
      <c r="W242" s="746"/>
      <c r="X242" s="746"/>
      <c r="Y242" s="799"/>
      <c r="Z242" s="799"/>
      <c r="AA242" s="799"/>
      <c r="AB242" s="799"/>
      <c r="AC242" s="799"/>
      <c r="AD242" s="750"/>
      <c r="AE242" s="749"/>
      <c r="AF242" s="749"/>
      <c r="AG242" s="749"/>
      <c r="AH242" s="749"/>
      <c r="AI242" s="749"/>
      <c r="AJ242" s="749"/>
      <c r="AK242" s="749"/>
      <c r="AL242" s="749"/>
      <c r="AM242" s="749"/>
      <c r="AN242" s="749"/>
      <c r="AO242" s="749"/>
      <c r="AP242" s="749"/>
      <c r="AQ242" s="749"/>
      <c r="AR242" s="749"/>
      <c r="AS242" s="749"/>
      <c r="AT242" s="749"/>
      <c r="AU242" s="749"/>
      <c r="AV242" s="749"/>
      <c r="AW242" s="749"/>
      <c r="AX242" s="749"/>
      <c r="AY242" s="749"/>
      <c r="AZ242" s="749"/>
      <c r="BA242" s="749"/>
      <c r="BB242" s="749"/>
      <c r="BC242" s="749"/>
      <c r="BD242" s="749"/>
      <c r="BE242" s="749"/>
      <c r="BF242" s="749"/>
      <c r="BG242" s="749"/>
      <c r="BH242" s="749"/>
      <c r="BI242" s="749"/>
      <c r="BJ242" s="749"/>
      <c r="BK242" s="749"/>
      <c r="BL242" s="749"/>
    </row>
    <row r="243">
      <c r="A243" s="866"/>
      <c r="B243" s="867"/>
      <c r="C243" s="866"/>
      <c r="D243" s="866"/>
      <c r="E243" s="866"/>
      <c r="F243" s="866"/>
      <c r="G243" s="866"/>
      <c r="H243" s="866"/>
      <c r="I243" s="866"/>
      <c r="J243" s="868"/>
      <c r="K243" s="868"/>
      <c r="L243" s="799"/>
      <c r="M243" s="747"/>
      <c r="N243" s="744"/>
      <c r="O243" s="744"/>
      <c r="P243" s="744"/>
      <c r="Q243" s="744"/>
      <c r="R243" s="744"/>
      <c r="S243" s="744"/>
      <c r="T243" s="855"/>
      <c r="U243" s="746"/>
      <c r="V243" s="746"/>
      <c r="W243" s="746"/>
      <c r="X243" s="746"/>
      <c r="Y243" s="799"/>
      <c r="Z243" s="799"/>
      <c r="AA243" s="799"/>
      <c r="AB243" s="799"/>
      <c r="AC243" s="799"/>
      <c r="AD243" s="750"/>
      <c r="AE243" s="749"/>
      <c r="AF243" s="749"/>
      <c r="AG243" s="749"/>
      <c r="AH243" s="749"/>
      <c r="AI243" s="749"/>
      <c r="AJ243" s="749"/>
      <c r="AK243" s="749"/>
      <c r="AL243" s="749"/>
      <c r="AM243" s="749"/>
      <c r="AN243" s="749"/>
      <c r="AO243" s="749"/>
      <c r="AP243" s="749"/>
      <c r="AQ243" s="749"/>
      <c r="AR243" s="749"/>
      <c r="AS243" s="749"/>
      <c r="AT243" s="749"/>
      <c r="AU243" s="749"/>
      <c r="AV243" s="749"/>
      <c r="AW243" s="749"/>
      <c r="AX243" s="749"/>
      <c r="AY243" s="749"/>
      <c r="AZ243" s="749"/>
      <c r="BA243" s="749"/>
      <c r="BB243" s="749"/>
      <c r="BC243" s="749"/>
      <c r="BD243" s="749"/>
      <c r="BE243" s="749"/>
      <c r="BF243" s="749"/>
      <c r="BG243" s="749"/>
      <c r="BH243" s="749"/>
      <c r="BI243" s="749"/>
      <c r="BJ243" s="749"/>
      <c r="BK243" s="749"/>
      <c r="BL243" s="749"/>
    </row>
    <row r="244">
      <c r="A244" s="866"/>
      <c r="B244" s="867"/>
      <c r="C244" s="866"/>
      <c r="D244" s="866"/>
      <c r="E244" s="866"/>
      <c r="F244" s="866"/>
      <c r="G244" s="866"/>
      <c r="H244" s="866"/>
      <c r="I244" s="866"/>
      <c r="J244" s="868"/>
      <c r="K244" s="868"/>
      <c r="L244" s="799"/>
      <c r="M244" s="747"/>
      <c r="N244" s="744"/>
      <c r="O244" s="744"/>
      <c r="P244" s="744"/>
      <c r="Q244" s="744"/>
      <c r="R244" s="744"/>
      <c r="S244" s="744"/>
      <c r="T244" s="855"/>
      <c r="U244" s="746"/>
      <c r="V244" s="746"/>
      <c r="W244" s="746"/>
      <c r="X244" s="746"/>
      <c r="Y244" s="799"/>
      <c r="Z244" s="799"/>
      <c r="AA244" s="799"/>
      <c r="AB244" s="799"/>
      <c r="AC244" s="799"/>
      <c r="AD244" s="750"/>
      <c r="AE244" s="749"/>
      <c r="AF244" s="749"/>
      <c r="AG244" s="749"/>
      <c r="AH244" s="749"/>
      <c r="AI244" s="749"/>
      <c r="AJ244" s="749"/>
      <c r="AK244" s="749"/>
      <c r="AL244" s="749"/>
      <c r="AM244" s="749"/>
      <c r="AN244" s="749"/>
      <c r="AO244" s="749"/>
      <c r="AP244" s="749"/>
      <c r="AQ244" s="749"/>
      <c r="AR244" s="749"/>
      <c r="AS244" s="749"/>
      <c r="AT244" s="749"/>
      <c r="AU244" s="749"/>
      <c r="AV244" s="749"/>
      <c r="AW244" s="749"/>
      <c r="AX244" s="749"/>
      <c r="AY244" s="749"/>
      <c r="AZ244" s="749"/>
      <c r="BA244" s="749"/>
      <c r="BB244" s="749"/>
      <c r="BC244" s="749"/>
      <c r="BD244" s="749"/>
      <c r="BE244" s="749"/>
      <c r="BF244" s="749"/>
      <c r="BG244" s="749"/>
      <c r="BH244" s="749"/>
      <c r="BI244" s="749"/>
      <c r="BJ244" s="749"/>
      <c r="BK244" s="749"/>
      <c r="BL244" s="749"/>
    </row>
    <row r="245">
      <c r="A245" s="866"/>
      <c r="B245" s="867"/>
      <c r="C245" s="866"/>
      <c r="D245" s="866"/>
      <c r="E245" s="866"/>
      <c r="F245" s="866"/>
      <c r="G245" s="866"/>
      <c r="H245" s="866"/>
      <c r="I245" s="866"/>
      <c r="J245" s="868"/>
      <c r="K245" s="868"/>
      <c r="L245" s="799"/>
      <c r="M245" s="747"/>
      <c r="N245" s="744"/>
      <c r="O245" s="744"/>
      <c r="P245" s="744"/>
      <c r="Q245" s="744"/>
      <c r="R245" s="744"/>
      <c r="S245" s="744"/>
      <c r="T245" s="855"/>
      <c r="U245" s="746"/>
      <c r="V245" s="746"/>
      <c r="W245" s="746"/>
      <c r="X245" s="746"/>
      <c r="Y245" s="799"/>
      <c r="Z245" s="799"/>
      <c r="AA245" s="799"/>
      <c r="AB245" s="799"/>
      <c r="AC245" s="799"/>
      <c r="AD245" s="750"/>
      <c r="AE245" s="749"/>
      <c r="AF245" s="749"/>
      <c r="AG245" s="749"/>
      <c r="AH245" s="749"/>
      <c r="AI245" s="749"/>
      <c r="AJ245" s="749"/>
      <c r="AK245" s="749"/>
      <c r="AL245" s="749"/>
      <c r="AM245" s="749"/>
      <c r="AN245" s="749"/>
      <c r="AO245" s="749"/>
      <c r="AP245" s="749"/>
      <c r="AQ245" s="749"/>
      <c r="AR245" s="749"/>
      <c r="AS245" s="749"/>
      <c r="AT245" s="749"/>
      <c r="AU245" s="749"/>
      <c r="AV245" s="749"/>
      <c r="AW245" s="749"/>
      <c r="AX245" s="749"/>
      <c r="AY245" s="749"/>
      <c r="AZ245" s="749"/>
      <c r="BA245" s="749"/>
      <c r="BB245" s="749"/>
      <c r="BC245" s="749"/>
      <c r="BD245" s="749"/>
      <c r="BE245" s="749"/>
      <c r="BF245" s="749"/>
      <c r="BG245" s="749"/>
      <c r="BH245" s="749"/>
      <c r="BI245" s="749"/>
      <c r="BJ245" s="749"/>
      <c r="BK245" s="749"/>
      <c r="BL245" s="749"/>
    </row>
    <row r="246">
      <c r="A246" s="866"/>
      <c r="B246" s="867"/>
      <c r="C246" s="866"/>
      <c r="D246" s="866"/>
      <c r="E246" s="866"/>
      <c r="F246" s="866"/>
      <c r="G246" s="866"/>
      <c r="H246" s="866"/>
      <c r="I246" s="866"/>
      <c r="J246" s="868"/>
      <c r="K246" s="868"/>
      <c r="L246" s="799"/>
      <c r="M246" s="747"/>
      <c r="N246" s="744"/>
      <c r="O246" s="744"/>
      <c r="P246" s="744"/>
      <c r="Q246" s="744"/>
      <c r="R246" s="744"/>
      <c r="S246" s="744"/>
      <c r="T246" s="855"/>
      <c r="U246" s="746"/>
      <c r="V246" s="746"/>
      <c r="W246" s="746"/>
      <c r="X246" s="746"/>
      <c r="Y246" s="799"/>
      <c r="Z246" s="799"/>
      <c r="AA246" s="799"/>
      <c r="AB246" s="799"/>
      <c r="AC246" s="799"/>
      <c r="AD246" s="750"/>
      <c r="AE246" s="749"/>
      <c r="AF246" s="749"/>
      <c r="AG246" s="749"/>
      <c r="AH246" s="749"/>
      <c r="AI246" s="749"/>
      <c r="AJ246" s="749"/>
      <c r="AK246" s="749"/>
      <c r="AL246" s="749"/>
      <c r="AM246" s="749"/>
      <c r="AN246" s="749"/>
      <c r="AO246" s="749"/>
      <c r="AP246" s="749"/>
      <c r="AQ246" s="749"/>
      <c r="AR246" s="749"/>
      <c r="AS246" s="749"/>
      <c r="AT246" s="749"/>
      <c r="AU246" s="749"/>
      <c r="AV246" s="749"/>
      <c r="AW246" s="749"/>
      <c r="AX246" s="749"/>
      <c r="AY246" s="749"/>
      <c r="AZ246" s="749"/>
      <c r="BA246" s="749"/>
      <c r="BB246" s="749"/>
      <c r="BC246" s="749"/>
      <c r="BD246" s="749"/>
      <c r="BE246" s="749"/>
      <c r="BF246" s="749"/>
      <c r="BG246" s="749"/>
      <c r="BH246" s="749"/>
      <c r="BI246" s="749"/>
      <c r="BJ246" s="749"/>
      <c r="BK246" s="749"/>
      <c r="BL246" s="749"/>
    </row>
    <row r="247">
      <c r="A247" s="866"/>
      <c r="B247" s="867"/>
      <c r="C247" s="866"/>
      <c r="D247" s="866"/>
      <c r="E247" s="866"/>
      <c r="F247" s="866"/>
      <c r="G247" s="866"/>
      <c r="H247" s="866"/>
      <c r="I247" s="866"/>
      <c r="J247" s="868"/>
      <c r="K247" s="868"/>
      <c r="L247" s="799"/>
      <c r="M247" s="747"/>
      <c r="N247" s="744"/>
      <c r="O247" s="744"/>
      <c r="P247" s="744"/>
      <c r="Q247" s="744"/>
      <c r="R247" s="744"/>
      <c r="S247" s="744"/>
      <c r="T247" s="855"/>
      <c r="U247" s="746"/>
      <c r="V247" s="746"/>
      <c r="W247" s="746"/>
      <c r="X247" s="746"/>
      <c r="Y247" s="799"/>
      <c r="Z247" s="799"/>
      <c r="AA247" s="799"/>
      <c r="AB247" s="799"/>
      <c r="AC247" s="799"/>
      <c r="AD247" s="750"/>
      <c r="AE247" s="749"/>
      <c r="AF247" s="749"/>
      <c r="AG247" s="749"/>
      <c r="AH247" s="749"/>
      <c r="AI247" s="749"/>
      <c r="AJ247" s="749"/>
      <c r="AK247" s="749"/>
      <c r="AL247" s="749"/>
      <c r="AM247" s="749"/>
      <c r="AN247" s="749"/>
      <c r="AO247" s="749"/>
      <c r="AP247" s="749"/>
      <c r="AQ247" s="749"/>
      <c r="AR247" s="749"/>
      <c r="AS247" s="749"/>
      <c r="AT247" s="749"/>
      <c r="AU247" s="749"/>
      <c r="AV247" s="749"/>
      <c r="AW247" s="749"/>
      <c r="AX247" s="749"/>
      <c r="AY247" s="749"/>
      <c r="AZ247" s="749"/>
      <c r="BA247" s="749"/>
      <c r="BB247" s="749"/>
      <c r="BC247" s="749"/>
      <c r="BD247" s="749"/>
      <c r="BE247" s="749"/>
      <c r="BF247" s="749"/>
      <c r="BG247" s="749"/>
      <c r="BH247" s="749"/>
      <c r="BI247" s="749"/>
      <c r="BJ247" s="749"/>
      <c r="BK247" s="749"/>
      <c r="BL247" s="749"/>
    </row>
    <row r="248">
      <c r="A248" s="866"/>
      <c r="B248" s="867"/>
      <c r="C248" s="866"/>
      <c r="D248" s="866"/>
      <c r="E248" s="866"/>
      <c r="F248" s="866"/>
      <c r="G248" s="866"/>
      <c r="H248" s="866"/>
      <c r="I248" s="866"/>
      <c r="J248" s="868"/>
      <c r="K248" s="868"/>
      <c r="L248" s="799"/>
      <c r="M248" s="747"/>
      <c r="N248" s="744"/>
      <c r="O248" s="744"/>
      <c r="P248" s="744"/>
      <c r="Q248" s="744"/>
      <c r="R248" s="744"/>
      <c r="S248" s="744"/>
      <c r="T248" s="855"/>
      <c r="U248" s="746"/>
      <c r="V248" s="746"/>
      <c r="W248" s="746"/>
      <c r="X248" s="746"/>
      <c r="Y248" s="799"/>
      <c r="Z248" s="799"/>
      <c r="AA248" s="799"/>
      <c r="AB248" s="799"/>
      <c r="AC248" s="799"/>
      <c r="AD248" s="750"/>
      <c r="AE248" s="749"/>
      <c r="AF248" s="749"/>
      <c r="AG248" s="749"/>
      <c r="AH248" s="749"/>
      <c r="AI248" s="749"/>
      <c r="AJ248" s="749"/>
      <c r="AK248" s="749"/>
      <c r="AL248" s="749"/>
      <c r="AM248" s="749"/>
      <c r="AN248" s="749"/>
      <c r="AO248" s="749"/>
      <c r="AP248" s="749"/>
      <c r="AQ248" s="749"/>
      <c r="AR248" s="749"/>
      <c r="AS248" s="749"/>
      <c r="AT248" s="749"/>
      <c r="AU248" s="749"/>
      <c r="AV248" s="749"/>
      <c r="AW248" s="749"/>
      <c r="AX248" s="749"/>
      <c r="AY248" s="749"/>
      <c r="AZ248" s="749"/>
      <c r="BA248" s="749"/>
      <c r="BB248" s="749"/>
      <c r="BC248" s="749"/>
      <c r="BD248" s="749"/>
      <c r="BE248" s="749"/>
      <c r="BF248" s="749"/>
      <c r="BG248" s="749"/>
      <c r="BH248" s="749"/>
      <c r="BI248" s="749"/>
      <c r="BJ248" s="749"/>
      <c r="BK248" s="749"/>
      <c r="BL248" s="749"/>
    </row>
    <row r="249">
      <c r="A249" s="866"/>
      <c r="B249" s="867"/>
      <c r="C249" s="866"/>
      <c r="D249" s="866"/>
      <c r="E249" s="866"/>
      <c r="F249" s="866"/>
      <c r="G249" s="866"/>
      <c r="H249" s="866"/>
      <c r="I249" s="866"/>
      <c r="J249" s="868"/>
      <c r="K249" s="868"/>
      <c r="L249" s="799"/>
      <c r="M249" s="747"/>
      <c r="N249" s="744"/>
      <c r="O249" s="744"/>
      <c r="P249" s="744"/>
      <c r="Q249" s="744"/>
      <c r="R249" s="744"/>
      <c r="S249" s="744"/>
      <c r="T249" s="855"/>
      <c r="U249" s="746"/>
      <c r="V249" s="746"/>
      <c r="W249" s="746"/>
      <c r="X249" s="746"/>
      <c r="Y249" s="799"/>
      <c r="Z249" s="799"/>
      <c r="AA249" s="799"/>
      <c r="AB249" s="799"/>
      <c r="AC249" s="799"/>
      <c r="AD249" s="750"/>
      <c r="AE249" s="749"/>
      <c r="AF249" s="749"/>
      <c r="AG249" s="749"/>
      <c r="AH249" s="749"/>
      <c r="AI249" s="749"/>
      <c r="AJ249" s="749"/>
      <c r="AK249" s="749"/>
      <c r="AL249" s="749"/>
      <c r="AM249" s="749"/>
      <c r="AN249" s="749"/>
      <c r="AO249" s="749"/>
      <c r="AP249" s="749"/>
      <c r="AQ249" s="749"/>
      <c r="AR249" s="749"/>
      <c r="AS249" s="749"/>
      <c r="AT249" s="749"/>
      <c r="AU249" s="749"/>
      <c r="AV249" s="749"/>
      <c r="AW249" s="749"/>
      <c r="AX249" s="749"/>
      <c r="AY249" s="749"/>
      <c r="AZ249" s="749"/>
      <c r="BA249" s="749"/>
      <c r="BB249" s="749"/>
      <c r="BC249" s="749"/>
      <c r="BD249" s="749"/>
      <c r="BE249" s="749"/>
      <c r="BF249" s="749"/>
      <c r="BG249" s="749"/>
      <c r="BH249" s="749"/>
      <c r="BI249" s="749"/>
      <c r="BJ249" s="749"/>
      <c r="BK249" s="749"/>
      <c r="BL249" s="749"/>
    </row>
    <row r="250">
      <c r="A250" s="866"/>
      <c r="B250" s="867"/>
      <c r="C250" s="866"/>
      <c r="D250" s="866"/>
      <c r="E250" s="866"/>
      <c r="F250" s="866"/>
      <c r="G250" s="866"/>
      <c r="H250" s="866"/>
      <c r="I250" s="866"/>
      <c r="J250" s="868"/>
      <c r="K250" s="868"/>
      <c r="L250" s="799"/>
      <c r="M250" s="747"/>
      <c r="N250" s="744"/>
      <c r="O250" s="744"/>
      <c r="P250" s="744"/>
      <c r="Q250" s="744"/>
      <c r="R250" s="744"/>
      <c r="S250" s="744"/>
      <c r="T250" s="855"/>
      <c r="U250" s="746"/>
      <c r="V250" s="746"/>
      <c r="W250" s="746"/>
      <c r="X250" s="746"/>
      <c r="Y250" s="799"/>
      <c r="Z250" s="799"/>
      <c r="AA250" s="799"/>
      <c r="AB250" s="799"/>
      <c r="AC250" s="799"/>
      <c r="AD250" s="750"/>
      <c r="AE250" s="749"/>
      <c r="AF250" s="749"/>
      <c r="AG250" s="749"/>
      <c r="AH250" s="749"/>
      <c r="AI250" s="749"/>
      <c r="AJ250" s="749"/>
      <c r="AK250" s="749"/>
      <c r="AL250" s="749"/>
      <c r="AM250" s="749"/>
      <c r="AN250" s="749"/>
      <c r="AO250" s="749"/>
      <c r="AP250" s="749"/>
      <c r="AQ250" s="749"/>
      <c r="AR250" s="749"/>
      <c r="AS250" s="749"/>
      <c r="AT250" s="749"/>
      <c r="AU250" s="749"/>
      <c r="AV250" s="749"/>
      <c r="AW250" s="749"/>
      <c r="AX250" s="749"/>
      <c r="AY250" s="749"/>
      <c r="AZ250" s="749"/>
      <c r="BA250" s="749"/>
      <c r="BB250" s="749"/>
      <c r="BC250" s="749"/>
      <c r="BD250" s="749"/>
      <c r="BE250" s="749"/>
      <c r="BF250" s="749"/>
      <c r="BG250" s="749"/>
      <c r="BH250" s="749"/>
      <c r="BI250" s="749"/>
      <c r="BJ250" s="749"/>
      <c r="BK250" s="749"/>
      <c r="BL250" s="749"/>
    </row>
    <row r="251">
      <c r="A251" s="866"/>
      <c r="B251" s="867"/>
      <c r="C251" s="866"/>
      <c r="D251" s="866"/>
      <c r="E251" s="866"/>
      <c r="F251" s="866"/>
      <c r="G251" s="866"/>
      <c r="H251" s="866"/>
      <c r="I251" s="866"/>
      <c r="J251" s="868"/>
      <c r="K251" s="868"/>
      <c r="L251" s="799"/>
      <c r="M251" s="747"/>
      <c r="N251" s="744"/>
      <c r="O251" s="744"/>
      <c r="P251" s="744"/>
      <c r="Q251" s="744"/>
      <c r="R251" s="744"/>
      <c r="S251" s="744"/>
      <c r="T251" s="855"/>
      <c r="U251" s="746"/>
      <c r="V251" s="746"/>
      <c r="W251" s="746"/>
      <c r="X251" s="746"/>
      <c r="Y251" s="799"/>
      <c r="Z251" s="799"/>
      <c r="AA251" s="799"/>
      <c r="AB251" s="799"/>
      <c r="AC251" s="799"/>
      <c r="AD251" s="750"/>
      <c r="AE251" s="749"/>
      <c r="AF251" s="749"/>
      <c r="AG251" s="749"/>
      <c r="AH251" s="749"/>
      <c r="AI251" s="749"/>
      <c r="AJ251" s="749"/>
      <c r="AK251" s="749"/>
      <c r="AL251" s="749"/>
      <c r="AM251" s="749"/>
      <c r="AN251" s="749"/>
      <c r="AO251" s="749"/>
      <c r="AP251" s="749"/>
      <c r="AQ251" s="749"/>
      <c r="AR251" s="749"/>
      <c r="AS251" s="749"/>
      <c r="AT251" s="749"/>
      <c r="AU251" s="749"/>
      <c r="AV251" s="749"/>
      <c r="AW251" s="749"/>
      <c r="AX251" s="749"/>
      <c r="AY251" s="749"/>
      <c r="AZ251" s="749"/>
      <c r="BA251" s="749"/>
      <c r="BB251" s="749"/>
      <c r="BC251" s="749"/>
      <c r="BD251" s="749"/>
      <c r="BE251" s="749"/>
      <c r="BF251" s="749"/>
      <c r="BG251" s="749"/>
      <c r="BH251" s="749"/>
      <c r="BI251" s="749"/>
      <c r="BJ251" s="749"/>
      <c r="BK251" s="749"/>
      <c r="BL251" s="749"/>
    </row>
    <row r="252">
      <c r="A252" s="866"/>
      <c r="B252" s="867"/>
      <c r="C252" s="866"/>
      <c r="D252" s="866"/>
      <c r="E252" s="866"/>
      <c r="F252" s="866"/>
      <c r="G252" s="866"/>
      <c r="H252" s="866"/>
      <c r="I252" s="866"/>
      <c r="J252" s="868"/>
      <c r="K252" s="868"/>
      <c r="L252" s="799"/>
      <c r="M252" s="747"/>
      <c r="N252" s="744"/>
      <c r="O252" s="744"/>
      <c r="P252" s="744"/>
      <c r="Q252" s="744"/>
      <c r="R252" s="744"/>
      <c r="S252" s="744"/>
      <c r="T252" s="855"/>
      <c r="U252" s="746"/>
      <c r="V252" s="746"/>
      <c r="W252" s="746"/>
      <c r="X252" s="746"/>
      <c r="Y252" s="799"/>
      <c r="Z252" s="799"/>
      <c r="AA252" s="799"/>
      <c r="AB252" s="799"/>
      <c r="AC252" s="799"/>
      <c r="AD252" s="750"/>
      <c r="AE252" s="749"/>
      <c r="AF252" s="749"/>
      <c r="AG252" s="749"/>
      <c r="AH252" s="749"/>
      <c r="AI252" s="749"/>
      <c r="AJ252" s="749"/>
      <c r="AK252" s="749"/>
      <c r="AL252" s="749"/>
      <c r="AM252" s="749"/>
      <c r="AN252" s="749"/>
      <c r="AO252" s="749"/>
      <c r="AP252" s="749"/>
      <c r="AQ252" s="749"/>
      <c r="AR252" s="749"/>
      <c r="AS252" s="749"/>
      <c r="AT252" s="749"/>
      <c r="AU252" s="749"/>
      <c r="AV252" s="749"/>
      <c r="AW252" s="749"/>
      <c r="AX252" s="749"/>
      <c r="AY252" s="749"/>
      <c r="AZ252" s="749"/>
      <c r="BA252" s="749"/>
      <c r="BB252" s="749"/>
      <c r="BC252" s="749"/>
      <c r="BD252" s="749"/>
      <c r="BE252" s="749"/>
      <c r="BF252" s="749"/>
      <c r="BG252" s="749"/>
      <c r="BH252" s="749"/>
      <c r="BI252" s="749"/>
      <c r="BJ252" s="749"/>
      <c r="BK252" s="749"/>
      <c r="BL252" s="749"/>
    </row>
    <row r="253">
      <c r="A253" s="866"/>
      <c r="B253" s="867"/>
      <c r="C253" s="866"/>
      <c r="D253" s="866"/>
      <c r="E253" s="866"/>
      <c r="F253" s="866"/>
      <c r="G253" s="866"/>
      <c r="H253" s="866"/>
      <c r="I253" s="866"/>
      <c r="J253" s="868"/>
      <c r="K253" s="868"/>
      <c r="L253" s="799"/>
      <c r="M253" s="747"/>
      <c r="N253" s="744"/>
      <c r="O253" s="744"/>
      <c r="P253" s="744"/>
      <c r="Q253" s="744"/>
      <c r="R253" s="744"/>
      <c r="S253" s="744"/>
      <c r="T253" s="855"/>
      <c r="U253" s="746"/>
      <c r="V253" s="746"/>
      <c r="W253" s="746"/>
      <c r="X253" s="746"/>
      <c r="Y253" s="799"/>
      <c r="Z253" s="799"/>
      <c r="AA253" s="799"/>
      <c r="AB253" s="799"/>
      <c r="AC253" s="799"/>
      <c r="AD253" s="750"/>
      <c r="AE253" s="749"/>
      <c r="AF253" s="749"/>
      <c r="AG253" s="749"/>
      <c r="AH253" s="749"/>
      <c r="AI253" s="749"/>
      <c r="AJ253" s="749"/>
      <c r="AK253" s="749"/>
      <c r="AL253" s="749"/>
      <c r="AM253" s="749"/>
      <c r="AN253" s="749"/>
      <c r="AO253" s="749"/>
      <c r="AP253" s="749"/>
      <c r="AQ253" s="749"/>
      <c r="AR253" s="749"/>
      <c r="AS253" s="749"/>
      <c r="AT253" s="749"/>
      <c r="AU253" s="749"/>
      <c r="AV253" s="749"/>
      <c r="AW253" s="749"/>
      <c r="AX253" s="749"/>
      <c r="AY253" s="749"/>
      <c r="AZ253" s="749"/>
      <c r="BA253" s="749"/>
      <c r="BB253" s="749"/>
      <c r="BC253" s="749"/>
      <c r="BD253" s="749"/>
      <c r="BE253" s="749"/>
      <c r="BF253" s="749"/>
      <c r="BG253" s="749"/>
      <c r="BH253" s="749"/>
      <c r="BI253" s="749"/>
      <c r="BJ253" s="749"/>
      <c r="BK253" s="749"/>
      <c r="BL253" s="749"/>
    </row>
    <row r="254">
      <c r="A254" s="866"/>
      <c r="B254" s="867"/>
      <c r="C254" s="866"/>
      <c r="D254" s="866"/>
      <c r="E254" s="866"/>
      <c r="F254" s="866"/>
      <c r="G254" s="866"/>
      <c r="H254" s="866"/>
      <c r="I254" s="866"/>
      <c r="J254" s="868"/>
      <c r="K254" s="868"/>
      <c r="L254" s="799"/>
      <c r="M254" s="747"/>
      <c r="N254" s="744"/>
      <c r="O254" s="744"/>
      <c r="P254" s="744"/>
      <c r="Q254" s="744"/>
      <c r="R254" s="744"/>
      <c r="S254" s="744"/>
      <c r="T254" s="855"/>
      <c r="U254" s="746"/>
      <c r="V254" s="746"/>
      <c r="W254" s="746"/>
      <c r="X254" s="746"/>
      <c r="Y254" s="799"/>
      <c r="Z254" s="799"/>
      <c r="AA254" s="799"/>
      <c r="AB254" s="799"/>
      <c r="AC254" s="799"/>
      <c r="AD254" s="750"/>
      <c r="AE254" s="749"/>
      <c r="AF254" s="749"/>
      <c r="AG254" s="749"/>
      <c r="AH254" s="749"/>
      <c r="AI254" s="749"/>
      <c r="AJ254" s="749"/>
      <c r="AK254" s="749"/>
      <c r="AL254" s="749"/>
      <c r="AM254" s="749"/>
      <c r="AN254" s="749"/>
      <c r="AO254" s="749"/>
      <c r="AP254" s="749"/>
      <c r="AQ254" s="749"/>
      <c r="AR254" s="749"/>
      <c r="AS254" s="749"/>
      <c r="AT254" s="749"/>
      <c r="AU254" s="749"/>
      <c r="AV254" s="749"/>
      <c r="AW254" s="749"/>
      <c r="AX254" s="749"/>
      <c r="AY254" s="749"/>
      <c r="AZ254" s="749"/>
      <c r="BA254" s="749"/>
      <c r="BB254" s="749"/>
      <c r="BC254" s="749"/>
      <c r="BD254" s="749"/>
      <c r="BE254" s="749"/>
      <c r="BF254" s="749"/>
      <c r="BG254" s="749"/>
      <c r="BH254" s="749"/>
      <c r="BI254" s="749"/>
      <c r="BJ254" s="749"/>
      <c r="BK254" s="749"/>
      <c r="BL254" s="749"/>
    </row>
    <row r="255">
      <c r="A255" s="866"/>
      <c r="B255" s="867"/>
      <c r="C255" s="866"/>
      <c r="D255" s="866"/>
      <c r="E255" s="866"/>
      <c r="F255" s="866"/>
      <c r="G255" s="866"/>
      <c r="H255" s="866"/>
      <c r="I255" s="866"/>
      <c r="J255" s="868"/>
      <c r="K255" s="868"/>
      <c r="L255" s="799"/>
      <c r="M255" s="747"/>
      <c r="N255" s="744"/>
      <c r="O255" s="744"/>
      <c r="P255" s="744"/>
      <c r="Q255" s="744"/>
      <c r="R255" s="744"/>
      <c r="S255" s="744"/>
      <c r="T255" s="855"/>
      <c r="U255" s="746"/>
      <c r="V255" s="746"/>
      <c r="W255" s="746"/>
      <c r="X255" s="746"/>
      <c r="Y255" s="799"/>
      <c r="Z255" s="799"/>
      <c r="AA255" s="799"/>
      <c r="AB255" s="799"/>
      <c r="AC255" s="799"/>
      <c r="AD255" s="750"/>
      <c r="AE255" s="749"/>
      <c r="AF255" s="749"/>
      <c r="AG255" s="749"/>
      <c r="AH255" s="749"/>
      <c r="AI255" s="749"/>
      <c r="AJ255" s="749"/>
      <c r="AK255" s="749"/>
      <c r="AL255" s="749"/>
      <c r="AM255" s="749"/>
      <c r="AN255" s="749"/>
      <c r="AO255" s="749"/>
      <c r="AP255" s="749"/>
      <c r="AQ255" s="749"/>
      <c r="AR255" s="749"/>
      <c r="AS255" s="749"/>
      <c r="AT255" s="749"/>
      <c r="AU255" s="749"/>
      <c r="AV255" s="749"/>
      <c r="AW255" s="749"/>
      <c r="AX255" s="749"/>
      <c r="AY255" s="749"/>
      <c r="AZ255" s="749"/>
      <c r="BA255" s="749"/>
      <c r="BB255" s="749"/>
      <c r="BC255" s="749"/>
      <c r="BD255" s="749"/>
      <c r="BE255" s="749"/>
      <c r="BF255" s="749"/>
      <c r="BG255" s="749"/>
      <c r="BH255" s="749"/>
      <c r="BI255" s="749"/>
      <c r="BJ255" s="749"/>
      <c r="BK255" s="749"/>
      <c r="BL255" s="749"/>
    </row>
    <row r="256">
      <c r="A256" s="866"/>
      <c r="B256" s="867"/>
      <c r="C256" s="866"/>
      <c r="D256" s="866"/>
      <c r="E256" s="866"/>
      <c r="F256" s="866"/>
      <c r="G256" s="866"/>
      <c r="H256" s="866"/>
      <c r="I256" s="866"/>
      <c r="J256" s="868"/>
      <c r="K256" s="868"/>
      <c r="L256" s="799"/>
      <c r="M256" s="747"/>
      <c r="N256" s="744"/>
      <c r="O256" s="744"/>
      <c r="P256" s="744"/>
      <c r="Q256" s="744"/>
      <c r="R256" s="744"/>
      <c r="S256" s="744"/>
      <c r="T256" s="855"/>
      <c r="U256" s="746"/>
      <c r="V256" s="746"/>
      <c r="W256" s="746"/>
      <c r="X256" s="746"/>
      <c r="Y256" s="799"/>
      <c r="Z256" s="799"/>
      <c r="AA256" s="799"/>
      <c r="AB256" s="799"/>
      <c r="AC256" s="799"/>
      <c r="AD256" s="750"/>
      <c r="AE256" s="749"/>
      <c r="AF256" s="749"/>
      <c r="AG256" s="749"/>
      <c r="AH256" s="749"/>
      <c r="AI256" s="749"/>
      <c r="AJ256" s="749"/>
      <c r="AK256" s="749"/>
      <c r="AL256" s="749"/>
      <c r="AM256" s="749"/>
      <c r="AN256" s="749"/>
      <c r="AO256" s="749"/>
      <c r="AP256" s="749"/>
      <c r="AQ256" s="749"/>
      <c r="AR256" s="749"/>
      <c r="AS256" s="749"/>
      <c r="AT256" s="749"/>
      <c r="AU256" s="749"/>
      <c r="AV256" s="749"/>
      <c r="AW256" s="749"/>
      <c r="AX256" s="749"/>
      <c r="AY256" s="749"/>
      <c r="AZ256" s="749"/>
      <c r="BA256" s="749"/>
      <c r="BB256" s="749"/>
      <c r="BC256" s="749"/>
      <c r="BD256" s="749"/>
      <c r="BE256" s="749"/>
      <c r="BF256" s="749"/>
      <c r="BG256" s="749"/>
      <c r="BH256" s="749"/>
      <c r="BI256" s="749"/>
      <c r="BJ256" s="749"/>
      <c r="BK256" s="749"/>
      <c r="BL256" s="749"/>
    </row>
    <row r="257">
      <c r="A257" s="866"/>
      <c r="B257" s="867"/>
      <c r="C257" s="866"/>
      <c r="D257" s="866"/>
      <c r="E257" s="866"/>
      <c r="F257" s="866"/>
      <c r="G257" s="866"/>
      <c r="H257" s="866"/>
      <c r="I257" s="866"/>
      <c r="J257" s="868"/>
      <c r="K257" s="868"/>
      <c r="L257" s="799"/>
      <c r="M257" s="747"/>
      <c r="N257" s="744"/>
      <c r="O257" s="744"/>
      <c r="P257" s="744"/>
      <c r="Q257" s="744"/>
      <c r="R257" s="744"/>
      <c r="S257" s="744"/>
      <c r="T257" s="855"/>
      <c r="U257" s="746"/>
      <c r="V257" s="746"/>
      <c r="W257" s="746"/>
      <c r="X257" s="746"/>
      <c r="Y257" s="799"/>
      <c r="Z257" s="799"/>
      <c r="AA257" s="799"/>
      <c r="AB257" s="799"/>
      <c r="AC257" s="799"/>
      <c r="AD257" s="750"/>
      <c r="AE257" s="749"/>
      <c r="AF257" s="749"/>
      <c r="AG257" s="749"/>
      <c r="AH257" s="749"/>
      <c r="AI257" s="749"/>
      <c r="AJ257" s="749"/>
      <c r="AK257" s="749"/>
      <c r="AL257" s="749"/>
      <c r="AM257" s="749"/>
      <c r="AN257" s="749"/>
      <c r="AO257" s="749"/>
      <c r="AP257" s="749"/>
      <c r="AQ257" s="749"/>
      <c r="AR257" s="749"/>
      <c r="AS257" s="749"/>
      <c r="AT257" s="749"/>
      <c r="AU257" s="749"/>
      <c r="AV257" s="749"/>
      <c r="AW257" s="749"/>
      <c r="AX257" s="749"/>
      <c r="AY257" s="749"/>
      <c r="AZ257" s="749"/>
      <c r="BA257" s="749"/>
      <c r="BB257" s="749"/>
      <c r="BC257" s="749"/>
      <c r="BD257" s="749"/>
      <c r="BE257" s="749"/>
      <c r="BF257" s="749"/>
      <c r="BG257" s="749"/>
      <c r="BH257" s="749"/>
      <c r="BI257" s="749"/>
      <c r="BJ257" s="749"/>
      <c r="BK257" s="749"/>
      <c r="BL257" s="749"/>
    </row>
    <row r="258">
      <c r="A258" s="866"/>
      <c r="B258" s="867"/>
      <c r="C258" s="866"/>
      <c r="D258" s="866"/>
      <c r="E258" s="866"/>
      <c r="F258" s="866"/>
      <c r="G258" s="866"/>
      <c r="H258" s="866"/>
      <c r="I258" s="866"/>
      <c r="J258" s="868"/>
      <c r="K258" s="868"/>
      <c r="L258" s="799"/>
      <c r="M258" s="747"/>
      <c r="N258" s="744"/>
      <c r="O258" s="744"/>
      <c r="P258" s="744"/>
      <c r="Q258" s="744"/>
      <c r="R258" s="744"/>
      <c r="S258" s="744"/>
      <c r="T258" s="855"/>
      <c r="U258" s="746"/>
      <c r="V258" s="746"/>
      <c r="W258" s="746"/>
      <c r="X258" s="746"/>
      <c r="Y258" s="799"/>
      <c r="Z258" s="799"/>
      <c r="AA258" s="799"/>
      <c r="AB258" s="799"/>
      <c r="AC258" s="799"/>
      <c r="AD258" s="750"/>
      <c r="AE258" s="749"/>
      <c r="AF258" s="749"/>
      <c r="AG258" s="749"/>
      <c r="AH258" s="749"/>
      <c r="AI258" s="749"/>
      <c r="AJ258" s="749"/>
      <c r="AK258" s="749"/>
      <c r="AL258" s="749"/>
      <c r="AM258" s="749"/>
      <c r="AN258" s="749"/>
      <c r="AO258" s="749"/>
      <c r="AP258" s="749"/>
      <c r="AQ258" s="749"/>
      <c r="AR258" s="749"/>
      <c r="AS258" s="749"/>
      <c r="AT258" s="749"/>
      <c r="AU258" s="749"/>
      <c r="AV258" s="749"/>
      <c r="AW258" s="749"/>
      <c r="AX258" s="749"/>
      <c r="AY258" s="749"/>
      <c r="AZ258" s="749"/>
      <c r="BA258" s="749"/>
      <c r="BB258" s="749"/>
      <c r="BC258" s="749"/>
      <c r="BD258" s="749"/>
      <c r="BE258" s="749"/>
      <c r="BF258" s="749"/>
      <c r="BG258" s="749"/>
      <c r="BH258" s="749"/>
      <c r="BI258" s="749"/>
      <c r="BJ258" s="749"/>
      <c r="BK258" s="749"/>
      <c r="BL258" s="749"/>
    </row>
    <row r="259">
      <c r="A259" s="866"/>
      <c r="B259" s="867"/>
      <c r="C259" s="866"/>
      <c r="D259" s="866"/>
      <c r="E259" s="866"/>
      <c r="F259" s="866"/>
      <c r="G259" s="866"/>
      <c r="H259" s="866"/>
      <c r="I259" s="866"/>
      <c r="J259" s="868"/>
      <c r="K259" s="868"/>
      <c r="L259" s="799"/>
      <c r="M259" s="747"/>
      <c r="N259" s="744"/>
      <c r="O259" s="744"/>
      <c r="P259" s="744"/>
      <c r="Q259" s="744"/>
      <c r="R259" s="744"/>
      <c r="S259" s="744"/>
      <c r="T259" s="855"/>
      <c r="U259" s="746"/>
      <c r="V259" s="746"/>
      <c r="W259" s="746"/>
      <c r="X259" s="746"/>
      <c r="Y259" s="799"/>
      <c r="Z259" s="799"/>
      <c r="AA259" s="799"/>
      <c r="AB259" s="799"/>
      <c r="AC259" s="799"/>
      <c r="AD259" s="750"/>
      <c r="AE259" s="749"/>
      <c r="AF259" s="749"/>
      <c r="AG259" s="749"/>
      <c r="AH259" s="749"/>
      <c r="AI259" s="749"/>
      <c r="AJ259" s="749"/>
      <c r="AK259" s="749"/>
      <c r="AL259" s="749"/>
      <c r="AM259" s="749"/>
      <c r="AN259" s="749"/>
      <c r="AO259" s="749"/>
      <c r="AP259" s="749"/>
      <c r="AQ259" s="749"/>
      <c r="AR259" s="749"/>
      <c r="AS259" s="749"/>
      <c r="AT259" s="749"/>
      <c r="AU259" s="749"/>
      <c r="AV259" s="749"/>
      <c r="AW259" s="749"/>
      <c r="AX259" s="749"/>
      <c r="AY259" s="749"/>
      <c r="AZ259" s="749"/>
      <c r="BA259" s="749"/>
      <c r="BB259" s="749"/>
      <c r="BC259" s="749"/>
      <c r="BD259" s="749"/>
      <c r="BE259" s="749"/>
      <c r="BF259" s="749"/>
      <c r="BG259" s="749"/>
      <c r="BH259" s="749"/>
      <c r="BI259" s="749"/>
      <c r="BJ259" s="749"/>
      <c r="BK259" s="749"/>
      <c r="BL259" s="749"/>
    </row>
    <row r="260">
      <c r="A260" s="866"/>
      <c r="B260" s="867"/>
      <c r="C260" s="866"/>
      <c r="D260" s="866"/>
      <c r="E260" s="866"/>
      <c r="F260" s="866"/>
      <c r="G260" s="866"/>
      <c r="H260" s="866"/>
      <c r="I260" s="866"/>
      <c r="J260" s="868"/>
      <c r="K260" s="868"/>
      <c r="L260" s="799"/>
      <c r="M260" s="747"/>
      <c r="N260" s="744"/>
      <c r="O260" s="744"/>
      <c r="P260" s="744"/>
      <c r="Q260" s="744"/>
      <c r="R260" s="744"/>
      <c r="S260" s="744"/>
      <c r="T260" s="855"/>
      <c r="U260" s="746"/>
      <c r="V260" s="746"/>
      <c r="W260" s="746"/>
      <c r="X260" s="746"/>
      <c r="Y260" s="799"/>
      <c r="Z260" s="799"/>
      <c r="AA260" s="799"/>
      <c r="AB260" s="799"/>
      <c r="AC260" s="799"/>
      <c r="AD260" s="750"/>
      <c r="AE260" s="749"/>
      <c r="AF260" s="749"/>
      <c r="AG260" s="749"/>
      <c r="AH260" s="749"/>
      <c r="AI260" s="749"/>
      <c r="AJ260" s="749"/>
      <c r="AK260" s="749"/>
      <c r="AL260" s="749"/>
      <c r="AM260" s="749"/>
      <c r="AN260" s="749"/>
      <c r="AO260" s="749"/>
      <c r="AP260" s="749"/>
      <c r="AQ260" s="749"/>
      <c r="AR260" s="749"/>
      <c r="AS260" s="749"/>
      <c r="AT260" s="749"/>
      <c r="AU260" s="749"/>
      <c r="AV260" s="749"/>
      <c r="AW260" s="749"/>
      <c r="AX260" s="749"/>
      <c r="AY260" s="749"/>
      <c r="AZ260" s="749"/>
      <c r="BA260" s="749"/>
      <c r="BB260" s="749"/>
      <c r="BC260" s="749"/>
      <c r="BD260" s="749"/>
      <c r="BE260" s="749"/>
      <c r="BF260" s="749"/>
      <c r="BG260" s="749"/>
      <c r="BH260" s="749"/>
      <c r="BI260" s="749"/>
      <c r="BJ260" s="749"/>
      <c r="BK260" s="749"/>
      <c r="BL260" s="749"/>
    </row>
    <row r="261">
      <c r="A261" s="866"/>
      <c r="B261" s="867"/>
      <c r="C261" s="866"/>
      <c r="D261" s="866"/>
      <c r="E261" s="866"/>
      <c r="F261" s="866"/>
      <c r="G261" s="866"/>
      <c r="H261" s="866"/>
      <c r="I261" s="866"/>
      <c r="J261" s="868"/>
      <c r="K261" s="868"/>
      <c r="L261" s="799"/>
      <c r="M261" s="747"/>
      <c r="N261" s="744"/>
      <c r="O261" s="744"/>
      <c r="P261" s="744"/>
      <c r="Q261" s="744"/>
      <c r="R261" s="744"/>
      <c r="S261" s="744"/>
      <c r="T261" s="855"/>
      <c r="U261" s="746"/>
      <c r="V261" s="746"/>
      <c r="W261" s="746"/>
      <c r="X261" s="746"/>
      <c r="Y261" s="799"/>
      <c r="Z261" s="799"/>
      <c r="AA261" s="799"/>
      <c r="AB261" s="799"/>
      <c r="AC261" s="799"/>
      <c r="AD261" s="750"/>
      <c r="AE261" s="749"/>
      <c r="AF261" s="749"/>
      <c r="AG261" s="749"/>
      <c r="AH261" s="749"/>
      <c r="AI261" s="749"/>
      <c r="AJ261" s="749"/>
      <c r="AK261" s="749"/>
      <c r="AL261" s="749"/>
      <c r="AM261" s="749"/>
      <c r="AN261" s="749"/>
      <c r="AO261" s="749"/>
      <c r="AP261" s="749"/>
      <c r="AQ261" s="749"/>
      <c r="AR261" s="749"/>
      <c r="AS261" s="749"/>
      <c r="AT261" s="749"/>
      <c r="AU261" s="749"/>
      <c r="AV261" s="749"/>
      <c r="AW261" s="749"/>
      <c r="AX261" s="749"/>
      <c r="AY261" s="749"/>
      <c r="AZ261" s="749"/>
      <c r="BA261" s="749"/>
      <c r="BB261" s="749"/>
      <c r="BC261" s="749"/>
      <c r="BD261" s="749"/>
      <c r="BE261" s="749"/>
      <c r="BF261" s="749"/>
      <c r="BG261" s="749"/>
      <c r="BH261" s="749"/>
      <c r="BI261" s="749"/>
      <c r="BJ261" s="749"/>
      <c r="BK261" s="749"/>
      <c r="BL261" s="749"/>
    </row>
    <row r="262">
      <c r="A262" s="866"/>
      <c r="B262" s="867"/>
      <c r="C262" s="866"/>
      <c r="D262" s="866"/>
      <c r="E262" s="866"/>
      <c r="F262" s="866"/>
      <c r="G262" s="866"/>
      <c r="H262" s="866"/>
      <c r="I262" s="866"/>
      <c r="J262" s="868"/>
      <c r="K262" s="868"/>
      <c r="L262" s="799"/>
      <c r="M262" s="747"/>
      <c r="N262" s="744"/>
      <c r="O262" s="744"/>
      <c r="P262" s="744"/>
      <c r="Q262" s="744"/>
      <c r="R262" s="744"/>
      <c r="S262" s="744"/>
      <c r="T262" s="855"/>
      <c r="U262" s="746"/>
      <c r="V262" s="746"/>
      <c r="W262" s="746"/>
      <c r="X262" s="746"/>
      <c r="Y262" s="799"/>
      <c r="Z262" s="799"/>
      <c r="AA262" s="799"/>
      <c r="AB262" s="799"/>
      <c r="AC262" s="799"/>
      <c r="AD262" s="750"/>
      <c r="AE262" s="749"/>
      <c r="AF262" s="749"/>
      <c r="AG262" s="749"/>
      <c r="AH262" s="749"/>
      <c r="AI262" s="749"/>
      <c r="AJ262" s="749"/>
      <c r="AK262" s="749"/>
      <c r="AL262" s="749"/>
      <c r="AM262" s="749"/>
      <c r="AN262" s="749"/>
      <c r="AO262" s="749"/>
      <c r="AP262" s="749"/>
      <c r="AQ262" s="749"/>
      <c r="AR262" s="749"/>
      <c r="AS262" s="749"/>
      <c r="AT262" s="749"/>
      <c r="AU262" s="749"/>
      <c r="AV262" s="749"/>
      <c r="AW262" s="749"/>
      <c r="AX262" s="749"/>
      <c r="AY262" s="749"/>
      <c r="AZ262" s="749"/>
      <c r="BA262" s="749"/>
      <c r="BB262" s="749"/>
      <c r="BC262" s="749"/>
      <c r="BD262" s="749"/>
      <c r="BE262" s="749"/>
      <c r="BF262" s="749"/>
      <c r="BG262" s="749"/>
      <c r="BH262" s="749"/>
      <c r="BI262" s="749"/>
      <c r="BJ262" s="749"/>
      <c r="BK262" s="749"/>
      <c r="BL262" s="749"/>
    </row>
    <row r="263">
      <c r="A263" s="866"/>
      <c r="B263" s="867"/>
      <c r="C263" s="866"/>
      <c r="D263" s="866"/>
      <c r="E263" s="866"/>
      <c r="F263" s="866"/>
      <c r="G263" s="866"/>
      <c r="H263" s="866"/>
      <c r="I263" s="866"/>
      <c r="J263" s="868"/>
      <c r="K263" s="868"/>
      <c r="L263" s="799"/>
      <c r="M263" s="747"/>
      <c r="N263" s="744"/>
      <c r="O263" s="744"/>
      <c r="P263" s="744"/>
      <c r="Q263" s="744"/>
      <c r="R263" s="744"/>
      <c r="S263" s="744"/>
      <c r="T263" s="855"/>
      <c r="U263" s="746"/>
      <c r="V263" s="746"/>
      <c r="W263" s="746"/>
      <c r="X263" s="746"/>
      <c r="Y263" s="799"/>
      <c r="Z263" s="799"/>
      <c r="AA263" s="799"/>
      <c r="AB263" s="799"/>
      <c r="AC263" s="799"/>
      <c r="AD263" s="750"/>
      <c r="AE263" s="749"/>
      <c r="AF263" s="749"/>
      <c r="AG263" s="749"/>
      <c r="AH263" s="749"/>
      <c r="AI263" s="749"/>
      <c r="AJ263" s="749"/>
      <c r="AK263" s="749"/>
      <c r="AL263" s="749"/>
      <c r="AM263" s="749"/>
      <c r="AN263" s="749"/>
      <c r="AO263" s="749"/>
      <c r="AP263" s="749"/>
      <c r="AQ263" s="749"/>
      <c r="AR263" s="749"/>
      <c r="AS263" s="749"/>
      <c r="AT263" s="749"/>
      <c r="AU263" s="749"/>
      <c r="AV263" s="749"/>
      <c r="AW263" s="749"/>
      <c r="AX263" s="749"/>
      <c r="AY263" s="749"/>
      <c r="AZ263" s="749"/>
      <c r="BA263" s="749"/>
      <c r="BB263" s="749"/>
      <c r="BC263" s="749"/>
      <c r="BD263" s="749"/>
      <c r="BE263" s="749"/>
      <c r="BF263" s="749"/>
      <c r="BG263" s="749"/>
      <c r="BH263" s="749"/>
      <c r="BI263" s="749"/>
      <c r="BJ263" s="749"/>
      <c r="BK263" s="749"/>
      <c r="BL263" s="749"/>
    </row>
    <row r="264">
      <c r="A264" s="866"/>
      <c r="B264" s="867"/>
      <c r="C264" s="866"/>
      <c r="D264" s="866"/>
      <c r="E264" s="866"/>
      <c r="F264" s="866"/>
      <c r="G264" s="866"/>
      <c r="H264" s="866"/>
      <c r="I264" s="866"/>
      <c r="J264" s="868"/>
      <c r="K264" s="868"/>
      <c r="L264" s="799"/>
      <c r="M264" s="747"/>
      <c r="N264" s="744"/>
      <c r="O264" s="744"/>
      <c r="P264" s="744"/>
      <c r="Q264" s="744"/>
      <c r="R264" s="744"/>
      <c r="S264" s="744"/>
      <c r="T264" s="855"/>
      <c r="U264" s="746"/>
      <c r="V264" s="746"/>
      <c r="W264" s="746"/>
      <c r="X264" s="746"/>
      <c r="Y264" s="799"/>
      <c r="Z264" s="799"/>
      <c r="AA264" s="799"/>
      <c r="AB264" s="799"/>
      <c r="AC264" s="799"/>
      <c r="AD264" s="750"/>
      <c r="AE264" s="749"/>
      <c r="AF264" s="749"/>
      <c r="AG264" s="749"/>
      <c r="AH264" s="749"/>
      <c r="AI264" s="749"/>
      <c r="AJ264" s="749"/>
      <c r="AK264" s="749"/>
      <c r="AL264" s="749"/>
      <c r="AM264" s="749"/>
      <c r="AN264" s="749"/>
      <c r="AO264" s="749"/>
      <c r="AP264" s="749"/>
      <c r="AQ264" s="749"/>
      <c r="AR264" s="749"/>
      <c r="AS264" s="749"/>
      <c r="AT264" s="749"/>
      <c r="AU264" s="749"/>
      <c r="AV264" s="749"/>
      <c r="AW264" s="749"/>
      <c r="AX264" s="749"/>
      <c r="AY264" s="749"/>
      <c r="AZ264" s="749"/>
      <c r="BA264" s="749"/>
      <c r="BB264" s="749"/>
      <c r="BC264" s="749"/>
      <c r="BD264" s="749"/>
      <c r="BE264" s="749"/>
      <c r="BF264" s="749"/>
      <c r="BG264" s="749"/>
      <c r="BH264" s="749"/>
      <c r="BI264" s="749"/>
      <c r="BJ264" s="749"/>
      <c r="BK264" s="749"/>
      <c r="BL264" s="749"/>
    </row>
    <row r="265">
      <c r="A265" s="866"/>
      <c r="B265" s="867"/>
      <c r="C265" s="866"/>
      <c r="D265" s="866"/>
      <c r="E265" s="866"/>
      <c r="F265" s="866"/>
      <c r="G265" s="866"/>
      <c r="H265" s="866"/>
      <c r="I265" s="866"/>
      <c r="J265" s="868"/>
      <c r="K265" s="868"/>
      <c r="L265" s="799"/>
      <c r="M265" s="747"/>
      <c r="N265" s="744"/>
      <c r="O265" s="744"/>
      <c r="P265" s="744"/>
      <c r="Q265" s="744"/>
      <c r="R265" s="744"/>
      <c r="S265" s="744"/>
      <c r="T265" s="855"/>
      <c r="U265" s="746"/>
      <c r="V265" s="746"/>
      <c r="W265" s="746"/>
      <c r="X265" s="746"/>
      <c r="Y265" s="799"/>
      <c r="Z265" s="799"/>
      <c r="AA265" s="799"/>
      <c r="AB265" s="799"/>
      <c r="AC265" s="799"/>
      <c r="AD265" s="750"/>
      <c r="AE265" s="749"/>
      <c r="AF265" s="749"/>
      <c r="AG265" s="749"/>
      <c r="AH265" s="749"/>
      <c r="AI265" s="749"/>
      <c r="AJ265" s="749"/>
      <c r="AK265" s="749"/>
      <c r="AL265" s="749"/>
      <c r="AM265" s="749"/>
      <c r="AN265" s="749"/>
      <c r="AO265" s="749"/>
      <c r="AP265" s="749"/>
      <c r="AQ265" s="749"/>
      <c r="AR265" s="749"/>
      <c r="AS265" s="749"/>
      <c r="AT265" s="749"/>
      <c r="AU265" s="749"/>
      <c r="AV265" s="749"/>
      <c r="AW265" s="749"/>
      <c r="AX265" s="749"/>
      <c r="AY265" s="749"/>
      <c r="AZ265" s="749"/>
      <c r="BA265" s="749"/>
      <c r="BB265" s="749"/>
      <c r="BC265" s="749"/>
      <c r="BD265" s="749"/>
      <c r="BE265" s="749"/>
      <c r="BF265" s="749"/>
      <c r="BG265" s="749"/>
      <c r="BH265" s="749"/>
      <c r="BI265" s="749"/>
      <c r="BJ265" s="749"/>
      <c r="BK265" s="749"/>
      <c r="BL265" s="749"/>
    </row>
    <row r="266">
      <c r="A266" s="866"/>
      <c r="B266" s="867"/>
      <c r="C266" s="866"/>
      <c r="D266" s="866"/>
      <c r="E266" s="866"/>
      <c r="F266" s="866"/>
      <c r="G266" s="866"/>
      <c r="H266" s="866"/>
      <c r="I266" s="866"/>
      <c r="J266" s="868"/>
      <c r="K266" s="868"/>
      <c r="L266" s="799"/>
      <c r="M266" s="747"/>
      <c r="N266" s="744"/>
      <c r="O266" s="744"/>
      <c r="P266" s="744"/>
      <c r="Q266" s="744"/>
      <c r="R266" s="744"/>
      <c r="S266" s="744"/>
      <c r="T266" s="855"/>
      <c r="U266" s="746"/>
      <c r="V266" s="746"/>
      <c r="W266" s="746"/>
      <c r="X266" s="746"/>
      <c r="Y266" s="799"/>
      <c r="Z266" s="799"/>
      <c r="AA266" s="799"/>
      <c r="AB266" s="799"/>
      <c r="AC266" s="799"/>
      <c r="AD266" s="750"/>
      <c r="AE266" s="749"/>
      <c r="AF266" s="749"/>
      <c r="AG266" s="749"/>
      <c r="AH266" s="749"/>
      <c r="AI266" s="749"/>
      <c r="AJ266" s="749"/>
      <c r="AK266" s="749"/>
      <c r="AL266" s="749"/>
      <c r="AM266" s="749"/>
      <c r="AN266" s="749"/>
      <c r="AO266" s="749"/>
      <c r="AP266" s="749"/>
      <c r="AQ266" s="749"/>
      <c r="AR266" s="749"/>
      <c r="AS266" s="749"/>
      <c r="AT266" s="749"/>
      <c r="AU266" s="749"/>
      <c r="AV266" s="749"/>
      <c r="AW266" s="749"/>
      <c r="AX266" s="749"/>
      <c r="AY266" s="749"/>
      <c r="AZ266" s="749"/>
      <c r="BA266" s="749"/>
      <c r="BB266" s="749"/>
      <c r="BC266" s="749"/>
      <c r="BD266" s="749"/>
      <c r="BE266" s="749"/>
      <c r="BF266" s="749"/>
      <c r="BG266" s="749"/>
      <c r="BH266" s="749"/>
      <c r="BI266" s="749"/>
      <c r="BJ266" s="749"/>
      <c r="BK266" s="749"/>
      <c r="BL266" s="749"/>
    </row>
    <row r="267">
      <c r="A267" s="866"/>
      <c r="B267" s="867"/>
      <c r="C267" s="866"/>
      <c r="D267" s="866"/>
      <c r="E267" s="866"/>
      <c r="F267" s="866"/>
      <c r="G267" s="866"/>
      <c r="H267" s="866"/>
      <c r="I267" s="866"/>
      <c r="J267" s="868"/>
      <c r="K267" s="868"/>
      <c r="L267" s="799"/>
      <c r="M267" s="747"/>
      <c r="N267" s="744"/>
      <c r="O267" s="744"/>
      <c r="P267" s="744"/>
      <c r="Q267" s="744"/>
      <c r="R267" s="744"/>
      <c r="S267" s="744"/>
      <c r="T267" s="855"/>
      <c r="U267" s="746"/>
      <c r="V267" s="746"/>
      <c r="W267" s="746"/>
      <c r="X267" s="746"/>
      <c r="Y267" s="799"/>
      <c r="Z267" s="799"/>
      <c r="AA267" s="799"/>
      <c r="AB267" s="799"/>
      <c r="AC267" s="799"/>
      <c r="AD267" s="750"/>
      <c r="AE267" s="749"/>
      <c r="AF267" s="749"/>
      <c r="AG267" s="749"/>
      <c r="AH267" s="749"/>
      <c r="AI267" s="749"/>
      <c r="AJ267" s="749"/>
      <c r="AK267" s="749"/>
      <c r="AL267" s="749"/>
      <c r="AM267" s="749"/>
      <c r="AN267" s="749"/>
      <c r="AO267" s="749"/>
      <c r="AP267" s="749"/>
      <c r="AQ267" s="749"/>
      <c r="AR267" s="749"/>
      <c r="AS267" s="749"/>
      <c r="AT267" s="749"/>
      <c r="AU267" s="749"/>
      <c r="AV267" s="749"/>
      <c r="AW267" s="749"/>
      <c r="AX267" s="749"/>
      <c r="AY267" s="749"/>
      <c r="AZ267" s="749"/>
      <c r="BA267" s="749"/>
      <c r="BB267" s="749"/>
      <c r="BC267" s="749"/>
      <c r="BD267" s="749"/>
      <c r="BE267" s="749"/>
      <c r="BF267" s="749"/>
      <c r="BG267" s="749"/>
      <c r="BH267" s="749"/>
      <c r="BI267" s="749"/>
      <c r="BJ267" s="749"/>
      <c r="BK267" s="749"/>
      <c r="BL267" s="749"/>
    </row>
    <row r="268">
      <c r="A268" s="866"/>
      <c r="B268" s="867"/>
      <c r="C268" s="866"/>
      <c r="D268" s="866"/>
      <c r="E268" s="866"/>
      <c r="F268" s="866"/>
      <c r="G268" s="866"/>
      <c r="H268" s="866"/>
      <c r="I268" s="866"/>
      <c r="J268" s="868"/>
      <c r="K268" s="868"/>
      <c r="L268" s="799"/>
      <c r="M268" s="747"/>
      <c r="N268" s="744"/>
      <c r="O268" s="744"/>
      <c r="P268" s="744"/>
      <c r="Q268" s="744"/>
      <c r="R268" s="744"/>
      <c r="S268" s="744"/>
      <c r="T268" s="855"/>
      <c r="U268" s="746"/>
      <c r="V268" s="746"/>
      <c r="W268" s="746"/>
      <c r="X268" s="746"/>
      <c r="Y268" s="799"/>
      <c r="Z268" s="799"/>
      <c r="AA268" s="799"/>
      <c r="AB268" s="799"/>
      <c r="AC268" s="799"/>
      <c r="AD268" s="750"/>
      <c r="AE268" s="749"/>
      <c r="AF268" s="749"/>
      <c r="AG268" s="749"/>
      <c r="AH268" s="749"/>
      <c r="AI268" s="749"/>
      <c r="AJ268" s="749"/>
      <c r="AK268" s="749"/>
      <c r="AL268" s="749"/>
      <c r="AM268" s="749"/>
      <c r="AN268" s="749"/>
      <c r="AO268" s="749"/>
      <c r="AP268" s="749"/>
      <c r="AQ268" s="749"/>
      <c r="AR268" s="749"/>
      <c r="AS268" s="749"/>
      <c r="AT268" s="749"/>
      <c r="AU268" s="749"/>
      <c r="AV268" s="749"/>
      <c r="AW268" s="749"/>
      <c r="AX268" s="749"/>
      <c r="AY268" s="749"/>
      <c r="AZ268" s="749"/>
      <c r="BA268" s="749"/>
      <c r="BB268" s="749"/>
      <c r="BC268" s="749"/>
      <c r="BD268" s="749"/>
      <c r="BE268" s="749"/>
      <c r="BF268" s="749"/>
      <c r="BG268" s="749"/>
      <c r="BH268" s="749"/>
      <c r="BI268" s="749"/>
      <c r="BJ268" s="749"/>
      <c r="BK268" s="749"/>
      <c r="BL268" s="749"/>
    </row>
    <row r="269">
      <c r="A269" s="866"/>
      <c r="B269" s="867"/>
      <c r="C269" s="866"/>
      <c r="D269" s="866"/>
      <c r="E269" s="866"/>
      <c r="F269" s="866"/>
      <c r="G269" s="866"/>
      <c r="H269" s="866"/>
      <c r="I269" s="866"/>
      <c r="J269" s="868"/>
      <c r="K269" s="868"/>
      <c r="L269" s="799"/>
      <c r="M269" s="747"/>
      <c r="N269" s="744"/>
      <c r="O269" s="744"/>
      <c r="P269" s="744"/>
      <c r="Q269" s="744"/>
      <c r="R269" s="744"/>
      <c r="S269" s="744"/>
      <c r="T269" s="855"/>
      <c r="U269" s="746"/>
      <c r="V269" s="746"/>
      <c r="W269" s="746"/>
      <c r="X269" s="746"/>
      <c r="Y269" s="799"/>
      <c r="Z269" s="799"/>
      <c r="AA269" s="799"/>
      <c r="AB269" s="799"/>
      <c r="AC269" s="799"/>
      <c r="AD269" s="750"/>
      <c r="AE269" s="749"/>
      <c r="AF269" s="749"/>
      <c r="AG269" s="749"/>
      <c r="AH269" s="749"/>
      <c r="AI269" s="749"/>
      <c r="AJ269" s="749"/>
      <c r="AK269" s="749"/>
      <c r="AL269" s="749"/>
      <c r="AM269" s="749"/>
      <c r="AN269" s="749"/>
      <c r="AO269" s="749"/>
      <c r="AP269" s="749"/>
      <c r="AQ269" s="749"/>
      <c r="AR269" s="749"/>
      <c r="AS269" s="749"/>
      <c r="AT269" s="749"/>
      <c r="AU269" s="749"/>
      <c r="AV269" s="749"/>
      <c r="AW269" s="749"/>
      <c r="AX269" s="749"/>
      <c r="AY269" s="749"/>
      <c r="AZ269" s="749"/>
      <c r="BA269" s="749"/>
      <c r="BB269" s="749"/>
      <c r="BC269" s="749"/>
      <c r="BD269" s="749"/>
      <c r="BE269" s="749"/>
      <c r="BF269" s="749"/>
      <c r="BG269" s="749"/>
      <c r="BH269" s="749"/>
      <c r="BI269" s="749"/>
      <c r="BJ269" s="749"/>
      <c r="BK269" s="749"/>
      <c r="BL269" s="749"/>
    </row>
    <row r="270">
      <c r="A270" s="866"/>
      <c r="B270" s="867"/>
      <c r="C270" s="866"/>
      <c r="D270" s="866"/>
      <c r="E270" s="866"/>
      <c r="F270" s="866"/>
      <c r="G270" s="866"/>
      <c r="H270" s="866"/>
      <c r="I270" s="866"/>
      <c r="J270" s="868"/>
      <c r="K270" s="868"/>
      <c r="L270" s="799"/>
      <c r="M270" s="747"/>
      <c r="N270" s="744"/>
      <c r="O270" s="744"/>
      <c r="P270" s="744"/>
      <c r="Q270" s="744"/>
      <c r="R270" s="744"/>
      <c r="S270" s="744"/>
      <c r="T270" s="855"/>
      <c r="U270" s="746"/>
      <c r="V270" s="746"/>
      <c r="W270" s="746"/>
      <c r="X270" s="746"/>
      <c r="Y270" s="799"/>
      <c r="Z270" s="799"/>
      <c r="AA270" s="799"/>
      <c r="AB270" s="799"/>
      <c r="AC270" s="799"/>
      <c r="AD270" s="750"/>
      <c r="AE270" s="749"/>
      <c r="AF270" s="749"/>
      <c r="AG270" s="749"/>
      <c r="AH270" s="749"/>
      <c r="AI270" s="749"/>
      <c r="AJ270" s="749"/>
      <c r="AK270" s="749"/>
      <c r="AL270" s="749"/>
      <c r="AM270" s="749"/>
      <c r="AN270" s="749"/>
      <c r="AO270" s="749"/>
      <c r="AP270" s="749"/>
      <c r="AQ270" s="749"/>
      <c r="AR270" s="749"/>
      <c r="AS270" s="749"/>
      <c r="AT270" s="749"/>
      <c r="AU270" s="749"/>
      <c r="AV270" s="749"/>
      <c r="AW270" s="749"/>
      <c r="AX270" s="749"/>
      <c r="AY270" s="749"/>
      <c r="AZ270" s="749"/>
      <c r="BA270" s="749"/>
      <c r="BB270" s="749"/>
      <c r="BC270" s="749"/>
      <c r="BD270" s="749"/>
      <c r="BE270" s="749"/>
      <c r="BF270" s="749"/>
      <c r="BG270" s="749"/>
      <c r="BH270" s="749"/>
      <c r="BI270" s="749"/>
      <c r="BJ270" s="749"/>
      <c r="BK270" s="749"/>
      <c r="BL270" s="749"/>
    </row>
    <row r="271">
      <c r="A271" s="866"/>
      <c r="B271" s="867"/>
      <c r="C271" s="866"/>
      <c r="D271" s="866"/>
      <c r="E271" s="866"/>
      <c r="F271" s="866"/>
      <c r="G271" s="866"/>
      <c r="H271" s="866"/>
      <c r="I271" s="866"/>
      <c r="J271" s="868"/>
      <c r="K271" s="868"/>
      <c r="L271" s="799"/>
      <c r="M271" s="747"/>
      <c r="N271" s="744"/>
      <c r="O271" s="744"/>
      <c r="P271" s="744"/>
      <c r="Q271" s="744"/>
      <c r="R271" s="744"/>
      <c r="S271" s="744"/>
      <c r="T271" s="855"/>
      <c r="U271" s="746"/>
      <c r="V271" s="746"/>
      <c r="W271" s="746"/>
      <c r="X271" s="746"/>
      <c r="Y271" s="799"/>
      <c r="Z271" s="799"/>
      <c r="AA271" s="799"/>
      <c r="AB271" s="799"/>
      <c r="AC271" s="799"/>
      <c r="AD271" s="750"/>
      <c r="AE271" s="749"/>
      <c r="AF271" s="749"/>
      <c r="AG271" s="749"/>
      <c r="AH271" s="749"/>
      <c r="AI271" s="749"/>
      <c r="AJ271" s="749"/>
      <c r="AK271" s="749"/>
      <c r="AL271" s="749"/>
      <c r="AM271" s="749"/>
      <c r="AN271" s="749"/>
      <c r="AO271" s="749"/>
      <c r="AP271" s="749"/>
      <c r="AQ271" s="749"/>
      <c r="AR271" s="749"/>
      <c r="AS271" s="749"/>
      <c r="AT271" s="749"/>
      <c r="AU271" s="749"/>
      <c r="AV271" s="749"/>
      <c r="AW271" s="749"/>
      <c r="AX271" s="749"/>
      <c r="AY271" s="749"/>
      <c r="AZ271" s="749"/>
      <c r="BA271" s="749"/>
      <c r="BB271" s="749"/>
      <c r="BC271" s="749"/>
      <c r="BD271" s="749"/>
      <c r="BE271" s="749"/>
      <c r="BF271" s="749"/>
      <c r="BG271" s="749"/>
      <c r="BH271" s="749"/>
      <c r="BI271" s="749"/>
      <c r="BJ271" s="749"/>
      <c r="BK271" s="749"/>
      <c r="BL271" s="749"/>
    </row>
    <row r="272">
      <c r="A272" s="866"/>
      <c r="B272" s="867"/>
      <c r="C272" s="866"/>
      <c r="D272" s="866"/>
      <c r="E272" s="866"/>
      <c r="F272" s="866"/>
      <c r="G272" s="866"/>
      <c r="H272" s="866"/>
      <c r="I272" s="866"/>
      <c r="J272" s="868"/>
      <c r="K272" s="868"/>
      <c r="L272" s="799"/>
      <c r="M272" s="747"/>
      <c r="N272" s="744"/>
      <c r="O272" s="744"/>
      <c r="P272" s="744"/>
      <c r="Q272" s="744"/>
      <c r="R272" s="744"/>
      <c r="S272" s="744"/>
      <c r="T272" s="855"/>
      <c r="U272" s="746"/>
      <c r="V272" s="746"/>
      <c r="W272" s="746"/>
      <c r="X272" s="746"/>
      <c r="Y272" s="799"/>
      <c r="Z272" s="799"/>
      <c r="AA272" s="799"/>
      <c r="AB272" s="799"/>
      <c r="AC272" s="799"/>
      <c r="AD272" s="750"/>
      <c r="AE272" s="749"/>
      <c r="AF272" s="749"/>
      <c r="AG272" s="749"/>
      <c r="AH272" s="749"/>
      <c r="AI272" s="749"/>
      <c r="AJ272" s="749"/>
      <c r="AK272" s="749"/>
      <c r="AL272" s="749"/>
      <c r="AM272" s="749"/>
      <c r="AN272" s="749"/>
      <c r="AO272" s="749"/>
      <c r="AP272" s="749"/>
      <c r="AQ272" s="749"/>
      <c r="AR272" s="749"/>
      <c r="AS272" s="749"/>
      <c r="AT272" s="749"/>
      <c r="AU272" s="749"/>
      <c r="AV272" s="749"/>
      <c r="AW272" s="749"/>
      <c r="AX272" s="749"/>
      <c r="AY272" s="749"/>
      <c r="AZ272" s="749"/>
      <c r="BA272" s="749"/>
      <c r="BB272" s="749"/>
      <c r="BC272" s="749"/>
      <c r="BD272" s="749"/>
      <c r="BE272" s="749"/>
      <c r="BF272" s="749"/>
      <c r="BG272" s="749"/>
      <c r="BH272" s="749"/>
      <c r="BI272" s="749"/>
      <c r="BJ272" s="749"/>
      <c r="BK272" s="749"/>
      <c r="BL272" s="749"/>
    </row>
    <row r="273">
      <c r="A273" s="866"/>
      <c r="B273" s="867"/>
      <c r="C273" s="866"/>
      <c r="D273" s="866"/>
      <c r="E273" s="866"/>
      <c r="F273" s="866"/>
      <c r="G273" s="866"/>
      <c r="H273" s="866"/>
      <c r="I273" s="866"/>
      <c r="J273" s="868"/>
      <c r="K273" s="868"/>
      <c r="L273" s="799"/>
      <c r="M273" s="747"/>
      <c r="N273" s="744"/>
      <c r="O273" s="744"/>
      <c r="P273" s="744"/>
      <c r="Q273" s="744"/>
      <c r="R273" s="744"/>
      <c r="S273" s="744"/>
      <c r="T273" s="855"/>
      <c r="U273" s="746"/>
      <c r="V273" s="746"/>
      <c r="W273" s="746"/>
      <c r="X273" s="746"/>
      <c r="Y273" s="799"/>
      <c r="Z273" s="799"/>
      <c r="AA273" s="799"/>
      <c r="AB273" s="799"/>
      <c r="AC273" s="799"/>
      <c r="AD273" s="750"/>
      <c r="AE273" s="749"/>
      <c r="AF273" s="749"/>
      <c r="AG273" s="749"/>
      <c r="AH273" s="749"/>
      <c r="AI273" s="749"/>
      <c r="AJ273" s="749"/>
      <c r="AK273" s="749"/>
      <c r="AL273" s="749"/>
      <c r="AM273" s="749"/>
      <c r="AN273" s="749"/>
      <c r="AO273" s="749"/>
      <c r="AP273" s="749"/>
      <c r="AQ273" s="749"/>
      <c r="AR273" s="749"/>
      <c r="AS273" s="749"/>
      <c r="AT273" s="749"/>
      <c r="AU273" s="749"/>
      <c r="AV273" s="749"/>
      <c r="AW273" s="749"/>
      <c r="AX273" s="749"/>
      <c r="AY273" s="749"/>
      <c r="AZ273" s="749"/>
      <c r="BA273" s="749"/>
      <c r="BB273" s="749"/>
      <c r="BC273" s="749"/>
      <c r="BD273" s="749"/>
      <c r="BE273" s="749"/>
      <c r="BF273" s="749"/>
      <c r="BG273" s="749"/>
      <c r="BH273" s="749"/>
      <c r="BI273" s="749"/>
      <c r="BJ273" s="749"/>
      <c r="BK273" s="749"/>
      <c r="BL273" s="749"/>
    </row>
    <row r="274">
      <c r="A274" s="866"/>
      <c r="B274" s="867"/>
      <c r="C274" s="866"/>
      <c r="D274" s="866"/>
      <c r="E274" s="866"/>
      <c r="F274" s="866"/>
      <c r="G274" s="866"/>
      <c r="H274" s="866"/>
      <c r="I274" s="866"/>
      <c r="J274" s="868"/>
      <c r="K274" s="868"/>
      <c r="L274" s="799"/>
      <c r="M274" s="747"/>
      <c r="N274" s="744"/>
      <c r="O274" s="744"/>
      <c r="P274" s="744"/>
      <c r="Q274" s="744"/>
      <c r="R274" s="744"/>
      <c r="S274" s="744"/>
      <c r="T274" s="855"/>
      <c r="U274" s="746"/>
      <c r="V274" s="746"/>
      <c r="W274" s="746"/>
      <c r="X274" s="746"/>
      <c r="Y274" s="799"/>
      <c r="Z274" s="799"/>
      <c r="AA274" s="799"/>
      <c r="AB274" s="799"/>
      <c r="AC274" s="799"/>
      <c r="AD274" s="750"/>
      <c r="AE274" s="749"/>
      <c r="AF274" s="749"/>
      <c r="AG274" s="749"/>
      <c r="AH274" s="749"/>
      <c r="AI274" s="749"/>
      <c r="AJ274" s="749"/>
      <c r="AK274" s="749"/>
      <c r="AL274" s="749"/>
      <c r="AM274" s="749"/>
      <c r="AN274" s="749"/>
      <c r="AO274" s="749"/>
      <c r="AP274" s="749"/>
      <c r="AQ274" s="749"/>
      <c r="AR274" s="749"/>
      <c r="AS274" s="749"/>
      <c r="AT274" s="749"/>
      <c r="AU274" s="749"/>
      <c r="AV274" s="749"/>
      <c r="AW274" s="749"/>
      <c r="AX274" s="749"/>
      <c r="AY274" s="749"/>
      <c r="AZ274" s="749"/>
      <c r="BA274" s="749"/>
      <c r="BB274" s="749"/>
      <c r="BC274" s="749"/>
      <c r="BD274" s="749"/>
      <c r="BE274" s="749"/>
      <c r="BF274" s="749"/>
      <c r="BG274" s="749"/>
      <c r="BH274" s="749"/>
      <c r="BI274" s="749"/>
      <c r="BJ274" s="749"/>
      <c r="BK274" s="749"/>
      <c r="BL274" s="749"/>
    </row>
    <row r="275">
      <c r="A275" s="866"/>
      <c r="B275" s="867"/>
      <c r="C275" s="866"/>
      <c r="D275" s="866"/>
      <c r="E275" s="866"/>
      <c r="F275" s="866"/>
      <c r="G275" s="866"/>
      <c r="H275" s="866"/>
      <c r="I275" s="866"/>
      <c r="J275" s="868"/>
      <c r="K275" s="868"/>
      <c r="L275" s="799"/>
      <c r="M275" s="747"/>
      <c r="N275" s="744"/>
      <c r="O275" s="744"/>
      <c r="P275" s="744"/>
      <c r="Q275" s="744"/>
      <c r="R275" s="744"/>
      <c r="S275" s="744"/>
      <c r="T275" s="855"/>
      <c r="U275" s="746"/>
      <c r="V275" s="746"/>
      <c r="W275" s="746"/>
      <c r="X275" s="746"/>
      <c r="Y275" s="799"/>
      <c r="Z275" s="799"/>
      <c r="AA275" s="799"/>
      <c r="AB275" s="799"/>
      <c r="AC275" s="799"/>
      <c r="AD275" s="750"/>
      <c r="AE275" s="749"/>
      <c r="AF275" s="749"/>
      <c r="AG275" s="749"/>
      <c r="AH275" s="749"/>
      <c r="AI275" s="749"/>
      <c r="AJ275" s="749"/>
      <c r="AK275" s="749"/>
      <c r="AL275" s="749"/>
      <c r="AM275" s="749"/>
      <c r="AN275" s="749"/>
      <c r="AO275" s="749"/>
      <c r="AP275" s="749"/>
      <c r="AQ275" s="749"/>
      <c r="AR275" s="749"/>
      <c r="AS275" s="749"/>
      <c r="AT275" s="749"/>
      <c r="AU275" s="749"/>
      <c r="AV275" s="749"/>
      <c r="AW275" s="749"/>
      <c r="AX275" s="749"/>
      <c r="AY275" s="749"/>
      <c r="AZ275" s="749"/>
      <c r="BA275" s="749"/>
      <c r="BB275" s="749"/>
      <c r="BC275" s="749"/>
      <c r="BD275" s="749"/>
      <c r="BE275" s="749"/>
      <c r="BF275" s="749"/>
      <c r="BG275" s="749"/>
      <c r="BH275" s="749"/>
      <c r="BI275" s="749"/>
      <c r="BJ275" s="749"/>
      <c r="BK275" s="749"/>
      <c r="BL275" s="749"/>
    </row>
    <row r="276">
      <c r="A276" s="866"/>
      <c r="B276" s="867"/>
      <c r="C276" s="866"/>
      <c r="D276" s="866"/>
      <c r="E276" s="866"/>
      <c r="F276" s="866"/>
      <c r="G276" s="866"/>
      <c r="H276" s="866"/>
      <c r="I276" s="866"/>
      <c r="J276" s="868"/>
      <c r="K276" s="868"/>
      <c r="L276" s="799"/>
      <c r="M276" s="747"/>
      <c r="N276" s="744"/>
      <c r="O276" s="744"/>
      <c r="P276" s="744"/>
      <c r="Q276" s="744"/>
      <c r="R276" s="744"/>
      <c r="S276" s="744"/>
      <c r="T276" s="855"/>
      <c r="U276" s="746"/>
      <c r="V276" s="746"/>
      <c r="W276" s="746"/>
      <c r="X276" s="746"/>
      <c r="Y276" s="799"/>
      <c r="Z276" s="799"/>
      <c r="AA276" s="799"/>
      <c r="AB276" s="799"/>
      <c r="AC276" s="799"/>
      <c r="AD276" s="750"/>
      <c r="AE276" s="749"/>
      <c r="AF276" s="749"/>
      <c r="AG276" s="749"/>
      <c r="AH276" s="749"/>
      <c r="AI276" s="749"/>
      <c r="AJ276" s="749"/>
      <c r="AK276" s="749"/>
      <c r="AL276" s="749"/>
      <c r="AM276" s="749"/>
      <c r="AN276" s="749"/>
      <c r="AO276" s="749"/>
      <c r="AP276" s="749"/>
      <c r="AQ276" s="749"/>
      <c r="AR276" s="749"/>
      <c r="AS276" s="749"/>
      <c r="AT276" s="749"/>
      <c r="AU276" s="749"/>
      <c r="AV276" s="749"/>
      <c r="AW276" s="749"/>
      <c r="AX276" s="749"/>
      <c r="AY276" s="749"/>
      <c r="AZ276" s="749"/>
      <c r="BA276" s="749"/>
      <c r="BB276" s="749"/>
      <c r="BC276" s="749"/>
      <c r="BD276" s="749"/>
      <c r="BE276" s="749"/>
      <c r="BF276" s="749"/>
      <c r="BG276" s="749"/>
      <c r="BH276" s="749"/>
      <c r="BI276" s="749"/>
      <c r="BJ276" s="749"/>
      <c r="BK276" s="749"/>
      <c r="BL276" s="749"/>
    </row>
    <row r="277">
      <c r="A277" s="866"/>
      <c r="B277" s="867"/>
      <c r="C277" s="866"/>
      <c r="D277" s="866"/>
      <c r="E277" s="866"/>
      <c r="F277" s="866"/>
      <c r="G277" s="866"/>
      <c r="H277" s="866"/>
      <c r="I277" s="866"/>
      <c r="J277" s="868"/>
      <c r="K277" s="868"/>
      <c r="L277" s="799"/>
      <c r="M277" s="747"/>
      <c r="N277" s="744"/>
      <c r="O277" s="744"/>
      <c r="P277" s="744"/>
      <c r="Q277" s="744"/>
      <c r="R277" s="744"/>
      <c r="S277" s="744"/>
      <c r="T277" s="855"/>
      <c r="U277" s="746"/>
      <c r="V277" s="746"/>
      <c r="W277" s="746"/>
      <c r="X277" s="746"/>
      <c r="Y277" s="799"/>
      <c r="Z277" s="799"/>
      <c r="AA277" s="799"/>
      <c r="AB277" s="799"/>
      <c r="AC277" s="799"/>
      <c r="AD277" s="750"/>
      <c r="AE277" s="749"/>
      <c r="AF277" s="749"/>
      <c r="AG277" s="749"/>
      <c r="AH277" s="749"/>
      <c r="AI277" s="749"/>
      <c r="AJ277" s="749"/>
      <c r="AK277" s="749"/>
      <c r="AL277" s="749"/>
      <c r="AM277" s="749"/>
      <c r="AN277" s="749"/>
      <c r="AO277" s="749"/>
      <c r="AP277" s="749"/>
      <c r="AQ277" s="749"/>
      <c r="AR277" s="749"/>
      <c r="AS277" s="749"/>
      <c r="AT277" s="749"/>
      <c r="AU277" s="749"/>
      <c r="AV277" s="749"/>
      <c r="AW277" s="749"/>
      <c r="AX277" s="749"/>
      <c r="AY277" s="749"/>
      <c r="AZ277" s="749"/>
      <c r="BA277" s="749"/>
      <c r="BB277" s="749"/>
      <c r="BC277" s="749"/>
      <c r="BD277" s="749"/>
      <c r="BE277" s="749"/>
      <c r="BF277" s="749"/>
      <c r="BG277" s="749"/>
      <c r="BH277" s="749"/>
      <c r="BI277" s="749"/>
      <c r="BJ277" s="749"/>
      <c r="BK277" s="749"/>
      <c r="BL277" s="749"/>
    </row>
    <row r="278">
      <c r="A278" s="866"/>
      <c r="B278" s="867"/>
      <c r="C278" s="866"/>
      <c r="D278" s="866"/>
      <c r="E278" s="866"/>
      <c r="F278" s="866"/>
      <c r="G278" s="866"/>
      <c r="H278" s="866"/>
      <c r="I278" s="866"/>
      <c r="J278" s="868"/>
      <c r="K278" s="868"/>
      <c r="L278" s="799"/>
      <c r="M278" s="747"/>
      <c r="N278" s="744"/>
      <c r="O278" s="744"/>
      <c r="P278" s="744"/>
      <c r="Q278" s="744"/>
      <c r="R278" s="744"/>
      <c r="S278" s="744"/>
      <c r="T278" s="855"/>
      <c r="U278" s="746"/>
      <c r="V278" s="746"/>
      <c r="W278" s="746"/>
      <c r="X278" s="746"/>
      <c r="Y278" s="799"/>
      <c r="Z278" s="799"/>
      <c r="AA278" s="799"/>
      <c r="AB278" s="799"/>
      <c r="AC278" s="799"/>
      <c r="AD278" s="750"/>
      <c r="AE278" s="749"/>
      <c r="AF278" s="749"/>
      <c r="AG278" s="749"/>
      <c r="AH278" s="749"/>
      <c r="AI278" s="749"/>
      <c r="AJ278" s="749"/>
      <c r="AK278" s="749"/>
      <c r="AL278" s="749"/>
      <c r="AM278" s="749"/>
      <c r="AN278" s="749"/>
      <c r="AO278" s="749"/>
      <c r="AP278" s="749"/>
      <c r="AQ278" s="749"/>
      <c r="AR278" s="749"/>
      <c r="AS278" s="749"/>
      <c r="AT278" s="749"/>
      <c r="AU278" s="749"/>
      <c r="AV278" s="749"/>
      <c r="AW278" s="749"/>
      <c r="AX278" s="749"/>
      <c r="AY278" s="749"/>
      <c r="AZ278" s="749"/>
      <c r="BA278" s="749"/>
      <c r="BB278" s="749"/>
      <c r="BC278" s="749"/>
      <c r="BD278" s="749"/>
      <c r="BE278" s="749"/>
      <c r="BF278" s="749"/>
      <c r="BG278" s="749"/>
      <c r="BH278" s="749"/>
      <c r="BI278" s="749"/>
      <c r="BJ278" s="749"/>
      <c r="BK278" s="749"/>
      <c r="BL278" s="749"/>
    </row>
    <row r="279">
      <c r="A279" s="866"/>
      <c r="B279" s="867"/>
      <c r="C279" s="866"/>
      <c r="D279" s="866"/>
      <c r="E279" s="866"/>
      <c r="F279" s="866"/>
      <c r="G279" s="866"/>
      <c r="H279" s="866"/>
      <c r="I279" s="866"/>
      <c r="J279" s="868"/>
      <c r="K279" s="868"/>
      <c r="L279" s="799"/>
      <c r="M279" s="747"/>
      <c r="N279" s="744"/>
      <c r="O279" s="744"/>
      <c r="P279" s="744"/>
      <c r="Q279" s="744"/>
      <c r="R279" s="744"/>
      <c r="S279" s="744"/>
      <c r="T279" s="855"/>
      <c r="U279" s="746"/>
      <c r="V279" s="746"/>
      <c r="W279" s="746"/>
      <c r="X279" s="746"/>
      <c r="Y279" s="799"/>
      <c r="Z279" s="799"/>
      <c r="AA279" s="799"/>
      <c r="AB279" s="799"/>
      <c r="AC279" s="799"/>
      <c r="AD279" s="750"/>
      <c r="AE279" s="749"/>
      <c r="AF279" s="749"/>
      <c r="AG279" s="749"/>
      <c r="AH279" s="749"/>
      <c r="AI279" s="749"/>
      <c r="AJ279" s="749"/>
      <c r="AK279" s="749"/>
      <c r="AL279" s="749"/>
      <c r="AM279" s="749"/>
      <c r="AN279" s="749"/>
      <c r="AO279" s="749"/>
      <c r="AP279" s="749"/>
      <c r="AQ279" s="749"/>
      <c r="AR279" s="749"/>
      <c r="AS279" s="749"/>
      <c r="AT279" s="749"/>
      <c r="AU279" s="749"/>
      <c r="AV279" s="749"/>
      <c r="AW279" s="749"/>
      <c r="AX279" s="749"/>
      <c r="AY279" s="749"/>
      <c r="AZ279" s="749"/>
      <c r="BA279" s="749"/>
      <c r="BB279" s="749"/>
      <c r="BC279" s="749"/>
      <c r="BD279" s="749"/>
      <c r="BE279" s="749"/>
      <c r="BF279" s="749"/>
      <c r="BG279" s="749"/>
      <c r="BH279" s="749"/>
      <c r="BI279" s="749"/>
      <c r="BJ279" s="749"/>
      <c r="BK279" s="749"/>
      <c r="BL279" s="749"/>
    </row>
    <row r="280">
      <c r="A280" s="866"/>
      <c r="B280" s="867"/>
      <c r="C280" s="866"/>
      <c r="D280" s="866"/>
      <c r="E280" s="866"/>
      <c r="F280" s="866"/>
      <c r="G280" s="866"/>
      <c r="H280" s="866"/>
      <c r="I280" s="866"/>
      <c r="J280" s="868"/>
      <c r="K280" s="868"/>
      <c r="L280" s="799"/>
      <c r="M280" s="747"/>
      <c r="N280" s="744"/>
      <c r="O280" s="744"/>
      <c r="P280" s="744"/>
      <c r="Q280" s="744"/>
      <c r="R280" s="744"/>
      <c r="S280" s="744"/>
      <c r="T280" s="855"/>
      <c r="U280" s="746"/>
      <c r="V280" s="746"/>
      <c r="W280" s="746"/>
      <c r="X280" s="746"/>
      <c r="Y280" s="799"/>
      <c r="Z280" s="799"/>
      <c r="AA280" s="799"/>
      <c r="AB280" s="799"/>
      <c r="AC280" s="799"/>
      <c r="AD280" s="750"/>
      <c r="AE280" s="749"/>
      <c r="AF280" s="749"/>
      <c r="AG280" s="749"/>
      <c r="AH280" s="749"/>
      <c r="AI280" s="749"/>
      <c r="AJ280" s="749"/>
      <c r="AK280" s="749"/>
      <c r="AL280" s="749"/>
      <c r="AM280" s="749"/>
      <c r="AN280" s="749"/>
      <c r="AO280" s="749"/>
      <c r="AP280" s="749"/>
      <c r="AQ280" s="749"/>
      <c r="AR280" s="749"/>
      <c r="AS280" s="749"/>
      <c r="AT280" s="749"/>
      <c r="AU280" s="749"/>
      <c r="AV280" s="749"/>
      <c r="AW280" s="749"/>
      <c r="AX280" s="749"/>
      <c r="AY280" s="749"/>
      <c r="AZ280" s="749"/>
      <c r="BA280" s="749"/>
      <c r="BB280" s="749"/>
      <c r="BC280" s="749"/>
      <c r="BD280" s="749"/>
      <c r="BE280" s="749"/>
      <c r="BF280" s="749"/>
      <c r="BG280" s="749"/>
      <c r="BH280" s="749"/>
      <c r="BI280" s="749"/>
      <c r="BJ280" s="749"/>
      <c r="BK280" s="749"/>
      <c r="BL280" s="749"/>
    </row>
    <row r="281">
      <c r="A281" s="866"/>
      <c r="B281" s="867"/>
      <c r="C281" s="866"/>
      <c r="D281" s="866"/>
      <c r="E281" s="866"/>
      <c r="F281" s="866"/>
      <c r="G281" s="866"/>
      <c r="H281" s="866"/>
      <c r="I281" s="866"/>
      <c r="J281" s="868"/>
      <c r="K281" s="868"/>
      <c r="L281" s="799"/>
      <c r="M281" s="747"/>
      <c r="N281" s="744"/>
      <c r="O281" s="744"/>
      <c r="P281" s="744"/>
      <c r="Q281" s="744"/>
      <c r="R281" s="744"/>
      <c r="S281" s="744"/>
      <c r="T281" s="855"/>
      <c r="U281" s="746"/>
      <c r="V281" s="746"/>
      <c r="W281" s="746"/>
      <c r="X281" s="746"/>
      <c r="Y281" s="799"/>
      <c r="Z281" s="799"/>
      <c r="AA281" s="799"/>
      <c r="AB281" s="799"/>
      <c r="AC281" s="799"/>
      <c r="AD281" s="750"/>
      <c r="AE281" s="749"/>
      <c r="AF281" s="749"/>
      <c r="AG281" s="749"/>
      <c r="AH281" s="749"/>
      <c r="AI281" s="749"/>
      <c r="AJ281" s="749"/>
      <c r="AK281" s="749"/>
      <c r="AL281" s="749"/>
      <c r="AM281" s="749"/>
      <c r="AN281" s="749"/>
      <c r="AO281" s="749"/>
      <c r="AP281" s="749"/>
      <c r="AQ281" s="749"/>
      <c r="AR281" s="749"/>
      <c r="AS281" s="749"/>
      <c r="AT281" s="749"/>
      <c r="AU281" s="749"/>
      <c r="AV281" s="749"/>
      <c r="AW281" s="749"/>
      <c r="AX281" s="749"/>
      <c r="AY281" s="749"/>
      <c r="AZ281" s="749"/>
      <c r="BA281" s="749"/>
      <c r="BB281" s="749"/>
      <c r="BC281" s="749"/>
      <c r="BD281" s="749"/>
      <c r="BE281" s="749"/>
      <c r="BF281" s="749"/>
      <c r="BG281" s="749"/>
      <c r="BH281" s="749"/>
      <c r="BI281" s="749"/>
      <c r="BJ281" s="749"/>
      <c r="BK281" s="749"/>
      <c r="BL281" s="749"/>
    </row>
    <row r="282">
      <c r="A282" s="866"/>
      <c r="B282" s="867"/>
      <c r="C282" s="866"/>
      <c r="D282" s="866"/>
      <c r="E282" s="866"/>
      <c r="F282" s="866"/>
      <c r="G282" s="866"/>
      <c r="H282" s="866"/>
      <c r="I282" s="866"/>
      <c r="J282" s="868"/>
      <c r="K282" s="868"/>
      <c r="L282" s="799"/>
      <c r="M282" s="747"/>
      <c r="N282" s="744"/>
      <c r="O282" s="744"/>
      <c r="P282" s="744"/>
      <c r="Q282" s="744"/>
      <c r="R282" s="744"/>
      <c r="S282" s="744"/>
      <c r="T282" s="855"/>
      <c r="U282" s="746"/>
      <c r="V282" s="746"/>
      <c r="W282" s="746"/>
      <c r="X282" s="746"/>
      <c r="Y282" s="799"/>
      <c r="Z282" s="799"/>
      <c r="AA282" s="799"/>
      <c r="AB282" s="799"/>
      <c r="AC282" s="799"/>
      <c r="AD282" s="750"/>
      <c r="AE282" s="749"/>
      <c r="AF282" s="749"/>
      <c r="AG282" s="749"/>
      <c r="AH282" s="749"/>
      <c r="AI282" s="749"/>
      <c r="AJ282" s="749"/>
      <c r="AK282" s="749"/>
      <c r="AL282" s="749"/>
      <c r="AM282" s="749"/>
      <c r="AN282" s="749"/>
      <c r="AO282" s="749"/>
      <c r="AP282" s="749"/>
      <c r="AQ282" s="749"/>
      <c r="AR282" s="749"/>
      <c r="AS282" s="749"/>
      <c r="AT282" s="749"/>
      <c r="AU282" s="749"/>
      <c r="AV282" s="749"/>
      <c r="AW282" s="749"/>
      <c r="AX282" s="749"/>
      <c r="AY282" s="749"/>
      <c r="AZ282" s="749"/>
      <c r="BA282" s="749"/>
      <c r="BB282" s="749"/>
      <c r="BC282" s="749"/>
      <c r="BD282" s="749"/>
      <c r="BE282" s="749"/>
      <c r="BF282" s="749"/>
      <c r="BG282" s="749"/>
      <c r="BH282" s="749"/>
      <c r="BI282" s="749"/>
      <c r="BJ282" s="749"/>
      <c r="BK282" s="749"/>
      <c r="BL282" s="749"/>
    </row>
    <row r="283">
      <c r="A283" s="866"/>
      <c r="B283" s="867"/>
      <c r="C283" s="866"/>
      <c r="D283" s="866"/>
      <c r="E283" s="866"/>
      <c r="F283" s="866"/>
      <c r="G283" s="866"/>
      <c r="H283" s="866"/>
      <c r="I283" s="866"/>
      <c r="J283" s="868"/>
      <c r="K283" s="868"/>
      <c r="L283" s="799"/>
      <c r="M283" s="747"/>
      <c r="N283" s="744"/>
      <c r="O283" s="744"/>
      <c r="P283" s="744"/>
      <c r="Q283" s="744"/>
      <c r="R283" s="744"/>
      <c r="S283" s="744"/>
      <c r="T283" s="855"/>
      <c r="U283" s="746"/>
      <c r="V283" s="746"/>
      <c r="W283" s="746"/>
      <c r="X283" s="746"/>
      <c r="Y283" s="799"/>
      <c r="Z283" s="799"/>
      <c r="AA283" s="799"/>
      <c r="AB283" s="799"/>
      <c r="AC283" s="799"/>
      <c r="AD283" s="750"/>
      <c r="AE283" s="749"/>
      <c r="AF283" s="749"/>
      <c r="AG283" s="749"/>
      <c r="AH283" s="749"/>
      <c r="AI283" s="749"/>
      <c r="AJ283" s="749"/>
      <c r="AK283" s="749"/>
      <c r="AL283" s="749"/>
      <c r="AM283" s="749"/>
      <c r="AN283" s="749"/>
      <c r="AO283" s="749"/>
      <c r="AP283" s="749"/>
      <c r="AQ283" s="749"/>
      <c r="AR283" s="749"/>
      <c r="AS283" s="749"/>
      <c r="AT283" s="749"/>
      <c r="AU283" s="749"/>
      <c r="AV283" s="749"/>
      <c r="AW283" s="749"/>
      <c r="AX283" s="749"/>
      <c r="AY283" s="749"/>
      <c r="AZ283" s="749"/>
      <c r="BA283" s="749"/>
      <c r="BB283" s="749"/>
      <c r="BC283" s="749"/>
      <c r="BD283" s="749"/>
      <c r="BE283" s="749"/>
      <c r="BF283" s="749"/>
      <c r="BG283" s="749"/>
      <c r="BH283" s="749"/>
      <c r="BI283" s="749"/>
      <c r="BJ283" s="749"/>
      <c r="BK283" s="749"/>
      <c r="BL283" s="749"/>
    </row>
    <row r="284">
      <c r="A284" s="866"/>
      <c r="B284" s="867"/>
      <c r="C284" s="866"/>
      <c r="D284" s="866"/>
      <c r="E284" s="866"/>
      <c r="F284" s="866"/>
      <c r="G284" s="866"/>
      <c r="H284" s="866"/>
      <c r="I284" s="866"/>
      <c r="J284" s="868"/>
      <c r="K284" s="868"/>
      <c r="L284" s="799"/>
      <c r="M284" s="747"/>
      <c r="N284" s="744"/>
      <c r="O284" s="744"/>
      <c r="P284" s="744"/>
      <c r="Q284" s="744"/>
      <c r="R284" s="744"/>
      <c r="S284" s="744"/>
      <c r="T284" s="855"/>
      <c r="U284" s="746"/>
      <c r="V284" s="746"/>
      <c r="W284" s="746"/>
      <c r="X284" s="746"/>
      <c r="Y284" s="799"/>
      <c r="Z284" s="799"/>
      <c r="AA284" s="799"/>
      <c r="AB284" s="799"/>
      <c r="AC284" s="799"/>
      <c r="AD284" s="750"/>
      <c r="AE284" s="749"/>
      <c r="AF284" s="749"/>
      <c r="AG284" s="749"/>
      <c r="AH284" s="749"/>
      <c r="AI284" s="749"/>
      <c r="AJ284" s="749"/>
      <c r="AK284" s="749"/>
      <c r="AL284" s="749"/>
      <c r="AM284" s="749"/>
      <c r="AN284" s="749"/>
      <c r="AO284" s="749"/>
      <c r="AP284" s="749"/>
      <c r="AQ284" s="749"/>
      <c r="AR284" s="749"/>
      <c r="AS284" s="749"/>
      <c r="AT284" s="749"/>
      <c r="AU284" s="749"/>
      <c r="AV284" s="749"/>
      <c r="AW284" s="749"/>
      <c r="AX284" s="749"/>
      <c r="AY284" s="749"/>
      <c r="AZ284" s="749"/>
      <c r="BA284" s="749"/>
      <c r="BB284" s="749"/>
      <c r="BC284" s="749"/>
      <c r="BD284" s="749"/>
      <c r="BE284" s="749"/>
      <c r="BF284" s="749"/>
      <c r="BG284" s="749"/>
      <c r="BH284" s="749"/>
      <c r="BI284" s="749"/>
      <c r="BJ284" s="749"/>
      <c r="BK284" s="749"/>
      <c r="BL284" s="749"/>
    </row>
    <row r="285">
      <c r="A285" s="866"/>
      <c r="B285" s="867"/>
      <c r="C285" s="866"/>
      <c r="D285" s="866"/>
      <c r="E285" s="866"/>
      <c r="F285" s="866"/>
      <c r="G285" s="866"/>
      <c r="H285" s="866"/>
      <c r="I285" s="866"/>
      <c r="J285" s="868"/>
      <c r="K285" s="868"/>
      <c r="L285" s="799"/>
      <c r="M285" s="747"/>
      <c r="N285" s="744"/>
      <c r="O285" s="744"/>
      <c r="P285" s="744"/>
      <c r="Q285" s="744"/>
      <c r="R285" s="744"/>
      <c r="S285" s="744"/>
      <c r="T285" s="855"/>
      <c r="U285" s="746"/>
      <c r="V285" s="746"/>
      <c r="W285" s="746"/>
      <c r="X285" s="746"/>
      <c r="Y285" s="799"/>
      <c r="Z285" s="799"/>
      <c r="AA285" s="799"/>
      <c r="AB285" s="799"/>
      <c r="AC285" s="799"/>
      <c r="AD285" s="750"/>
      <c r="AE285" s="749"/>
      <c r="AF285" s="749"/>
      <c r="AG285" s="749"/>
      <c r="AH285" s="749"/>
      <c r="AI285" s="749"/>
      <c r="AJ285" s="749"/>
      <c r="AK285" s="749"/>
      <c r="AL285" s="749"/>
      <c r="AM285" s="749"/>
      <c r="AN285" s="749"/>
      <c r="AO285" s="749"/>
      <c r="AP285" s="749"/>
      <c r="AQ285" s="749"/>
      <c r="AR285" s="749"/>
      <c r="AS285" s="749"/>
      <c r="AT285" s="749"/>
      <c r="AU285" s="749"/>
      <c r="AV285" s="749"/>
      <c r="AW285" s="749"/>
      <c r="AX285" s="749"/>
      <c r="AY285" s="749"/>
      <c r="AZ285" s="749"/>
      <c r="BA285" s="749"/>
      <c r="BB285" s="749"/>
      <c r="BC285" s="749"/>
      <c r="BD285" s="749"/>
      <c r="BE285" s="749"/>
      <c r="BF285" s="749"/>
      <c r="BG285" s="749"/>
      <c r="BH285" s="749"/>
      <c r="BI285" s="749"/>
      <c r="BJ285" s="749"/>
      <c r="BK285" s="749"/>
      <c r="BL285" s="749"/>
    </row>
    <row r="286">
      <c r="A286" s="866"/>
      <c r="B286" s="867"/>
      <c r="C286" s="866"/>
      <c r="D286" s="866"/>
      <c r="E286" s="866"/>
      <c r="F286" s="866"/>
      <c r="G286" s="866"/>
      <c r="H286" s="866"/>
      <c r="I286" s="866"/>
      <c r="J286" s="868"/>
      <c r="K286" s="868"/>
      <c r="L286" s="799"/>
      <c r="M286" s="747"/>
      <c r="N286" s="744"/>
      <c r="O286" s="744"/>
      <c r="P286" s="744"/>
      <c r="Q286" s="744"/>
      <c r="R286" s="744"/>
      <c r="S286" s="744"/>
      <c r="T286" s="855"/>
      <c r="U286" s="746"/>
      <c r="V286" s="746"/>
      <c r="W286" s="746"/>
      <c r="X286" s="746"/>
      <c r="Y286" s="799"/>
      <c r="Z286" s="799"/>
      <c r="AA286" s="799"/>
      <c r="AB286" s="799"/>
      <c r="AC286" s="799"/>
      <c r="AD286" s="750"/>
      <c r="AE286" s="749"/>
      <c r="AF286" s="749"/>
      <c r="AG286" s="749"/>
      <c r="AH286" s="749"/>
      <c r="AI286" s="749"/>
      <c r="AJ286" s="749"/>
      <c r="AK286" s="749"/>
      <c r="AL286" s="749"/>
      <c r="AM286" s="749"/>
      <c r="AN286" s="749"/>
      <c r="AO286" s="749"/>
      <c r="AP286" s="749"/>
      <c r="AQ286" s="749"/>
      <c r="AR286" s="749"/>
      <c r="AS286" s="749"/>
      <c r="AT286" s="749"/>
      <c r="AU286" s="749"/>
      <c r="AV286" s="749"/>
      <c r="AW286" s="749"/>
      <c r="AX286" s="749"/>
      <c r="AY286" s="749"/>
      <c r="AZ286" s="749"/>
      <c r="BA286" s="749"/>
      <c r="BB286" s="749"/>
      <c r="BC286" s="749"/>
      <c r="BD286" s="749"/>
      <c r="BE286" s="749"/>
      <c r="BF286" s="749"/>
      <c r="BG286" s="749"/>
      <c r="BH286" s="749"/>
      <c r="BI286" s="749"/>
      <c r="BJ286" s="749"/>
      <c r="BK286" s="749"/>
      <c r="BL286" s="749"/>
    </row>
    <row r="287">
      <c r="A287" s="866"/>
      <c r="B287" s="867"/>
      <c r="C287" s="866"/>
      <c r="D287" s="866"/>
      <c r="E287" s="866"/>
      <c r="F287" s="866"/>
      <c r="G287" s="866"/>
      <c r="H287" s="866"/>
      <c r="I287" s="866"/>
      <c r="J287" s="868"/>
      <c r="K287" s="868"/>
      <c r="L287" s="799"/>
      <c r="M287" s="747"/>
      <c r="N287" s="744"/>
      <c r="O287" s="744"/>
      <c r="P287" s="744"/>
      <c r="Q287" s="744"/>
      <c r="R287" s="744"/>
      <c r="S287" s="744"/>
      <c r="T287" s="855"/>
      <c r="U287" s="746"/>
      <c r="V287" s="746"/>
      <c r="W287" s="746"/>
      <c r="X287" s="746"/>
      <c r="Y287" s="799"/>
      <c r="Z287" s="799"/>
      <c r="AA287" s="799"/>
      <c r="AB287" s="799"/>
      <c r="AC287" s="799"/>
      <c r="AD287" s="750"/>
      <c r="AE287" s="749"/>
      <c r="AF287" s="749"/>
      <c r="AG287" s="749"/>
      <c r="AH287" s="749"/>
      <c r="AI287" s="749"/>
      <c r="AJ287" s="749"/>
      <c r="AK287" s="749"/>
      <c r="AL287" s="749"/>
      <c r="AM287" s="749"/>
      <c r="AN287" s="749"/>
      <c r="AO287" s="749"/>
      <c r="AP287" s="749"/>
      <c r="AQ287" s="749"/>
      <c r="AR287" s="749"/>
      <c r="AS287" s="749"/>
      <c r="AT287" s="749"/>
      <c r="AU287" s="749"/>
      <c r="AV287" s="749"/>
      <c r="AW287" s="749"/>
      <c r="AX287" s="749"/>
      <c r="AY287" s="749"/>
      <c r="AZ287" s="749"/>
      <c r="BA287" s="749"/>
      <c r="BB287" s="749"/>
      <c r="BC287" s="749"/>
      <c r="BD287" s="749"/>
      <c r="BE287" s="749"/>
      <c r="BF287" s="749"/>
      <c r="BG287" s="749"/>
      <c r="BH287" s="749"/>
      <c r="BI287" s="749"/>
      <c r="BJ287" s="749"/>
      <c r="BK287" s="749"/>
      <c r="BL287" s="749"/>
    </row>
    <row r="288">
      <c r="A288" s="866"/>
      <c r="B288" s="867"/>
      <c r="C288" s="866"/>
      <c r="D288" s="866"/>
      <c r="E288" s="866"/>
      <c r="F288" s="866"/>
      <c r="G288" s="866"/>
      <c r="H288" s="866"/>
      <c r="I288" s="866"/>
      <c r="J288" s="868"/>
      <c r="K288" s="868"/>
      <c r="L288" s="799"/>
      <c r="M288" s="747"/>
      <c r="N288" s="744"/>
      <c r="O288" s="744"/>
      <c r="P288" s="744"/>
      <c r="Q288" s="744"/>
      <c r="R288" s="744"/>
      <c r="S288" s="744"/>
      <c r="T288" s="855"/>
      <c r="U288" s="746"/>
      <c r="V288" s="746"/>
      <c r="W288" s="746"/>
      <c r="X288" s="746"/>
      <c r="Y288" s="799"/>
      <c r="Z288" s="799"/>
      <c r="AA288" s="799"/>
      <c r="AB288" s="799"/>
      <c r="AC288" s="799"/>
      <c r="AD288" s="750"/>
      <c r="AE288" s="749"/>
      <c r="AF288" s="749"/>
      <c r="AG288" s="749"/>
      <c r="AH288" s="749"/>
      <c r="AI288" s="749"/>
      <c r="AJ288" s="749"/>
      <c r="AK288" s="749"/>
      <c r="AL288" s="749"/>
      <c r="AM288" s="749"/>
      <c r="AN288" s="749"/>
      <c r="AO288" s="749"/>
      <c r="AP288" s="749"/>
      <c r="AQ288" s="749"/>
      <c r="AR288" s="749"/>
      <c r="AS288" s="749"/>
      <c r="AT288" s="749"/>
      <c r="AU288" s="749"/>
      <c r="AV288" s="749"/>
      <c r="AW288" s="749"/>
      <c r="AX288" s="749"/>
      <c r="AY288" s="749"/>
      <c r="AZ288" s="749"/>
      <c r="BA288" s="749"/>
      <c r="BB288" s="749"/>
      <c r="BC288" s="749"/>
      <c r="BD288" s="749"/>
      <c r="BE288" s="749"/>
      <c r="BF288" s="749"/>
      <c r="BG288" s="749"/>
      <c r="BH288" s="749"/>
      <c r="BI288" s="749"/>
      <c r="BJ288" s="749"/>
      <c r="BK288" s="749"/>
      <c r="BL288" s="749"/>
    </row>
    <row r="289">
      <c r="A289" s="866"/>
      <c r="B289" s="867"/>
      <c r="C289" s="866"/>
      <c r="D289" s="866"/>
      <c r="E289" s="866"/>
      <c r="F289" s="866"/>
      <c r="G289" s="866"/>
      <c r="H289" s="866"/>
      <c r="I289" s="866"/>
      <c r="J289" s="868"/>
      <c r="K289" s="868"/>
      <c r="L289" s="799"/>
      <c r="M289" s="747"/>
      <c r="N289" s="744"/>
      <c r="O289" s="744"/>
      <c r="P289" s="744"/>
      <c r="Q289" s="744"/>
      <c r="R289" s="744"/>
      <c r="S289" s="744"/>
      <c r="T289" s="855"/>
      <c r="U289" s="746"/>
      <c r="V289" s="746"/>
      <c r="W289" s="746"/>
      <c r="X289" s="746"/>
      <c r="Y289" s="799"/>
      <c r="Z289" s="799"/>
      <c r="AA289" s="799"/>
      <c r="AB289" s="799"/>
      <c r="AC289" s="799"/>
      <c r="AD289" s="750"/>
      <c r="AE289" s="749"/>
      <c r="AF289" s="749"/>
      <c r="AG289" s="749"/>
      <c r="AH289" s="749"/>
      <c r="AI289" s="749"/>
      <c r="AJ289" s="749"/>
      <c r="AK289" s="749"/>
      <c r="AL289" s="749"/>
      <c r="AM289" s="749"/>
      <c r="AN289" s="749"/>
      <c r="AO289" s="749"/>
      <c r="AP289" s="749"/>
      <c r="AQ289" s="749"/>
      <c r="AR289" s="749"/>
      <c r="AS289" s="749"/>
      <c r="AT289" s="749"/>
      <c r="AU289" s="749"/>
      <c r="AV289" s="749"/>
      <c r="AW289" s="749"/>
      <c r="AX289" s="749"/>
      <c r="AY289" s="749"/>
      <c r="AZ289" s="749"/>
      <c r="BA289" s="749"/>
      <c r="BB289" s="749"/>
      <c r="BC289" s="749"/>
      <c r="BD289" s="749"/>
      <c r="BE289" s="749"/>
      <c r="BF289" s="749"/>
      <c r="BG289" s="749"/>
      <c r="BH289" s="749"/>
      <c r="BI289" s="749"/>
      <c r="BJ289" s="749"/>
      <c r="BK289" s="749"/>
      <c r="BL289" s="749"/>
    </row>
    <row r="290">
      <c r="A290" s="866"/>
      <c r="B290" s="867"/>
      <c r="C290" s="866"/>
      <c r="D290" s="866"/>
      <c r="E290" s="866"/>
      <c r="F290" s="866"/>
      <c r="G290" s="866"/>
      <c r="H290" s="866"/>
      <c r="I290" s="866"/>
      <c r="J290" s="868"/>
      <c r="K290" s="868"/>
      <c r="L290" s="799"/>
      <c r="M290" s="747"/>
      <c r="N290" s="744"/>
      <c r="O290" s="744"/>
      <c r="P290" s="744"/>
      <c r="Q290" s="744"/>
      <c r="R290" s="744"/>
      <c r="S290" s="744"/>
      <c r="T290" s="855"/>
      <c r="U290" s="746"/>
      <c r="V290" s="746"/>
      <c r="W290" s="746"/>
      <c r="X290" s="746"/>
      <c r="Y290" s="799"/>
      <c r="Z290" s="799"/>
      <c r="AA290" s="799"/>
      <c r="AB290" s="799"/>
      <c r="AC290" s="799"/>
      <c r="AD290" s="750"/>
      <c r="AE290" s="749"/>
      <c r="AF290" s="749"/>
      <c r="AG290" s="749"/>
      <c r="AH290" s="749"/>
      <c r="AI290" s="749"/>
      <c r="AJ290" s="749"/>
      <c r="AK290" s="749"/>
      <c r="AL290" s="749"/>
      <c r="AM290" s="749"/>
      <c r="AN290" s="749"/>
      <c r="AO290" s="749"/>
      <c r="AP290" s="749"/>
      <c r="AQ290" s="749"/>
      <c r="AR290" s="749"/>
      <c r="AS290" s="749"/>
      <c r="AT290" s="749"/>
      <c r="AU290" s="749"/>
      <c r="AV290" s="749"/>
      <c r="AW290" s="749"/>
      <c r="AX290" s="749"/>
      <c r="AY290" s="749"/>
      <c r="AZ290" s="749"/>
      <c r="BA290" s="749"/>
      <c r="BB290" s="749"/>
      <c r="BC290" s="749"/>
      <c r="BD290" s="749"/>
      <c r="BE290" s="749"/>
      <c r="BF290" s="749"/>
      <c r="BG290" s="749"/>
      <c r="BH290" s="749"/>
      <c r="BI290" s="749"/>
      <c r="BJ290" s="749"/>
      <c r="BK290" s="749"/>
      <c r="BL290" s="749"/>
    </row>
    <row r="291">
      <c r="A291" s="866"/>
      <c r="B291" s="867"/>
      <c r="C291" s="866"/>
      <c r="D291" s="866"/>
      <c r="E291" s="866"/>
      <c r="F291" s="866"/>
      <c r="G291" s="866"/>
      <c r="H291" s="866"/>
      <c r="I291" s="866"/>
      <c r="J291" s="868"/>
      <c r="K291" s="868"/>
      <c r="L291" s="799"/>
      <c r="M291" s="747"/>
      <c r="N291" s="744"/>
      <c r="O291" s="744"/>
      <c r="P291" s="744"/>
      <c r="Q291" s="744"/>
      <c r="R291" s="744"/>
      <c r="S291" s="744"/>
      <c r="T291" s="855"/>
      <c r="U291" s="746"/>
      <c r="V291" s="746"/>
      <c r="W291" s="746"/>
      <c r="X291" s="746"/>
      <c r="Y291" s="799"/>
      <c r="Z291" s="799"/>
      <c r="AA291" s="799"/>
      <c r="AB291" s="799"/>
      <c r="AC291" s="799"/>
      <c r="AD291" s="750"/>
      <c r="AE291" s="749"/>
      <c r="AF291" s="749"/>
      <c r="AG291" s="749"/>
      <c r="AH291" s="749"/>
      <c r="AI291" s="749"/>
      <c r="AJ291" s="749"/>
      <c r="AK291" s="749"/>
      <c r="AL291" s="749"/>
      <c r="AM291" s="749"/>
      <c r="AN291" s="749"/>
      <c r="AO291" s="749"/>
      <c r="AP291" s="749"/>
      <c r="AQ291" s="749"/>
      <c r="AR291" s="749"/>
      <c r="AS291" s="749"/>
      <c r="AT291" s="749"/>
      <c r="AU291" s="749"/>
      <c r="AV291" s="749"/>
      <c r="AW291" s="749"/>
      <c r="AX291" s="749"/>
      <c r="AY291" s="749"/>
      <c r="AZ291" s="749"/>
      <c r="BA291" s="749"/>
      <c r="BB291" s="749"/>
      <c r="BC291" s="749"/>
      <c r="BD291" s="749"/>
      <c r="BE291" s="749"/>
      <c r="BF291" s="749"/>
      <c r="BG291" s="749"/>
      <c r="BH291" s="749"/>
      <c r="BI291" s="749"/>
      <c r="BJ291" s="749"/>
      <c r="BK291" s="749"/>
      <c r="BL291" s="749"/>
    </row>
    <row r="292">
      <c r="A292" s="866"/>
      <c r="B292" s="867"/>
      <c r="C292" s="866"/>
      <c r="D292" s="866"/>
      <c r="E292" s="866"/>
      <c r="F292" s="866"/>
      <c r="G292" s="866"/>
      <c r="H292" s="866"/>
      <c r="I292" s="866"/>
      <c r="J292" s="868"/>
      <c r="K292" s="868"/>
      <c r="L292" s="799"/>
      <c r="M292" s="747"/>
      <c r="N292" s="744"/>
      <c r="O292" s="744"/>
      <c r="P292" s="744"/>
      <c r="Q292" s="744"/>
      <c r="R292" s="744"/>
      <c r="S292" s="744"/>
      <c r="T292" s="855"/>
      <c r="U292" s="746"/>
      <c r="V292" s="746"/>
      <c r="W292" s="746"/>
      <c r="X292" s="746"/>
      <c r="Y292" s="799"/>
      <c r="Z292" s="799"/>
      <c r="AA292" s="799"/>
      <c r="AB292" s="799"/>
      <c r="AC292" s="799"/>
      <c r="AD292" s="750"/>
      <c r="AE292" s="749"/>
      <c r="AF292" s="749"/>
      <c r="AG292" s="749"/>
      <c r="AH292" s="749"/>
      <c r="AI292" s="749"/>
      <c r="AJ292" s="749"/>
      <c r="AK292" s="749"/>
      <c r="AL292" s="749"/>
      <c r="AM292" s="749"/>
      <c r="AN292" s="749"/>
      <c r="AO292" s="749"/>
      <c r="AP292" s="749"/>
      <c r="AQ292" s="749"/>
      <c r="AR292" s="749"/>
      <c r="AS292" s="749"/>
      <c r="AT292" s="749"/>
      <c r="AU292" s="749"/>
      <c r="AV292" s="749"/>
      <c r="AW292" s="749"/>
      <c r="AX292" s="749"/>
      <c r="AY292" s="749"/>
      <c r="AZ292" s="749"/>
      <c r="BA292" s="749"/>
      <c r="BB292" s="749"/>
      <c r="BC292" s="749"/>
      <c r="BD292" s="749"/>
      <c r="BE292" s="749"/>
      <c r="BF292" s="749"/>
      <c r="BG292" s="749"/>
      <c r="BH292" s="749"/>
      <c r="BI292" s="749"/>
      <c r="BJ292" s="749"/>
      <c r="BK292" s="749"/>
      <c r="BL292" s="749"/>
    </row>
    <row r="293">
      <c r="A293" s="866"/>
      <c r="B293" s="867"/>
      <c r="C293" s="866"/>
      <c r="D293" s="866"/>
      <c r="E293" s="866"/>
      <c r="F293" s="866"/>
      <c r="G293" s="866"/>
      <c r="H293" s="866"/>
      <c r="I293" s="866"/>
      <c r="J293" s="868"/>
      <c r="K293" s="868"/>
      <c r="L293" s="799"/>
      <c r="M293" s="747"/>
      <c r="N293" s="744"/>
      <c r="O293" s="744"/>
      <c r="P293" s="744"/>
      <c r="Q293" s="744"/>
      <c r="R293" s="744"/>
      <c r="S293" s="744"/>
      <c r="T293" s="855"/>
      <c r="U293" s="746"/>
      <c r="V293" s="746"/>
      <c r="W293" s="746"/>
      <c r="X293" s="746"/>
      <c r="Y293" s="799"/>
      <c r="Z293" s="799"/>
      <c r="AA293" s="799"/>
      <c r="AB293" s="799"/>
      <c r="AC293" s="799"/>
      <c r="AD293" s="750"/>
      <c r="AE293" s="749"/>
      <c r="AF293" s="749"/>
      <c r="AG293" s="749"/>
      <c r="AH293" s="749"/>
      <c r="AI293" s="749"/>
      <c r="AJ293" s="749"/>
      <c r="AK293" s="749"/>
      <c r="AL293" s="749"/>
      <c r="AM293" s="749"/>
      <c r="AN293" s="749"/>
      <c r="AO293" s="749"/>
      <c r="AP293" s="749"/>
      <c r="AQ293" s="749"/>
      <c r="AR293" s="749"/>
      <c r="AS293" s="749"/>
      <c r="AT293" s="749"/>
      <c r="AU293" s="749"/>
      <c r="AV293" s="749"/>
      <c r="AW293" s="749"/>
      <c r="AX293" s="749"/>
      <c r="AY293" s="749"/>
      <c r="AZ293" s="749"/>
      <c r="BA293" s="749"/>
      <c r="BB293" s="749"/>
      <c r="BC293" s="749"/>
      <c r="BD293" s="749"/>
      <c r="BE293" s="749"/>
      <c r="BF293" s="749"/>
      <c r="BG293" s="749"/>
      <c r="BH293" s="749"/>
      <c r="BI293" s="749"/>
      <c r="BJ293" s="749"/>
      <c r="BK293" s="749"/>
      <c r="BL293" s="749"/>
    </row>
    <row r="294">
      <c r="A294" s="866"/>
      <c r="B294" s="867"/>
      <c r="C294" s="866"/>
      <c r="D294" s="866"/>
      <c r="E294" s="866"/>
      <c r="F294" s="866"/>
      <c r="G294" s="866"/>
      <c r="H294" s="866"/>
      <c r="I294" s="866"/>
      <c r="J294" s="868"/>
      <c r="K294" s="868"/>
      <c r="L294" s="799"/>
      <c r="M294" s="747"/>
      <c r="N294" s="744"/>
      <c r="O294" s="744"/>
      <c r="P294" s="744"/>
      <c r="Q294" s="744"/>
      <c r="R294" s="744"/>
      <c r="S294" s="744"/>
      <c r="T294" s="855"/>
      <c r="U294" s="746"/>
      <c r="V294" s="746"/>
      <c r="W294" s="746"/>
      <c r="X294" s="746"/>
      <c r="Y294" s="799"/>
      <c r="Z294" s="799"/>
      <c r="AA294" s="799"/>
      <c r="AB294" s="799"/>
      <c r="AC294" s="799"/>
      <c r="AD294" s="750"/>
      <c r="AE294" s="749"/>
      <c r="AF294" s="749"/>
      <c r="AG294" s="749"/>
      <c r="AH294" s="749"/>
      <c r="AI294" s="749"/>
      <c r="AJ294" s="749"/>
      <c r="AK294" s="749"/>
      <c r="AL294" s="749"/>
      <c r="AM294" s="749"/>
      <c r="AN294" s="749"/>
      <c r="AO294" s="749"/>
      <c r="AP294" s="749"/>
      <c r="AQ294" s="749"/>
      <c r="AR294" s="749"/>
      <c r="AS294" s="749"/>
      <c r="AT294" s="749"/>
      <c r="AU294" s="749"/>
      <c r="AV294" s="749"/>
      <c r="AW294" s="749"/>
      <c r="AX294" s="749"/>
      <c r="AY294" s="749"/>
      <c r="AZ294" s="749"/>
      <c r="BA294" s="749"/>
      <c r="BB294" s="749"/>
      <c r="BC294" s="749"/>
      <c r="BD294" s="749"/>
      <c r="BE294" s="749"/>
      <c r="BF294" s="749"/>
      <c r="BG294" s="749"/>
      <c r="BH294" s="749"/>
      <c r="BI294" s="749"/>
      <c r="BJ294" s="749"/>
      <c r="BK294" s="749"/>
      <c r="BL294" s="749"/>
    </row>
    <row r="295">
      <c r="A295" s="866"/>
      <c r="B295" s="867"/>
      <c r="C295" s="866"/>
      <c r="D295" s="866"/>
      <c r="E295" s="866"/>
      <c r="F295" s="866"/>
      <c r="G295" s="866"/>
      <c r="H295" s="866"/>
      <c r="I295" s="866"/>
      <c r="J295" s="868"/>
      <c r="K295" s="868"/>
      <c r="L295" s="799"/>
      <c r="M295" s="747"/>
      <c r="N295" s="744"/>
      <c r="O295" s="744"/>
      <c r="P295" s="744"/>
      <c r="Q295" s="744"/>
      <c r="R295" s="744"/>
      <c r="S295" s="744"/>
      <c r="T295" s="855"/>
      <c r="U295" s="746"/>
      <c r="V295" s="746"/>
      <c r="W295" s="746"/>
      <c r="X295" s="746"/>
      <c r="Y295" s="799"/>
      <c r="Z295" s="799"/>
      <c r="AA295" s="799"/>
      <c r="AB295" s="799"/>
      <c r="AC295" s="799"/>
      <c r="AD295" s="750"/>
      <c r="AE295" s="749"/>
      <c r="AF295" s="749"/>
      <c r="AG295" s="749"/>
      <c r="AH295" s="749"/>
      <c r="AI295" s="749"/>
      <c r="AJ295" s="749"/>
      <c r="AK295" s="749"/>
      <c r="AL295" s="749"/>
      <c r="AM295" s="749"/>
      <c r="AN295" s="749"/>
      <c r="AO295" s="749"/>
      <c r="AP295" s="749"/>
      <c r="AQ295" s="749"/>
      <c r="AR295" s="749"/>
      <c r="AS295" s="749"/>
      <c r="AT295" s="749"/>
      <c r="AU295" s="749"/>
      <c r="AV295" s="749"/>
      <c r="AW295" s="749"/>
      <c r="AX295" s="749"/>
      <c r="AY295" s="749"/>
      <c r="AZ295" s="749"/>
      <c r="BA295" s="749"/>
      <c r="BB295" s="749"/>
      <c r="BC295" s="749"/>
      <c r="BD295" s="749"/>
      <c r="BE295" s="749"/>
      <c r="BF295" s="749"/>
      <c r="BG295" s="749"/>
      <c r="BH295" s="749"/>
      <c r="BI295" s="749"/>
      <c r="BJ295" s="749"/>
      <c r="BK295" s="749"/>
      <c r="BL295" s="749"/>
    </row>
    <row r="296">
      <c r="A296" s="866"/>
      <c r="B296" s="867"/>
      <c r="C296" s="866"/>
      <c r="D296" s="866"/>
      <c r="E296" s="866"/>
      <c r="F296" s="866"/>
      <c r="G296" s="866"/>
      <c r="H296" s="866"/>
      <c r="I296" s="866"/>
      <c r="J296" s="868"/>
      <c r="K296" s="868"/>
      <c r="L296" s="799"/>
      <c r="M296" s="747"/>
      <c r="N296" s="744"/>
      <c r="O296" s="744"/>
      <c r="P296" s="744"/>
      <c r="Q296" s="744"/>
      <c r="R296" s="744"/>
      <c r="S296" s="744"/>
      <c r="T296" s="855"/>
      <c r="U296" s="746"/>
      <c r="V296" s="746"/>
      <c r="W296" s="746"/>
      <c r="X296" s="746"/>
      <c r="Y296" s="799"/>
      <c r="Z296" s="799"/>
      <c r="AA296" s="799"/>
      <c r="AB296" s="799"/>
      <c r="AC296" s="799"/>
      <c r="AD296" s="750"/>
      <c r="AE296" s="749"/>
      <c r="AF296" s="749"/>
      <c r="AG296" s="749"/>
      <c r="AH296" s="749"/>
      <c r="AI296" s="749"/>
      <c r="AJ296" s="749"/>
      <c r="AK296" s="749"/>
      <c r="AL296" s="749"/>
      <c r="AM296" s="749"/>
      <c r="AN296" s="749"/>
      <c r="AO296" s="749"/>
      <c r="AP296" s="749"/>
      <c r="AQ296" s="749"/>
      <c r="AR296" s="749"/>
      <c r="AS296" s="749"/>
      <c r="AT296" s="749"/>
      <c r="AU296" s="749"/>
      <c r="AV296" s="749"/>
      <c r="AW296" s="749"/>
      <c r="AX296" s="749"/>
      <c r="AY296" s="749"/>
      <c r="AZ296" s="749"/>
      <c r="BA296" s="749"/>
      <c r="BB296" s="749"/>
      <c r="BC296" s="749"/>
      <c r="BD296" s="749"/>
      <c r="BE296" s="749"/>
      <c r="BF296" s="749"/>
      <c r="BG296" s="749"/>
      <c r="BH296" s="749"/>
      <c r="BI296" s="749"/>
      <c r="BJ296" s="749"/>
      <c r="BK296" s="749"/>
      <c r="BL296" s="749"/>
    </row>
    <row r="297">
      <c r="A297" s="866"/>
      <c r="B297" s="867"/>
      <c r="C297" s="866"/>
      <c r="D297" s="866"/>
      <c r="E297" s="866"/>
      <c r="F297" s="866"/>
      <c r="G297" s="866"/>
      <c r="H297" s="866"/>
      <c r="I297" s="866"/>
      <c r="J297" s="868"/>
      <c r="K297" s="868"/>
      <c r="L297" s="799"/>
      <c r="M297" s="747"/>
      <c r="N297" s="744"/>
      <c r="O297" s="744"/>
      <c r="P297" s="744"/>
      <c r="Q297" s="744"/>
      <c r="R297" s="744"/>
      <c r="S297" s="744"/>
      <c r="T297" s="855"/>
      <c r="U297" s="746"/>
      <c r="V297" s="746"/>
      <c r="W297" s="746"/>
      <c r="X297" s="746"/>
      <c r="Y297" s="799"/>
      <c r="Z297" s="799"/>
      <c r="AA297" s="799"/>
      <c r="AB297" s="799"/>
      <c r="AC297" s="799"/>
      <c r="AD297" s="750"/>
      <c r="AE297" s="749"/>
      <c r="AF297" s="749"/>
      <c r="AG297" s="749"/>
      <c r="AH297" s="749"/>
      <c r="AI297" s="749"/>
      <c r="AJ297" s="749"/>
      <c r="AK297" s="749"/>
      <c r="AL297" s="749"/>
      <c r="AM297" s="749"/>
      <c r="AN297" s="749"/>
      <c r="AO297" s="749"/>
      <c r="AP297" s="749"/>
      <c r="AQ297" s="749"/>
      <c r="AR297" s="749"/>
      <c r="AS297" s="749"/>
      <c r="AT297" s="749"/>
      <c r="AU297" s="749"/>
      <c r="AV297" s="749"/>
      <c r="AW297" s="749"/>
      <c r="AX297" s="749"/>
      <c r="AY297" s="749"/>
      <c r="AZ297" s="749"/>
      <c r="BA297" s="749"/>
      <c r="BB297" s="749"/>
      <c r="BC297" s="749"/>
      <c r="BD297" s="749"/>
      <c r="BE297" s="749"/>
      <c r="BF297" s="749"/>
      <c r="BG297" s="749"/>
      <c r="BH297" s="749"/>
      <c r="BI297" s="749"/>
      <c r="BJ297" s="749"/>
      <c r="BK297" s="749"/>
      <c r="BL297" s="749"/>
    </row>
    <row r="298">
      <c r="A298" s="866"/>
      <c r="B298" s="867"/>
      <c r="C298" s="866"/>
      <c r="D298" s="866"/>
      <c r="E298" s="866"/>
      <c r="F298" s="866"/>
      <c r="G298" s="866"/>
      <c r="H298" s="866"/>
      <c r="I298" s="866"/>
      <c r="J298" s="868"/>
      <c r="K298" s="868"/>
      <c r="L298" s="799"/>
      <c r="M298" s="747"/>
      <c r="N298" s="744"/>
      <c r="O298" s="744"/>
      <c r="P298" s="744"/>
      <c r="Q298" s="744"/>
      <c r="R298" s="744"/>
      <c r="S298" s="744"/>
      <c r="T298" s="855"/>
      <c r="U298" s="746"/>
      <c r="V298" s="746"/>
      <c r="W298" s="746"/>
      <c r="X298" s="746"/>
      <c r="Y298" s="799"/>
      <c r="Z298" s="799"/>
      <c r="AA298" s="799"/>
      <c r="AB298" s="799"/>
      <c r="AC298" s="799"/>
      <c r="AD298" s="750"/>
      <c r="AE298" s="749"/>
      <c r="AF298" s="749"/>
      <c r="AG298" s="749"/>
      <c r="AH298" s="749"/>
      <c r="AI298" s="749"/>
      <c r="AJ298" s="749"/>
      <c r="AK298" s="749"/>
      <c r="AL298" s="749"/>
      <c r="AM298" s="749"/>
      <c r="AN298" s="749"/>
      <c r="AO298" s="749"/>
      <c r="AP298" s="749"/>
      <c r="AQ298" s="749"/>
      <c r="AR298" s="749"/>
      <c r="AS298" s="749"/>
      <c r="AT298" s="749"/>
      <c r="AU298" s="749"/>
      <c r="AV298" s="749"/>
      <c r="AW298" s="749"/>
      <c r="AX298" s="749"/>
      <c r="AY298" s="749"/>
      <c r="AZ298" s="749"/>
      <c r="BA298" s="749"/>
      <c r="BB298" s="749"/>
      <c r="BC298" s="749"/>
      <c r="BD298" s="749"/>
      <c r="BE298" s="749"/>
      <c r="BF298" s="749"/>
      <c r="BG298" s="749"/>
      <c r="BH298" s="749"/>
      <c r="BI298" s="749"/>
      <c r="BJ298" s="749"/>
      <c r="BK298" s="749"/>
      <c r="BL298" s="749"/>
    </row>
    <row r="299">
      <c r="A299" s="866"/>
      <c r="B299" s="867"/>
      <c r="C299" s="866"/>
      <c r="D299" s="866"/>
      <c r="E299" s="866"/>
      <c r="F299" s="866"/>
      <c r="G299" s="866"/>
      <c r="H299" s="866"/>
      <c r="I299" s="866"/>
      <c r="J299" s="868"/>
      <c r="K299" s="868"/>
      <c r="L299" s="799"/>
      <c r="M299" s="747"/>
      <c r="N299" s="744"/>
      <c r="O299" s="744"/>
      <c r="P299" s="744"/>
      <c r="Q299" s="744"/>
      <c r="R299" s="744"/>
      <c r="S299" s="744"/>
      <c r="T299" s="855"/>
      <c r="U299" s="746"/>
      <c r="V299" s="746"/>
      <c r="W299" s="746"/>
      <c r="X299" s="746"/>
      <c r="Y299" s="799"/>
      <c r="Z299" s="799"/>
      <c r="AA299" s="799"/>
      <c r="AB299" s="799"/>
      <c r="AC299" s="799"/>
      <c r="AD299" s="750"/>
      <c r="AE299" s="749"/>
      <c r="AF299" s="749"/>
      <c r="AG299" s="749"/>
      <c r="AH299" s="749"/>
      <c r="AI299" s="749"/>
      <c r="AJ299" s="749"/>
      <c r="AK299" s="749"/>
      <c r="AL299" s="749"/>
      <c r="AM299" s="749"/>
      <c r="AN299" s="749"/>
      <c r="AO299" s="749"/>
      <c r="AP299" s="749"/>
      <c r="AQ299" s="749"/>
      <c r="AR299" s="749"/>
      <c r="AS299" s="749"/>
      <c r="AT299" s="749"/>
      <c r="AU299" s="749"/>
      <c r="AV299" s="749"/>
      <c r="AW299" s="749"/>
      <c r="AX299" s="749"/>
      <c r="AY299" s="749"/>
      <c r="AZ299" s="749"/>
      <c r="BA299" s="749"/>
      <c r="BB299" s="749"/>
      <c r="BC299" s="749"/>
      <c r="BD299" s="749"/>
      <c r="BE299" s="749"/>
      <c r="BF299" s="749"/>
      <c r="BG299" s="749"/>
      <c r="BH299" s="749"/>
      <c r="BI299" s="749"/>
      <c r="BJ299" s="749"/>
      <c r="BK299" s="749"/>
      <c r="BL299" s="749"/>
    </row>
    <row r="300">
      <c r="A300" s="866"/>
      <c r="B300" s="867"/>
      <c r="C300" s="866"/>
      <c r="D300" s="866"/>
      <c r="E300" s="866"/>
      <c r="F300" s="866"/>
      <c r="G300" s="866"/>
      <c r="H300" s="866"/>
      <c r="I300" s="866"/>
      <c r="J300" s="868"/>
      <c r="K300" s="868"/>
      <c r="L300" s="799"/>
      <c r="M300" s="747"/>
      <c r="N300" s="744"/>
      <c r="O300" s="744"/>
      <c r="P300" s="744"/>
      <c r="Q300" s="744"/>
      <c r="R300" s="744"/>
      <c r="S300" s="744"/>
      <c r="T300" s="855"/>
      <c r="U300" s="746"/>
      <c r="V300" s="746"/>
      <c r="W300" s="746"/>
      <c r="X300" s="746"/>
      <c r="Y300" s="799"/>
      <c r="Z300" s="799"/>
      <c r="AA300" s="799"/>
      <c r="AB300" s="799"/>
      <c r="AC300" s="799"/>
      <c r="AD300" s="750"/>
      <c r="AE300" s="749"/>
      <c r="AF300" s="749"/>
      <c r="AG300" s="749"/>
      <c r="AH300" s="749"/>
      <c r="AI300" s="749"/>
      <c r="AJ300" s="749"/>
      <c r="AK300" s="749"/>
      <c r="AL300" s="749"/>
      <c r="AM300" s="749"/>
      <c r="AN300" s="749"/>
      <c r="AO300" s="749"/>
      <c r="AP300" s="749"/>
      <c r="AQ300" s="749"/>
      <c r="AR300" s="749"/>
      <c r="AS300" s="749"/>
      <c r="AT300" s="749"/>
      <c r="AU300" s="749"/>
      <c r="AV300" s="749"/>
      <c r="AW300" s="749"/>
      <c r="AX300" s="749"/>
      <c r="AY300" s="749"/>
      <c r="AZ300" s="749"/>
      <c r="BA300" s="749"/>
      <c r="BB300" s="749"/>
      <c r="BC300" s="749"/>
      <c r="BD300" s="749"/>
      <c r="BE300" s="749"/>
      <c r="BF300" s="749"/>
      <c r="BG300" s="749"/>
      <c r="BH300" s="749"/>
      <c r="BI300" s="749"/>
      <c r="BJ300" s="749"/>
      <c r="BK300" s="749"/>
      <c r="BL300" s="749"/>
    </row>
    <row r="301">
      <c r="A301" s="866"/>
      <c r="B301" s="867"/>
      <c r="C301" s="866"/>
      <c r="D301" s="866"/>
      <c r="E301" s="866"/>
      <c r="F301" s="866"/>
      <c r="G301" s="866"/>
      <c r="H301" s="866"/>
      <c r="I301" s="866"/>
      <c r="J301" s="868"/>
      <c r="K301" s="868"/>
      <c r="L301" s="799"/>
      <c r="M301" s="747"/>
      <c r="N301" s="744"/>
      <c r="O301" s="744"/>
      <c r="P301" s="744"/>
      <c r="Q301" s="744"/>
      <c r="R301" s="744"/>
      <c r="S301" s="744"/>
      <c r="T301" s="855"/>
      <c r="U301" s="746"/>
      <c r="V301" s="746"/>
      <c r="W301" s="746"/>
      <c r="X301" s="746"/>
      <c r="Y301" s="799"/>
      <c r="Z301" s="799"/>
      <c r="AA301" s="799"/>
      <c r="AB301" s="799"/>
      <c r="AC301" s="799"/>
      <c r="AD301" s="750"/>
      <c r="AE301" s="749"/>
      <c r="AF301" s="749"/>
      <c r="AG301" s="749"/>
      <c r="AH301" s="749"/>
      <c r="AI301" s="749"/>
      <c r="AJ301" s="749"/>
      <c r="AK301" s="749"/>
      <c r="AL301" s="749"/>
      <c r="AM301" s="749"/>
      <c r="AN301" s="749"/>
      <c r="AO301" s="749"/>
      <c r="AP301" s="749"/>
      <c r="AQ301" s="749"/>
      <c r="AR301" s="749"/>
      <c r="AS301" s="749"/>
      <c r="AT301" s="749"/>
      <c r="AU301" s="749"/>
      <c r="AV301" s="749"/>
      <c r="AW301" s="749"/>
      <c r="AX301" s="749"/>
      <c r="AY301" s="749"/>
      <c r="AZ301" s="749"/>
      <c r="BA301" s="749"/>
      <c r="BB301" s="749"/>
      <c r="BC301" s="749"/>
      <c r="BD301" s="749"/>
      <c r="BE301" s="749"/>
      <c r="BF301" s="749"/>
      <c r="BG301" s="749"/>
      <c r="BH301" s="749"/>
      <c r="BI301" s="749"/>
      <c r="BJ301" s="749"/>
      <c r="BK301" s="749"/>
      <c r="BL301" s="749"/>
    </row>
    <row r="302">
      <c r="A302" s="866"/>
      <c r="B302" s="867"/>
      <c r="C302" s="866"/>
      <c r="D302" s="866"/>
      <c r="E302" s="866"/>
      <c r="F302" s="866"/>
      <c r="G302" s="866"/>
      <c r="H302" s="866"/>
      <c r="I302" s="866"/>
      <c r="J302" s="868"/>
      <c r="K302" s="868"/>
      <c r="L302" s="799"/>
      <c r="M302" s="747"/>
      <c r="N302" s="744"/>
      <c r="O302" s="744"/>
      <c r="P302" s="744"/>
      <c r="Q302" s="744"/>
      <c r="R302" s="744"/>
      <c r="S302" s="744"/>
      <c r="T302" s="855"/>
      <c r="U302" s="746"/>
      <c r="V302" s="746"/>
      <c r="W302" s="746"/>
      <c r="X302" s="746"/>
      <c r="Y302" s="799"/>
      <c r="Z302" s="799"/>
      <c r="AA302" s="799"/>
      <c r="AB302" s="799"/>
      <c r="AC302" s="799"/>
      <c r="AD302" s="750"/>
      <c r="AE302" s="749"/>
      <c r="AF302" s="749"/>
      <c r="AG302" s="749"/>
      <c r="AH302" s="749"/>
      <c r="AI302" s="749"/>
      <c r="AJ302" s="749"/>
      <c r="AK302" s="749"/>
      <c r="AL302" s="749"/>
      <c r="AM302" s="749"/>
      <c r="AN302" s="749"/>
      <c r="AO302" s="749"/>
      <c r="AP302" s="749"/>
      <c r="AQ302" s="749"/>
      <c r="AR302" s="749"/>
      <c r="AS302" s="749"/>
      <c r="AT302" s="749"/>
      <c r="AU302" s="749"/>
      <c r="AV302" s="749"/>
      <c r="AW302" s="749"/>
      <c r="AX302" s="749"/>
      <c r="AY302" s="749"/>
      <c r="AZ302" s="749"/>
      <c r="BA302" s="749"/>
      <c r="BB302" s="749"/>
      <c r="BC302" s="749"/>
      <c r="BD302" s="749"/>
      <c r="BE302" s="749"/>
      <c r="BF302" s="749"/>
      <c r="BG302" s="749"/>
      <c r="BH302" s="749"/>
      <c r="BI302" s="749"/>
      <c r="BJ302" s="749"/>
      <c r="BK302" s="749"/>
      <c r="BL302" s="749"/>
    </row>
    <row r="303">
      <c r="A303" s="866"/>
      <c r="B303" s="867"/>
      <c r="C303" s="866"/>
      <c r="D303" s="866"/>
      <c r="E303" s="866"/>
      <c r="F303" s="866"/>
      <c r="G303" s="866"/>
      <c r="H303" s="866"/>
      <c r="I303" s="866"/>
      <c r="J303" s="868"/>
      <c r="K303" s="868"/>
      <c r="L303" s="799"/>
      <c r="M303" s="747"/>
      <c r="N303" s="744"/>
      <c r="O303" s="744"/>
      <c r="P303" s="744"/>
      <c r="Q303" s="744"/>
      <c r="R303" s="744"/>
      <c r="S303" s="744"/>
      <c r="T303" s="855"/>
      <c r="U303" s="746"/>
      <c r="V303" s="746"/>
      <c r="W303" s="746"/>
      <c r="X303" s="746"/>
      <c r="Y303" s="799"/>
      <c r="Z303" s="799"/>
      <c r="AA303" s="799"/>
      <c r="AB303" s="799"/>
      <c r="AC303" s="799"/>
      <c r="AD303" s="750"/>
      <c r="AE303" s="749"/>
      <c r="AF303" s="749"/>
      <c r="AG303" s="749"/>
      <c r="AH303" s="749"/>
      <c r="AI303" s="749"/>
      <c r="AJ303" s="749"/>
      <c r="AK303" s="749"/>
      <c r="AL303" s="749"/>
      <c r="AM303" s="749"/>
      <c r="AN303" s="749"/>
      <c r="AO303" s="749"/>
      <c r="AP303" s="749"/>
      <c r="AQ303" s="749"/>
      <c r="AR303" s="749"/>
      <c r="AS303" s="749"/>
      <c r="AT303" s="749"/>
      <c r="AU303" s="749"/>
      <c r="AV303" s="749"/>
      <c r="AW303" s="749"/>
      <c r="AX303" s="749"/>
      <c r="AY303" s="749"/>
      <c r="AZ303" s="749"/>
      <c r="BA303" s="749"/>
      <c r="BB303" s="749"/>
      <c r="BC303" s="749"/>
      <c r="BD303" s="749"/>
      <c r="BE303" s="749"/>
      <c r="BF303" s="749"/>
      <c r="BG303" s="749"/>
      <c r="BH303" s="749"/>
      <c r="BI303" s="749"/>
      <c r="BJ303" s="749"/>
      <c r="BK303" s="749"/>
      <c r="BL303" s="749"/>
    </row>
    <row r="304">
      <c r="A304" s="866"/>
      <c r="B304" s="867"/>
      <c r="C304" s="866"/>
      <c r="D304" s="866"/>
      <c r="E304" s="866"/>
      <c r="F304" s="866"/>
      <c r="G304" s="866"/>
      <c r="H304" s="866"/>
      <c r="I304" s="866"/>
      <c r="J304" s="868"/>
      <c r="K304" s="868"/>
      <c r="L304" s="799"/>
      <c r="M304" s="747"/>
      <c r="N304" s="744"/>
      <c r="O304" s="744"/>
      <c r="P304" s="744"/>
      <c r="Q304" s="744"/>
      <c r="R304" s="744"/>
      <c r="S304" s="744"/>
      <c r="T304" s="855"/>
      <c r="U304" s="746"/>
      <c r="V304" s="746"/>
      <c r="W304" s="746"/>
      <c r="X304" s="746"/>
      <c r="Y304" s="799"/>
      <c r="Z304" s="799"/>
      <c r="AA304" s="799"/>
      <c r="AB304" s="799"/>
      <c r="AC304" s="799"/>
      <c r="AD304" s="750"/>
      <c r="AE304" s="749"/>
      <c r="AF304" s="749"/>
      <c r="AG304" s="749"/>
      <c r="AH304" s="749"/>
      <c r="AI304" s="749"/>
      <c r="AJ304" s="749"/>
      <c r="AK304" s="749"/>
      <c r="AL304" s="749"/>
      <c r="AM304" s="749"/>
      <c r="AN304" s="749"/>
      <c r="AO304" s="749"/>
      <c r="AP304" s="749"/>
      <c r="AQ304" s="749"/>
      <c r="AR304" s="749"/>
      <c r="AS304" s="749"/>
      <c r="AT304" s="749"/>
      <c r="AU304" s="749"/>
      <c r="AV304" s="749"/>
      <c r="AW304" s="749"/>
      <c r="AX304" s="749"/>
      <c r="AY304" s="749"/>
      <c r="AZ304" s="749"/>
      <c r="BA304" s="749"/>
      <c r="BB304" s="749"/>
      <c r="BC304" s="749"/>
      <c r="BD304" s="749"/>
      <c r="BE304" s="749"/>
      <c r="BF304" s="749"/>
      <c r="BG304" s="749"/>
      <c r="BH304" s="749"/>
      <c r="BI304" s="749"/>
      <c r="BJ304" s="749"/>
      <c r="BK304" s="749"/>
      <c r="BL304" s="749"/>
    </row>
    <row r="305">
      <c r="A305" s="866"/>
      <c r="B305" s="867"/>
      <c r="C305" s="866"/>
      <c r="D305" s="866"/>
      <c r="E305" s="866"/>
      <c r="F305" s="866"/>
      <c r="G305" s="866"/>
      <c r="H305" s="866"/>
      <c r="I305" s="866"/>
      <c r="J305" s="868"/>
      <c r="K305" s="868"/>
      <c r="L305" s="799"/>
      <c r="M305" s="747"/>
      <c r="N305" s="744"/>
      <c r="O305" s="744"/>
      <c r="P305" s="744"/>
      <c r="Q305" s="744"/>
      <c r="R305" s="744"/>
      <c r="S305" s="744"/>
      <c r="T305" s="855"/>
      <c r="U305" s="746"/>
      <c r="V305" s="746"/>
      <c r="W305" s="746"/>
      <c r="X305" s="746"/>
      <c r="Y305" s="799"/>
      <c r="Z305" s="799"/>
      <c r="AA305" s="799"/>
      <c r="AB305" s="799"/>
      <c r="AC305" s="799"/>
      <c r="AD305" s="750"/>
      <c r="AE305" s="749"/>
      <c r="AF305" s="749"/>
      <c r="AG305" s="749"/>
      <c r="AH305" s="749"/>
      <c r="AI305" s="749"/>
      <c r="AJ305" s="749"/>
      <c r="AK305" s="749"/>
      <c r="AL305" s="749"/>
      <c r="AM305" s="749"/>
      <c r="AN305" s="749"/>
      <c r="AO305" s="749"/>
      <c r="AP305" s="749"/>
      <c r="AQ305" s="749"/>
      <c r="AR305" s="749"/>
      <c r="AS305" s="749"/>
      <c r="AT305" s="749"/>
      <c r="AU305" s="749"/>
      <c r="AV305" s="749"/>
      <c r="AW305" s="749"/>
      <c r="AX305" s="749"/>
      <c r="AY305" s="749"/>
      <c r="AZ305" s="749"/>
      <c r="BA305" s="749"/>
      <c r="BB305" s="749"/>
      <c r="BC305" s="749"/>
      <c r="BD305" s="749"/>
      <c r="BE305" s="749"/>
      <c r="BF305" s="749"/>
      <c r="BG305" s="749"/>
      <c r="BH305" s="749"/>
      <c r="BI305" s="749"/>
      <c r="BJ305" s="749"/>
      <c r="BK305" s="749"/>
      <c r="BL305" s="749"/>
    </row>
    <row r="306">
      <c r="A306" s="866"/>
      <c r="B306" s="867"/>
      <c r="C306" s="866"/>
      <c r="D306" s="866"/>
      <c r="E306" s="866"/>
      <c r="F306" s="866"/>
      <c r="G306" s="866"/>
      <c r="H306" s="866"/>
      <c r="I306" s="866"/>
      <c r="J306" s="868"/>
      <c r="K306" s="868"/>
      <c r="L306" s="799"/>
      <c r="M306" s="747"/>
      <c r="N306" s="744"/>
      <c r="O306" s="744"/>
      <c r="P306" s="744"/>
      <c r="Q306" s="744"/>
      <c r="R306" s="744"/>
      <c r="S306" s="744"/>
      <c r="T306" s="855"/>
      <c r="U306" s="746"/>
      <c r="V306" s="746"/>
      <c r="W306" s="746"/>
      <c r="X306" s="746"/>
      <c r="Y306" s="799"/>
      <c r="Z306" s="799"/>
      <c r="AA306" s="799"/>
      <c r="AB306" s="799"/>
      <c r="AC306" s="799"/>
      <c r="AD306" s="750"/>
      <c r="AE306" s="749"/>
      <c r="AF306" s="749"/>
      <c r="AG306" s="749"/>
      <c r="AH306" s="749"/>
      <c r="AI306" s="749"/>
      <c r="AJ306" s="749"/>
      <c r="AK306" s="749"/>
      <c r="AL306" s="749"/>
      <c r="AM306" s="749"/>
      <c r="AN306" s="749"/>
      <c r="AO306" s="749"/>
      <c r="AP306" s="749"/>
      <c r="AQ306" s="749"/>
      <c r="AR306" s="749"/>
      <c r="AS306" s="749"/>
      <c r="AT306" s="749"/>
      <c r="AU306" s="749"/>
      <c r="AV306" s="749"/>
      <c r="AW306" s="749"/>
      <c r="AX306" s="749"/>
      <c r="AY306" s="749"/>
      <c r="AZ306" s="749"/>
      <c r="BA306" s="749"/>
      <c r="BB306" s="749"/>
      <c r="BC306" s="749"/>
      <c r="BD306" s="749"/>
      <c r="BE306" s="749"/>
      <c r="BF306" s="749"/>
      <c r="BG306" s="749"/>
      <c r="BH306" s="749"/>
      <c r="BI306" s="749"/>
      <c r="BJ306" s="749"/>
      <c r="BK306" s="749"/>
      <c r="BL306" s="749"/>
    </row>
    <row r="307">
      <c r="A307" s="866"/>
      <c r="B307" s="867"/>
      <c r="C307" s="866"/>
      <c r="D307" s="866"/>
      <c r="E307" s="866"/>
      <c r="F307" s="866"/>
      <c r="G307" s="866"/>
      <c r="H307" s="866"/>
      <c r="I307" s="866"/>
      <c r="J307" s="868"/>
      <c r="K307" s="868"/>
      <c r="L307" s="799"/>
      <c r="M307" s="747"/>
      <c r="N307" s="744"/>
      <c r="O307" s="744"/>
      <c r="P307" s="744"/>
      <c r="Q307" s="744"/>
      <c r="R307" s="744"/>
      <c r="S307" s="744"/>
      <c r="T307" s="855"/>
      <c r="U307" s="746"/>
      <c r="V307" s="746"/>
      <c r="W307" s="746"/>
      <c r="X307" s="746"/>
      <c r="Y307" s="799"/>
      <c r="Z307" s="799"/>
      <c r="AA307" s="799"/>
      <c r="AB307" s="799"/>
      <c r="AC307" s="799"/>
      <c r="AD307" s="750"/>
      <c r="AE307" s="749"/>
      <c r="AF307" s="749"/>
      <c r="AG307" s="749"/>
      <c r="AH307" s="749"/>
      <c r="AI307" s="749"/>
      <c r="AJ307" s="749"/>
      <c r="AK307" s="749"/>
      <c r="AL307" s="749"/>
      <c r="AM307" s="749"/>
      <c r="AN307" s="749"/>
      <c r="AO307" s="749"/>
      <c r="AP307" s="749"/>
      <c r="AQ307" s="749"/>
      <c r="AR307" s="749"/>
      <c r="AS307" s="749"/>
      <c r="AT307" s="749"/>
      <c r="AU307" s="749"/>
      <c r="AV307" s="749"/>
      <c r="AW307" s="749"/>
      <c r="AX307" s="749"/>
      <c r="AY307" s="749"/>
      <c r="AZ307" s="749"/>
      <c r="BA307" s="749"/>
      <c r="BB307" s="749"/>
      <c r="BC307" s="749"/>
      <c r="BD307" s="749"/>
      <c r="BE307" s="749"/>
      <c r="BF307" s="749"/>
      <c r="BG307" s="749"/>
      <c r="BH307" s="749"/>
      <c r="BI307" s="749"/>
      <c r="BJ307" s="749"/>
      <c r="BK307" s="749"/>
      <c r="BL307" s="749"/>
    </row>
    <row r="308">
      <c r="A308" s="866"/>
      <c r="B308" s="867"/>
      <c r="C308" s="866"/>
      <c r="D308" s="866"/>
      <c r="E308" s="866"/>
      <c r="F308" s="866"/>
      <c r="G308" s="866"/>
      <c r="H308" s="866"/>
      <c r="I308" s="866"/>
      <c r="J308" s="868"/>
      <c r="K308" s="868"/>
      <c r="L308" s="799"/>
      <c r="M308" s="747"/>
      <c r="N308" s="744"/>
      <c r="O308" s="744"/>
      <c r="P308" s="744"/>
      <c r="Q308" s="744"/>
      <c r="R308" s="744"/>
      <c r="S308" s="744"/>
      <c r="T308" s="855"/>
      <c r="U308" s="746"/>
      <c r="V308" s="746"/>
      <c r="W308" s="746"/>
      <c r="X308" s="746"/>
      <c r="Y308" s="799"/>
      <c r="Z308" s="799"/>
      <c r="AA308" s="799"/>
      <c r="AB308" s="799"/>
      <c r="AC308" s="799"/>
      <c r="AD308" s="750"/>
      <c r="AE308" s="749"/>
      <c r="AF308" s="749"/>
      <c r="AG308" s="749"/>
      <c r="AH308" s="749"/>
      <c r="AI308" s="749"/>
      <c r="AJ308" s="749"/>
      <c r="AK308" s="749"/>
      <c r="AL308" s="749"/>
      <c r="AM308" s="749"/>
      <c r="AN308" s="749"/>
      <c r="AO308" s="749"/>
      <c r="AP308" s="749"/>
      <c r="AQ308" s="749"/>
      <c r="AR308" s="749"/>
      <c r="AS308" s="749"/>
      <c r="AT308" s="749"/>
      <c r="AU308" s="749"/>
      <c r="AV308" s="749"/>
      <c r="AW308" s="749"/>
      <c r="AX308" s="749"/>
      <c r="AY308" s="749"/>
      <c r="AZ308" s="749"/>
      <c r="BA308" s="749"/>
      <c r="BB308" s="749"/>
      <c r="BC308" s="749"/>
      <c r="BD308" s="749"/>
      <c r="BE308" s="749"/>
      <c r="BF308" s="749"/>
      <c r="BG308" s="749"/>
      <c r="BH308" s="749"/>
      <c r="BI308" s="749"/>
      <c r="BJ308" s="749"/>
      <c r="BK308" s="749"/>
      <c r="BL308" s="749"/>
    </row>
    <row r="309">
      <c r="A309" s="866"/>
      <c r="B309" s="867"/>
      <c r="C309" s="866"/>
      <c r="D309" s="866"/>
      <c r="E309" s="866"/>
      <c r="F309" s="866"/>
      <c r="G309" s="866"/>
      <c r="H309" s="866"/>
      <c r="I309" s="866"/>
      <c r="J309" s="868"/>
      <c r="K309" s="868"/>
      <c r="L309" s="799"/>
      <c r="M309" s="747"/>
      <c r="N309" s="744"/>
      <c r="O309" s="744"/>
      <c r="P309" s="744"/>
      <c r="Q309" s="744"/>
      <c r="R309" s="744"/>
      <c r="S309" s="744"/>
      <c r="T309" s="855"/>
      <c r="U309" s="746"/>
      <c r="V309" s="746"/>
      <c r="W309" s="746"/>
      <c r="X309" s="746"/>
      <c r="Y309" s="799"/>
      <c r="Z309" s="799"/>
      <c r="AA309" s="799"/>
      <c r="AB309" s="799"/>
      <c r="AC309" s="799"/>
      <c r="AD309" s="750"/>
      <c r="AE309" s="749"/>
      <c r="AF309" s="749"/>
      <c r="AG309" s="749"/>
      <c r="AH309" s="749"/>
      <c r="AI309" s="749"/>
      <c r="AJ309" s="749"/>
      <c r="AK309" s="749"/>
      <c r="AL309" s="749"/>
      <c r="AM309" s="749"/>
      <c r="AN309" s="749"/>
      <c r="AO309" s="749"/>
      <c r="AP309" s="749"/>
      <c r="AQ309" s="749"/>
      <c r="AR309" s="749"/>
      <c r="AS309" s="749"/>
      <c r="AT309" s="749"/>
      <c r="AU309" s="749"/>
      <c r="AV309" s="749"/>
      <c r="AW309" s="749"/>
      <c r="AX309" s="749"/>
      <c r="AY309" s="749"/>
      <c r="AZ309" s="749"/>
      <c r="BA309" s="749"/>
      <c r="BB309" s="749"/>
      <c r="BC309" s="749"/>
      <c r="BD309" s="749"/>
      <c r="BE309" s="749"/>
      <c r="BF309" s="749"/>
      <c r="BG309" s="749"/>
      <c r="BH309" s="749"/>
      <c r="BI309" s="749"/>
      <c r="BJ309" s="749"/>
      <c r="BK309" s="749"/>
      <c r="BL309" s="749"/>
    </row>
    <row r="310">
      <c r="A310" s="866"/>
      <c r="B310" s="867"/>
      <c r="C310" s="866"/>
      <c r="D310" s="866"/>
      <c r="E310" s="866"/>
      <c r="F310" s="866"/>
      <c r="G310" s="866"/>
      <c r="H310" s="866"/>
      <c r="I310" s="866"/>
      <c r="J310" s="868"/>
      <c r="K310" s="868"/>
      <c r="L310" s="799"/>
      <c r="M310" s="747"/>
      <c r="N310" s="744"/>
      <c r="O310" s="744"/>
      <c r="P310" s="744"/>
      <c r="Q310" s="744"/>
      <c r="R310" s="744"/>
      <c r="S310" s="744"/>
      <c r="T310" s="855"/>
      <c r="U310" s="746"/>
      <c r="V310" s="746"/>
      <c r="W310" s="746"/>
      <c r="X310" s="746"/>
      <c r="Y310" s="799"/>
      <c r="Z310" s="799"/>
      <c r="AA310" s="799"/>
      <c r="AB310" s="799"/>
      <c r="AC310" s="799"/>
      <c r="AD310" s="750"/>
      <c r="AE310" s="749"/>
      <c r="AF310" s="749"/>
      <c r="AG310" s="749"/>
      <c r="AH310" s="749"/>
      <c r="AI310" s="749"/>
      <c r="AJ310" s="749"/>
      <c r="AK310" s="749"/>
      <c r="AL310" s="749"/>
      <c r="AM310" s="749"/>
      <c r="AN310" s="749"/>
      <c r="AO310" s="749"/>
      <c r="AP310" s="749"/>
      <c r="AQ310" s="749"/>
      <c r="AR310" s="749"/>
      <c r="AS310" s="749"/>
      <c r="AT310" s="749"/>
      <c r="AU310" s="749"/>
      <c r="AV310" s="749"/>
      <c r="AW310" s="749"/>
      <c r="AX310" s="749"/>
      <c r="AY310" s="749"/>
      <c r="AZ310" s="749"/>
      <c r="BA310" s="749"/>
      <c r="BB310" s="749"/>
      <c r="BC310" s="749"/>
      <c r="BD310" s="749"/>
      <c r="BE310" s="749"/>
      <c r="BF310" s="749"/>
      <c r="BG310" s="749"/>
      <c r="BH310" s="749"/>
      <c r="BI310" s="749"/>
      <c r="BJ310" s="749"/>
      <c r="BK310" s="749"/>
      <c r="BL310" s="749"/>
    </row>
    <row r="311">
      <c r="A311" s="866"/>
      <c r="B311" s="867"/>
      <c r="C311" s="866"/>
      <c r="D311" s="866"/>
      <c r="E311" s="866"/>
      <c r="F311" s="866"/>
      <c r="G311" s="866"/>
      <c r="H311" s="866"/>
      <c r="I311" s="866"/>
      <c r="J311" s="868"/>
      <c r="K311" s="868"/>
      <c r="L311" s="799"/>
      <c r="M311" s="747"/>
      <c r="N311" s="744"/>
      <c r="O311" s="744"/>
      <c r="P311" s="744"/>
      <c r="Q311" s="744"/>
      <c r="R311" s="744"/>
      <c r="S311" s="744"/>
      <c r="T311" s="855"/>
      <c r="U311" s="746"/>
      <c r="V311" s="746"/>
      <c r="W311" s="746"/>
      <c r="X311" s="746"/>
      <c r="Y311" s="799"/>
      <c r="Z311" s="799"/>
      <c r="AA311" s="799"/>
      <c r="AB311" s="799"/>
      <c r="AC311" s="799"/>
      <c r="AD311" s="750"/>
      <c r="AE311" s="749"/>
      <c r="AF311" s="749"/>
      <c r="AG311" s="749"/>
      <c r="AH311" s="749"/>
      <c r="AI311" s="749"/>
      <c r="AJ311" s="749"/>
      <c r="AK311" s="749"/>
      <c r="AL311" s="749"/>
      <c r="AM311" s="749"/>
      <c r="AN311" s="749"/>
      <c r="AO311" s="749"/>
      <c r="AP311" s="749"/>
      <c r="AQ311" s="749"/>
      <c r="AR311" s="749"/>
      <c r="AS311" s="749"/>
      <c r="AT311" s="749"/>
      <c r="AU311" s="749"/>
      <c r="AV311" s="749"/>
      <c r="AW311" s="749"/>
      <c r="AX311" s="749"/>
      <c r="AY311" s="749"/>
      <c r="AZ311" s="749"/>
      <c r="BA311" s="749"/>
      <c r="BB311" s="749"/>
      <c r="BC311" s="749"/>
      <c r="BD311" s="749"/>
      <c r="BE311" s="749"/>
      <c r="BF311" s="749"/>
      <c r="BG311" s="749"/>
      <c r="BH311" s="749"/>
      <c r="BI311" s="749"/>
      <c r="BJ311" s="749"/>
      <c r="BK311" s="749"/>
      <c r="BL311" s="749"/>
    </row>
    <row r="312">
      <c r="A312" s="866"/>
      <c r="B312" s="867"/>
      <c r="C312" s="866"/>
      <c r="D312" s="866"/>
      <c r="E312" s="866"/>
      <c r="F312" s="866"/>
      <c r="G312" s="866"/>
      <c r="H312" s="866"/>
      <c r="I312" s="866"/>
      <c r="J312" s="868"/>
      <c r="K312" s="868"/>
      <c r="L312" s="799"/>
      <c r="M312" s="747"/>
      <c r="N312" s="744"/>
      <c r="O312" s="744"/>
      <c r="P312" s="744"/>
      <c r="Q312" s="744"/>
      <c r="R312" s="744"/>
      <c r="S312" s="744"/>
      <c r="T312" s="855"/>
      <c r="U312" s="746"/>
      <c r="V312" s="746"/>
      <c r="W312" s="746"/>
      <c r="X312" s="746"/>
      <c r="Y312" s="799"/>
      <c r="Z312" s="799"/>
      <c r="AA312" s="799"/>
      <c r="AB312" s="799"/>
      <c r="AC312" s="799"/>
      <c r="AD312" s="750"/>
      <c r="AE312" s="749"/>
      <c r="AF312" s="749"/>
      <c r="AG312" s="749"/>
      <c r="AH312" s="749"/>
      <c r="AI312" s="749"/>
      <c r="AJ312" s="749"/>
      <c r="AK312" s="749"/>
      <c r="AL312" s="749"/>
      <c r="AM312" s="749"/>
      <c r="AN312" s="749"/>
      <c r="AO312" s="749"/>
      <c r="AP312" s="749"/>
      <c r="AQ312" s="749"/>
      <c r="AR312" s="749"/>
      <c r="AS312" s="749"/>
      <c r="AT312" s="749"/>
      <c r="AU312" s="749"/>
      <c r="AV312" s="749"/>
      <c r="AW312" s="749"/>
      <c r="AX312" s="749"/>
      <c r="AY312" s="749"/>
      <c r="AZ312" s="749"/>
      <c r="BA312" s="749"/>
      <c r="BB312" s="749"/>
      <c r="BC312" s="749"/>
      <c r="BD312" s="749"/>
      <c r="BE312" s="749"/>
      <c r="BF312" s="749"/>
      <c r="BG312" s="749"/>
      <c r="BH312" s="749"/>
      <c r="BI312" s="749"/>
      <c r="BJ312" s="749"/>
      <c r="BK312" s="749"/>
      <c r="BL312" s="749"/>
    </row>
    <row r="313">
      <c r="A313" s="866"/>
      <c r="B313" s="867"/>
      <c r="C313" s="866"/>
      <c r="D313" s="866"/>
      <c r="E313" s="866"/>
      <c r="F313" s="866"/>
      <c r="G313" s="866"/>
      <c r="H313" s="866"/>
      <c r="I313" s="866"/>
      <c r="J313" s="868"/>
      <c r="K313" s="868"/>
      <c r="L313" s="799"/>
      <c r="M313" s="747"/>
      <c r="N313" s="744"/>
      <c r="O313" s="744"/>
      <c r="P313" s="744"/>
      <c r="Q313" s="744"/>
      <c r="R313" s="744"/>
      <c r="S313" s="744"/>
      <c r="T313" s="855"/>
      <c r="U313" s="746"/>
      <c r="V313" s="746"/>
      <c r="W313" s="746"/>
      <c r="X313" s="746"/>
      <c r="Y313" s="799"/>
      <c r="Z313" s="799"/>
      <c r="AA313" s="799"/>
      <c r="AB313" s="799"/>
      <c r="AC313" s="799"/>
      <c r="AD313" s="750"/>
      <c r="AE313" s="749"/>
      <c r="AF313" s="749"/>
      <c r="AG313" s="749"/>
      <c r="AH313" s="749"/>
      <c r="AI313" s="749"/>
      <c r="AJ313" s="749"/>
      <c r="AK313" s="749"/>
      <c r="AL313" s="749"/>
      <c r="AM313" s="749"/>
      <c r="AN313" s="749"/>
      <c r="AO313" s="749"/>
      <c r="AP313" s="749"/>
      <c r="AQ313" s="749"/>
      <c r="AR313" s="749"/>
      <c r="AS313" s="749"/>
      <c r="AT313" s="749"/>
      <c r="AU313" s="749"/>
      <c r="AV313" s="749"/>
      <c r="AW313" s="749"/>
      <c r="AX313" s="749"/>
      <c r="AY313" s="749"/>
      <c r="AZ313" s="749"/>
      <c r="BA313" s="749"/>
      <c r="BB313" s="749"/>
      <c r="BC313" s="749"/>
      <c r="BD313" s="749"/>
      <c r="BE313" s="749"/>
      <c r="BF313" s="749"/>
      <c r="BG313" s="749"/>
      <c r="BH313" s="749"/>
      <c r="BI313" s="749"/>
      <c r="BJ313" s="749"/>
      <c r="BK313" s="749"/>
      <c r="BL313" s="749"/>
    </row>
    <row r="314">
      <c r="A314" s="866"/>
      <c r="B314" s="867"/>
      <c r="C314" s="866"/>
      <c r="D314" s="866"/>
      <c r="E314" s="866"/>
      <c r="F314" s="866"/>
      <c r="G314" s="866"/>
      <c r="H314" s="866"/>
      <c r="I314" s="866"/>
      <c r="J314" s="868"/>
      <c r="K314" s="868"/>
      <c r="L314" s="799"/>
      <c r="M314" s="747"/>
      <c r="N314" s="744"/>
      <c r="O314" s="744"/>
      <c r="P314" s="744"/>
      <c r="Q314" s="744"/>
      <c r="R314" s="744"/>
      <c r="S314" s="744"/>
      <c r="T314" s="855"/>
      <c r="U314" s="746"/>
      <c r="V314" s="746"/>
      <c r="W314" s="746"/>
      <c r="X314" s="746"/>
      <c r="Y314" s="799"/>
      <c r="Z314" s="799"/>
      <c r="AA314" s="799"/>
      <c r="AB314" s="799"/>
      <c r="AC314" s="799"/>
      <c r="AD314" s="750"/>
      <c r="AE314" s="749"/>
      <c r="AF314" s="749"/>
      <c r="AG314" s="749"/>
      <c r="AH314" s="749"/>
      <c r="AI314" s="749"/>
      <c r="AJ314" s="749"/>
      <c r="AK314" s="749"/>
      <c r="AL314" s="749"/>
      <c r="AM314" s="749"/>
      <c r="AN314" s="749"/>
      <c r="AO314" s="749"/>
      <c r="AP314" s="749"/>
      <c r="AQ314" s="749"/>
      <c r="AR314" s="749"/>
      <c r="AS314" s="749"/>
      <c r="AT314" s="749"/>
      <c r="AU314" s="749"/>
      <c r="AV314" s="749"/>
      <c r="AW314" s="749"/>
      <c r="AX314" s="749"/>
      <c r="AY314" s="749"/>
      <c r="AZ314" s="749"/>
      <c r="BA314" s="749"/>
      <c r="BB314" s="749"/>
      <c r="BC314" s="749"/>
      <c r="BD314" s="749"/>
      <c r="BE314" s="749"/>
      <c r="BF314" s="749"/>
      <c r="BG314" s="749"/>
      <c r="BH314" s="749"/>
      <c r="BI314" s="749"/>
      <c r="BJ314" s="749"/>
      <c r="BK314" s="749"/>
      <c r="BL314" s="749"/>
    </row>
    <row r="315">
      <c r="A315" s="866"/>
      <c r="B315" s="867"/>
      <c r="C315" s="866"/>
      <c r="D315" s="866"/>
      <c r="E315" s="866"/>
      <c r="F315" s="866"/>
      <c r="G315" s="866"/>
      <c r="H315" s="866"/>
      <c r="I315" s="866"/>
      <c r="J315" s="868"/>
      <c r="K315" s="868"/>
      <c r="L315" s="799"/>
      <c r="M315" s="747"/>
      <c r="N315" s="744"/>
      <c r="O315" s="744"/>
      <c r="P315" s="744"/>
      <c r="Q315" s="744"/>
      <c r="R315" s="744"/>
      <c r="S315" s="744"/>
      <c r="T315" s="855"/>
      <c r="U315" s="746"/>
      <c r="V315" s="746"/>
      <c r="W315" s="746"/>
      <c r="X315" s="746"/>
      <c r="Y315" s="799"/>
      <c r="Z315" s="799"/>
      <c r="AA315" s="799"/>
      <c r="AB315" s="799"/>
      <c r="AC315" s="799"/>
      <c r="AD315" s="750"/>
      <c r="AE315" s="749"/>
      <c r="AF315" s="749"/>
      <c r="AG315" s="749"/>
      <c r="AH315" s="749"/>
      <c r="AI315" s="749"/>
      <c r="AJ315" s="749"/>
      <c r="AK315" s="749"/>
      <c r="AL315" s="749"/>
      <c r="AM315" s="749"/>
      <c r="AN315" s="749"/>
      <c r="AO315" s="749"/>
      <c r="AP315" s="749"/>
      <c r="AQ315" s="749"/>
      <c r="AR315" s="749"/>
      <c r="AS315" s="749"/>
      <c r="AT315" s="749"/>
      <c r="AU315" s="749"/>
      <c r="AV315" s="749"/>
      <c r="AW315" s="749"/>
      <c r="AX315" s="749"/>
      <c r="AY315" s="749"/>
      <c r="AZ315" s="749"/>
      <c r="BA315" s="749"/>
      <c r="BB315" s="749"/>
      <c r="BC315" s="749"/>
      <c r="BD315" s="749"/>
      <c r="BE315" s="749"/>
      <c r="BF315" s="749"/>
      <c r="BG315" s="749"/>
      <c r="BH315" s="749"/>
      <c r="BI315" s="749"/>
      <c r="BJ315" s="749"/>
      <c r="BK315" s="749"/>
      <c r="BL315" s="749"/>
    </row>
    <row r="316">
      <c r="A316" s="866"/>
      <c r="B316" s="867"/>
      <c r="C316" s="866"/>
      <c r="D316" s="866"/>
      <c r="E316" s="866"/>
      <c r="F316" s="866"/>
      <c r="G316" s="866"/>
      <c r="H316" s="866"/>
      <c r="I316" s="866"/>
      <c r="J316" s="868"/>
      <c r="K316" s="868"/>
      <c r="L316" s="799"/>
      <c r="M316" s="747"/>
      <c r="N316" s="744"/>
      <c r="O316" s="744"/>
      <c r="P316" s="744"/>
      <c r="Q316" s="744"/>
      <c r="R316" s="744"/>
      <c r="S316" s="744"/>
      <c r="T316" s="855"/>
      <c r="U316" s="746"/>
      <c r="V316" s="746"/>
      <c r="W316" s="746"/>
      <c r="X316" s="746"/>
      <c r="Y316" s="799"/>
      <c r="Z316" s="799"/>
      <c r="AA316" s="799"/>
      <c r="AB316" s="799"/>
      <c r="AC316" s="799"/>
      <c r="AD316" s="750"/>
      <c r="AE316" s="749"/>
      <c r="AF316" s="749"/>
      <c r="AG316" s="749"/>
      <c r="AH316" s="749"/>
      <c r="AI316" s="749"/>
      <c r="AJ316" s="749"/>
      <c r="AK316" s="749"/>
      <c r="AL316" s="749"/>
      <c r="AM316" s="749"/>
      <c r="AN316" s="749"/>
      <c r="AO316" s="749"/>
      <c r="AP316" s="749"/>
      <c r="AQ316" s="749"/>
      <c r="AR316" s="749"/>
      <c r="AS316" s="749"/>
      <c r="AT316" s="749"/>
      <c r="AU316" s="749"/>
      <c r="AV316" s="749"/>
      <c r="AW316" s="749"/>
      <c r="AX316" s="749"/>
      <c r="AY316" s="749"/>
      <c r="AZ316" s="749"/>
      <c r="BA316" s="749"/>
      <c r="BB316" s="749"/>
      <c r="BC316" s="749"/>
      <c r="BD316" s="749"/>
      <c r="BE316" s="749"/>
      <c r="BF316" s="749"/>
      <c r="BG316" s="749"/>
      <c r="BH316" s="749"/>
      <c r="BI316" s="749"/>
      <c r="BJ316" s="749"/>
      <c r="BK316" s="749"/>
      <c r="BL316" s="749"/>
    </row>
    <row r="317">
      <c r="A317" s="866"/>
      <c r="B317" s="867"/>
      <c r="C317" s="866"/>
      <c r="D317" s="866"/>
      <c r="E317" s="866"/>
      <c r="F317" s="866"/>
      <c r="G317" s="866"/>
      <c r="H317" s="866"/>
      <c r="I317" s="866"/>
      <c r="J317" s="868"/>
      <c r="K317" s="868"/>
      <c r="L317" s="799"/>
      <c r="M317" s="747"/>
      <c r="N317" s="744"/>
      <c r="O317" s="744"/>
      <c r="P317" s="744"/>
      <c r="Q317" s="744"/>
      <c r="R317" s="744"/>
      <c r="S317" s="744"/>
      <c r="T317" s="855"/>
      <c r="U317" s="746"/>
      <c r="V317" s="746"/>
      <c r="W317" s="746"/>
      <c r="X317" s="746"/>
      <c r="Y317" s="799"/>
      <c r="Z317" s="799"/>
      <c r="AA317" s="799"/>
      <c r="AB317" s="799"/>
      <c r="AC317" s="799"/>
      <c r="AD317" s="750"/>
      <c r="AE317" s="749"/>
      <c r="AF317" s="749"/>
      <c r="AG317" s="749"/>
      <c r="AH317" s="749"/>
      <c r="AI317" s="749"/>
      <c r="AJ317" s="749"/>
      <c r="AK317" s="749"/>
      <c r="AL317" s="749"/>
      <c r="AM317" s="749"/>
      <c r="AN317" s="749"/>
      <c r="AO317" s="749"/>
      <c r="AP317" s="749"/>
      <c r="AQ317" s="749"/>
      <c r="AR317" s="749"/>
      <c r="AS317" s="749"/>
      <c r="AT317" s="749"/>
      <c r="AU317" s="749"/>
      <c r="AV317" s="749"/>
      <c r="AW317" s="749"/>
      <c r="AX317" s="749"/>
      <c r="AY317" s="749"/>
      <c r="AZ317" s="749"/>
      <c r="BA317" s="749"/>
      <c r="BB317" s="749"/>
      <c r="BC317" s="749"/>
      <c r="BD317" s="749"/>
      <c r="BE317" s="749"/>
      <c r="BF317" s="749"/>
      <c r="BG317" s="749"/>
      <c r="BH317" s="749"/>
      <c r="BI317" s="749"/>
      <c r="BJ317" s="749"/>
      <c r="BK317" s="749"/>
      <c r="BL317" s="749"/>
    </row>
    <row r="318">
      <c r="A318" s="866"/>
      <c r="B318" s="867"/>
      <c r="C318" s="866"/>
      <c r="D318" s="866"/>
      <c r="E318" s="866"/>
      <c r="F318" s="866"/>
      <c r="G318" s="866"/>
      <c r="H318" s="866"/>
      <c r="I318" s="866"/>
      <c r="J318" s="868"/>
      <c r="K318" s="868"/>
      <c r="L318" s="799"/>
      <c r="M318" s="747"/>
      <c r="N318" s="744"/>
      <c r="O318" s="744"/>
      <c r="P318" s="744"/>
      <c r="Q318" s="744"/>
      <c r="R318" s="744"/>
      <c r="S318" s="744"/>
      <c r="T318" s="855"/>
      <c r="U318" s="746"/>
      <c r="V318" s="746"/>
      <c r="W318" s="746"/>
      <c r="X318" s="746"/>
      <c r="Y318" s="799"/>
      <c r="Z318" s="799"/>
      <c r="AA318" s="799"/>
      <c r="AB318" s="799"/>
      <c r="AC318" s="799"/>
      <c r="AD318" s="750"/>
      <c r="AE318" s="749"/>
      <c r="AF318" s="749"/>
      <c r="AG318" s="749"/>
      <c r="AH318" s="749"/>
      <c r="AI318" s="749"/>
      <c r="AJ318" s="749"/>
      <c r="AK318" s="749"/>
      <c r="AL318" s="749"/>
      <c r="AM318" s="749"/>
      <c r="AN318" s="749"/>
      <c r="AO318" s="749"/>
      <c r="AP318" s="749"/>
      <c r="AQ318" s="749"/>
      <c r="AR318" s="749"/>
      <c r="AS318" s="749"/>
      <c r="AT318" s="749"/>
      <c r="AU318" s="749"/>
      <c r="AV318" s="749"/>
      <c r="AW318" s="749"/>
      <c r="AX318" s="749"/>
      <c r="AY318" s="749"/>
      <c r="AZ318" s="749"/>
      <c r="BA318" s="749"/>
      <c r="BB318" s="749"/>
      <c r="BC318" s="749"/>
      <c r="BD318" s="749"/>
      <c r="BE318" s="749"/>
      <c r="BF318" s="749"/>
      <c r="BG318" s="749"/>
      <c r="BH318" s="749"/>
      <c r="BI318" s="749"/>
      <c r="BJ318" s="749"/>
      <c r="BK318" s="749"/>
      <c r="BL318" s="749"/>
    </row>
    <row r="319">
      <c r="A319" s="866"/>
      <c r="B319" s="867"/>
      <c r="C319" s="866"/>
      <c r="D319" s="866"/>
      <c r="E319" s="866"/>
      <c r="F319" s="866"/>
      <c r="G319" s="866"/>
      <c r="H319" s="866"/>
      <c r="I319" s="866"/>
      <c r="J319" s="868"/>
      <c r="K319" s="868"/>
      <c r="L319" s="799"/>
      <c r="M319" s="747"/>
      <c r="N319" s="744"/>
      <c r="O319" s="744"/>
      <c r="P319" s="744"/>
      <c r="Q319" s="744"/>
      <c r="R319" s="744"/>
      <c r="S319" s="744"/>
      <c r="T319" s="855"/>
      <c r="U319" s="746"/>
      <c r="V319" s="746"/>
      <c r="W319" s="746"/>
      <c r="X319" s="746"/>
      <c r="Y319" s="799"/>
      <c r="Z319" s="799"/>
      <c r="AA319" s="799"/>
      <c r="AB319" s="799"/>
      <c r="AC319" s="799"/>
      <c r="AD319" s="750"/>
      <c r="AE319" s="749"/>
      <c r="AF319" s="749"/>
      <c r="AG319" s="749"/>
      <c r="AH319" s="749"/>
      <c r="AI319" s="749"/>
      <c r="AJ319" s="749"/>
      <c r="AK319" s="749"/>
      <c r="AL319" s="749"/>
      <c r="AM319" s="749"/>
      <c r="AN319" s="749"/>
      <c r="AO319" s="749"/>
      <c r="AP319" s="749"/>
      <c r="AQ319" s="749"/>
      <c r="AR319" s="749"/>
      <c r="AS319" s="749"/>
      <c r="AT319" s="749"/>
      <c r="AU319" s="749"/>
      <c r="AV319" s="749"/>
      <c r="AW319" s="749"/>
      <c r="AX319" s="749"/>
      <c r="AY319" s="749"/>
      <c r="AZ319" s="749"/>
      <c r="BA319" s="749"/>
      <c r="BB319" s="749"/>
      <c r="BC319" s="749"/>
      <c r="BD319" s="749"/>
      <c r="BE319" s="749"/>
      <c r="BF319" s="749"/>
      <c r="BG319" s="749"/>
      <c r="BH319" s="749"/>
      <c r="BI319" s="749"/>
      <c r="BJ319" s="749"/>
      <c r="BK319" s="749"/>
      <c r="BL319" s="749"/>
    </row>
    <row r="320">
      <c r="A320" s="866"/>
      <c r="B320" s="867"/>
      <c r="C320" s="866"/>
      <c r="D320" s="866"/>
      <c r="E320" s="866"/>
      <c r="F320" s="866"/>
      <c r="G320" s="866"/>
      <c r="H320" s="866"/>
      <c r="I320" s="866"/>
      <c r="J320" s="868"/>
      <c r="K320" s="868"/>
      <c r="L320" s="799"/>
      <c r="M320" s="747"/>
      <c r="N320" s="744"/>
      <c r="O320" s="744"/>
      <c r="P320" s="744"/>
      <c r="Q320" s="744"/>
      <c r="R320" s="744"/>
      <c r="S320" s="744"/>
      <c r="T320" s="855"/>
      <c r="U320" s="746"/>
      <c r="V320" s="746"/>
      <c r="W320" s="746"/>
      <c r="X320" s="746"/>
      <c r="Y320" s="799"/>
      <c r="Z320" s="799"/>
      <c r="AA320" s="799"/>
      <c r="AB320" s="799"/>
      <c r="AC320" s="799"/>
      <c r="AD320" s="750"/>
      <c r="AE320" s="749"/>
      <c r="AF320" s="749"/>
      <c r="AG320" s="749"/>
      <c r="AH320" s="749"/>
      <c r="AI320" s="749"/>
      <c r="AJ320" s="749"/>
      <c r="AK320" s="749"/>
      <c r="AL320" s="749"/>
      <c r="AM320" s="749"/>
      <c r="AN320" s="749"/>
      <c r="AO320" s="749"/>
      <c r="AP320" s="749"/>
      <c r="AQ320" s="749"/>
      <c r="AR320" s="749"/>
      <c r="AS320" s="749"/>
      <c r="AT320" s="749"/>
      <c r="AU320" s="749"/>
      <c r="AV320" s="749"/>
      <c r="AW320" s="749"/>
      <c r="AX320" s="749"/>
      <c r="AY320" s="749"/>
      <c r="AZ320" s="749"/>
      <c r="BA320" s="749"/>
      <c r="BB320" s="749"/>
      <c r="BC320" s="749"/>
      <c r="BD320" s="749"/>
      <c r="BE320" s="749"/>
      <c r="BF320" s="749"/>
      <c r="BG320" s="749"/>
      <c r="BH320" s="749"/>
      <c r="BI320" s="749"/>
      <c r="BJ320" s="749"/>
      <c r="BK320" s="749"/>
      <c r="BL320" s="749"/>
    </row>
    <row r="321">
      <c r="A321" s="866"/>
      <c r="B321" s="867"/>
      <c r="C321" s="866"/>
      <c r="D321" s="866"/>
      <c r="E321" s="866"/>
      <c r="F321" s="866"/>
      <c r="G321" s="866"/>
      <c r="H321" s="866"/>
      <c r="I321" s="866"/>
      <c r="J321" s="868"/>
      <c r="K321" s="868"/>
      <c r="L321" s="799"/>
      <c r="M321" s="747"/>
      <c r="N321" s="744"/>
      <c r="O321" s="744"/>
      <c r="P321" s="744"/>
      <c r="Q321" s="744"/>
      <c r="R321" s="744"/>
      <c r="S321" s="744"/>
      <c r="T321" s="855"/>
      <c r="U321" s="746"/>
      <c r="V321" s="746"/>
      <c r="W321" s="746"/>
      <c r="X321" s="746"/>
      <c r="Y321" s="799"/>
      <c r="Z321" s="799"/>
      <c r="AA321" s="799"/>
      <c r="AB321" s="799"/>
      <c r="AC321" s="799"/>
      <c r="AD321" s="750"/>
      <c r="AE321" s="749"/>
      <c r="AF321" s="749"/>
      <c r="AG321" s="749"/>
      <c r="AH321" s="749"/>
      <c r="AI321" s="749"/>
      <c r="AJ321" s="749"/>
      <c r="AK321" s="749"/>
      <c r="AL321" s="749"/>
      <c r="AM321" s="749"/>
      <c r="AN321" s="749"/>
      <c r="AO321" s="749"/>
      <c r="AP321" s="749"/>
      <c r="AQ321" s="749"/>
      <c r="AR321" s="749"/>
      <c r="AS321" s="749"/>
      <c r="AT321" s="749"/>
      <c r="AU321" s="749"/>
      <c r="AV321" s="749"/>
      <c r="AW321" s="749"/>
      <c r="AX321" s="749"/>
      <c r="AY321" s="749"/>
      <c r="AZ321" s="749"/>
      <c r="BA321" s="749"/>
      <c r="BB321" s="749"/>
      <c r="BC321" s="749"/>
      <c r="BD321" s="749"/>
      <c r="BE321" s="749"/>
      <c r="BF321" s="749"/>
      <c r="BG321" s="749"/>
      <c r="BH321" s="749"/>
      <c r="BI321" s="749"/>
      <c r="BJ321" s="749"/>
      <c r="BK321" s="749"/>
      <c r="BL321" s="749"/>
    </row>
    <row r="322">
      <c r="A322" s="866"/>
      <c r="B322" s="867"/>
      <c r="C322" s="866"/>
      <c r="D322" s="866"/>
      <c r="E322" s="866"/>
      <c r="F322" s="866"/>
      <c r="G322" s="866"/>
      <c r="H322" s="866"/>
      <c r="I322" s="866"/>
      <c r="J322" s="868"/>
      <c r="K322" s="868"/>
      <c r="L322" s="799"/>
      <c r="M322" s="747"/>
      <c r="N322" s="744"/>
      <c r="O322" s="744"/>
      <c r="P322" s="744"/>
      <c r="Q322" s="744"/>
      <c r="R322" s="744"/>
      <c r="S322" s="744"/>
      <c r="T322" s="855"/>
      <c r="U322" s="746"/>
      <c r="V322" s="746"/>
      <c r="W322" s="746"/>
      <c r="X322" s="746"/>
      <c r="Y322" s="799"/>
      <c r="Z322" s="799"/>
      <c r="AA322" s="799"/>
      <c r="AB322" s="799"/>
      <c r="AC322" s="799"/>
      <c r="AD322" s="750"/>
      <c r="AE322" s="749"/>
      <c r="AF322" s="749"/>
      <c r="AG322" s="749"/>
      <c r="AH322" s="749"/>
      <c r="AI322" s="749"/>
      <c r="AJ322" s="749"/>
      <c r="AK322" s="749"/>
      <c r="AL322" s="749"/>
      <c r="AM322" s="749"/>
      <c r="AN322" s="749"/>
      <c r="AO322" s="749"/>
      <c r="AP322" s="749"/>
      <c r="AQ322" s="749"/>
      <c r="AR322" s="749"/>
      <c r="AS322" s="749"/>
      <c r="AT322" s="749"/>
      <c r="AU322" s="749"/>
      <c r="AV322" s="749"/>
      <c r="AW322" s="749"/>
      <c r="AX322" s="749"/>
      <c r="AY322" s="749"/>
      <c r="AZ322" s="749"/>
      <c r="BA322" s="749"/>
      <c r="BB322" s="749"/>
      <c r="BC322" s="749"/>
      <c r="BD322" s="749"/>
      <c r="BE322" s="749"/>
      <c r="BF322" s="749"/>
      <c r="BG322" s="749"/>
      <c r="BH322" s="749"/>
      <c r="BI322" s="749"/>
      <c r="BJ322" s="749"/>
      <c r="BK322" s="749"/>
      <c r="BL322" s="749"/>
    </row>
    <row r="323">
      <c r="A323" s="866"/>
      <c r="B323" s="867"/>
      <c r="C323" s="866"/>
      <c r="D323" s="866"/>
      <c r="E323" s="866"/>
      <c r="F323" s="866"/>
      <c r="G323" s="866"/>
      <c r="H323" s="866"/>
      <c r="I323" s="866"/>
      <c r="J323" s="868"/>
      <c r="K323" s="868"/>
      <c r="L323" s="799"/>
      <c r="M323" s="747"/>
      <c r="N323" s="744"/>
      <c r="O323" s="744"/>
      <c r="P323" s="744"/>
      <c r="Q323" s="744"/>
      <c r="R323" s="744"/>
      <c r="S323" s="744"/>
      <c r="T323" s="855"/>
      <c r="U323" s="746"/>
      <c r="V323" s="746"/>
      <c r="W323" s="746"/>
      <c r="X323" s="746"/>
      <c r="Y323" s="799"/>
      <c r="Z323" s="799"/>
      <c r="AA323" s="799"/>
      <c r="AB323" s="799"/>
      <c r="AC323" s="799"/>
      <c r="AD323" s="750"/>
      <c r="AE323" s="749"/>
      <c r="AF323" s="749"/>
      <c r="AG323" s="749"/>
      <c r="AH323" s="749"/>
      <c r="AI323" s="749"/>
      <c r="AJ323" s="749"/>
      <c r="AK323" s="749"/>
      <c r="AL323" s="749"/>
      <c r="AM323" s="749"/>
      <c r="AN323" s="749"/>
      <c r="AO323" s="749"/>
      <c r="AP323" s="749"/>
      <c r="AQ323" s="749"/>
      <c r="AR323" s="749"/>
      <c r="AS323" s="749"/>
      <c r="AT323" s="749"/>
      <c r="AU323" s="749"/>
      <c r="AV323" s="749"/>
      <c r="AW323" s="749"/>
      <c r="AX323" s="749"/>
      <c r="AY323" s="749"/>
      <c r="AZ323" s="749"/>
      <c r="BA323" s="749"/>
      <c r="BB323" s="749"/>
      <c r="BC323" s="749"/>
      <c r="BD323" s="749"/>
      <c r="BE323" s="749"/>
      <c r="BF323" s="749"/>
      <c r="BG323" s="749"/>
      <c r="BH323" s="749"/>
      <c r="BI323" s="749"/>
      <c r="BJ323" s="749"/>
      <c r="BK323" s="749"/>
      <c r="BL323" s="749"/>
    </row>
    <row r="324">
      <c r="A324" s="866"/>
      <c r="B324" s="867"/>
      <c r="C324" s="866"/>
      <c r="D324" s="866"/>
      <c r="E324" s="866"/>
      <c r="F324" s="866"/>
      <c r="G324" s="866"/>
      <c r="H324" s="866"/>
      <c r="I324" s="866"/>
      <c r="J324" s="868"/>
      <c r="K324" s="868"/>
      <c r="L324" s="799"/>
      <c r="M324" s="747"/>
      <c r="N324" s="744"/>
      <c r="O324" s="744"/>
      <c r="P324" s="744"/>
      <c r="Q324" s="744"/>
      <c r="R324" s="744"/>
      <c r="S324" s="744"/>
      <c r="T324" s="855"/>
      <c r="U324" s="746"/>
      <c r="V324" s="746"/>
      <c r="W324" s="746"/>
      <c r="X324" s="746"/>
      <c r="Y324" s="799"/>
      <c r="Z324" s="799"/>
      <c r="AA324" s="799"/>
      <c r="AB324" s="799"/>
      <c r="AC324" s="799"/>
      <c r="AD324" s="750"/>
      <c r="AE324" s="749"/>
      <c r="AF324" s="749"/>
      <c r="AG324" s="749"/>
      <c r="AH324" s="749"/>
      <c r="AI324" s="749"/>
      <c r="AJ324" s="749"/>
      <c r="AK324" s="749"/>
      <c r="AL324" s="749"/>
      <c r="AM324" s="749"/>
      <c r="AN324" s="749"/>
      <c r="AO324" s="749"/>
      <c r="AP324" s="749"/>
      <c r="AQ324" s="749"/>
      <c r="AR324" s="749"/>
      <c r="AS324" s="749"/>
      <c r="AT324" s="749"/>
      <c r="AU324" s="749"/>
      <c r="AV324" s="749"/>
      <c r="AW324" s="749"/>
      <c r="AX324" s="749"/>
      <c r="AY324" s="749"/>
      <c r="AZ324" s="749"/>
      <c r="BA324" s="749"/>
      <c r="BB324" s="749"/>
      <c r="BC324" s="749"/>
      <c r="BD324" s="749"/>
      <c r="BE324" s="749"/>
      <c r="BF324" s="749"/>
      <c r="BG324" s="749"/>
      <c r="BH324" s="749"/>
      <c r="BI324" s="749"/>
      <c r="BJ324" s="749"/>
      <c r="BK324" s="749"/>
      <c r="BL324" s="749"/>
    </row>
    <row r="325">
      <c r="A325" s="866"/>
      <c r="B325" s="867"/>
      <c r="C325" s="866"/>
      <c r="D325" s="866"/>
      <c r="E325" s="866"/>
      <c r="F325" s="866"/>
      <c r="G325" s="866"/>
      <c r="H325" s="866"/>
      <c r="I325" s="866"/>
      <c r="J325" s="868"/>
      <c r="K325" s="868"/>
      <c r="L325" s="799"/>
      <c r="M325" s="747"/>
      <c r="N325" s="744"/>
      <c r="O325" s="744"/>
      <c r="P325" s="744"/>
      <c r="Q325" s="744"/>
      <c r="R325" s="744"/>
      <c r="S325" s="744"/>
      <c r="T325" s="855"/>
      <c r="U325" s="746"/>
      <c r="V325" s="746"/>
      <c r="W325" s="746"/>
      <c r="X325" s="746"/>
      <c r="Y325" s="799"/>
      <c r="Z325" s="799"/>
      <c r="AA325" s="799"/>
      <c r="AB325" s="799"/>
      <c r="AC325" s="799"/>
      <c r="AD325" s="750"/>
      <c r="AE325" s="749"/>
      <c r="AF325" s="749"/>
      <c r="AG325" s="749"/>
      <c r="AH325" s="749"/>
      <c r="AI325" s="749"/>
      <c r="AJ325" s="749"/>
      <c r="AK325" s="749"/>
      <c r="AL325" s="749"/>
      <c r="AM325" s="749"/>
      <c r="AN325" s="749"/>
      <c r="AO325" s="749"/>
      <c r="AP325" s="749"/>
      <c r="AQ325" s="749"/>
      <c r="AR325" s="749"/>
      <c r="AS325" s="749"/>
      <c r="AT325" s="749"/>
      <c r="AU325" s="749"/>
      <c r="AV325" s="749"/>
      <c r="AW325" s="749"/>
      <c r="AX325" s="749"/>
      <c r="AY325" s="749"/>
      <c r="AZ325" s="749"/>
      <c r="BA325" s="749"/>
      <c r="BB325" s="749"/>
      <c r="BC325" s="749"/>
      <c r="BD325" s="749"/>
      <c r="BE325" s="749"/>
      <c r="BF325" s="749"/>
      <c r="BG325" s="749"/>
      <c r="BH325" s="749"/>
      <c r="BI325" s="749"/>
      <c r="BJ325" s="749"/>
      <c r="BK325" s="749"/>
      <c r="BL325" s="749"/>
    </row>
    <row r="326">
      <c r="A326" s="866"/>
      <c r="B326" s="867"/>
      <c r="C326" s="866"/>
      <c r="D326" s="866"/>
      <c r="E326" s="866"/>
      <c r="F326" s="866"/>
      <c r="G326" s="866"/>
      <c r="H326" s="866"/>
      <c r="I326" s="866"/>
      <c r="J326" s="868"/>
      <c r="K326" s="868"/>
      <c r="L326" s="799"/>
      <c r="M326" s="747"/>
      <c r="N326" s="744"/>
      <c r="O326" s="744"/>
      <c r="P326" s="744"/>
      <c r="Q326" s="744"/>
      <c r="R326" s="744"/>
      <c r="S326" s="744"/>
      <c r="T326" s="855"/>
      <c r="U326" s="746"/>
      <c r="V326" s="746"/>
      <c r="W326" s="746"/>
      <c r="X326" s="746"/>
      <c r="Y326" s="799"/>
      <c r="Z326" s="799"/>
      <c r="AA326" s="799"/>
      <c r="AB326" s="799"/>
      <c r="AC326" s="799"/>
      <c r="AD326" s="750"/>
      <c r="AE326" s="749"/>
      <c r="AF326" s="749"/>
      <c r="AG326" s="749"/>
      <c r="AH326" s="749"/>
      <c r="AI326" s="749"/>
      <c r="AJ326" s="749"/>
      <c r="AK326" s="749"/>
      <c r="AL326" s="749"/>
      <c r="AM326" s="749"/>
      <c r="AN326" s="749"/>
      <c r="AO326" s="749"/>
      <c r="AP326" s="749"/>
      <c r="AQ326" s="749"/>
      <c r="AR326" s="749"/>
      <c r="AS326" s="749"/>
      <c r="AT326" s="749"/>
      <c r="AU326" s="749"/>
      <c r="AV326" s="749"/>
      <c r="AW326" s="749"/>
      <c r="AX326" s="749"/>
      <c r="AY326" s="749"/>
      <c r="AZ326" s="749"/>
      <c r="BA326" s="749"/>
      <c r="BB326" s="749"/>
      <c r="BC326" s="749"/>
      <c r="BD326" s="749"/>
      <c r="BE326" s="749"/>
      <c r="BF326" s="749"/>
      <c r="BG326" s="749"/>
      <c r="BH326" s="749"/>
      <c r="BI326" s="749"/>
      <c r="BJ326" s="749"/>
      <c r="BK326" s="749"/>
      <c r="BL326" s="749"/>
    </row>
    <row r="327">
      <c r="A327" s="866"/>
      <c r="B327" s="867"/>
      <c r="C327" s="866"/>
      <c r="D327" s="866"/>
      <c r="E327" s="866"/>
      <c r="F327" s="866"/>
      <c r="G327" s="866"/>
      <c r="H327" s="866"/>
      <c r="I327" s="866"/>
      <c r="J327" s="868"/>
      <c r="K327" s="868"/>
      <c r="L327" s="799"/>
      <c r="M327" s="747"/>
      <c r="N327" s="744"/>
      <c r="O327" s="744"/>
      <c r="P327" s="744"/>
      <c r="Q327" s="744"/>
      <c r="R327" s="744"/>
      <c r="S327" s="744"/>
      <c r="T327" s="855"/>
      <c r="U327" s="746"/>
      <c r="V327" s="746"/>
      <c r="W327" s="746"/>
      <c r="X327" s="746"/>
      <c r="Y327" s="799"/>
      <c r="Z327" s="799"/>
      <c r="AA327" s="799"/>
      <c r="AB327" s="799"/>
      <c r="AC327" s="799"/>
      <c r="AD327" s="750"/>
      <c r="AE327" s="749"/>
      <c r="AF327" s="749"/>
      <c r="AG327" s="749"/>
      <c r="AH327" s="749"/>
      <c r="AI327" s="749"/>
      <c r="AJ327" s="749"/>
      <c r="AK327" s="749"/>
      <c r="AL327" s="749"/>
      <c r="AM327" s="749"/>
      <c r="AN327" s="749"/>
      <c r="AO327" s="749"/>
      <c r="AP327" s="749"/>
      <c r="AQ327" s="749"/>
      <c r="AR327" s="749"/>
      <c r="AS327" s="749"/>
      <c r="AT327" s="749"/>
      <c r="AU327" s="749"/>
      <c r="AV327" s="749"/>
      <c r="AW327" s="749"/>
      <c r="AX327" s="749"/>
      <c r="AY327" s="749"/>
      <c r="AZ327" s="749"/>
      <c r="BA327" s="749"/>
      <c r="BB327" s="749"/>
      <c r="BC327" s="749"/>
      <c r="BD327" s="749"/>
      <c r="BE327" s="749"/>
      <c r="BF327" s="749"/>
      <c r="BG327" s="749"/>
      <c r="BH327" s="749"/>
      <c r="BI327" s="749"/>
      <c r="BJ327" s="749"/>
      <c r="BK327" s="749"/>
      <c r="BL327" s="749"/>
    </row>
    <row r="328">
      <c r="A328" s="866"/>
      <c r="B328" s="867"/>
      <c r="C328" s="866"/>
      <c r="D328" s="866"/>
      <c r="E328" s="866"/>
      <c r="F328" s="866"/>
      <c r="G328" s="866"/>
      <c r="H328" s="866"/>
      <c r="I328" s="866"/>
      <c r="J328" s="868"/>
      <c r="K328" s="868"/>
      <c r="L328" s="799"/>
      <c r="M328" s="747"/>
      <c r="N328" s="744"/>
      <c r="O328" s="744"/>
      <c r="P328" s="744"/>
      <c r="Q328" s="744"/>
      <c r="R328" s="744"/>
      <c r="S328" s="744"/>
      <c r="T328" s="855"/>
      <c r="U328" s="746"/>
      <c r="V328" s="746"/>
      <c r="W328" s="746"/>
      <c r="X328" s="746"/>
      <c r="Y328" s="799"/>
      <c r="Z328" s="799"/>
      <c r="AA328" s="799"/>
      <c r="AB328" s="799"/>
      <c r="AC328" s="799"/>
      <c r="AD328" s="750"/>
      <c r="AE328" s="749"/>
      <c r="AF328" s="749"/>
      <c r="AG328" s="749"/>
      <c r="AH328" s="749"/>
      <c r="AI328" s="749"/>
      <c r="AJ328" s="749"/>
      <c r="AK328" s="749"/>
      <c r="AL328" s="749"/>
      <c r="AM328" s="749"/>
      <c r="AN328" s="749"/>
      <c r="AO328" s="749"/>
      <c r="AP328" s="749"/>
      <c r="AQ328" s="749"/>
      <c r="AR328" s="749"/>
      <c r="AS328" s="749"/>
      <c r="AT328" s="749"/>
      <c r="AU328" s="749"/>
      <c r="AV328" s="749"/>
      <c r="AW328" s="749"/>
      <c r="AX328" s="749"/>
      <c r="AY328" s="749"/>
      <c r="AZ328" s="749"/>
      <c r="BA328" s="749"/>
      <c r="BB328" s="749"/>
      <c r="BC328" s="749"/>
      <c r="BD328" s="749"/>
      <c r="BE328" s="749"/>
      <c r="BF328" s="749"/>
      <c r="BG328" s="749"/>
      <c r="BH328" s="749"/>
      <c r="BI328" s="749"/>
      <c r="BJ328" s="749"/>
      <c r="BK328" s="749"/>
      <c r="BL328" s="749"/>
    </row>
    <row r="329">
      <c r="A329" s="866"/>
      <c r="B329" s="867"/>
      <c r="C329" s="866"/>
      <c r="D329" s="866"/>
      <c r="E329" s="866"/>
      <c r="F329" s="866"/>
      <c r="G329" s="866"/>
      <c r="H329" s="866"/>
      <c r="I329" s="866"/>
      <c r="J329" s="868"/>
      <c r="K329" s="868"/>
      <c r="L329" s="799"/>
      <c r="M329" s="747"/>
      <c r="N329" s="744"/>
      <c r="O329" s="744"/>
      <c r="P329" s="744"/>
      <c r="Q329" s="744"/>
      <c r="R329" s="744"/>
      <c r="S329" s="744"/>
      <c r="T329" s="855"/>
      <c r="U329" s="746"/>
      <c r="V329" s="746"/>
      <c r="W329" s="746"/>
      <c r="X329" s="746"/>
      <c r="Y329" s="799"/>
      <c r="Z329" s="799"/>
      <c r="AA329" s="799"/>
      <c r="AB329" s="799"/>
      <c r="AC329" s="799"/>
      <c r="AD329" s="750"/>
      <c r="AE329" s="749"/>
      <c r="AF329" s="749"/>
      <c r="AG329" s="749"/>
      <c r="AH329" s="749"/>
      <c r="AI329" s="749"/>
      <c r="AJ329" s="749"/>
      <c r="AK329" s="749"/>
      <c r="AL329" s="749"/>
      <c r="AM329" s="749"/>
      <c r="AN329" s="749"/>
      <c r="AO329" s="749"/>
      <c r="AP329" s="749"/>
      <c r="AQ329" s="749"/>
      <c r="AR329" s="749"/>
      <c r="AS329" s="749"/>
      <c r="AT329" s="749"/>
      <c r="AU329" s="749"/>
      <c r="AV329" s="749"/>
      <c r="AW329" s="749"/>
      <c r="AX329" s="749"/>
      <c r="AY329" s="749"/>
      <c r="AZ329" s="749"/>
      <c r="BA329" s="749"/>
      <c r="BB329" s="749"/>
      <c r="BC329" s="749"/>
      <c r="BD329" s="749"/>
      <c r="BE329" s="749"/>
      <c r="BF329" s="749"/>
      <c r="BG329" s="749"/>
      <c r="BH329" s="749"/>
      <c r="BI329" s="749"/>
      <c r="BJ329" s="749"/>
      <c r="BK329" s="749"/>
      <c r="BL329" s="749"/>
    </row>
    <row r="330">
      <c r="A330" s="866"/>
      <c r="B330" s="867"/>
      <c r="C330" s="866"/>
      <c r="D330" s="866"/>
      <c r="E330" s="866"/>
      <c r="F330" s="866"/>
      <c r="G330" s="866"/>
      <c r="H330" s="866"/>
      <c r="I330" s="866"/>
      <c r="J330" s="868"/>
      <c r="K330" s="868"/>
      <c r="L330" s="799"/>
      <c r="M330" s="747"/>
      <c r="N330" s="744"/>
      <c r="O330" s="744"/>
      <c r="P330" s="744"/>
      <c r="Q330" s="744"/>
      <c r="R330" s="744"/>
      <c r="S330" s="744"/>
      <c r="T330" s="855"/>
      <c r="U330" s="746"/>
      <c r="V330" s="746"/>
      <c r="W330" s="746"/>
      <c r="X330" s="746"/>
      <c r="Y330" s="799"/>
      <c r="Z330" s="799"/>
      <c r="AA330" s="799"/>
      <c r="AB330" s="799"/>
      <c r="AC330" s="799"/>
      <c r="AD330" s="750"/>
      <c r="AE330" s="749"/>
      <c r="AF330" s="749"/>
      <c r="AG330" s="749"/>
      <c r="AH330" s="749"/>
      <c r="AI330" s="749"/>
      <c r="AJ330" s="749"/>
      <c r="AK330" s="749"/>
      <c r="AL330" s="749"/>
      <c r="AM330" s="749"/>
      <c r="AN330" s="749"/>
      <c r="AO330" s="749"/>
      <c r="AP330" s="749"/>
      <c r="AQ330" s="749"/>
      <c r="AR330" s="749"/>
      <c r="AS330" s="749"/>
      <c r="AT330" s="749"/>
      <c r="AU330" s="749"/>
      <c r="AV330" s="749"/>
      <c r="AW330" s="749"/>
      <c r="AX330" s="749"/>
      <c r="AY330" s="749"/>
      <c r="AZ330" s="749"/>
      <c r="BA330" s="749"/>
      <c r="BB330" s="749"/>
      <c r="BC330" s="749"/>
      <c r="BD330" s="749"/>
      <c r="BE330" s="749"/>
      <c r="BF330" s="749"/>
      <c r="BG330" s="749"/>
      <c r="BH330" s="749"/>
      <c r="BI330" s="749"/>
      <c r="BJ330" s="749"/>
      <c r="BK330" s="749"/>
      <c r="BL330" s="749"/>
    </row>
    <row r="331">
      <c r="A331" s="866"/>
      <c r="B331" s="867"/>
      <c r="C331" s="866"/>
      <c r="D331" s="866"/>
      <c r="E331" s="866"/>
      <c r="F331" s="866"/>
      <c r="G331" s="866"/>
      <c r="H331" s="866"/>
      <c r="I331" s="866"/>
      <c r="J331" s="868"/>
      <c r="K331" s="868"/>
      <c r="L331" s="799"/>
      <c r="M331" s="747"/>
      <c r="N331" s="744"/>
      <c r="O331" s="744"/>
      <c r="P331" s="744"/>
      <c r="Q331" s="744"/>
      <c r="R331" s="744"/>
      <c r="S331" s="744"/>
      <c r="T331" s="855"/>
      <c r="U331" s="746"/>
      <c r="V331" s="746"/>
      <c r="W331" s="746"/>
      <c r="X331" s="746"/>
      <c r="Y331" s="799"/>
      <c r="Z331" s="799"/>
      <c r="AA331" s="799"/>
      <c r="AB331" s="799"/>
      <c r="AC331" s="799"/>
      <c r="AD331" s="750"/>
      <c r="AE331" s="749"/>
      <c r="AF331" s="749"/>
      <c r="AG331" s="749"/>
      <c r="AH331" s="749"/>
      <c r="AI331" s="749"/>
      <c r="AJ331" s="749"/>
      <c r="AK331" s="749"/>
      <c r="AL331" s="749"/>
      <c r="AM331" s="749"/>
      <c r="AN331" s="749"/>
      <c r="AO331" s="749"/>
      <c r="AP331" s="749"/>
      <c r="AQ331" s="749"/>
      <c r="AR331" s="749"/>
      <c r="AS331" s="749"/>
      <c r="AT331" s="749"/>
      <c r="AU331" s="749"/>
      <c r="AV331" s="749"/>
      <c r="AW331" s="749"/>
      <c r="AX331" s="749"/>
      <c r="AY331" s="749"/>
      <c r="AZ331" s="749"/>
      <c r="BA331" s="749"/>
      <c r="BB331" s="749"/>
      <c r="BC331" s="749"/>
      <c r="BD331" s="749"/>
      <c r="BE331" s="749"/>
      <c r="BF331" s="749"/>
      <c r="BG331" s="749"/>
      <c r="BH331" s="749"/>
      <c r="BI331" s="749"/>
      <c r="BJ331" s="749"/>
      <c r="BK331" s="749"/>
      <c r="BL331" s="749"/>
    </row>
    <row r="332">
      <c r="A332" s="866"/>
      <c r="B332" s="867"/>
      <c r="C332" s="866"/>
      <c r="D332" s="866"/>
      <c r="E332" s="866"/>
      <c r="F332" s="866"/>
      <c r="G332" s="866"/>
      <c r="H332" s="866"/>
      <c r="I332" s="866"/>
      <c r="J332" s="868"/>
      <c r="K332" s="868"/>
      <c r="L332" s="799"/>
      <c r="M332" s="747"/>
      <c r="N332" s="744"/>
      <c r="O332" s="744"/>
      <c r="P332" s="744"/>
      <c r="Q332" s="744"/>
      <c r="R332" s="744"/>
      <c r="S332" s="744"/>
      <c r="T332" s="855"/>
      <c r="U332" s="746"/>
      <c r="V332" s="746"/>
      <c r="W332" s="746"/>
      <c r="X332" s="746"/>
      <c r="Y332" s="799"/>
      <c r="Z332" s="799"/>
      <c r="AA332" s="799"/>
      <c r="AB332" s="799"/>
      <c r="AC332" s="799"/>
      <c r="AD332" s="750"/>
      <c r="AE332" s="749"/>
      <c r="AF332" s="749"/>
      <c r="AG332" s="749"/>
      <c r="AH332" s="749"/>
      <c r="AI332" s="749"/>
      <c r="AJ332" s="749"/>
      <c r="AK332" s="749"/>
      <c r="AL332" s="749"/>
      <c r="AM332" s="749"/>
      <c r="AN332" s="749"/>
      <c r="AO332" s="749"/>
      <c r="AP332" s="749"/>
      <c r="AQ332" s="749"/>
      <c r="AR332" s="749"/>
      <c r="AS332" s="749"/>
      <c r="AT332" s="749"/>
      <c r="AU332" s="749"/>
      <c r="AV332" s="749"/>
      <c r="AW332" s="749"/>
      <c r="AX332" s="749"/>
      <c r="AY332" s="749"/>
      <c r="AZ332" s="749"/>
      <c r="BA332" s="749"/>
      <c r="BB332" s="749"/>
      <c r="BC332" s="749"/>
      <c r="BD332" s="749"/>
      <c r="BE332" s="749"/>
      <c r="BF332" s="749"/>
      <c r="BG332" s="749"/>
      <c r="BH332" s="749"/>
      <c r="BI332" s="749"/>
      <c r="BJ332" s="749"/>
      <c r="BK332" s="749"/>
      <c r="BL332" s="749"/>
    </row>
    <row r="333">
      <c r="A333" s="866"/>
      <c r="B333" s="867"/>
      <c r="C333" s="866"/>
      <c r="D333" s="866"/>
      <c r="E333" s="866"/>
      <c r="F333" s="866"/>
      <c r="G333" s="866"/>
      <c r="H333" s="866"/>
      <c r="I333" s="866"/>
      <c r="J333" s="868"/>
      <c r="K333" s="868"/>
      <c r="L333" s="799"/>
      <c r="M333" s="747"/>
      <c r="N333" s="744"/>
      <c r="O333" s="744"/>
      <c r="P333" s="744"/>
      <c r="Q333" s="744"/>
      <c r="R333" s="744"/>
      <c r="S333" s="744"/>
      <c r="T333" s="855"/>
      <c r="U333" s="746"/>
      <c r="V333" s="746"/>
      <c r="W333" s="746"/>
      <c r="X333" s="746"/>
      <c r="Y333" s="799"/>
      <c r="Z333" s="799"/>
      <c r="AA333" s="799"/>
      <c r="AB333" s="799"/>
      <c r="AC333" s="799"/>
      <c r="AD333" s="750"/>
      <c r="AE333" s="749"/>
      <c r="AF333" s="749"/>
      <c r="AG333" s="749"/>
      <c r="AH333" s="749"/>
      <c r="AI333" s="749"/>
      <c r="AJ333" s="749"/>
      <c r="AK333" s="749"/>
      <c r="AL333" s="749"/>
      <c r="AM333" s="749"/>
      <c r="AN333" s="749"/>
      <c r="AO333" s="749"/>
      <c r="AP333" s="749"/>
      <c r="AQ333" s="749"/>
      <c r="AR333" s="749"/>
      <c r="AS333" s="749"/>
      <c r="AT333" s="749"/>
      <c r="AU333" s="749"/>
      <c r="AV333" s="749"/>
      <c r="AW333" s="749"/>
      <c r="AX333" s="749"/>
      <c r="AY333" s="749"/>
      <c r="AZ333" s="749"/>
      <c r="BA333" s="749"/>
      <c r="BB333" s="749"/>
      <c r="BC333" s="749"/>
      <c r="BD333" s="749"/>
      <c r="BE333" s="749"/>
      <c r="BF333" s="749"/>
      <c r="BG333" s="749"/>
      <c r="BH333" s="749"/>
      <c r="BI333" s="749"/>
      <c r="BJ333" s="749"/>
      <c r="BK333" s="749"/>
      <c r="BL333" s="749"/>
    </row>
    <row r="334">
      <c r="A334" s="866"/>
      <c r="B334" s="867"/>
      <c r="C334" s="866"/>
      <c r="D334" s="866"/>
      <c r="E334" s="866"/>
      <c r="F334" s="866"/>
      <c r="G334" s="866"/>
      <c r="H334" s="866"/>
      <c r="I334" s="866"/>
      <c r="J334" s="868"/>
      <c r="K334" s="868"/>
      <c r="L334" s="799"/>
      <c r="M334" s="747"/>
      <c r="N334" s="744"/>
      <c r="O334" s="744"/>
      <c r="P334" s="744"/>
      <c r="Q334" s="744"/>
      <c r="R334" s="744"/>
      <c r="S334" s="744"/>
      <c r="T334" s="855"/>
      <c r="U334" s="746"/>
      <c r="V334" s="746"/>
      <c r="W334" s="746"/>
      <c r="X334" s="746"/>
      <c r="Y334" s="799"/>
      <c r="Z334" s="799"/>
      <c r="AA334" s="799"/>
      <c r="AB334" s="799"/>
      <c r="AC334" s="799"/>
      <c r="AD334" s="750"/>
      <c r="AE334" s="749"/>
      <c r="AF334" s="749"/>
      <c r="AG334" s="749"/>
      <c r="AH334" s="749"/>
      <c r="AI334" s="749"/>
      <c r="AJ334" s="749"/>
      <c r="AK334" s="749"/>
      <c r="AL334" s="749"/>
      <c r="AM334" s="749"/>
      <c r="AN334" s="749"/>
      <c r="AO334" s="749"/>
      <c r="AP334" s="749"/>
      <c r="AQ334" s="749"/>
      <c r="AR334" s="749"/>
      <c r="AS334" s="749"/>
      <c r="AT334" s="749"/>
      <c r="AU334" s="749"/>
      <c r="AV334" s="749"/>
      <c r="AW334" s="749"/>
      <c r="AX334" s="749"/>
      <c r="AY334" s="749"/>
      <c r="AZ334" s="749"/>
      <c r="BA334" s="749"/>
      <c r="BB334" s="749"/>
      <c r="BC334" s="749"/>
      <c r="BD334" s="749"/>
      <c r="BE334" s="749"/>
      <c r="BF334" s="749"/>
      <c r="BG334" s="749"/>
      <c r="BH334" s="749"/>
      <c r="BI334" s="749"/>
      <c r="BJ334" s="749"/>
      <c r="BK334" s="749"/>
      <c r="BL334" s="749"/>
    </row>
    <row r="335">
      <c r="A335" s="866"/>
      <c r="B335" s="867"/>
      <c r="C335" s="866"/>
      <c r="D335" s="866"/>
      <c r="E335" s="866"/>
      <c r="F335" s="866"/>
      <c r="G335" s="866"/>
      <c r="H335" s="866"/>
      <c r="I335" s="866"/>
      <c r="J335" s="868"/>
      <c r="K335" s="868"/>
      <c r="L335" s="799"/>
      <c r="M335" s="747"/>
      <c r="N335" s="744"/>
      <c r="O335" s="744"/>
      <c r="P335" s="744"/>
      <c r="Q335" s="744"/>
      <c r="R335" s="744"/>
      <c r="S335" s="744"/>
      <c r="T335" s="855"/>
      <c r="U335" s="746"/>
      <c r="V335" s="746"/>
      <c r="W335" s="746"/>
      <c r="X335" s="746"/>
      <c r="Y335" s="799"/>
      <c r="Z335" s="799"/>
      <c r="AA335" s="799"/>
      <c r="AB335" s="799"/>
      <c r="AC335" s="799"/>
      <c r="AD335" s="750"/>
      <c r="AE335" s="749"/>
      <c r="AF335" s="749"/>
      <c r="AG335" s="749"/>
      <c r="AH335" s="749"/>
      <c r="AI335" s="749"/>
      <c r="AJ335" s="749"/>
      <c r="AK335" s="749"/>
      <c r="AL335" s="749"/>
      <c r="AM335" s="749"/>
      <c r="AN335" s="749"/>
      <c r="AO335" s="749"/>
      <c r="AP335" s="749"/>
      <c r="AQ335" s="749"/>
      <c r="AR335" s="749"/>
      <c r="AS335" s="749"/>
      <c r="AT335" s="749"/>
      <c r="AU335" s="749"/>
      <c r="AV335" s="749"/>
      <c r="AW335" s="749"/>
      <c r="AX335" s="749"/>
      <c r="AY335" s="749"/>
      <c r="AZ335" s="749"/>
      <c r="BA335" s="749"/>
      <c r="BB335" s="749"/>
      <c r="BC335" s="749"/>
      <c r="BD335" s="749"/>
      <c r="BE335" s="749"/>
      <c r="BF335" s="749"/>
      <c r="BG335" s="749"/>
      <c r="BH335" s="749"/>
      <c r="BI335" s="749"/>
      <c r="BJ335" s="749"/>
      <c r="BK335" s="749"/>
      <c r="BL335" s="749"/>
    </row>
    <row r="336">
      <c r="A336" s="866"/>
      <c r="B336" s="867"/>
      <c r="C336" s="866"/>
      <c r="D336" s="866"/>
      <c r="E336" s="866"/>
      <c r="F336" s="866"/>
      <c r="G336" s="866"/>
      <c r="H336" s="866"/>
      <c r="I336" s="866"/>
      <c r="J336" s="868"/>
      <c r="K336" s="868"/>
      <c r="L336" s="799"/>
      <c r="M336" s="747"/>
      <c r="N336" s="744"/>
      <c r="O336" s="744"/>
      <c r="P336" s="744"/>
      <c r="Q336" s="744"/>
      <c r="R336" s="744"/>
      <c r="S336" s="744"/>
      <c r="T336" s="855"/>
      <c r="U336" s="746"/>
      <c r="V336" s="746"/>
      <c r="W336" s="746"/>
      <c r="X336" s="746"/>
      <c r="Y336" s="799"/>
      <c r="Z336" s="799"/>
      <c r="AA336" s="799"/>
      <c r="AB336" s="799"/>
      <c r="AC336" s="799"/>
      <c r="AD336" s="750"/>
      <c r="AE336" s="749"/>
      <c r="AF336" s="749"/>
      <c r="AG336" s="749"/>
      <c r="AH336" s="749"/>
      <c r="AI336" s="749"/>
      <c r="AJ336" s="749"/>
      <c r="AK336" s="749"/>
      <c r="AL336" s="749"/>
      <c r="AM336" s="749"/>
      <c r="AN336" s="749"/>
      <c r="AO336" s="749"/>
      <c r="AP336" s="749"/>
      <c r="AQ336" s="749"/>
      <c r="AR336" s="749"/>
      <c r="AS336" s="749"/>
      <c r="AT336" s="749"/>
      <c r="AU336" s="749"/>
      <c r="AV336" s="749"/>
      <c r="AW336" s="749"/>
      <c r="AX336" s="749"/>
      <c r="AY336" s="749"/>
      <c r="AZ336" s="749"/>
      <c r="BA336" s="749"/>
      <c r="BB336" s="749"/>
      <c r="BC336" s="749"/>
      <c r="BD336" s="749"/>
      <c r="BE336" s="749"/>
      <c r="BF336" s="749"/>
      <c r="BG336" s="749"/>
      <c r="BH336" s="749"/>
      <c r="BI336" s="749"/>
      <c r="BJ336" s="749"/>
      <c r="BK336" s="749"/>
      <c r="BL336" s="749"/>
    </row>
    <row r="337">
      <c r="A337" s="866"/>
      <c r="B337" s="867"/>
      <c r="C337" s="866"/>
      <c r="D337" s="866"/>
      <c r="E337" s="866"/>
      <c r="F337" s="866"/>
      <c r="G337" s="866"/>
      <c r="H337" s="866"/>
      <c r="I337" s="866"/>
      <c r="J337" s="868"/>
      <c r="K337" s="868"/>
      <c r="L337" s="799"/>
      <c r="M337" s="747"/>
      <c r="N337" s="744"/>
      <c r="O337" s="744"/>
      <c r="P337" s="744"/>
      <c r="Q337" s="744"/>
      <c r="R337" s="744"/>
      <c r="S337" s="744"/>
      <c r="T337" s="855"/>
      <c r="U337" s="746"/>
      <c r="V337" s="746"/>
      <c r="W337" s="746"/>
      <c r="X337" s="746"/>
      <c r="Y337" s="799"/>
      <c r="Z337" s="799"/>
      <c r="AA337" s="799"/>
      <c r="AB337" s="799"/>
      <c r="AC337" s="799"/>
      <c r="AD337" s="750"/>
      <c r="AE337" s="749"/>
      <c r="AF337" s="749"/>
      <c r="AG337" s="749"/>
      <c r="AH337" s="749"/>
      <c r="AI337" s="749"/>
      <c r="AJ337" s="749"/>
      <c r="AK337" s="749"/>
      <c r="AL337" s="749"/>
      <c r="AM337" s="749"/>
      <c r="AN337" s="749"/>
      <c r="AO337" s="749"/>
      <c r="AP337" s="749"/>
      <c r="AQ337" s="749"/>
      <c r="AR337" s="749"/>
      <c r="AS337" s="749"/>
      <c r="AT337" s="749"/>
      <c r="AU337" s="749"/>
      <c r="AV337" s="749"/>
      <c r="AW337" s="749"/>
      <c r="AX337" s="749"/>
      <c r="AY337" s="749"/>
      <c r="AZ337" s="749"/>
      <c r="BA337" s="749"/>
      <c r="BB337" s="749"/>
      <c r="BC337" s="749"/>
      <c r="BD337" s="749"/>
      <c r="BE337" s="749"/>
      <c r="BF337" s="749"/>
      <c r="BG337" s="749"/>
      <c r="BH337" s="749"/>
      <c r="BI337" s="749"/>
      <c r="BJ337" s="749"/>
      <c r="BK337" s="749"/>
      <c r="BL337" s="749"/>
    </row>
    <row r="338">
      <c r="A338" s="866"/>
      <c r="B338" s="867"/>
      <c r="C338" s="866"/>
      <c r="D338" s="866"/>
      <c r="E338" s="866"/>
      <c r="F338" s="866"/>
      <c r="G338" s="866"/>
      <c r="H338" s="866"/>
      <c r="I338" s="866"/>
      <c r="J338" s="868"/>
      <c r="K338" s="868"/>
      <c r="L338" s="799"/>
      <c r="M338" s="747"/>
      <c r="N338" s="744"/>
      <c r="O338" s="744"/>
      <c r="P338" s="744"/>
      <c r="Q338" s="744"/>
      <c r="R338" s="744"/>
      <c r="S338" s="744"/>
      <c r="T338" s="855"/>
      <c r="U338" s="746"/>
      <c r="V338" s="746"/>
      <c r="W338" s="746"/>
      <c r="X338" s="746"/>
      <c r="Y338" s="799"/>
      <c r="Z338" s="799"/>
      <c r="AA338" s="799"/>
      <c r="AB338" s="799"/>
      <c r="AC338" s="799"/>
      <c r="AD338" s="750"/>
      <c r="AE338" s="749"/>
      <c r="AF338" s="749"/>
      <c r="AG338" s="749"/>
      <c r="AH338" s="749"/>
      <c r="AI338" s="749"/>
      <c r="AJ338" s="749"/>
      <c r="AK338" s="749"/>
      <c r="AL338" s="749"/>
      <c r="AM338" s="749"/>
      <c r="AN338" s="749"/>
      <c r="AO338" s="749"/>
      <c r="AP338" s="749"/>
      <c r="AQ338" s="749"/>
      <c r="AR338" s="749"/>
      <c r="AS338" s="749"/>
      <c r="AT338" s="749"/>
      <c r="AU338" s="749"/>
      <c r="AV338" s="749"/>
      <c r="AW338" s="749"/>
      <c r="AX338" s="749"/>
      <c r="AY338" s="749"/>
      <c r="AZ338" s="749"/>
      <c r="BA338" s="749"/>
      <c r="BB338" s="749"/>
      <c r="BC338" s="749"/>
      <c r="BD338" s="749"/>
      <c r="BE338" s="749"/>
      <c r="BF338" s="749"/>
      <c r="BG338" s="749"/>
      <c r="BH338" s="749"/>
      <c r="BI338" s="749"/>
      <c r="BJ338" s="749"/>
      <c r="BK338" s="749"/>
      <c r="BL338" s="749"/>
    </row>
    <row r="339">
      <c r="A339" s="866"/>
      <c r="B339" s="867"/>
      <c r="C339" s="866"/>
      <c r="D339" s="866"/>
      <c r="E339" s="866"/>
      <c r="F339" s="866"/>
      <c r="G339" s="866"/>
      <c r="H339" s="866"/>
      <c r="I339" s="866"/>
      <c r="J339" s="868"/>
      <c r="K339" s="868"/>
      <c r="L339" s="799"/>
      <c r="M339" s="747"/>
      <c r="N339" s="744"/>
      <c r="O339" s="744"/>
      <c r="P339" s="744"/>
      <c r="Q339" s="744"/>
      <c r="R339" s="744"/>
      <c r="S339" s="744"/>
      <c r="T339" s="855"/>
      <c r="U339" s="746"/>
      <c r="V339" s="746"/>
      <c r="W339" s="746"/>
      <c r="X339" s="746"/>
      <c r="Y339" s="799"/>
      <c r="Z339" s="799"/>
      <c r="AA339" s="799"/>
      <c r="AB339" s="799"/>
      <c r="AC339" s="799"/>
      <c r="AD339" s="750"/>
      <c r="AE339" s="749"/>
      <c r="AF339" s="749"/>
      <c r="AG339" s="749"/>
      <c r="AH339" s="749"/>
      <c r="AI339" s="749"/>
      <c r="AJ339" s="749"/>
      <c r="AK339" s="749"/>
      <c r="AL339" s="749"/>
      <c r="AM339" s="749"/>
      <c r="AN339" s="749"/>
      <c r="AO339" s="749"/>
      <c r="AP339" s="749"/>
      <c r="AQ339" s="749"/>
      <c r="AR339" s="749"/>
      <c r="AS339" s="749"/>
      <c r="AT339" s="749"/>
      <c r="AU339" s="749"/>
      <c r="AV339" s="749"/>
      <c r="AW339" s="749"/>
      <c r="AX339" s="749"/>
      <c r="AY339" s="749"/>
      <c r="AZ339" s="749"/>
      <c r="BA339" s="749"/>
      <c r="BB339" s="749"/>
      <c r="BC339" s="749"/>
      <c r="BD339" s="749"/>
      <c r="BE339" s="749"/>
      <c r="BF339" s="749"/>
      <c r="BG339" s="749"/>
      <c r="BH339" s="749"/>
      <c r="BI339" s="749"/>
      <c r="BJ339" s="749"/>
      <c r="BK339" s="749"/>
      <c r="BL339" s="749"/>
    </row>
    <row r="340">
      <c r="A340" s="866"/>
      <c r="B340" s="867"/>
      <c r="C340" s="866"/>
      <c r="D340" s="866"/>
      <c r="E340" s="866"/>
      <c r="F340" s="866"/>
      <c r="G340" s="866"/>
      <c r="H340" s="866"/>
      <c r="I340" s="866"/>
      <c r="J340" s="868"/>
      <c r="K340" s="868"/>
      <c r="L340" s="799"/>
      <c r="M340" s="747"/>
      <c r="N340" s="744"/>
      <c r="O340" s="744"/>
      <c r="P340" s="744"/>
      <c r="Q340" s="744"/>
      <c r="R340" s="744"/>
      <c r="S340" s="744"/>
      <c r="T340" s="855"/>
      <c r="U340" s="746"/>
      <c r="V340" s="746"/>
      <c r="W340" s="746"/>
      <c r="X340" s="746"/>
      <c r="Y340" s="799"/>
      <c r="Z340" s="799"/>
      <c r="AA340" s="799"/>
      <c r="AB340" s="799"/>
      <c r="AC340" s="799"/>
      <c r="AD340" s="750"/>
      <c r="AE340" s="749"/>
      <c r="AF340" s="749"/>
      <c r="AG340" s="749"/>
      <c r="AH340" s="749"/>
      <c r="AI340" s="749"/>
      <c r="AJ340" s="749"/>
      <c r="AK340" s="749"/>
      <c r="AL340" s="749"/>
      <c r="AM340" s="749"/>
      <c r="AN340" s="749"/>
      <c r="AO340" s="749"/>
      <c r="AP340" s="749"/>
      <c r="AQ340" s="749"/>
      <c r="AR340" s="749"/>
      <c r="AS340" s="749"/>
      <c r="AT340" s="749"/>
      <c r="AU340" s="749"/>
      <c r="AV340" s="749"/>
      <c r="AW340" s="749"/>
      <c r="AX340" s="749"/>
      <c r="AY340" s="749"/>
      <c r="AZ340" s="749"/>
      <c r="BA340" s="749"/>
      <c r="BB340" s="749"/>
      <c r="BC340" s="749"/>
      <c r="BD340" s="749"/>
      <c r="BE340" s="749"/>
      <c r="BF340" s="749"/>
      <c r="BG340" s="749"/>
      <c r="BH340" s="749"/>
      <c r="BI340" s="749"/>
      <c r="BJ340" s="749"/>
      <c r="BK340" s="749"/>
      <c r="BL340" s="749"/>
    </row>
    <row r="341">
      <c r="A341" s="866"/>
      <c r="B341" s="867"/>
      <c r="C341" s="866"/>
      <c r="D341" s="866"/>
      <c r="E341" s="866"/>
      <c r="F341" s="866"/>
      <c r="G341" s="866"/>
      <c r="H341" s="866"/>
      <c r="I341" s="866"/>
      <c r="J341" s="868"/>
      <c r="K341" s="868"/>
      <c r="L341" s="799"/>
      <c r="M341" s="747"/>
      <c r="N341" s="744"/>
      <c r="O341" s="744"/>
      <c r="P341" s="744"/>
      <c r="Q341" s="744"/>
      <c r="R341" s="744"/>
      <c r="S341" s="744"/>
      <c r="T341" s="855"/>
      <c r="U341" s="746"/>
      <c r="V341" s="746"/>
      <c r="W341" s="746"/>
      <c r="X341" s="746"/>
      <c r="Y341" s="799"/>
      <c r="Z341" s="799"/>
      <c r="AA341" s="799"/>
      <c r="AB341" s="799"/>
      <c r="AC341" s="799"/>
      <c r="AD341" s="750"/>
      <c r="AE341" s="749"/>
      <c r="AF341" s="749"/>
      <c r="AG341" s="749"/>
      <c r="AH341" s="749"/>
      <c r="AI341" s="749"/>
      <c r="AJ341" s="749"/>
      <c r="AK341" s="749"/>
      <c r="AL341" s="749"/>
      <c r="AM341" s="749"/>
      <c r="AN341" s="749"/>
      <c r="AO341" s="749"/>
      <c r="AP341" s="749"/>
      <c r="AQ341" s="749"/>
      <c r="AR341" s="749"/>
      <c r="AS341" s="749"/>
      <c r="AT341" s="749"/>
      <c r="AU341" s="749"/>
      <c r="AV341" s="749"/>
      <c r="AW341" s="749"/>
      <c r="AX341" s="749"/>
      <c r="AY341" s="749"/>
      <c r="AZ341" s="749"/>
      <c r="BA341" s="749"/>
      <c r="BB341" s="749"/>
      <c r="BC341" s="749"/>
      <c r="BD341" s="749"/>
      <c r="BE341" s="749"/>
      <c r="BF341" s="749"/>
      <c r="BG341" s="749"/>
      <c r="BH341" s="749"/>
      <c r="BI341" s="749"/>
      <c r="BJ341" s="749"/>
      <c r="BK341" s="749"/>
      <c r="BL341" s="749"/>
    </row>
    <row r="342">
      <c r="A342" s="866"/>
      <c r="B342" s="867"/>
      <c r="C342" s="866"/>
      <c r="D342" s="866"/>
      <c r="E342" s="866"/>
      <c r="F342" s="866"/>
      <c r="G342" s="866"/>
      <c r="H342" s="866"/>
      <c r="I342" s="866"/>
      <c r="J342" s="868"/>
      <c r="K342" s="868"/>
      <c r="L342" s="799"/>
      <c r="M342" s="747"/>
      <c r="N342" s="744"/>
      <c r="O342" s="744"/>
      <c r="P342" s="744"/>
      <c r="Q342" s="744"/>
      <c r="R342" s="744"/>
      <c r="S342" s="744"/>
      <c r="T342" s="855"/>
      <c r="U342" s="746"/>
      <c r="V342" s="746"/>
      <c r="W342" s="746"/>
      <c r="X342" s="746"/>
      <c r="Y342" s="799"/>
      <c r="Z342" s="799"/>
      <c r="AA342" s="799"/>
      <c r="AB342" s="799"/>
      <c r="AC342" s="799"/>
      <c r="AD342" s="750"/>
      <c r="AE342" s="749"/>
      <c r="AF342" s="749"/>
      <c r="AG342" s="749"/>
      <c r="AH342" s="749"/>
      <c r="AI342" s="749"/>
      <c r="AJ342" s="749"/>
      <c r="AK342" s="749"/>
      <c r="AL342" s="749"/>
      <c r="AM342" s="749"/>
      <c r="AN342" s="749"/>
      <c r="AO342" s="749"/>
      <c r="AP342" s="749"/>
      <c r="AQ342" s="749"/>
      <c r="AR342" s="749"/>
      <c r="AS342" s="749"/>
      <c r="AT342" s="749"/>
      <c r="AU342" s="749"/>
      <c r="AV342" s="749"/>
      <c r="AW342" s="749"/>
      <c r="AX342" s="749"/>
      <c r="AY342" s="749"/>
      <c r="AZ342" s="749"/>
      <c r="BA342" s="749"/>
      <c r="BB342" s="749"/>
      <c r="BC342" s="749"/>
      <c r="BD342" s="749"/>
      <c r="BE342" s="749"/>
      <c r="BF342" s="749"/>
      <c r="BG342" s="749"/>
      <c r="BH342" s="749"/>
      <c r="BI342" s="749"/>
      <c r="BJ342" s="749"/>
      <c r="BK342" s="749"/>
      <c r="BL342" s="749"/>
    </row>
    <row r="343">
      <c r="A343" s="866"/>
      <c r="B343" s="867"/>
      <c r="C343" s="866"/>
      <c r="D343" s="866"/>
      <c r="E343" s="866"/>
      <c r="F343" s="866"/>
      <c r="G343" s="866"/>
      <c r="H343" s="866"/>
      <c r="I343" s="866"/>
      <c r="J343" s="868"/>
      <c r="K343" s="868"/>
      <c r="L343" s="799"/>
      <c r="M343" s="747"/>
      <c r="N343" s="744"/>
      <c r="O343" s="744"/>
      <c r="P343" s="744"/>
      <c r="Q343" s="744"/>
      <c r="R343" s="744"/>
      <c r="S343" s="744"/>
      <c r="T343" s="855"/>
      <c r="U343" s="746"/>
      <c r="V343" s="746"/>
      <c r="W343" s="746"/>
      <c r="X343" s="746"/>
      <c r="Y343" s="799"/>
      <c r="Z343" s="799"/>
      <c r="AA343" s="799"/>
      <c r="AB343" s="799"/>
      <c r="AC343" s="799"/>
      <c r="AD343" s="750"/>
      <c r="AE343" s="749"/>
      <c r="AF343" s="749"/>
      <c r="AG343" s="749"/>
      <c r="AH343" s="749"/>
      <c r="AI343" s="749"/>
      <c r="AJ343" s="749"/>
      <c r="AK343" s="749"/>
      <c r="AL343" s="749"/>
      <c r="AM343" s="749"/>
      <c r="AN343" s="749"/>
      <c r="AO343" s="749"/>
      <c r="AP343" s="749"/>
      <c r="AQ343" s="749"/>
      <c r="AR343" s="749"/>
      <c r="AS343" s="749"/>
      <c r="AT343" s="749"/>
      <c r="AU343" s="749"/>
      <c r="AV343" s="749"/>
      <c r="AW343" s="749"/>
      <c r="AX343" s="749"/>
      <c r="AY343" s="749"/>
      <c r="AZ343" s="749"/>
      <c r="BA343" s="749"/>
      <c r="BB343" s="749"/>
      <c r="BC343" s="749"/>
      <c r="BD343" s="749"/>
      <c r="BE343" s="749"/>
      <c r="BF343" s="749"/>
      <c r="BG343" s="749"/>
      <c r="BH343" s="749"/>
      <c r="BI343" s="749"/>
      <c r="BJ343" s="749"/>
      <c r="BK343" s="749"/>
      <c r="BL343" s="749"/>
    </row>
    <row r="344">
      <c r="A344" s="866"/>
      <c r="B344" s="867"/>
      <c r="C344" s="866"/>
      <c r="D344" s="866"/>
      <c r="E344" s="866"/>
      <c r="F344" s="866"/>
      <c r="G344" s="866"/>
      <c r="H344" s="866"/>
      <c r="I344" s="866"/>
      <c r="J344" s="868"/>
      <c r="K344" s="868"/>
      <c r="L344" s="799"/>
      <c r="M344" s="747"/>
      <c r="N344" s="744"/>
      <c r="O344" s="744"/>
      <c r="P344" s="744"/>
      <c r="Q344" s="744"/>
      <c r="R344" s="744"/>
      <c r="S344" s="744"/>
      <c r="T344" s="855"/>
      <c r="U344" s="746"/>
      <c r="V344" s="746"/>
      <c r="W344" s="746"/>
      <c r="X344" s="746"/>
      <c r="Y344" s="799"/>
      <c r="Z344" s="799"/>
      <c r="AA344" s="799"/>
      <c r="AB344" s="799"/>
      <c r="AC344" s="799"/>
      <c r="AD344" s="750"/>
      <c r="AE344" s="749"/>
      <c r="AF344" s="749"/>
      <c r="AG344" s="749"/>
      <c r="AH344" s="749"/>
      <c r="AI344" s="749"/>
      <c r="AJ344" s="749"/>
      <c r="AK344" s="749"/>
      <c r="AL344" s="749"/>
      <c r="AM344" s="749"/>
      <c r="AN344" s="749"/>
      <c r="AO344" s="749"/>
      <c r="AP344" s="749"/>
      <c r="AQ344" s="749"/>
      <c r="AR344" s="749"/>
      <c r="AS344" s="749"/>
      <c r="AT344" s="749"/>
      <c r="AU344" s="749"/>
      <c r="AV344" s="749"/>
      <c r="AW344" s="749"/>
      <c r="AX344" s="749"/>
      <c r="AY344" s="749"/>
      <c r="AZ344" s="749"/>
      <c r="BA344" s="749"/>
      <c r="BB344" s="749"/>
      <c r="BC344" s="749"/>
      <c r="BD344" s="749"/>
      <c r="BE344" s="749"/>
      <c r="BF344" s="749"/>
      <c r="BG344" s="749"/>
      <c r="BH344" s="749"/>
      <c r="BI344" s="749"/>
      <c r="BJ344" s="749"/>
      <c r="BK344" s="749"/>
      <c r="BL344" s="749"/>
    </row>
    <row r="345">
      <c r="A345" s="866"/>
      <c r="B345" s="867"/>
      <c r="C345" s="866"/>
      <c r="D345" s="866"/>
      <c r="E345" s="866"/>
      <c r="F345" s="866"/>
      <c r="G345" s="866"/>
      <c r="H345" s="866"/>
      <c r="I345" s="866"/>
      <c r="J345" s="868"/>
      <c r="K345" s="868"/>
      <c r="L345" s="799"/>
      <c r="M345" s="747"/>
      <c r="N345" s="744"/>
      <c r="O345" s="744"/>
      <c r="P345" s="744"/>
      <c r="Q345" s="744"/>
      <c r="R345" s="744"/>
      <c r="S345" s="744"/>
      <c r="T345" s="855"/>
      <c r="U345" s="746"/>
      <c r="V345" s="746"/>
      <c r="W345" s="746"/>
      <c r="X345" s="746"/>
      <c r="Y345" s="799"/>
      <c r="Z345" s="799"/>
      <c r="AA345" s="799"/>
      <c r="AB345" s="799"/>
      <c r="AC345" s="799"/>
      <c r="AD345" s="750"/>
      <c r="AE345" s="749"/>
      <c r="AF345" s="749"/>
      <c r="AG345" s="749"/>
      <c r="AH345" s="749"/>
      <c r="AI345" s="749"/>
      <c r="AJ345" s="749"/>
      <c r="AK345" s="749"/>
      <c r="AL345" s="749"/>
      <c r="AM345" s="749"/>
      <c r="AN345" s="749"/>
      <c r="AO345" s="749"/>
      <c r="AP345" s="749"/>
      <c r="AQ345" s="749"/>
      <c r="AR345" s="749"/>
      <c r="AS345" s="749"/>
      <c r="AT345" s="749"/>
      <c r="AU345" s="749"/>
      <c r="AV345" s="749"/>
      <c r="AW345" s="749"/>
      <c r="AX345" s="749"/>
      <c r="AY345" s="749"/>
      <c r="AZ345" s="749"/>
      <c r="BA345" s="749"/>
      <c r="BB345" s="749"/>
      <c r="BC345" s="749"/>
      <c r="BD345" s="749"/>
      <c r="BE345" s="749"/>
      <c r="BF345" s="749"/>
      <c r="BG345" s="749"/>
      <c r="BH345" s="749"/>
      <c r="BI345" s="749"/>
      <c r="BJ345" s="749"/>
      <c r="BK345" s="749"/>
      <c r="BL345" s="749"/>
    </row>
    <row r="346">
      <c r="A346" s="866"/>
      <c r="B346" s="867"/>
      <c r="C346" s="866"/>
      <c r="D346" s="866"/>
      <c r="E346" s="866"/>
      <c r="F346" s="866"/>
      <c r="G346" s="866"/>
      <c r="H346" s="866"/>
      <c r="I346" s="866"/>
      <c r="J346" s="868"/>
      <c r="K346" s="868"/>
      <c r="L346" s="799"/>
      <c r="M346" s="747"/>
      <c r="N346" s="744"/>
      <c r="O346" s="744"/>
      <c r="P346" s="744"/>
      <c r="Q346" s="744"/>
      <c r="R346" s="744"/>
      <c r="S346" s="744"/>
      <c r="T346" s="855"/>
      <c r="U346" s="746"/>
      <c r="V346" s="746"/>
      <c r="W346" s="746"/>
      <c r="X346" s="746"/>
      <c r="Y346" s="799"/>
      <c r="Z346" s="799"/>
      <c r="AA346" s="799"/>
      <c r="AB346" s="799"/>
      <c r="AC346" s="799"/>
      <c r="AD346" s="750"/>
      <c r="AE346" s="749"/>
      <c r="AF346" s="749"/>
      <c r="AG346" s="749"/>
      <c r="AH346" s="749"/>
      <c r="AI346" s="749"/>
      <c r="AJ346" s="749"/>
      <c r="AK346" s="749"/>
      <c r="AL346" s="749"/>
      <c r="AM346" s="749"/>
      <c r="AN346" s="749"/>
      <c r="AO346" s="749"/>
      <c r="AP346" s="749"/>
      <c r="AQ346" s="749"/>
      <c r="AR346" s="749"/>
      <c r="AS346" s="749"/>
      <c r="AT346" s="749"/>
      <c r="AU346" s="749"/>
      <c r="AV346" s="749"/>
      <c r="AW346" s="749"/>
      <c r="AX346" s="749"/>
      <c r="AY346" s="749"/>
      <c r="AZ346" s="749"/>
      <c r="BA346" s="749"/>
      <c r="BB346" s="749"/>
      <c r="BC346" s="749"/>
      <c r="BD346" s="749"/>
      <c r="BE346" s="749"/>
      <c r="BF346" s="749"/>
      <c r="BG346" s="749"/>
      <c r="BH346" s="749"/>
      <c r="BI346" s="749"/>
      <c r="BJ346" s="749"/>
      <c r="BK346" s="749"/>
      <c r="BL346" s="749"/>
    </row>
    <row r="347">
      <c r="A347" s="866"/>
      <c r="B347" s="867"/>
      <c r="C347" s="866"/>
      <c r="D347" s="866"/>
      <c r="E347" s="866"/>
      <c r="F347" s="866"/>
      <c r="G347" s="866"/>
      <c r="H347" s="866"/>
      <c r="I347" s="866"/>
      <c r="J347" s="868"/>
      <c r="K347" s="868"/>
      <c r="L347" s="799"/>
      <c r="M347" s="747"/>
      <c r="N347" s="744"/>
      <c r="O347" s="744"/>
      <c r="P347" s="744"/>
      <c r="Q347" s="744"/>
      <c r="R347" s="744"/>
      <c r="S347" s="744"/>
      <c r="T347" s="855"/>
      <c r="U347" s="746"/>
      <c r="V347" s="746"/>
      <c r="W347" s="746"/>
      <c r="X347" s="746"/>
      <c r="Y347" s="799"/>
      <c r="Z347" s="799"/>
      <c r="AA347" s="799"/>
      <c r="AB347" s="799"/>
      <c r="AC347" s="799"/>
      <c r="AD347" s="750"/>
      <c r="AE347" s="749"/>
      <c r="AF347" s="749"/>
      <c r="AG347" s="749"/>
      <c r="AH347" s="749"/>
      <c r="AI347" s="749"/>
      <c r="AJ347" s="749"/>
      <c r="AK347" s="749"/>
      <c r="AL347" s="749"/>
      <c r="AM347" s="749"/>
      <c r="AN347" s="749"/>
      <c r="AO347" s="749"/>
      <c r="AP347" s="749"/>
      <c r="AQ347" s="749"/>
      <c r="AR347" s="749"/>
      <c r="AS347" s="749"/>
      <c r="AT347" s="749"/>
      <c r="AU347" s="749"/>
      <c r="AV347" s="749"/>
      <c r="AW347" s="749"/>
      <c r="AX347" s="749"/>
      <c r="AY347" s="749"/>
      <c r="AZ347" s="749"/>
      <c r="BA347" s="749"/>
      <c r="BB347" s="749"/>
      <c r="BC347" s="749"/>
      <c r="BD347" s="749"/>
      <c r="BE347" s="749"/>
      <c r="BF347" s="749"/>
      <c r="BG347" s="749"/>
      <c r="BH347" s="749"/>
      <c r="BI347" s="749"/>
      <c r="BJ347" s="749"/>
      <c r="BK347" s="749"/>
      <c r="BL347" s="749"/>
    </row>
    <row r="348">
      <c r="A348" s="866"/>
      <c r="B348" s="867"/>
      <c r="C348" s="866"/>
      <c r="D348" s="866"/>
      <c r="E348" s="866"/>
      <c r="F348" s="866"/>
      <c r="G348" s="866"/>
      <c r="H348" s="866"/>
      <c r="I348" s="866"/>
      <c r="J348" s="868"/>
      <c r="K348" s="868"/>
      <c r="L348" s="799"/>
      <c r="M348" s="747"/>
      <c r="N348" s="744"/>
      <c r="O348" s="744"/>
      <c r="P348" s="744"/>
      <c r="Q348" s="744"/>
      <c r="R348" s="744"/>
      <c r="S348" s="744"/>
      <c r="T348" s="855"/>
      <c r="U348" s="746"/>
      <c r="V348" s="746"/>
      <c r="W348" s="746"/>
      <c r="X348" s="746"/>
      <c r="Y348" s="799"/>
      <c r="Z348" s="799"/>
      <c r="AA348" s="799"/>
      <c r="AB348" s="799"/>
      <c r="AC348" s="799"/>
      <c r="AD348" s="750"/>
      <c r="AE348" s="749"/>
      <c r="AF348" s="749"/>
      <c r="AG348" s="749"/>
      <c r="AH348" s="749"/>
      <c r="AI348" s="749"/>
      <c r="AJ348" s="749"/>
      <c r="AK348" s="749"/>
      <c r="AL348" s="749"/>
      <c r="AM348" s="749"/>
      <c r="AN348" s="749"/>
      <c r="AO348" s="749"/>
      <c r="AP348" s="749"/>
      <c r="AQ348" s="749"/>
      <c r="AR348" s="749"/>
      <c r="AS348" s="749"/>
      <c r="AT348" s="749"/>
      <c r="AU348" s="749"/>
      <c r="AV348" s="749"/>
      <c r="AW348" s="749"/>
      <c r="AX348" s="749"/>
      <c r="AY348" s="749"/>
      <c r="AZ348" s="749"/>
      <c r="BA348" s="749"/>
      <c r="BB348" s="749"/>
      <c r="BC348" s="749"/>
      <c r="BD348" s="749"/>
      <c r="BE348" s="749"/>
      <c r="BF348" s="749"/>
      <c r="BG348" s="749"/>
      <c r="BH348" s="749"/>
      <c r="BI348" s="749"/>
      <c r="BJ348" s="749"/>
      <c r="BK348" s="749"/>
      <c r="BL348" s="749"/>
    </row>
    <row r="349">
      <c r="A349" s="866"/>
      <c r="B349" s="867"/>
      <c r="C349" s="866"/>
      <c r="D349" s="866"/>
      <c r="E349" s="866"/>
      <c r="F349" s="866"/>
      <c r="G349" s="866"/>
      <c r="H349" s="866"/>
      <c r="I349" s="866"/>
      <c r="J349" s="868"/>
      <c r="K349" s="868"/>
      <c r="L349" s="799"/>
      <c r="M349" s="747"/>
      <c r="N349" s="744"/>
      <c r="O349" s="744"/>
      <c r="P349" s="744"/>
      <c r="Q349" s="744"/>
      <c r="R349" s="744"/>
      <c r="S349" s="744"/>
      <c r="T349" s="855"/>
      <c r="U349" s="746"/>
      <c r="V349" s="746"/>
      <c r="W349" s="746"/>
      <c r="X349" s="746"/>
      <c r="Y349" s="799"/>
      <c r="Z349" s="799"/>
      <c r="AA349" s="799"/>
      <c r="AB349" s="799"/>
      <c r="AC349" s="799"/>
      <c r="AD349" s="750"/>
      <c r="AE349" s="749"/>
      <c r="AF349" s="749"/>
      <c r="AG349" s="749"/>
      <c r="AH349" s="749"/>
      <c r="AI349" s="749"/>
      <c r="AJ349" s="749"/>
      <c r="AK349" s="749"/>
      <c r="AL349" s="749"/>
      <c r="AM349" s="749"/>
      <c r="AN349" s="749"/>
      <c r="AO349" s="749"/>
      <c r="AP349" s="749"/>
      <c r="AQ349" s="749"/>
      <c r="AR349" s="749"/>
      <c r="AS349" s="749"/>
      <c r="AT349" s="749"/>
      <c r="AU349" s="749"/>
      <c r="AV349" s="749"/>
      <c r="AW349" s="749"/>
      <c r="AX349" s="749"/>
      <c r="AY349" s="749"/>
      <c r="AZ349" s="749"/>
      <c r="BA349" s="749"/>
      <c r="BB349" s="749"/>
      <c r="BC349" s="749"/>
      <c r="BD349" s="749"/>
      <c r="BE349" s="749"/>
      <c r="BF349" s="749"/>
      <c r="BG349" s="749"/>
      <c r="BH349" s="749"/>
      <c r="BI349" s="749"/>
      <c r="BJ349" s="749"/>
      <c r="BK349" s="749"/>
      <c r="BL349" s="749"/>
    </row>
    <row r="350">
      <c r="A350" s="866"/>
      <c r="B350" s="867"/>
      <c r="C350" s="866"/>
      <c r="D350" s="866"/>
      <c r="E350" s="866"/>
      <c r="F350" s="866"/>
      <c r="G350" s="866"/>
      <c r="H350" s="866"/>
      <c r="I350" s="866"/>
      <c r="J350" s="868"/>
      <c r="K350" s="868"/>
      <c r="L350" s="799"/>
      <c r="M350" s="747"/>
      <c r="N350" s="744"/>
      <c r="O350" s="744"/>
      <c r="P350" s="744"/>
      <c r="Q350" s="744"/>
      <c r="R350" s="744"/>
      <c r="S350" s="744"/>
      <c r="T350" s="855"/>
      <c r="U350" s="746"/>
      <c r="V350" s="746"/>
      <c r="W350" s="746"/>
      <c r="X350" s="746"/>
      <c r="Y350" s="799"/>
      <c r="Z350" s="799"/>
      <c r="AA350" s="799"/>
      <c r="AB350" s="799"/>
      <c r="AC350" s="799"/>
      <c r="AD350" s="750"/>
      <c r="AE350" s="749"/>
      <c r="AF350" s="749"/>
      <c r="AG350" s="749"/>
      <c r="AH350" s="749"/>
      <c r="AI350" s="749"/>
      <c r="AJ350" s="749"/>
      <c r="AK350" s="749"/>
      <c r="AL350" s="749"/>
      <c r="AM350" s="749"/>
      <c r="AN350" s="749"/>
      <c r="AO350" s="749"/>
      <c r="AP350" s="749"/>
      <c r="AQ350" s="749"/>
      <c r="AR350" s="749"/>
      <c r="AS350" s="749"/>
      <c r="AT350" s="749"/>
      <c r="AU350" s="749"/>
      <c r="AV350" s="749"/>
      <c r="AW350" s="749"/>
      <c r="AX350" s="749"/>
      <c r="AY350" s="749"/>
      <c r="AZ350" s="749"/>
      <c r="BA350" s="749"/>
      <c r="BB350" s="749"/>
      <c r="BC350" s="749"/>
      <c r="BD350" s="749"/>
      <c r="BE350" s="749"/>
      <c r="BF350" s="749"/>
      <c r="BG350" s="749"/>
      <c r="BH350" s="749"/>
      <c r="BI350" s="749"/>
      <c r="BJ350" s="749"/>
      <c r="BK350" s="749"/>
      <c r="BL350" s="749"/>
    </row>
    <row r="351">
      <c r="A351" s="866"/>
      <c r="B351" s="867"/>
      <c r="C351" s="866"/>
      <c r="D351" s="866"/>
      <c r="E351" s="866"/>
      <c r="F351" s="866"/>
      <c r="G351" s="866"/>
      <c r="H351" s="866"/>
      <c r="I351" s="866"/>
      <c r="J351" s="868"/>
      <c r="K351" s="868"/>
      <c r="L351" s="799"/>
      <c r="M351" s="747"/>
      <c r="N351" s="744"/>
      <c r="O351" s="744"/>
      <c r="P351" s="744"/>
      <c r="Q351" s="744"/>
      <c r="R351" s="744"/>
      <c r="S351" s="744"/>
      <c r="T351" s="855"/>
      <c r="U351" s="746"/>
      <c r="V351" s="746"/>
      <c r="W351" s="746"/>
      <c r="X351" s="746"/>
      <c r="Y351" s="799"/>
      <c r="Z351" s="799"/>
      <c r="AA351" s="799"/>
      <c r="AB351" s="799"/>
      <c r="AC351" s="799"/>
      <c r="AD351" s="750"/>
      <c r="AE351" s="749"/>
      <c r="AF351" s="749"/>
      <c r="AG351" s="749"/>
      <c r="AH351" s="749"/>
      <c r="AI351" s="749"/>
      <c r="AJ351" s="749"/>
      <c r="AK351" s="749"/>
      <c r="AL351" s="749"/>
      <c r="AM351" s="749"/>
      <c r="AN351" s="749"/>
      <c r="AO351" s="749"/>
      <c r="AP351" s="749"/>
      <c r="AQ351" s="749"/>
      <c r="AR351" s="749"/>
      <c r="AS351" s="749"/>
      <c r="AT351" s="749"/>
      <c r="AU351" s="749"/>
      <c r="AV351" s="749"/>
      <c r="AW351" s="749"/>
      <c r="AX351" s="749"/>
      <c r="AY351" s="749"/>
      <c r="AZ351" s="749"/>
      <c r="BA351" s="749"/>
      <c r="BB351" s="749"/>
      <c r="BC351" s="749"/>
      <c r="BD351" s="749"/>
      <c r="BE351" s="749"/>
      <c r="BF351" s="749"/>
      <c r="BG351" s="749"/>
      <c r="BH351" s="749"/>
      <c r="BI351" s="749"/>
      <c r="BJ351" s="749"/>
      <c r="BK351" s="749"/>
      <c r="BL351" s="749"/>
    </row>
    <row r="352">
      <c r="A352" s="866"/>
      <c r="B352" s="867"/>
      <c r="C352" s="866"/>
      <c r="D352" s="866"/>
      <c r="E352" s="866"/>
      <c r="F352" s="866"/>
      <c r="G352" s="866"/>
      <c r="H352" s="866"/>
      <c r="I352" s="866"/>
      <c r="J352" s="868"/>
      <c r="K352" s="868"/>
      <c r="L352" s="799"/>
      <c r="M352" s="747"/>
      <c r="N352" s="744"/>
      <c r="O352" s="744"/>
      <c r="P352" s="744"/>
      <c r="Q352" s="744"/>
      <c r="R352" s="744"/>
      <c r="S352" s="744"/>
      <c r="T352" s="855"/>
      <c r="U352" s="746"/>
      <c r="V352" s="746"/>
      <c r="W352" s="746"/>
      <c r="X352" s="746"/>
      <c r="Y352" s="799"/>
      <c r="Z352" s="799"/>
      <c r="AA352" s="799"/>
      <c r="AB352" s="799"/>
      <c r="AC352" s="799"/>
      <c r="AD352" s="750"/>
      <c r="AE352" s="749"/>
      <c r="AF352" s="749"/>
      <c r="AG352" s="749"/>
      <c r="AH352" s="749"/>
      <c r="AI352" s="749"/>
      <c r="AJ352" s="749"/>
      <c r="AK352" s="749"/>
      <c r="AL352" s="749"/>
      <c r="AM352" s="749"/>
      <c r="AN352" s="749"/>
      <c r="AO352" s="749"/>
      <c r="AP352" s="749"/>
      <c r="AQ352" s="749"/>
      <c r="AR352" s="749"/>
      <c r="AS352" s="749"/>
      <c r="AT352" s="749"/>
      <c r="AU352" s="749"/>
      <c r="AV352" s="749"/>
      <c r="AW352" s="749"/>
      <c r="AX352" s="749"/>
      <c r="AY352" s="749"/>
      <c r="AZ352" s="749"/>
      <c r="BA352" s="749"/>
      <c r="BB352" s="749"/>
      <c r="BC352" s="749"/>
      <c r="BD352" s="749"/>
      <c r="BE352" s="749"/>
      <c r="BF352" s="749"/>
      <c r="BG352" s="749"/>
      <c r="BH352" s="749"/>
      <c r="BI352" s="749"/>
      <c r="BJ352" s="749"/>
      <c r="BK352" s="749"/>
      <c r="BL352" s="749"/>
    </row>
    <row r="353">
      <c r="A353" s="866"/>
      <c r="B353" s="867"/>
      <c r="C353" s="866"/>
      <c r="D353" s="866"/>
      <c r="E353" s="866"/>
      <c r="F353" s="866"/>
      <c r="G353" s="866"/>
      <c r="H353" s="866"/>
      <c r="I353" s="866"/>
      <c r="J353" s="868"/>
      <c r="K353" s="868"/>
      <c r="L353" s="799"/>
      <c r="M353" s="747"/>
      <c r="N353" s="744"/>
      <c r="O353" s="744"/>
      <c r="P353" s="744"/>
      <c r="Q353" s="744"/>
      <c r="R353" s="744"/>
      <c r="S353" s="744"/>
      <c r="T353" s="855"/>
      <c r="U353" s="746"/>
      <c r="V353" s="746"/>
      <c r="W353" s="746"/>
      <c r="X353" s="746"/>
      <c r="Y353" s="799"/>
      <c r="Z353" s="799"/>
      <c r="AA353" s="799"/>
      <c r="AB353" s="799"/>
      <c r="AC353" s="799"/>
      <c r="AD353" s="750"/>
      <c r="AE353" s="749"/>
      <c r="AF353" s="749"/>
      <c r="AG353" s="749"/>
      <c r="AH353" s="749"/>
      <c r="AI353" s="749"/>
      <c r="AJ353" s="749"/>
      <c r="AK353" s="749"/>
      <c r="AL353" s="749"/>
      <c r="AM353" s="749"/>
      <c r="AN353" s="749"/>
      <c r="AO353" s="749"/>
      <c r="AP353" s="749"/>
      <c r="AQ353" s="749"/>
      <c r="AR353" s="749"/>
      <c r="AS353" s="749"/>
      <c r="AT353" s="749"/>
      <c r="AU353" s="749"/>
      <c r="AV353" s="749"/>
      <c r="AW353" s="749"/>
      <c r="AX353" s="749"/>
      <c r="AY353" s="749"/>
      <c r="AZ353" s="749"/>
      <c r="BA353" s="749"/>
      <c r="BB353" s="749"/>
      <c r="BC353" s="749"/>
      <c r="BD353" s="749"/>
      <c r="BE353" s="749"/>
      <c r="BF353" s="749"/>
      <c r="BG353" s="749"/>
      <c r="BH353" s="749"/>
      <c r="BI353" s="749"/>
      <c r="BJ353" s="749"/>
      <c r="BK353" s="749"/>
      <c r="BL353" s="749"/>
    </row>
    <row r="354">
      <c r="A354" s="866"/>
      <c r="B354" s="867"/>
      <c r="C354" s="866"/>
      <c r="D354" s="866"/>
      <c r="E354" s="866"/>
      <c r="F354" s="866"/>
      <c r="G354" s="866"/>
      <c r="H354" s="866"/>
      <c r="I354" s="866"/>
      <c r="J354" s="868"/>
      <c r="K354" s="868"/>
      <c r="L354" s="799"/>
      <c r="M354" s="747"/>
      <c r="N354" s="744"/>
      <c r="O354" s="744"/>
      <c r="P354" s="744"/>
      <c r="Q354" s="744"/>
      <c r="R354" s="744"/>
      <c r="S354" s="744"/>
      <c r="T354" s="855"/>
      <c r="U354" s="746"/>
      <c r="V354" s="746"/>
      <c r="W354" s="746"/>
      <c r="X354" s="746"/>
      <c r="Y354" s="799"/>
      <c r="Z354" s="799"/>
      <c r="AA354" s="799"/>
      <c r="AB354" s="799"/>
      <c r="AC354" s="799"/>
      <c r="AD354" s="750"/>
      <c r="AE354" s="749"/>
      <c r="AF354" s="749"/>
      <c r="AG354" s="749"/>
      <c r="AH354" s="749"/>
      <c r="AI354" s="749"/>
      <c r="AJ354" s="749"/>
      <c r="AK354" s="749"/>
      <c r="AL354" s="749"/>
      <c r="AM354" s="749"/>
      <c r="AN354" s="749"/>
      <c r="AO354" s="749"/>
      <c r="AP354" s="749"/>
      <c r="AQ354" s="749"/>
      <c r="AR354" s="749"/>
      <c r="AS354" s="749"/>
      <c r="AT354" s="749"/>
      <c r="AU354" s="749"/>
      <c r="AV354" s="749"/>
      <c r="AW354" s="749"/>
      <c r="AX354" s="749"/>
      <c r="AY354" s="749"/>
      <c r="AZ354" s="749"/>
      <c r="BA354" s="749"/>
      <c r="BB354" s="749"/>
      <c r="BC354" s="749"/>
      <c r="BD354" s="749"/>
      <c r="BE354" s="749"/>
      <c r="BF354" s="749"/>
      <c r="BG354" s="749"/>
      <c r="BH354" s="749"/>
      <c r="BI354" s="749"/>
      <c r="BJ354" s="749"/>
      <c r="BK354" s="749"/>
      <c r="BL354" s="749"/>
    </row>
    <row r="355">
      <c r="A355" s="866"/>
      <c r="B355" s="867"/>
      <c r="C355" s="866"/>
      <c r="D355" s="866"/>
      <c r="E355" s="866"/>
      <c r="F355" s="866"/>
      <c r="G355" s="866"/>
      <c r="H355" s="866"/>
      <c r="I355" s="866"/>
      <c r="J355" s="868"/>
      <c r="K355" s="868"/>
      <c r="L355" s="799"/>
      <c r="M355" s="747"/>
      <c r="N355" s="744"/>
      <c r="O355" s="744"/>
      <c r="P355" s="744"/>
      <c r="Q355" s="744"/>
      <c r="R355" s="744"/>
      <c r="S355" s="744"/>
      <c r="T355" s="855"/>
      <c r="U355" s="746"/>
      <c r="V355" s="746"/>
      <c r="W355" s="746"/>
      <c r="X355" s="746"/>
      <c r="Y355" s="799"/>
      <c r="Z355" s="799"/>
      <c r="AA355" s="799"/>
      <c r="AB355" s="799"/>
      <c r="AC355" s="799"/>
      <c r="AD355" s="750"/>
      <c r="AE355" s="749"/>
      <c r="AF355" s="749"/>
      <c r="AG355" s="749"/>
      <c r="AH355" s="749"/>
      <c r="AI355" s="749"/>
      <c r="AJ355" s="749"/>
      <c r="AK355" s="749"/>
      <c r="AL355" s="749"/>
      <c r="AM355" s="749"/>
      <c r="AN355" s="749"/>
      <c r="AO355" s="749"/>
      <c r="AP355" s="749"/>
      <c r="AQ355" s="749"/>
      <c r="AR355" s="749"/>
      <c r="AS355" s="749"/>
      <c r="AT355" s="749"/>
      <c r="AU355" s="749"/>
      <c r="AV355" s="749"/>
      <c r="AW355" s="749"/>
      <c r="AX355" s="749"/>
      <c r="AY355" s="749"/>
      <c r="AZ355" s="749"/>
      <c r="BA355" s="749"/>
      <c r="BB355" s="749"/>
      <c r="BC355" s="749"/>
      <c r="BD355" s="749"/>
      <c r="BE355" s="749"/>
      <c r="BF355" s="749"/>
      <c r="BG355" s="749"/>
      <c r="BH355" s="749"/>
      <c r="BI355" s="749"/>
      <c r="BJ355" s="749"/>
      <c r="BK355" s="749"/>
      <c r="BL355" s="749"/>
    </row>
    <row r="356">
      <c r="A356" s="866"/>
      <c r="B356" s="867"/>
      <c r="C356" s="866"/>
      <c r="D356" s="866"/>
      <c r="E356" s="866"/>
      <c r="F356" s="866"/>
      <c r="G356" s="866"/>
      <c r="H356" s="866"/>
      <c r="I356" s="866"/>
      <c r="J356" s="868"/>
      <c r="K356" s="868"/>
      <c r="L356" s="799"/>
      <c r="M356" s="747"/>
      <c r="N356" s="744"/>
      <c r="O356" s="744"/>
      <c r="P356" s="744"/>
      <c r="Q356" s="744"/>
      <c r="R356" s="744"/>
      <c r="S356" s="744"/>
      <c r="T356" s="855"/>
      <c r="U356" s="746"/>
      <c r="V356" s="746"/>
      <c r="W356" s="746"/>
      <c r="X356" s="746"/>
      <c r="Y356" s="799"/>
      <c r="Z356" s="799"/>
      <c r="AA356" s="799"/>
      <c r="AB356" s="799"/>
      <c r="AC356" s="799"/>
      <c r="AD356" s="750"/>
      <c r="AE356" s="749"/>
      <c r="AF356" s="749"/>
      <c r="AG356" s="749"/>
      <c r="AH356" s="749"/>
      <c r="AI356" s="749"/>
      <c r="AJ356" s="749"/>
      <c r="AK356" s="749"/>
      <c r="AL356" s="749"/>
      <c r="AM356" s="749"/>
      <c r="AN356" s="749"/>
      <c r="AO356" s="749"/>
      <c r="AP356" s="749"/>
      <c r="AQ356" s="749"/>
      <c r="AR356" s="749"/>
      <c r="AS356" s="749"/>
      <c r="AT356" s="749"/>
      <c r="AU356" s="749"/>
      <c r="AV356" s="749"/>
      <c r="AW356" s="749"/>
      <c r="AX356" s="749"/>
      <c r="AY356" s="749"/>
      <c r="AZ356" s="749"/>
      <c r="BA356" s="749"/>
      <c r="BB356" s="749"/>
      <c r="BC356" s="749"/>
      <c r="BD356" s="749"/>
      <c r="BE356" s="749"/>
      <c r="BF356" s="749"/>
      <c r="BG356" s="749"/>
      <c r="BH356" s="749"/>
      <c r="BI356" s="749"/>
      <c r="BJ356" s="749"/>
      <c r="BK356" s="749"/>
      <c r="BL356" s="749"/>
    </row>
    <row r="357">
      <c r="A357" s="866"/>
      <c r="B357" s="867"/>
      <c r="C357" s="866"/>
      <c r="D357" s="866"/>
      <c r="E357" s="866"/>
      <c r="F357" s="866"/>
      <c r="G357" s="866"/>
      <c r="H357" s="866"/>
      <c r="I357" s="866"/>
      <c r="J357" s="868"/>
      <c r="K357" s="868"/>
      <c r="L357" s="799"/>
      <c r="M357" s="747"/>
      <c r="N357" s="744"/>
      <c r="O357" s="744"/>
      <c r="P357" s="744"/>
      <c r="Q357" s="744"/>
      <c r="R357" s="744"/>
      <c r="S357" s="744"/>
      <c r="T357" s="855"/>
      <c r="U357" s="746"/>
      <c r="V357" s="746"/>
      <c r="W357" s="746"/>
      <c r="X357" s="746"/>
      <c r="Y357" s="799"/>
      <c r="Z357" s="799"/>
      <c r="AA357" s="799"/>
      <c r="AB357" s="799"/>
      <c r="AC357" s="799"/>
      <c r="AD357" s="750"/>
      <c r="AE357" s="749"/>
      <c r="AF357" s="749"/>
      <c r="AG357" s="749"/>
      <c r="AH357" s="749"/>
      <c r="AI357" s="749"/>
      <c r="AJ357" s="749"/>
      <c r="AK357" s="749"/>
      <c r="AL357" s="749"/>
      <c r="AM357" s="749"/>
      <c r="AN357" s="749"/>
      <c r="AO357" s="749"/>
      <c r="AP357" s="749"/>
      <c r="AQ357" s="749"/>
      <c r="AR357" s="749"/>
      <c r="AS357" s="749"/>
      <c r="AT357" s="749"/>
      <c r="AU357" s="749"/>
      <c r="AV357" s="749"/>
      <c r="AW357" s="749"/>
      <c r="AX357" s="749"/>
      <c r="AY357" s="749"/>
      <c r="AZ357" s="749"/>
      <c r="BA357" s="749"/>
      <c r="BB357" s="749"/>
      <c r="BC357" s="749"/>
      <c r="BD357" s="749"/>
      <c r="BE357" s="749"/>
      <c r="BF357" s="749"/>
      <c r="BG357" s="749"/>
      <c r="BH357" s="749"/>
      <c r="BI357" s="749"/>
      <c r="BJ357" s="749"/>
      <c r="BK357" s="749"/>
      <c r="BL357" s="749"/>
    </row>
    <row r="358">
      <c r="A358" s="866"/>
      <c r="B358" s="867"/>
      <c r="C358" s="866"/>
      <c r="D358" s="866"/>
      <c r="E358" s="866"/>
      <c r="F358" s="866"/>
      <c r="G358" s="866"/>
      <c r="H358" s="866"/>
      <c r="I358" s="866"/>
      <c r="J358" s="868"/>
      <c r="K358" s="868"/>
      <c r="L358" s="799"/>
      <c r="M358" s="747"/>
      <c r="N358" s="744"/>
      <c r="O358" s="744"/>
      <c r="P358" s="744"/>
      <c r="Q358" s="744"/>
      <c r="R358" s="744"/>
      <c r="S358" s="744"/>
      <c r="T358" s="855"/>
      <c r="U358" s="746"/>
      <c r="V358" s="746"/>
      <c r="W358" s="746"/>
      <c r="X358" s="746"/>
      <c r="Y358" s="799"/>
      <c r="Z358" s="799"/>
      <c r="AA358" s="799"/>
      <c r="AB358" s="799"/>
      <c r="AC358" s="799"/>
      <c r="AD358" s="750"/>
      <c r="AE358" s="749"/>
      <c r="AF358" s="749"/>
      <c r="AG358" s="749"/>
      <c r="AH358" s="749"/>
      <c r="AI358" s="749"/>
      <c r="AJ358" s="749"/>
      <c r="AK358" s="749"/>
      <c r="AL358" s="749"/>
      <c r="AM358" s="749"/>
      <c r="AN358" s="749"/>
      <c r="AO358" s="749"/>
      <c r="AP358" s="749"/>
      <c r="AQ358" s="749"/>
      <c r="AR358" s="749"/>
      <c r="AS358" s="749"/>
      <c r="AT358" s="749"/>
      <c r="AU358" s="749"/>
      <c r="AV358" s="749"/>
      <c r="AW358" s="749"/>
      <c r="AX358" s="749"/>
      <c r="AY358" s="749"/>
      <c r="AZ358" s="749"/>
      <c r="BA358" s="749"/>
      <c r="BB358" s="749"/>
      <c r="BC358" s="749"/>
      <c r="BD358" s="749"/>
      <c r="BE358" s="749"/>
      <c r="BF358" s="749"/>
      <c r="BG358" s="749"/>
      <c r="BH358" s="749"/>
      <c r="BI358" s="749"/>
      <c r="BJ358" s="749"/>
      <c r="BK358" s="749"/>
      <c r="BL358" s="749"/>
    </row>
    <row r="359">
      <c r="A359" s="866"/>
      <c r="B359" s="867"/>
      <c r="C359" s="866"/>
      <c r="D359" s="866"/>
      <c r="E359" s="866"/>
      <c r="F359" s="866"/>
      <c r="G359" s="866"/>
      <c r="H359" s="866"/>
      <c r="I359" s="866"/>
      <c r="J359" s="868"/>
      <c r="K359" s="868"/>
      <c r="L359" s="799"/>
      <c r="M359" s="747"/>
      <c r="N359" s="744"/>
      <c r="O359" s="744"/>
      <c r="P359" s="744"/>
      <c r="Q359" s="744"/>
      <c r="R359" s="744"/>
      <c r="S359" s="744"/>
      <c r="T359" s="855"/>
      <c r="U359" s="746"/>
      <c r="V359" s="746"/>
      <c r="W359" s="746"/>
      <c r="X359" s="746"/>
      <c r="Y359" s="799"/>
      <c r="Z359" s="799"/>
      <c r="AA359" s="799"/>
      <c r="AB359" s="799"/>
      <c r="AC359" s="799"/>
      <c r="AD359" s="750"/>
      <c r="AE359" s="749"/>
      <c r="AF359" s="749"/>
      <c r="AG359" s="749"/>
      <c r="AH359" s="749"/>
      <c r="AI359" s="749"/>
      <c r="AJ359" s="749"/>
      <c r="AK359" s="749"/>
      <c r="AL359" s="749"/>
      <c r="AM359" s="749"/>
      <c r="AN359" s="749"/>
      <c r="AO359" s="749"/>
      <c r="AP359" s="749"/>
      <c r="AQ359" s="749"/>
      <c r="AR359" s="749"/>
      <c r="AS359" s="749"/>
      <c r="AT359" s="749"/>
      <c r="AU359" s="749"/>
      <c r="AV359" s="749"/>
      <c r="AW359" s="749"/>
      <c r="AX359" s="749"/>
      <c r="AY359" s="749"/>
      <c r="AZ359" s="749"/>
      <c r="BA359" s="749"/>
      <c r="BB359" s="749"/>
      <c r="BC359" s="749"/>
      <c r="BD359" s="749"/>
      <c r="BE359" s="749"/>
      <c r="BF359" s="749"/>
      <c r="BG359" s="749"/>
      <c r="BH359" s="749"/>
      <c r="BI359" s="749"/>
      <c r="BJ359" s="749"/>
      <c r="BK359" s="749"/>
      <c r="BL359" s="749"/>
    </row>
    <row r="360">
      <c r="A360" s="866"/>
      <c r="B360" s="867"/>
      <c r="C360" s="866"/>
      <c r="D360" s="866"/>
      <c r="E360" s="866"/>
      <c r="F360" s="866"/>
      <c r="G360" s="866"/>
      <c r="H360" s="866"/>
      <c r="I360" s="866"/>
      <c r="J360" s="868"/>
      <c r="K360" s="868"/>
      <c r="L360" s="799"/>
      <c r="M360" s="747"/>
      <c r="N360" s="744"/>
      <c r="O360" s="744"/>
      <c r="P360" s="744"/>
      <c r="Q360" s="744"/>
      <c r="R360" s="744"/>
      <c r="S360" s="744"/>
      <c r="T360" s="855"/>
      <c r="U360" s="746"/>
      <c r="V360" s="746"/>
      <c r="W360" s="746"/>
      <c r="X360" s="746"/>
      <c r="Y360" s="799"/>
      <c r="Z360" s="799"/>
      <c r="AA360" s="799"/>
      <c r="AB360" s="799"/>
      <c r="AC360" s="799"/>
      <c r="AD360" s="750"/>
      <c r="AE360" s="749"/>
      <c r="AF360" s="749"/>
      <c r="AG360" s="749"/>
      <c r="AH360" s="749"/>
      <c r="AI360" s="749"/>
      <c r="AJ360" s="749"/>
      <c r="AK360" s="749"/>
      <c r="AL360" s="749"/>
      <c r="AM360" s="749"/>
      <c r="AN360" s="749"/>
      <c r="AO360" s="749"/>
      <c r="AP360" s="749"/>
      <c r="AQ360" s="749"/>
      <c r="AR360" s="749"/>
      <c r="AS360" s="749"/>
      <c r="AT360" s="749"/>
      <c r="AU360" s="749"/>
      <c r="AV360" s="749"/>
      <c r="AW360" s="749"/>
      <c r="AX360" s="749"/>
      <c r="AY360" s="749"/>
      <c r="AZ360" s="749"/>
      <c r="BA360" s="749"/>
      <c r="BB360" s="749"/>
      <c r="BC360" s="749"/>
      <c r="BD360" s="749"/>
      <c r="BE360" s="749"/>
      <c r="BF360" s="749"/>
      <c r="BG360" s="749"/>
      <c r="BH360" s="749"/>
      <c r="BI360" s="749"/>
      <c r="BJ360" s="749"/>
      <c r="BK360" s="749"/>
      <c r="BL360" s="749"/>
    </row>
    <row r="361">
      <c r="A361" s="866"/>
      <c r="B361" s="867"/>
      <c r="C361" s="866"/>
      <c r="D361" s="866"/>
      <c r="E361" s="866"/>
      <c r="F361" s="866"/>
      <c r="G361" s="866"/>
      <c r="H361" s="866"/>
      <c r="I361" s="866"/>
      <c r="J361" s="868"/>
      <c r="K361" s="868"/>
      <c r="L361" s="799"/>
      <c r="M361" s="747"/>
      <c r="N361" s="744"/>
      <c r="O361" s="744"/>
      <c r="P361" s="744"/>
      <c r="Q361" s="744"/>
      <c r="R361" s="744"/>
      <c r="S361" s="744"/>
      <c r="T361" s="855"/>
      <c r="U361" s="746"/>
      <c r="V361" s="746"/>
      <c r="W361" s="746"/>
      <c r="X361" s="746"/>
      <c r="Y361" s="799"/>
      <c r="Z361" s="799"/>
      <c r="AA361" s="799"/>
      <c r="AB361" s="799"/>
      <c r="AC361" s="799"/>
      <c r="AD361" s="750"/>
      <c r="AE361" s="749"/>
      <c r="AF361" s="749"/>
      <c r="AG361" s="749"/>
      <c r="AH361" s="749"/>
      <c r="AI361" s="749"/>
      <c r="AJ361" s="749"/>
      <c r="AK361" s="749"/>
      <c r="AL361" s="749"/>
      <c r="AM361" s="749"/>
      <c r="AN361" s="749"/>
      <c r="AO361" s="749"/>
      <c r="AP361" s="749"/>
      <c r="AQ361" s="749"/>
      <c r="AR361" s="749"/>
      <c r="AS361" s="749"/>
      <c r="AT361" s="749"/>
      <c r="AU361" s="749"/>
      <c r="AV361" s="749"/>
      <c r="AW361" s="749"/>
      <c r="AX361" s="749"/>
      <c r="AY361" s="749"/>
      <c r="AZ361" s="749"/>
      <c r="BA361" s="749"/>
      <c r="BB361" s="749"/>
      <c r="BC361" s="749"/>
      <c r="BD361" s="749"/>
      <c r="BE361" s="749"/>
      <c r="BF361" s="749"/>
      <c r="BG361" s="749"/>
      <c r="BH361" s="749"/>
      <c r="BI361" s="749"/>
      <c r="BJ361" s="749"/>
      <c r="BK361" s="749"/>
      <c r="BL361" s="749"/>
    </row>
    <row r="362">
      <c r="A362" s="866"/>
      <c r="B362" s="867"/>
      <c r="C362" s="866"/>
      <c r="D362" s="866"/>
      <c r="E362" s="866"/>
      <c r="F362" s="866"/>
      <c r="G362" s="866"/>
      <c r="H362" s="866"/>
      <c r="I362" s="866"/>
      <c r="J362" s="868"/>
      <c r="K362" s="868"/>
      <c r="L362" s="799"/>
      <c r="M362" s="747"/>
      <c r="N362" s="744"/>
      <c r="O362" s="744"/>
      <c r="P362" s="744"/>
      <c r="Q362" s="744"/>
      <c r="R362" s="744"/>
      <c r="S362" s="744"/>
      <c r="T362" s="855"/>
      <c r="U362" s="746"/>
      <c r="V362" s="746"/>
      <c r="W362" s="746"/>
      <c r="X362" s="746"/>
      <c r="Y362" s="799"/>
      <c r="Z362" s="799"/>
      <c r="AA362" s="799"/>
      <c r="AB362" s="799"/>
      <c r="AC362" s="799"/>
      <c r="AD362" s="750"/>
      <c r="AE362" s="749"/>
      <c r="AF362" s="749"/>
      <c r="AG362" s="749"/>
      <c r="AH362" s="749"/>
      <c r="AI362" s="749"/>
      <c r="AJ362" s="749"/>
      <c r="AK362" s="749"/>
      <c r="AL362" s="749"/>
      <c r="AM362" s="749"/>
      <c r="AN362" s="749"/>
      <c r="AO362" s="749"/>
      <c r="AP362" s="749"/>
      <c r="AQ362" s="749"/>
      <c r="AR362" s="749"/>
      <c r="AS362" s="749"/>
      <c r="AT362" s="749"/>
      <c r="AU362" s="749"/>
      <c r="AV362" s="749"/>
      <c r="AW362" s="749"/>
      <c r="AX362" s="749"/>
      <c r="AY362" s="749"/>
      <c r="AZ362" s="749"/>
      <c r="BA362" s="749"/>
      <c r="BB362" s="749"/>
      <c r="BC362" s="749"/>
      <c r="BD362" s="749"/>
      <c r="BE362" s="749"/>
      <c r="BF362" s="749"/>
      <c r="BG362" s="749"/>
      <c r="BH362" s="749"/>
      <c r="BI362" s="749"/>
      <c r="BJ362" s="749"/>
      <c r="BK362" s="749"/>
      <c r="BL362" s="749"/>
    </row>
    <row r="363">
      <c r="A363" s="866"/>
      <c r="B363" s="867"/>
      <c r="C363" s="866"/>
      <c r="D363" s="866"/>
      <c r="E363" s="866"/>
      <c r="F363" s="866"/>
      <c r="G363" s="866"/>
      <c r="H363" s="866"/>
      <c r="I363" s="866"/>
      <c r="J363" s="868"/>
      <c r="K363" s="868"/>
      <c r="L363" s="799"/>
      <c r="M363" s="747"/>
      <c r="N363" s="744"/>
      <c r="O363" s="744"/>
      <c r="P363" s="744"/>
      <c r="Q363" s="744"/>
      <c r="R363" s="744"/>
      <c r="S363" s="744"/>
      <c r="T363" s="855"/>
      <c r="U363" s="746"/>
      <c r="V363" s="746"/>
      <c r="W363" s="746"/>
      <c r="X363" s="746"/>
      <c r="Y363" s="799"/>
      <c r="Z363" s="799"/>
      <c r="AA363" s="799"/>
      <c r="AB363" s="799"/>
      <c r="AC363" s="799"/>
      <c r="AD363" s="750"/>
      <c r="AE363" s="749"/>
      <c r="AF363" s="749"/>
      <c r="AG363" s="749"/>
      <c r="AH363" s="749"/>
      <c r="AI363" s="749"/>
      <c r="AJ363" s="749"/>
      <c r="AK363" s="749"/>
      <c r="AL363" s="749"/>
      <c r="AM363" s="749"/>
      <c r="AN363" s="749"/>
      <c r="AO363" s="749"/>
      <c r="AP363" s="749"/>
      <c r="AQ363" s="749"/>
      <c r="AR363" s="749"/>
      <c r="AS363" s="749"/>
      <c r="AT363" s="749"/>
      <c r="AU363" s="749"/>
      <c r="AV363" s="749"/>
      <c r="AW363" s="749"/>
      <c r="AX363" s="749"/>
      <c r="AY363" s="749"/>
      <c r="AZ363" s="749"/>
      <c r="BA363" s="749"/>
      <c r="BB363" s="749"/>
      <c r="BC363" s="749"/>
      <c r="BD363" s="749"/>
      <c r="BE363" s="749"/>
      <c r="BF363" s="749"/>
      <c r="BG363" s="749"/>
      <c r="BH363" s="749"/>
      <c r="BI363" s="749"/>
      <c r="BJ363" s="749"/>
      <c r="BK363" s="749"/>
      <c r="BL363" s="749"/>
    </row>
    <row r="364">
      <c r="A364" s="866"/>
      <c r="B364" s="867"/>
      <c r="C364" s="866"/>
      <c r="D364" s="866"/>
      <c r="E364" s="866"/>
      <c r="F364" s="866"/>
      <c r="G364" s="866"/>
      <c r="H364" s="866"/>
      <c r="I364" s="866"/>
      <c r="J364" s="868"/>
      <c r="K364" s="868"/>
      <c r="L364" s="799"/>
      <c r="M364" s="747"/>
      <c r="N364" s="744"/>
      <c r="O364" s="744"/>
      <c r="P364" s="744"/>
      <c r="Q364" s="744"/>
      <c r="R364" s="744"/>
      <c r="S364" s="744"/>
      <c r="T364" s="855"/>
      <c r="U364" s="746"/>
      <c r="V364" s="746"/>
      <c r="W364" s="746"/>
      <c r="X364" s="746"/>
      <c r="Y364" s="799"/>
      <c r="Z364" s="799"/>
      <c r="AA364" s="799"/>
      <c r="AB364" s="799"/>
      <c r="AC364" s="799"/>
      <c r="AD364" s="750"/>
      <c r="AE364" s="749"/>
      <c r="AF364" s="749"/>
      <c r="AG364" s="749"/>
      <c r="AH364" s="749"/>
      <c r="AI364" s="749"/>
      <c r="AJ364" s="749"/>
      <c r="AK364" s="749"/>
      <c r="AL364" s="749"/>
      <c r="AM364" s="749"/>
      <c r="AN364" s="749"/>
      <c r="AO364" s="749"/>
      <c r="AP364" s="749"/>
      <c r="AQ364" s="749"/>
      <c r="AR364" s="749"/>
      <c r="AS364" s="749"/>
      <c r="AT364" s="749"/>
      <c r="AU364" s="749"/>
      <c r="AV364" s="749"/>
      <c r="AW364" s="749"/>
      <c r="AX364" s="749"/>
      <c r="AY364" s="749"/>
      <c r="AZ364" s="749"/>
      <c r="BA364" s="749"/>
      <c r="BB364" s="749"/>
      <c r="BC364" s="749"/>
      <c r="BD364" s="749"/>
      <c r="BE364" s="749"/>
      <c r="BF364" s="749"/>
      <c r="BG364" s="749"/>
      <c r="BH364" s="749"/>
      <c r="BI364" s="749"/>
      <c r="BJ364" s="749"/>
      <c r="BK364" s="749"/>
      <c r="BL364" s="749"/>
    </row>
    <row r="365">
      <c r="A365" s="866"/>
      <c r="B365" s="867"/>
      <c r="C365" s="866"/>
      <c r="D365" s="866"/>
      <c r="E365" s="866"/>
      <c r="F365" s="866"/>
      <c r="G365" s="866"/>
      <c r="H365" s="866"/>
      <c r="I365" s="866"/>
      <c r="J365" s="868"/>
      <c r="K365" s="868"/>
      <c r="L365" s="799"/>
      <c r="M365" s="747"/>
      <c r="N365" s="744"/>
      <c r="O365" s="744"/>
      <c r="P365" s="744"/>
      <c r="Q365" s="744"/>
      <c r="R365" s="744"/>
      <c r="S365" s="744"/>
      <c r="T365" s="855"/>
      <c r="U365" s="746"/>
      <c r="V365" s="746"/>
      <c r="W365" s="746"/>
      <c r="X365" s="746"/>
      <c r="Y365" s="799"/>
      <c r="Z365" s="799"/>
      <c r="AA365" s="799"/>
      <c r="AB365" s="799"/>
      <c r="AC365" s="799"/>
      <c r="AD365" s="750"/>
      <c r="AE365" s="749"/>
      <c r="AF365" s="749"/>
      <c r="AG365" s="749"/>
      <c r="AH365" s="749"/>
      <c r="AI365" s="749"/>
      <c r="AJ365" s="749"/>
      <c r="AK365" s="749"/>
      <c r="AL365" s="749"/>
      <c r="AM365" s="749"/>
      <c r="AN365" s="749"/>
      <c r="AO365" s="749"/>
      <c r="AP365" s="749"/>
      <c r="AQ365" s="749"/>
      <c r="AR365" s="749"/>
      <c r="AS365" s="749"/>
      <c r="AT365" s="749"/>
      <c r="AU365" s="749"/>
      <c r="AV365" s="749"/>
      <c r="AW365" s="749"/>
      <c r="AX365" s="749"/>
      <c r="AY365" s="749"/>
      <c r="AZ365" s="749"/>
      <c r="BA365" s="749"/>
      <c r="BB365" s="749"/>
      <c r="BC365" s="749"/>
      <c r="BD365" s="749"/>
      <c r="BE365" s="749"/>
      <c r="BF365" s="749"/>
      <c r="BG365" s="749"/>
      <c r="BH365" s="749"/>
      <c r="BI365" s="749"/>
      <c r="BJ365" s="749"/>
      <c r="BK365" s="749"/>
      <c r="BL365" s="749"/>
    </row>
    <row r="366">
      <c r="A366" s="866"/>
      <c r="B366" s="867"/>
      <c r="C366" s="866"/>
      <c r="D366" s="866"/>
      <c r="E366" s="866"/>
      <c r="F366" s="866"/>
      <c r="G366" s="866"/>
      <c r="H366" s="866"/>
      <c r="I366" s="866"/>
      <c r="J366" s="868"/>
      <c r="K366" s="868"/>
      <c r="L366" s="799"/>
      <c r="M366" s="747"/>
      <c r="N366" s="744"/>
      <c r="O366" s="744"/>
      <c r="P366" s="744"/>
      <c r="Q366" s="744"/>
      <c r="R366" s="744"/>
      <c r="S366" s="744"/>
      <c r="T366" s="855"/>
      <c r="U366" s="746"/>
      <c r="V366" s="746"/>
      <c r="W366" s="746"/>
      <c r="X366" s="746"/>
      <c r="Y366" s="799"/>
      <c r="Z366" s="799"/>
      <c r="AA366" s="799"/>
      <c r="AB366" s="799"/>
      <c r="AC366" s="799"/>
      <c r="AD366" s="750"/>
      <c r="AE366" s="749"/>
      <c r="AF366" s="749"/>
      <c r="AG366" s="749"/>
      <c r="AH366" s="749"/>
      <c r="AI366" s="749"/>
      <c r="AJ366" s="749"/>
      <c r="AK366" s="749"/>
      <c r="AL366" s="749"/>
      <c r="AM366" s="749"/>
      <c r="AN366" s="749"/>
      <c r="AO366" s="749"/>
      <c r="AP366" s="749"/>
      <c r="AQ366" s="749"/>
      <c r="AR366" s="749"/>
      <c r="AS366" s="749"/>
      <c r="AT366" s="749"/>
      <c r="AU366" s="749"/>
      <c r="AV366" s="749"/>
      <c r="AW366" s="749"/>
      <c r="AX366" s="749"/>
      <c r="AY366" s="749"/>
      <c r="AZ366" s="749"/>
      <c r="BA366" s="749"/>
      <c r="BB366" s="749"/>
      <c r="BC366" s="749"/>
      <c r="BD366" s="749"/>
      <c r="BE366" s="749"/>
      <c r="BF366" s="749"/>
      <c r="BG366" s="749"/>
      <c r="BH366" s="749"/>
      <c r="BI366" s="749"/>
      <c r="BJ366" s="749"/>
      <c r="BK366" s="749"/>
      <c r="BL366" s="749"/>
    </row>
    <row r="367">
      <c r="A367" s="866"/>
      <c r="B367" s="867"/>
      <c r="C367" s="866"/>
      <c r="D367" s="866"/>
      <c r="E367" s="866"/>
      <c r="F367" s="866"/>
      <c r="G367" s="866"/>
      <c r="H367" s="866"/>
      <c r="I367" s="866"/>
      <c r="J367" s="868"/>
      <c r="K367" s="868"/>
      <c r="L367" s="799"/>
      <c r="M367" s="747"/>
      <c r="N367" s="744"/>
      <c r="O367" s="744"/>
      <c r="P367" s="744"/>
      <c r="Q367" s="744"/>
      <c r="R367" s="744"/>
      <c r="S367" s="744"/>
      <c r="T367" s="855"/>
      <c r="U367" s="746"/>
      <c r="V367" s="746"/>
      <c r="W367" s="746"/>
      <c r="X367" s="746"/>
      <c r="Y367" s="799"/>
      <c r="Z367" s="799"/>
      <c r="AA367" s="799"/>
      <c r="AB367" s="799"/>
      <c r="AC367" s="799"/>
      <c r="AD367" s="750"/>
      <c r="AE367" s="749"/>
      <c r="AF367" s="749"/>
      <c r="AG367" s="749"/>
      <c r="AH367" s="749"/>
      <c r="AI367" s="749"/>
      <c r="AJ367" s="749"/>
      <c r="AK367" s="749"/>
      <c r="AL367" s="749"/>
      <c r="AM367" s="749"/>
      <c r="AN367" s="749"/>
      <c r="AO367" s="749"/>
      <c r="AP367" s="749"/>
      <c r="AQ367" s="749"/>
      <c r="AR367" s="749"/>
      <c r="AS367" s="749"/>
      <c r="AT367" s="749"/>
      <c r="AU367" s="749"/>
      <c r="AV367" s="749"/>
      <c r="AW367" s="749"/>
      <c r="AX367" s="749"/>
      <c r="AY367" s="749"/>
      <c r="AZ367" s="749"/>
      <c r="BA367" s="749"/>
      <c r="BB367" s="749"/>
      <c r="BC367" s="749"/>
      <c r="BD367" s="749"/>
      <c r="BE367" s="749"/>
      <c r="BF367" s="749"/>
      <c r="BG367" s="749"/>
      <c r="BH367" s="749"/>
      <c r="BI367" s="749"/>
      <c r="BJ367" s="749"/>
      <c r="BK367" s="749"/>
      <c r="BL367" s="749"/>
    </row>
    <row r="368">
      <c r="A368" s="866"/>
      <c r="B368" s="867"/>
      <c r="C368" s="866"/>
      <c r="D368" s="866"/>
      <c r="E368" s="866"/>
      <c r="F368" s="866"/>
      <c r="G368" s="866"/>
      <c r="H368" s="866"/>
      <c r="I368" s="866"/>
      <c r="J368" s="868"/>
      <c r="K368" s="868"/>
      <c r="L368" s="799"/>
      <c r="M368" s="747"/>
      <c r="N368" s="744"/>
      <c r="O368" s="744"/>
      <c r="P368" s="744"/>
      <c r="Q368" s="744"/>
      <c r="R368" s="744"/>
      <c r="S368" s="744"/>
      <c r="T368" s="855"/>
      <c r="U368" s="746"/>
      <c r="V368" s="746"/>
      <c r="W368" s="746"/>
      <c r="X368" s="746"/>
      <c r="Y368" s="799"/>
      <c r="Z368" s="799"/>
      <c r="AA368" s="799"/>
      <c r="AB368" s="799"/>
      <c r="AC368" s="799"/>
      <c r="AD368" s="750"/>
      <c r="AE368" s="749"/>
      <c r="AF368" s="749"/>
      <c r="AG368" s="749"/>
      <c r="AH368" s="749"/>
      <c r="AI368" s="749"/>
      <c r="AJ368" s="749"/>
      <c r="AK368" s="749"/>
      <c r="AL368" s="749"/>
      <c r="AM368" s="749"/>
      <c r="AN368" s="749"/>
      <c r="AO368" s="749"/>
      <c r="AP368" s="749"/>
      <c r="AQ368" s="749"/>
      <c r="AR368" s="749"/>
      <c r="AS368" s="749"/>
      <c r="AT368" s="749"/>
      <c r="AU368" s="749"/>
      <c r="AV368" s="749"/>
      <c r="AW368" s="749"/>
      <c r="AX368" s="749"/>
      <c r="AY368" s="749"/>
      <c r="AZ368" s="749"/>
      <c r="BA368" s="749"/>
      <c r="BB368" s="749"/>
      <c r="BC368" s="749"/>
      <c r="BD368" s="749"/>
      <c r="BE368" s="749"/>
      <c r="BF368" s="749"/>
      <c r="BG368" s="749"/>
      <c r="BH368" s="749"/>
      <c r="BI368" s="749"/>
      <c r="BJ368" s="749"/>
      <c r="BK368" s="749"/>
      <c r="BL368" s="749"/>
    </row>
    <row r="369">
      <c r="A369" s="866"/>
      <c r="B369" s="867"/>
      <c r="C369" s="866"/>
      <c r="D369" s="866"/>
      <c r="E369" s="866"/>
      <c r="F369" s="866"/>
      <c r="G369" s="866"/>
      <c r="H369" s="866"/>
      <c r="I369" s="866"/>
      <c r="J369" s="868"/>
      <c r="K369" s="868"/>
      <c r="L369" s="799"/>
      <c r="M369" s="747"/>
      <c r="N369" s="744"/>
      <c r="O369" s="744"/>
      <c r="P369" s="744"/>
      <c r="Q369" s="744"/>
      <c r="R369" s="744"/>
      <c r="S369" s="744"/>
      <c r="T369" s="855"/>
      <c r="U369" s="746"/>
      <c r="V369" s="746"/>
      <c r="W369" s="746"/>
      <c r="X369" s="746"/>
      <c r="Y369" s="799"/>
      <c r="Z369" s="799"/>
      <c r="AA369" s="799"/>
      <c r="AB369" s="799"/>
      <c r="AC369" s="799"/>
      <c r="AD369" s="750"/>
      <c r="AE369" s="749"/>
      <c r="AF369" s="749"/>
      <c r="AG369" s="749"/>
      <c r="AH369" s="749"/>
      <c r="AI369" s="749"/>
      <c r="AJ369" s="749"/>
      <c r="AK369" s="749"/>
      <c r="AL369" s="749"/>
      <c r="AM369" s="749"/>
      <c r="AN369" s="749"/>
      <c r="AO369" s="749"/>
      <c r="AP369" s="749"/>
      <c r="AQ369" s="749"/>
      <c r="AR369" s="749"/>
      <c r="AS369" s="749"/>
      <c r="AT369" s="749"/>
      <c r="AU369" s="749"/>
      <c r="AV369" s="749"/>
      <c r="AW369" s="749"/>
      <c r="AX369" s="749"/>
      <c r="AY369" s="749"/>
      <c r="AZ369" s="749"/>
      <c r="BA369" s="749"/>
      <c r="BB369" s="749"/>
      <c r="BC369" s="749"/>
      <c r="BD369" s="749"/>
      <c r="BE369" s="749"/>
      <c r="BF369" s="749"/>
      <c r="BG369" s="749"/>
      <c r="BH369" s="749"/>
      <c r="BI369" s="749"/>
      <c r="BJ369" s="749"/>
      <c r="BK369" s="749"/>
      <c r="BL369" s="749"/>
    </row>
    <row r="370">
      <c r="A370" s="866"/>
      <c r="B370" s="867"/>
      <c r="C370" s="866"/>
      <c r="D370" s="866"/>
      <c r="E370" s="866"/>
      <c r="F370" s="866"/>
      <c r="G370" s="866"/>
      <c r="H370" s="866"/>
      <c r="I370" s="866"/>
      <c r="J370" s="868"/>
      <c r="K370" s="868"/>
      <c r="L370" s="799"/>
      <c r="M370" s="747"/>
      <c r="N370" s="744"/>
      <c r="O370" s="744"/>
      <c r="P370" s="744"/>
      <c r="Q370" s="744"/>
      <c r="R370" s="744"/>
      <c r="S370" s="744"/>
      <c r="T370" s="855"/>
      <c r="U370" s="746"/>
      <c r="V370" s="746"/>
      <c r="W370" s="746"/>
      <c r="X370" s="746"/>
      <c r="Y370" s="799"/>
      <c r="Z370" s="799"/>
      <c r="AA370" s="799"/>
      <c r="AB370" s="799"/>
      <c r="AC370" s="799"/>
      <c r="AD370" s="750"/>
      <c r="AE370" s="749"/>
      <c r="AF370" s="749"/>
      <c r="AG370" s="749"/>
      <c r="AH370" s="749"/>
      <c r="AI370" s="749"/>
      <c r="AJ370" s="749"/>
      <c r="AK370" s="749"/>
      <c r="AL370" s="749"/>
      <c r="AM370" s="749"/>
      <c r="AN370" s="749"/>
      <c r="AO370" s="749"/>
      <c r="AP370" s="749"/>
      <c r="AQ370" s="749"/>
      <c r="AR370" s="749"/>
      <c r="AS370" s="749"/>
      <c r="AT370" s="749"/>
      <c r="AU370" s="749"/>
      <c r="AV370" s="749"/>
      <c r="AW370" s="749"/>
      <c r="AX370" s="749"/>
      <c r="AY370" s="749"/>
      <c r="AZ370" s="749"/>
      <c r="BA370" s="749"/>
      <c r="BB370" s="749"/>
      <c r="BC370" s="749"/>
      <c r="BD370" s="749"/>
      <c r="BE370" s="749"/>
      <c r="BF370" s="749"/>
      <c r="BG370" s="749"/>
      <c r="BH370" s="749"/>
      <c r="BI370" s="749"/>
      <c r="BJ370" s="749"/>
      <c r="BK370" s="749"/>
      <c r="BL370" s="749"/>
    </row>
    <row r="371">
      <c r="A371" s="866"/>
      <c r="B371" s="867"/>
      <c r="C371" s="866"/>
      <c r="D371" s="866"/>
      <c r="E371" s="866"/>
      <c r="F371" s="866"/>
      <c r="G371" s="866"/>
      <c r="H371" s="866"/>
      <c r="I371" s="866"/>
      <c r="J371" s="868"/>
      <c r="K371" s="868"/>
      <c r="L371" s="799"/>
      <c r="M371" s="747"/>
      <c r="N371" s="744"/>
      <c r="O371" s="744"/>
      <c r="P371" s="744"/>
      <c r="Q371" s="744"/>
      <c r="R371" s="744"/>
      <c r="S371" s="744"/>
      <c r="T371" s="855"/>
      <c r="U371" s="746"/>
      <c r="V371" s="746"/>
      <c r="W371" s="746"/>
      <c r="X371" s="746"/>
      <c r="Y371" s="799"/>
      <c r="Z371" s="799"/>
      <c r="AA371" s="799"/>
      <c r="AB371" s="799"/>
      <c r="AC371" s="799"/>
      <c r="AD371" s="750"/>
      <c r="AE371" s="749"/>
      <c r="AF371" s="749"/>
      <c r="AG371" s="749"/>
      <c r="AH371" s="749"/>
      <c r="AI371" s="749"/>
      <c r="AJ371" s="749"/>
      <c r="AK371" s="749"/>
      <c r="AL371" s="749"/>
      <c r="AM371" s="749"/>
      <c r="AN371" s="749"/>
      <c r="AO371" s="749"/>
      <c r="AP371" s="749"/>
      <c r="AQ371" s="749"/>
      <c r="AR371" s="749"/>
      <c r="AS371" s="749"/>
      <c r="AT371" s="749"/>
      <c r="AU371" s="749"/>
      <c r="AV371" s="749"/>
      <c r="AW371" s="749"/>
      <c r="AX371" s="749"/>
      <c r="AY371" s="749"/>
      <c r="AZ371" s="749"/>
      <c r="BA371" s="749"/>
      <c r="BB371" s="749"/>
      <c r="BC371" s="749"/>
      <c r="BD371" s="749"/>
      <c r="BE371" s="749"/>
      <c r="BF371" s="749"/>
      <c r="BG371" s="749"/>
      <c r="BH371" s="749"/>
      <c r="BI371" s="749"/>
      <c r="BJ371" s="749"/>
      <c r="BK371" s="749"/>
      <c r="BL371" s="749"/>
    </row>
    <row r="372">
      <c r="A372" s="866"/>
      <c r="B372" s="867"/>
      <c r="C372" s="866"/>
      <c r="D372" s="866"/>
      <c r="E372" s="866"/>
      <c r="F372" s="866"/>
      <c r="G372" s="866"/>
      <c r="H372" s="866"/>
      <c r="I372" s="866"/>
      <c r="J372" s="868"/>
      <c r="K372" s="868"/>
      <c r="L372" s="799"/>
      <c r="M372" s="747"/>
      <c r="N372" s="744"/>
      <c r="O372" s="744"/>
      <c r="P372" s="744"/>
      <c r="Q372" s="744"/>
      <c r="R372" s="744"/>
      <c r="S372" s="744"/>
      <c r="T372" s="855"/>
      <c r="U372" s="746"/>
      <c r="V372" s="746"/>
      <c r="W372" s="746"/>
      <c r="X372" s="746"/>
      <c r="Y372" s="799"/>
      <c r="Z372" s="799"/>
      <c r="AA372" s="799"/>
      <c r="AB372" s="799"/>
      <c r="AC372" s="799"/>
      <c r="AD372" s="750"/>
      <c r="AE372" s="749"/>
      <c r="AF372" s="749"/>
      <c r="AG372" s="749"/>
      <c r="AH372" s="749"/>
      <c r="AI372" s="749"/>
      <c r="AJ372" s="749"/>
      <c r="AK372" s="749"/>
      <c r="AL372" s="749"/>
      <c r="AM372" s="749"/>
      <c r="AN372" s="749"/>
      <c r="AO372" s="749"/>
      <c r="AP372" s="749"/>
      <c r="AQ372" s="749"/>
      <c r="AR372" s="749"/>
      <c r="AS372" s="749"/>
      <c r="AT372" s="749"/>
      <c r="AU372" s="749"/>
      <c r="AV372" s="749"/>
      <c r="AW372" s="749"/>
      <c r="AX372" s="749"/>
      <c r="AY372" s="749"/>
      <c r="AZ372" s="749"/>
      <c r="BA372" s="749"/>
      <c r="BB372" s="749"/>
      <c r="BC372" s="749"/>
      <c r="BD372" s="749"/>
      <c r="BE372" s="749"/>
      <c r="BF372" s="749"/>
      <c r="BG372" s="749"/>
      <c r="BH372" s="749"/>
      <c r="BI372" s="749"/>
      <c r="BJ372" s="749"/>
      <c r="BK372" s="749"/>
      <c r="BL372" s="749"/>
    </row>
    <row r="373">
      <c r="A373" s="866"/>
      <c r="B373" s="867"/>
      <c r="C373" s="866"/>
      <c r="D373" s="866"/>
      <c r="E373" s="866"/>
      <c r="F373" s="866"/>
      <c r="G373" s="866"/>
      <c r="H373" s="866"/>
      <c r="I373" s="866"/>
      <c r="J373" s="868"/>
      <c r="K373" s="868"/>
      <c r="L373" s="799"/>
      <c r="M373" s="747"/>
      <c r="N373" s="744"/>
      <c r="O373" s="744"/>
      <c r="P373" s="744"/>
      <c r="Q373" s="744"/>
      <c r="R373" s="744"/>
      <c r="S373" s="744"/>
      <c r="T373" s="855"/>
      <c r="U373" s="746"/>
      <c r="V373" s="746"/>
      <c r="W373" s="746"/>
      <c r="X373" s="746"/>
      <c r="Y373" s="799"/>
      <c r="Z373" s="799"/>
      <c r="AA373" s="799"/>
      <c r="AB373" s="799"/>
      <c r="AC373" s="799"/>
      <c r="AD373" s="750"/>
      <c r="AE373" s="749"/>
      <c r="AF373" s="749"/>
      <c r="AG373" s="749"/>
      <c r="AH373" s="749"/>
      <c r="AI373" s="749"/>
      <c r="AJ373" s="749"/>
      <c r="AK373" s="749"/>
      <c r="AL373" s="749"/>
      <c r="AM373" s="749"/>
      <c r="AN373" s="749"/>
      <c r="AO373" s="749"/>
      <c r="AP373" s="749"/>
      <c r="AQ373" s="749"/>
      <c r="AR373" s="749"/>
      <c r="AS373" s="749"/>
      <c r="AT373" s="749"/>
      <c r="AU373" s="749"/>
      <c r="AV373" s="749"/>
      <c r="AW373" s="749"/>
      <c r="AX373" s="749"/>
      <c r="AY373" s="749"/>
      <c r="AZ373" s="749"/>
      <c r="BA373" s="749"/>
      <c r="BB373" s="749"/>
      <c r="BC373" s="749"/>
      <c r="BD373" s="749"/>
      <c r="BE373" s="749"/>
      <c r="BF373" s="749"/>
      <c r="BG373" s="749"/>
      <c r="BH373" s="749"/>
      <c r="BI373" s="749"/>
      <c r="BJ373" s="749"/>
      <c r="BK373" s="749"/>
      <c r="BL373" s="749"/>
    </row>
    <row r="374">
      <c r="A374" s="866"/>
      <c r="B374" s="867"/>
      <c r="C374" s="866"/>
      <c r="D374" s="866"/>
      <c r="E374" s="866"/>
      <c r="F374" s="866"/>
      <c r="G374" s="866"/>
      <c r="H374" s="866"/>
      <c r="I374" s="866"/>
      <c r="J374" s="868"/>
      <c r="K374" s="868"/>
      <c r="L374" s="799"/>
      <c r="M374" s="747"/>
      <c r="N374" s="744"/>
      <c r="O374" s="744"/>
      <c r="P374" s="744"/>
      <c r="Q374" s="744"/>
      <c r="R374" s="744"/>
      <c r="S374" s="744"/>
      <c r="T374" s="855"/>
      <c r="U374" s="746"/>
      <c r="V374" s="746"/>
      <c r="W374" s="746"/>
      <c r="X374" s="746"/>
      <c r="Y374" s="799"/>
      <c r="Z374" s="799"/>
      <c r="AA374" s="799"/>
      <c r="AB374" s="799"/>
      <c r="AC374" s="799"/>
      <c r="AD374" s="750"/>
      <c r="AE374" s="749"/>
      <c r="AF374" s="749"/>
      <c r="AG374" s="749"/>
      <c r="AH374" s="749"/>
      <c r="AI374" s="749"/>
      <c r="AJ374" s="749"/>
      <c r="AK374" s="749"/>
      <c r="AL374" s="749"/>
      <c r="AM374" s="749"/>
      <c r="AN374" s="749"/>
      <c r="AO374" s="749"/>
      <c r="AP374" s="749"/>
      <c r="AQ374" s="749"/>
      <c r="AR374" s="749"/>
      <c r="AS374" s="749"/>
      <c r="AT374" s="749"/>
      <c r="AU374" s="749"/>
      <c r="AV374" s="749"/>
      <c r="AW374" s="749"/>
      <c r="AX374" s="749"/>
      <c r="AY374" s="749"/>
      <c r="AZ374" s="749"/>
      <c r="BA374" s="749"/>
      <c r="BB374" s="749"/>
      <c r="BC374" s="749"/>
      <c r="BD374" s="749"/>
      <c r="BE374" s="749"/>
      <c r="BF374" s="749"/>
      <c r="BG374" s="749"/>
      <c r="BH374" s="749"/>
      <c r="BI374" s="749"/>
      <c r="BJ374" s="749"/>
      <c r="BK374" s="749"/>
      <c r="BL374" s="749"/>
    </row>
    <row r="375">
      <c r="A375" s="866"/>
      <c r="B375" s="867"/>
      <c r="C375" s="866"/>
      <c r="D375" s="866"/>
      <c r="E375" s="866"/>
      <c r="F375" s="866"/>
      <c r="G375" s="866"/>
      <c r="H375" s="866"/>
      <c r="I375" s="866"/>
      <c r="J375" s="868"/>
      <c r="K375" s="868"/>
      <c r="L375" s="799"/>
      <c r="M375" s="747"/>
      <c r="N375" s="744"/>
      <c r="O375" s="744"/>
      <c r="P375" s="744"/>
      <c r="Q375" s="744"/>
      <c r="R375" s="744"/>
      <c r="S375" s="744"/>
      <c r="T375" s="855"/>
      <c r="U375" s="746"/>
      <c r="V375" s="746"/>
      <c r="W375" s="746"/>
      <c r="X375" s="746"/>
      <c r="Y375" s="799"/>
      <c r="Z375" s="799"/>
      <c r="AA375" s="799"/>
      <c r="AB375" s="799"/>
      <c r="AC375" s="799"/>
      <c r="AD375" s="750"/>
      <c r="AE375" s="749"/>
      <c r="AF375" s="749"/>
      <c r="AG375" s="749"/>
      <c r="AH375" s="749"/>
      <c r="AI375" s="749"/>
      <c r="AJ375" s="749"/>
      <c r="AK375" s="749"/>
      <c r="AL375" s="749"/>
      <c r="AM375" s="749"/>
      <c r="AN375" s="749"/>
      <c r="AO375" s="749"/>
      <c r="AP375" s="749"/>
      <c r="AQ375" s="749"/>
      <c r="AR375" s="749"/>
      <c r="AS375" s="749"/>
      <c r="AT375" s="749"/>
      <c r="AU375" s="749"/>
      <c r="AV375" s="749"/>
      <c r="AW375" s="749"/>
      <c r="AX375" s="749"/>
      <c r="AY375" s="749"/>
      <c r="AZ375" s="749"/>
      <c r="BA375" s="749"/>
      <c r="BB375" s="749"/>
      <c r="BC375" s="749"/>
      <c r="BD375" s="749"/>
      <c r="BE375" s="749"/>
      <c r="BF375" s="749"/>
      <c r="BG375" s="749"/>
      <c r="BH375" s="749"/>
      <c r="BI375" s="749"/>
      <c r="BJ375" s="749"/>
      <c r="BK375" s="749"/>
      <c r="BL375" s="749"/>
    </row>
    <row r="376">
      <c r="A376" s="866"/>
      <c r="B376" s="867"/>
      <c r="C376" s="866"/>
      <c r="D376" s="866"/>
      <c r="E376" s="866"/>
      <c r="F376" s="866"/>
      <c r="G376" s="866"/>
      <c r="H376" s="866"/>
      <c r="I376" s="866"/>
      <c r="J376" s="868"/>
      <c r="K376" s="868"/>
      <c r="L376" s="799"/>
      <c r="M376" s="747"/>
      <c r="N376" s="744"/>
      <c r="O376" s="744"/>
      <c r="P376" s="744"/>
      <c r="Q376" s="744"/>
      <c r="R376" s="744"/>
      <c r="S376" s="744"/>
      <c r="T376" s="855"/>
      <c r="U376" s="746"/>
      <c r="V376" s="746"/>
      <c r="W376" s="746"/>
      <c r="X376" s="746"/>
      <c r="Y376" s="799"/>
      <c r="Z376" s="799"/>
      <c r="AA376" s="799"/>
      <c r="AB376" s="799"/>
      <c r="AC376" s="799"/>
      <c r="AD376" s="750"/>
      <c r="AE376" s="749"/>
      <c r="AF376" s="749"/>
      <c r="AG376" s="749"/>
      <c r="AH376" s="749"/>
      <c r="AI376" s="749"/>
      <c r="AJ376" s="749"/>
      <c r="AK376" s="749"/>
      <c r="AL376" s="749"/>
      <c r="AM376" s="749"/>
      <c r="AN376" s="749"/>
      <c r="AO376" s="749"/>
      <c r="AP376" s="749"/>
      <c r="AQ376" s="749"/>
      <c r="AR376" s="749"/>
      <c r="AS376" s="749"/>
      <c r="AT376" s="749"/>
      <c r="AU376" s="749"/>
      <c r="AV376" s="749"/>
      <c r="AW376" s="749"/>
      <c r="AX376" s="749"/>
      <c r="AY376" s="749"/>
      <c r="AZ376" s="749"/>
      <c r="BA376" s="749"/>
      <c r="BB376" s="749"/>
      <c r="BC376" s="749"/>
      <c r="BD376" s="749"/>
      <c r="BE376" s="749"/>
      <c r="BF376" s="749"/>
      <c r="BG376" s="749"/>
      <c r="BH376" s="749"/>
      <c r="BI376" s="749"/>
      <c r="BJ376" s="749"/>
      <c r="BK376" s="749"/>
      <c r="BL376" s="749"/>
    </row>
    <row r="377">
      <c r="A377" s="866"/>
      <c r="B377" s="867"/>
      <c r="C377" s="866"/>
      <c r="D377" s="866"/>
      <c r="E377" s="866"/>
      <c r="F377" s="866"/>
      <c r="G377" s="866"/>
      <c r="H377" s="866"/>
      <c r="I377" s="866"/>
      <c r="J377" s="868"/>
      <c r="K377" s="868"/>
      <c r="L377" s="799"/>
      <c r="M377" s="747"/>
      <c r="N377" s="744"/>
      <c r="O377" s="744"/>
      <c r="P377" s="744"/>
      <c r="Q377" s="744"/>
      <c r="R377" s="744"/>
      <c r="S377" s="744"/>
      <c r="T377" s="855"/>
      <c r="U377" s="746"/>
      <c r="V377" s="746"/>
      <c r="W377" s="746"/>
      <c r="X377" s="746"/>
      <c r="Y377" s="799"/>
      <c r="Z377" s="799"/>
      <c r="AA377" s="799"/>
      <c r="AB377" s="799"/>
      <c r="AC377" s="799"/>
      <c r="AD377" s="750"/>
      <c r="AE377" s="749"/>
      <c r="AF377" s="749"/>
      <c r="AG377" s="749"/>
      <c r="AH377" s="749"/>
      <c r="AI377" s="749"/>
      <c r="AJ377" s="749"/>
      <c r="AK377" s="749"/>
      <c r="AL377" s="749"/>
      <c r="AM377" s="749"/>
      <c r="AN377" s="749"/>
      <c r="AO377" s="749"/>
      <c r="AP377" s="749"/>
      <c r="AQ377" s="749"/>
      <c r="AR377" s="749"/>
      <c r="AS377" s="749"/>
      <c r="AT377" s="749"/>
      <c r="AU377" s="749"/>
      <c r="AV377" s="749"/>
      <c r="AW377" s="749"/>
      <c r="AX377" s="749"/>
      <c r="AY377" s="749"/>
      <c r="AZ377" s="749"/>
      <c r="BA377" s="749"/>
      <c r="BB377" s="749"/>
      <c r="BC377" s="749"/>
      <c r="BD377" s="749"/>
      <c r="BE377" s="749"/>
      <c r="BF377" s="749"/>
      <c r="BG377" s="749"/>
      <c r="BH377" s="749"/>
      <c r="BI377" s="749"/>
      <c r="BJ377" s="749"/>
      <c r="BK377" s="749"/>
      <c r="BL377" s="749"/>
    </row>
    <row r="378">
      <c r="A378" s="866"/>
      <c r="B378" s="867"/>
      <c r="C378" s="866"/>
      <c r="D378" s="866"/>
      <c r="E378" s="866"/>
      <c r="F378" s="866"/>
      <c r="G378" s="866"/>
      <c r="H378" s="866"/>
      <c r="I378" s="866"/>
      <c r="J378" s="868"/>
      <c r="K378" s="868"/>
      <c r="L378" s="799"/>
      <c r="M378" s="747"/>
      <c r="N378" s="744"/>
      <c r="O378" s="744"/>
      <c r="P378" s="744"/>
      <c r="Q378" s="744"/>
      <c r="R378" s="744"/>
      <c r="S378" s="744"/>
      <c r="T378" s="855"/>
      <c r="U378" s="746"/>
      <c r="V378" s="746"/>
      <c r="W378" s="746"/>
      <c r="X378" s="746"/>
      <c r="Y378" s="799"/>
      <c r="Z378" s="799"/>
      <c r="AA378" s="799"/>
      <c r="AB378" s="799"/>
      <c r="AC378" s="799"/>
      <c r="AD378" s="750"/>
      <c r="AE378" s="749"/>
      <c r="AF378" s="749"/>
      <c r="AG378" s="749"/>
      <c r="AH378" s="749"/>
      <c r="AI378" s="749"/>
      <c r="AJ378" s="749"/>
      <c r="AK378" s="749"/>
      <c r="AL378" s="749"/>
      <c r="AM378" s="749"/>
      <c r="AN378" s="749"/>
      <c r="AO378" s="749"/>
      <c r="AP378" s="749"/>
      <c r="AQ378" s="749"/>
      <c r="AR378" s="749"/>
      <c r="AS378" s="749"/>
      <c r="AT378" s="749"/>
      <c r="AU378" s="749"/>
      <c r="AV378" s="749"/>
      <c r="AW378" s="749"/>
      <c r="AX378" s="749"/>
      <c r="AY378" s="749"/>
      <c r="AZ378" s="749"/>
      <c r="BA378" s="749"/>
      <c r="BB378" s="749"/>
      <c r="BC378" s="749"/>
      <c r="BD378" s="749"/>
      <c r="BE378" s="749"/>
      <c r="BF378" s="749"/>
      <c r="BG378" s="749"/>
      <c r="BH378" s="749"/>
      <c r="BI378" s="749"/>
      <c r="BJ378" s="749"/>
      <c r="BK378" s="749"/>
      <c r="BL378" s="749"/>
    </row>
    <row r="379">
      <c r="A379" s="866"/>
      <c r="B379" s="867"/>
      <c r="C379" s="866"/>
      <c r="D379" s="866"/>
      <c r="E379" s="866"/>
      <c r="F379" s="866"/>
      <c r="G379" s="866"/>
      <c r="H379" s="866"/>
      <c r="I379" s="866"/>
      <c r="J379" s="868"/>
      <c r="K379" s="868"/>
      <c r="L379" s="799"/>
      <c r="M379" s="747"/>
      <c r="N379" s="744"/>
      <c r="O379" s="744"/>
      <c r="P379" s="744"/>
      <c r="Q379" s="744"/>
      <c r="R379" s="744"/>
      <c r="S379" s="744"/>
      <c r="T379" s="855"/>
      <c r="U379" s="746"/>
      <c r="V379" s="746"/>
      <c r="W379" s="746"/>
      <c r="X379" s="746"/>
      <c r="Y379" s="799"/>
      <c r="Z379" s="799"/>
      <c r="AA379" s="799"/>
      <c r="AB379" s="799"/>
      <c r="AC379" s="799"/>
      <c r="AD379" s="750"/>
      <c r="AE379" s="749"/>
      <c r="AF379" s="749"/>
      <c r="AG379" s="749"/>
      <c r="AH379" s="749"/>
      <c r="AI379" s="749"/>
      <c r="AJ379" s="749"/>
      <c r="AK379" s="749"/>
      <c r="AL379" s="749"/>
      <c r="AM379" s="749"/>
      <c r="AN379" s="749"/>
      <c r="AO379" s="749"/>
      <c r="AP379" s="749"/>
      <c r="AQ379" s="749"/>
      <c r="AR379" s="749"/>
      <c r="AS379" s="749"/>
      <c r="AT379" s="749"/>
      <c r="AU379" s="749"/>
      <c r="AV379" s="749"/>
      <c r="AW379" s="749"/>
      <c r="AX379" s="749"/>
      <c r="AY379" s="749"/>
      <c r="AZ379" s="749"/>
      <c r="BA379" s="749"/>
      <c r="BB379" s="749"/>
      <c r="BC379" s="749"/>
      <c r="BD379" s="749"/>
      <c r="BE379" s="749"/>
      <c r="BF379" s="749"/>
      <c r="BG379" s="749"/>
      <c r="BH379" s="749"/>
      <c r="BI379" s="749"/>
      <c r="BJ379" s="749"/>
      <c r="BK379" s="749"/>
      <c r="BL379" s="749"/>
    </row>
    <row r="380">
      <c r="A380" s="866"/>
      <c r="B380" s="867"/>
      <c r="C380" s="866"/>
      <c r="D380" s="866"/>
      <c r="E380" s="866"/>
      <c r="F380" s="866"/>
      <c r="G380" s="866"/>
      <c r="H380" s="866"/>
      <c r="I380" s="866"/>
      <c r="J380" s="868"/>
      <c r="K380" s="868"/>
      <c r="L380" s="799"/>
      <c r="M380" s="747"/>
      <c r="N380" s="744"/>
      <c r="O380" s="744"/>
      <c r="P380" s="744"/>
      <c r="Q380" s="744"/>
      <c r="R380" s="744"/>
      <c r="S380" s="744"/>
      <c r="T380" s="855"/>
      <c r="U380" s="746"/>
      <c r="V380" s="746"/>
      <c r="W380" s="746"/>
      <c r="X380" s="746"/>
      <c r="Y380" s="799"/>
      <c r="Z380" s="799"/>
      <c r="AA380" s="799"/>
      <c r="AB380" s="799"/>
      <c r="AC380" s="799"/>
      <c r="AD380" s="750"/>
      <c r="AE380" s="749"/>
      <c r="AF380" s="749"/>
      <c r="AG380" s="749"/>
      <c r="AH380" s="749"/>
      <c r="AI380" s="749"/>
      <c r="AJ380" s="749"/>
      <c r="AK380" s="749"/>
      <c r="AL380" s="749"/>
      <c r="AM380" s="749"/>
      <c r="AN380" s="749"/>
      <c r="AO380" s="749"/>
      <c r="AP380" s="749"/>
      <c r="AQ380" s="749"/>
      <c r="AR380" s="749"/>
      <c r="AS380" s="749"/>
      <c r="AT380" s="749"/>
      <c r="AU380" s="749"/>
      <c r="AV380" s="749"/>
      <c r="AW380" s="749"/>
      <c r="AX380" s="749"/>
      <c r="AY380" s="749"/>
      <c r="AZ380" s="749"/>
      <c r="BA380" s="749"/>
      <c r="BB380" s="749"/>
      <c r="BC380" s="749"/>
      <c r="BD380" s="749"/>
      <c r="BE380" s="749"/>
      <c r="BF380" s="749"/>
      <c r="BG380" s="749"/>
      <c r="BH380" s="749"/>
      <c r="BI380" s="749"/>
      <c r="BJ380" s="749"/>
      <c r="BK380" s="749"/>
      <c r="BL380" s="749"/>
    </row>
    <row r="381">
      <c r="A381" s="866"/>
      <c r="B381" s="867"/>
      <c r="C381" s="866"/>
      <c r="D381" s="866"/>
      <c r="E381" s="866"/>
      <c r="F381" s="866"/>
      <c r="G381" s="866"/>
      <c r="H381" s="866"/>
      <c r="I381" s="866"/>
      <c r="J381" s="868"/>
      <c r="K381" s="868"/>
      <c r="L381" s="799"/>
      <c r="M381" s="747"/>
      <c r="N381" s="744"/>
      <c r="O381" s="744"/>
      <c r="P381" s="744"/>
      <c r="Q381" s="744"/>
      <c r="R381" s="744"/>
      <c r="S381" s="744"/>
      <c r="T381" s="855"/>
      <c r="U381" s="746"/>
      <c r="V381" s="746"/>
      <c r="W381" s="746"/>
      <c r="X381" s="746"/>
      <c r="Y381" s="799"/>
      <c r="Z381" s="799"/>
      <c r="AA381" s="799"/>
      <c r="AB381" s="799"/>
      <c r="AC381" s="799"/>
      <c r="AD381" s="750"/>
      <c r="AE381" s="749"/>
      <c r="AF381" s="749"/>
      <c r="AG381" s="749"/>
      <c r="AH381" s="749"/>
      <c r="AI381" s="749"/>
      <c r="AJ381" s="749"/>
      <c r="AK381" s="749"/>
      <c r="AL381" s="749"/>
      <c r="AM381" s="749"/>
      <c r="AN381" s="749"/>
      <c r="AO381" s="749"/>
      <c r="AP381" s="749"/>
      <c r="AQ381" s="749"/>
      <c r="AR381" s="749"/>
      <c r="AS381" s="749"/>
      <c r="AT381" s="749"/>
      <c r="AU381" s="749"/>
      <c r="AV381" s="749"/>
      <c r="AW381" s="749"/>
      <c r="AX381" s="749"/>
      <c r="AY381" s="749"/>
      <c r="AZ381" s="749"/>
      <c r="BA381" s="749"/>
      <c r="BB381" s="749"/>
      <c r="BC381" s="749"/>
      <c r="BD381" s="749"/>
      <c r="BE381" s="749"/>
      <c r="BF381" s="749"/>
      <c r="BG381" s="749"/>
      <c r="BH381" s="749"/>
      <c r="BI381" s="749"/>
      <c r="BJ381" s="749"/>
      <c r="BK381" s="749"/>
      <c r="BL381" s="749"/>
    </row>
    <row r="382">
      <c r="A382" s="866"/>
      <c r="B382" s="867"/>
      <c r="C382" s="866"/>
      <c r="D382" s="866"/>
      <c r="E382" s="866"/>
      <c r="F382" s="866"/>
      <c r="G382" s="866"/>
      <c r="H382" s="866"/>
      <c r="I382" s="866"/>
      <c r="J382" s="868"/>
      <c r="K382" s="868"/>
      <c r="L382" s="799"/>
      <c r="M382" s="747"/>
      <c r="N382" s="744"/>
      <c r="O382" s="744"/>
      <c r="P382" s="744"/>
      <c r="Q382" s="744"/>
      <c r="R382" s="744"/>
      <c r="S382" s="744"/>
      <c r="T382" s="855"/>
      <c r="U382" s="746"/>
      <c r="V382" s="746"/>
      <c r="W382" s="746"/>
      <c r="X382" s="746"/>
      <c r="Y382" s="799"/>
      <c r="Z382" s="799"/>
      <c r="AA382" s="799"/>
      <c r="AB382" s="799"/>
      <c r="AC382" s="799"/>
      <c r="AD382" s="750"/>
      <c r="AE382" s="749"/>
      <c r="AF382" s="749"/>
      <c r="AG382" s="749"/>
      <c r="AH382" s="749"/>
      <c r="AI382" s="749"/>
      <c r="AJ382" s="749"/>
      <c r="AK382" s="749"/>
      <c r="AL382" s="749"/>
      <c r="AM382" s="749"/>
      <c r="AN382" s="749"/>
      <c r="AO382" s="749"/>
      <c r="AP382" s="749"/>
      <c r="AQ382" s="749"/>
      <c r="AR382" s="749"/>
      <c r="AS382" s="749"/>
      <c r="AT382" s="749"/>
      <c r="AU382" s="749"/>
      <c r="AV382" s="749"/>
      <c r="AW382" s="749"/>
      <c r="AX382" s="749"/>
      <c r="AY382" s="749"/>
      <c r="AZ382" s="749"/>
      <c r="BA382" s="749"/>
      <c r="BB382" s="749"/>
      <c r="BC382" s="749"/>
      <c r="BD382" s="749"/>
      <c r="BE382" s="749"/>
      <c r="BF382" s="749"/>
      <c r="BG382" s="749"/>
      <c r="BH382" s="749"/>
      <c r="BI382" s="749"/>
      <c r="BJ382" s="749"/>
      <c r="BK382" s="749"/>
      <c r="BL382" s="749"/>
    </row>
    <row r="383">
      <c r="A383" s="866"/>
      <c r="B383" s="867"/>
      <c r="C383" s="866"/>
      <c r="D383" s="866"/>
      <c r="E383" s="866"/>
      <c r="F383" s="866"/>
      <c r="G383" s="866"/>
      <c r="H383" s="866"/>
      <c r="I383" s="866"/>
      <c r="J383" s="868"/>
      <c r="K383" s="868"/>
      <c r="L383" s="799"/>
      <c r="M383" s="747"/>
      <c r="N383" s="744"/>
      <c r="O383" s="744"/>
      <c r="P383" s="744"/>
      <c r="Q383" s="744"/>
      <c r="R383" s="744"/>
      <c r="S383" s="744"/>
      <c r="T383" s="855"/>
      <c r="U383" s="746"/>
      <c r="V383" s="746"/>
      <c r="W383" s="746"/>
      <c r="X383" s="746"/>
      <c r="Y383" s="799"/>
      <c r="Z383" s="799"/>
      <c r="AA383" s="799"/>
      <c r="AB383" s="799"/>
      <c r="AC383" s="799"/>
      <c r="AD383" s="750"/>
      <c r="AE383" s="749"/>
      <c r="AF383" s="749"/>
      <c r="AG383" s="749"/>
      <c r="AH383" s="749"/>
      <c r="AI383" s="749"/>
      <c r="AJ383" s="749"/>
      <c r="AK383" s="749"/>
      <c r="AL383" s="749"/>
      <c r="AM383" s="749"/>
      <c r="AN383" s="749"/>
      <c r="AO383" s="749"/>
      <c r="AP383" s="749"/>
      <c r="AQ383" s="749"/>
      <c r="AR383" s="749"/>
      <c r="AS383" s="749"/>
      <c r="AT383" s="749"/>
      <c r="AU383" s="749"/>
      <c r="AV383" s="749"/>
      <c r="AW383" s="749"/>
      <c r="AX383" s="749"/>
      <c r="AY383" s="749"/>
      <c r="AZ383" s="749"/>
      <c r="BA383" s="749"/>
      <c r="BB383" s="749"/>
      <c r="BC383" s="749"/>
      <c r="BD383" s="749"/>
      <c r="BE383" s="749"/>
      <c r="BF383" s="749"/>
      <c r="BG383" s="749"/>
      <c r="BH383" s="749"/>
      <c r="BI383" s="749"/>
      <c r="BJ383" s="749"/>
      <c r="BK383" s="749"/>
      <c r="BL383" s="749"/>
    </row>
    <row r="384">
      <c r="A384" s="866"/>
      <c r="B384" s="867"/>
      <c r="C384" s="866"/>
      <c r="D384" s="866"/>
      <c r="E384" s="866"/>
      <c r="F384" s="866"/>
      <c r="G384" s="866"/>
      <c r="H384" s="866"/>
      <c r="I384" s="866"/>
      <c r="J384" s="868"/>
      <c r="K384" s="868"/>
      <c r="L384" s="799"/>
      <c r="M384" s="747"/>
      <c r="N384" s="744"/>
      <c r="O384" s="744"/>
      <c r="P384" s="744"/>
      <c r="Q384" s="744"/>
      <c r="R384" s="744"/>
      <c r="S384" s="744"/>
      <c r="T384" s="855"/>
      <c r="U384" s="746"/>
      <c r="V384" s="746"/>
      <c r="W384" s="746"/>
      <c r="X384" s="746"/>
      <c r="Y384" s="799"/>
      <c r="Z384" s="799"/>
      <c r="AA384" s="799"/>
      <c r="AB384" s="799"/>
      <c r="AC384" s="799"/>
      <c r="AD384" s="750"/>
      <c r="AE384" s="749"/>
      <c r="AF384" s="749"/>
      <c r="AG384" s="749"/>
      <c r="AH384" s="749"/>
      <c r="AI384" s="749"/>
      <c r="AJ384" s="749"/>
      <c r="AK384" s="749"/>
      <c r="AL384" s="749"/>
      <c r="AM384" s="749"/>
      <c r="AN384" s="749"/>
      <c r="AO384" s="749"/>
      <c r="AP384" s="749"/>
      <c r="AQ384" s="749"/>
      <c r="AR384" s="749"/>
      <c r="AS384" s="749"/>
      <c r="AT384" s="749"/>
      <c r="AU384" s="749"/>
      <c r="AV384" s="749"/>
      <c r="AW384" s="749"/>
      <c r="AX384" s="749"/>
      <c r="AY384" s="749"/>
      <c r="AZ384" s="749"/>
      <c r="BA384" s="749"/>
      <c r="BB384" s="749"/>
      <c r="BC384" s="749"/>
      <c r="BD384" s="749"/>
      <c r="BE384" s="749"/>
      <c r="BF384" s="749"/>
      <c r="BG384" s="749"/>
      <c r="BH384" s="749"/>
      <c r="BI384" s="749"/>
      <c r="BJ384" s="749"/>
      <c r="BK384" s="749"/>
      <c r="BL384" s="749"/>
    </row>
    <row r="385">
      <c r="A385" s="866"/>
      <c r="B385" s="867"/>
      <c r="C385" s="866"/>
      <c r="D385" s="866"/>
      <c r="E385" s="866"/>
      <c r="F385" s="866"/>
      <c r="G385" s="866"/>
      <c r="H385" s="866"/>
      <c r="I385" s="866"/>
      <c r="J385" s="868"/>
      <c r="K385" s="868"/>
      <c r="L385" s="799"/>
      <c r="M385" s="747"/>
      <c r="N385" s="744"/>
      <c r="O385" s="744"/>
      <c r="P385" s="744"/>
      <c r="Q385" s="744"/>
      <c r="R385" s="744"/>
      <c r="S385" s="744"/>
      <c r="T385" s="855"/>
      <c r="U385" s="746"/>
      <c r="V385" s="746"/>
      <c r="W385" s="746"/>
      <c r="X385" s="746"/>
      <c r="Y385" s="799"/>
      <c r="Z385" s="799"/>
      <c r="AA385" s="799"/>
      <c r="AB385" s="799"/>
      <c r="AC385" s="799"/>
      <c r="AD385" s="750"/>
      <c r="AE385" s="749"/>
      <c r="AF385" s="749"/>
      <c r="AG385" s="749"/>
      <c r="AH385" s="749"/>
      <c r="AI385" s="749"/>
      <c r="AJ385" s="749"/>
      <c r="AK385" s="749"/>
      <c r="AL385" s="749"/>
      <c r="AM385" s="749"/>
      <c r="AN385" s="749"/>
      <c r="AO385" s="749"/>
      <c r="AP385" s="749"/>
      <c r="AQ385" s="749"/>
      <c r="AR385" s="749"/>
      <c r="AS385" s="749"/>
      <c r="AT385" s="749"/>
      <c r="AU385" s="749"/>
      <c r="AV385" s="749"/>
      <c r="AW385" s="749"/>
      <c r="AX385" s="749"/>
      <c r="AY385" s="749"/>
      <c r="AZ385" s="749"/>
      <c r="BA385" s="749"/>
      <c r="BB385" s="749"/>
      <c r="BC385" s="749"/>
      <c r="BD385" s="749"/>
      <c r="BE385" s="749"/>
      <c r="BF385" s="749"/>
      <c r="BG385" s="749"/>
      <c r="BH385" s="749"/>
      <c r="BI385" s="749"/>
      <c r="BJ385" s="749"/>
      <c r="BK385" s="749"/>
      <c r="BL385" s="749"/>
    </row>
    <row r="386">
      <c r="A386" s="866"/>
      <c r="B386" s="867"/>
      <c r="C386" s="866"/>
      <c r="D386" s="866"/>
      <c r="E386" s="866"/>
      <c r="F386" s="866"/>
      <c r="G386" s="866"/>
      <c r="H386" s="866"/>
      <c r="I386" s="866"/>
      <c r="J386" s="868"/>
      <c r="K386" s="868"/>
      <c r="L386" s="799"/>
      <c r="M386" s="747"/>
      <c r="N386" s="744"/>
      <c r="O386" s="744"/>
      <c r="P386" s="744"/>
      <c r="Q386" s="744"/>
      <c r="R386" s="744"/>
      <c r="S386" s="744"/>
      <c r="T386" s="855"/>
      <c r="U386" s="746"/>
      <c r="V386" s="746"/>
      <c r="W386" s="746"/>
      <c r="X386" s="746"/>
      <c r="Y386" s="799"/>
      <c r="Z386" s="799"/>
      <c r="AA386" s="799"/>
      <c r="AB386" s="799"/>
      <c r="AC386" s="799"/>
      <c r="AD386" s="750"/>
      <c r="AE386" s="749"/>
      <c r="AF386" s="749"/>
      <c r="AG386" s="749"/>
      <c r="AH386" s="749"/>
      <c r="AI386" s="749"/>
      <c r="AJ386" s="749"/>
      <c r="AK386" s="749"/>
      <c r="AL386" s="749"/>
      <c r="AM386" s="749"/>
      <c r="AN386" s="749"/>
      <c r="AO386" s="749"/>
      <c r="AP386" s="749"/>
      <c r="AQ386" s="749"/>
      <c r="AR386" s="749"/>
      <c r="AS386" s="749"/>
      <c r="AT386" s="749"/>
      <c r="AU386" s="749"/>
      <c r="AV386" s="749"/>
      <c r="AW386" s="749"/>
      <c r="AX386" s="749"/>
      <c r="AY386" s="749"/>
      <c r="AZ386" s="749"/>
      <c r="BA386" s="749"/>
      <c r="BB386" s="749"/>
      <c r="BC386" s="749"/>
      <c r="BD386" s="749"/>
      <c r="BE386" s="749"/>
      <c r="BF386" s="749"/>
      <c r="BG386" s="749"/>
      <c r="BH386" s="749"/>
      <c r="BI386" s="749"/>
      <c r="BJ386" s="749"/>
      <c r="BK386" s="749"/>
      <c r="BL386" s="749"/>
    </row>
    <row r="387">
      <c r="A387" s="866"/>
      <c r="B387" s="867"/>
      <c r="C387" s="866"/>
      <c r="D387" s="866"/>
      <c r="E387" s="866"/>
      <c r="F387" s="866"/>
      <c r="G387" s="866"/>
      <c r="H387" s="866"/>
      <c r="I387" s="866"/>
      <c r="J387" s="868"/>
      <c r="K387" s="868"/>
      <c r="L387" s="799"/>
      <c r="M387" s="747"/>
      <c r="N387" s="744"/>
      <c r="O387" s="744"/>
      <c r="P387" s="744"/>
      <c r="Q387" s="744"/>
      <c r="R387" s="744"/>
      <c r="S387" s="744"/>
      <c r="T387" s="855"/>
      <c r="U387" s="746"/>
      <c r="V387" s="746"/>
      <c r="W387" s="746"/>
      <c r="X387" s="746"/>
      <c r="Y387" s="799"/>
      <c r="Z387" s="799"/>
      <c r="AA387" s="799"/>
      <c r="AB387" s="799"/>
      <c r="AC387" s="799"/>
      <c r="AD387" s="750"/>
      <c r="AE387" s="749"/>
      <c r="AF387" s="749"/>
      <c r="AG387" s="749"/>
      <c r="AH387" s="749"/>
      <c r="AI387" s="749"/>
      <c r="AJ387" s="749"/>
      <c r="AK387" s="749"/>
      <c r="AL387" s="749"/>
      <c r="AM387" s="749"/>
      <c r="AN387" s="749"/>
      <c r="AO387" s="749"/>
      <c r="AP387" s="749"/>
      <c r="AQ387" s="749"/>
      <c r="AR387" s="749"/>
      <c r="AS387" s="749"/>
      <c r="AT387" s="749"/>
      <c r="AU387" s="749"/>
      <c r="AV387" s="749"/>
      <c r="AW387" s="749"/>
      <c r="AX387" s="749"/>
      <c r="AY387" s="749"/>
      <c r="AZ387" s="749"/>
      <c r="BA387" s="749"/>
      <c r="BB387" s="749"/>
      <c r="BC387" s="749"/>
      <c r="BD387" s="749"/>
      <c r="BE387" s="749"/>
      <c r="BF387" s="749"/>
      <c r="BG387" s="749"/>
      <c r="BH387" s="749"/>
      <c r="BI387" s="749"/>
      <c r="BJ387" s="749"/>
      <c r="BK387" s="749"/>
      <c r="BL387" s="749"/>
    </row>
    <row r="388">
      <c r="A388" s="866"/>
      <c r="B388" s="867"/>
      <c r="C388" s="866"/>
      <c r="D388" s="866"/>
      <c r="E388" s="866"/>
      <c r="F388" s="866"/>
      <c r="G388" s="866"/>
      <c r="H388" s="866"/>
      <c r="I388" s="866"/>
      <c r="J388" s="868"/>
      <c r="K388" s="868"/>
      <c r="L388" s="799"/>
      <c r="M388" s="747"/>
      <c r="N388" s="744"/>
      <c r="O388" s="744"/>
      <c r="P388" s="744"/>
      <c r="Q388" s="744"/>
      <c r="R388" s="744"/>
      <c r="S388" s="744"/>
      <c r="T388" s="855"/>
      <c r="U388" s="746"/>
      <c r="V388" s="746"/>
      <c r="W388" s="746"/>
      <c r="X388" s="746"/>
      <c r="Y388" s="799"/>
      <c r="Z388" s="799"/>
      <c r="AA388" s="799"/>
      <c r="AB388" s="799"/>
      <c r="AC388" s="799"/>
      <c r="AD388" s="750"/>
      <c r="AE388" s="749"/>
      <c r="AF388" s="749"/>
      <c r="AG388" s="749"/>
      <c r="AH388" s="749"/>
      <c r="AI388" s="749"/>
      <c r="AJ388" s="749"/>
      <c r="AK388" s="749"/>
      <c r="AL388" s="749"/>
      <c r="AM388" s="749"/>
      <c r="AN388" s="749"/>
      <c r="AO388" s="749"/>
      <c r="AP388" s="749"/>
      <c r="AQ388" s="749"/>
      <c r="AR388" s="749"/>
      <c r="AS388" s="749"/>
      <c r="AT388" s="749"/>
      <c r="AU388" s="749"/>
      <c r="AV388" s="749"/>
      <c r="AW388" s="749"/>
      <c r="AX388" s="749"/>
      <c r="AY388" s="749"/>
      <c r="AZ388" s="749"/>
      <c r="BA388" s="749"/>
      <c r="BB388" s="749"/>
      <c r="BC388" s="749"/>
      <c r="BD388" s="749"/>
      <c r="BE388" s="749"/>
      <c r="BF388" s="749"/>
      <c r="BG388" s="749"/>
      <c r="BH388" s="749"/>
      <c r="BI388" s="749"/>
      <c r="BJ388" s="749"/>
      <c r="BK388" s="749"/>
      <c r="BL388" s="749"/>
    </row>
    <row r="389">
      <c r="A389" s="866"/>
      <c r="B389" s="867"/>
      <c r="C389" s="866"/>
      <c r="D389" s="866"/>
      <c r="E389" s="866"/>
      <c r="F389" s="866"/>
      <c r="G389" s="866"/>
      <c r="H389" s="866"/>
      <c r="I389" s="866"/>
      <c r="J389" s="868"/>
      <c r="K389" s="868"/>
      <c r="L389" s="799"/>
      <c r="M389" s="747"/>
      <c r="N389" s="744"/>
      <c r="O389" s="744"/>
      <c r="P389" s="744"/>
      <c r="Q389" s="744"/>
      <c r="R389" s="744"/>
      <c r="S389" s="744"/>
      <c r="T389" s="855"/>
      <c r="U389" s="746"/>
      <c r="V389" s="746"/>
      <c r="W389" s="746"/>
      <c r="X389" s="746"/>
      <c r="Y389" s="799"/>
      <c r="Z389" s="799"/>
      <c r="AA389" s="799"/>
      <c r="AB389" s="799"/>
      <c r="AC389" s="799"/>
      <c r="AD389" s="750"/>
      <c r="AE389" s="749"/>
      <c r="AF389" s="749"/>
      <c r="AG389" s="749"/>
      <c r="AH389" s="749"/>
      <c r="AI389" s="749"/>
      <c r="AJ389" s="749"/>
      <c r="AK389" s="749"/>
      <c r="AL389" s="749"/>
      <c r="AM389" s="749"/>
      <c r="AN389" s="749"/>
      <c r="AO389" s="749"/>
      <c r="AP389" s="749"/>
      <c r="AQ389" s="749"/>
      <c r="AR389" s="749"/>
      <c r="AS389" s="749"/>
      <c r="AT389" s="749"/>
      <c r="AU389" s="749"/>
      <c r="AV389" s="749"/>
      <c r="AW389" s="749"/>
      <c r="AX389" s="749"/>
      <c r="AY389" s="749"/>
      <c r="AZ389" s="749"/>
      <c r="BA389" s="749"/>
      <c r="BB389" s="749"/>
      <c r="BC389" s="749"/>
      <c r="BD389" s="749"/>
      <c r="BE389" s="749"/>
      <c r="BF389" s="749"/>
      <c r="BG389" s="749"/>
      <c r="BH389" s="749"/>
      <c r="BI389" s="749"/>
      <c r="BJ389" s="749"/>
      <c r="BK389" s="749"/>
      <c r="BL389" s="749"/>
    </row>
    <row r="390">
      <c r="A390" s="866"/>
      <c r="B390" s="867"/>
      <c r="C390" s="866"/>
      <c r="D390" s="866"/>
      <c r="E390" s="866"/>
      <c r="F390" s="866"/>
      <c r="G390" s="866"/>
      <c r="H390" s="866"/>
      <c r="I390" s="866"/>
      <c r="J390" s="868"/>
      <c r="K390" s="868"/>
      <c r="L390" s="799"/>
      <c r="M390" s="747"/>
      <c r="N390" s="744"/>
      <c r="O390" s="744"/>
      <c r="P390" s="744"/>
      <c r="Q390" s="744"/>
      <c r="R390" s="744"/>
      <c r="S390" s="744"/>
      <c r="T390" s="855"/>
      <c r="U390" s="746"/>
      <c r="V390" s="746"/>
      <c r="W390" s="746"/>
      <c r="X390" s="746"/>
      <c r="Y390" s="799"/>
      <c r="Z390" s="799"/>
      <c r="AA390" s="799"/>
      <c r="AB390" s="799"/>
      <c r="AC390" s="799"/>
      <c r="AD390" s="750"/>
      <c r="AE390" s="749"/>
      <c r="AF390" s="749"/>
      <c r="AG390" s="749"/>
      <c r="AH390" s="749"/>
      <c r="AI390" s="749"/>
      <c r="AJ390" s="749"/>
      <c r="AK390" s="749"/>
      <c r="AL390" s="749"/>
      <c r="AM390" s="749"/>
      <c r="AN390" s="749"/>
      <c r="AO390" s="749"/>
      <c r="AP390" s="749"/>
      <c r="AQ390" s="749"/>
      <c r="AR390" s="749"/>
      <c r="AS390" s="749"/>
      <c r="AT390" s="749"/>
      <c r="AU390" s="749"/>
      <c r="AV390" s="749"/>
      <c r="AW390" s="749"/>
      <c r="AX390" s="749"/>
      <c r="AY390" s="749"/>
      <c r="AZ390" s="749"/>
      <c r="BA390" s="749"/>
      <c r="BB390" s="749"/>
      <c r="BC390" s="749"/>
      <c r="BD390" s="749"/>
      <c r="BE390" s="749"/>
      <c r="BF390" s="749"/>
      <c r="BG390" s="749"/>
      <c r="BH390" s="749"/>
      <c r="BI390" s="749"/>
      <c r="BJ390" s="749"/>
      <c r="BK390" s="749"/>
      <c r="BL390" s="749"/>
    </row>
    <row r="391">
      <c r="A391" s="866"/>
      <c r="B391" s="867"/>
      <c r="C391" s="866"/>
      <c r="D391" s="866"/>
      <c r="E391" s="866"/>
      <c r="F391" s="866"/>
      <c r="G391" s="866"/>
      <c r="H391" s="866"/>
      <c r="I391" s="866"/>
      <c r="J391" s="868"/>
      <c r="K391" s="868"/>
      <c r="L391" s="799"/>
      <c r="M391" s="747"/>
      <c r="N391" s="744"/>
      <c r="O391" s="744"/>
      <c r="P391" s="744"/>
      <c r="Q391" s="744"/>
      <c r="R391" s="744"/>
      <c r="S391" s="744"/>
      <c r="T391" s="855"/>
      <c r="U391" s="746"/>
      <c r="V391" s="746"/>
      <c r="W391" s="746"/>
      <c r="X391" s="746"/>
      <c r="Y391" s="799"/>
      <c r="Z391" s="799"/>
      <c r="AA391" s="799"/>
      <c r="AB391" s="799"/>
      <c r="AC391" s="799"/>
      <c r="AD391" s="750"/>
      <c r="AE391" s="749"/>
      <c r="AF391" s="749"/>
      <c r="AG391" s="749"/>
      <c r="AH391" s="749"/>
      <c r="AI391" s="749"/>
      <c r="AJ391" s="749"/>
      <c r="AK391" s="749"/>
      <c r="AL391" s="749"/>
      <c r="AM391" s="749"/>
      <c r="AN391" s="749"/>
      <c r="AO391" s="749"/>
      <c r="AP391" s="749"/>
      <c r="AQ391" s="749"/>
      <c r="AR391" s="749"/>
      <c r="AS391" s="749"/>
      <c r="AT391" s="749"/>
      <c r="AU391" s="749"/>
      <c r="AV391" s="749"/>
      <c r="AW391" s="749"/>
      <c r="AX391" s="749"/>
      <c r="AY391" s="749"/>
      <c r="AZ391" s="749"/>
      <c r="BA391" s="749"/>
      <c r="BB391" s="749"/>
      <c r="BC391" s="749"/>
      <c r="BD391" s="749"/>
      <c r="BE391" s="749"/>
      <c r="BF391" s="749"/>
      <c r="BG391" s="749"/>
      <c r="BH391" s="749"/>
      <c r="BI391" s="749"/>
      <c r="BJ391" s="749"/>
      <c r="BK391" s="749"/>
      <c r="BL391" s="749"/>
    </row>
    <row r="392">
      <c r="A392" s="866"/>
      <c r="B392" s="867"/>
      <c r="C392" s="866"/>
      <c r="D392" s="866"/>
      <c r="E392" s="866"/>
      <c r="F392" s="866"/>
      <c r="G392" s="866"/>
      <c r="H392" s="866"/>
      <c r="I392" s="866"/>
      <c r="J392" s="868"/>
      <c r="K392" s="868"/>
      <c r="L392" s="799"/>
      <c r="M392" s="747"/>
      <c r="N392" s="744"/>
      <c r="O392" s="744"/>
      <c r="P392" s="744"/>
      <c r="Q392" s="744"/>
      <c r="R392" s="744"/>
      <c r="S392" s="744"/>
      <c r="T392" s="855"/>
      <c r="U392" s="746"/>
      <c r="V392" s="746"/>
      <c r="W392" s="746"/>
      <c r="X392" s="746"/>
      <c r="Y392" s="799"/>
      <c r="Z392" s="799"/>
      <c r="AA392" s="799"/>
      <c r="AB392" s="799"/>
      <c r="AC392" s="799"/>
      <c r="AD392" s="750"/>
      <c r="AE392" s="749"/>
      <c r="AF392" s="749"/>
      <c r="AG392" s="749"/>
      <c r="AH392" s="749"/>
      <c r="AI392" s="749"/>
      <c r="AJ392" s="749"/>
      <c r="AK392" s="749"/>
      <c r="AL392" s="749"/>
      <c r="AM392" s="749"/>
      <c r="AN392" s="749"/>
      <c r="AO392" s="749"/>
      <c r="AP392" s="749"/>
      <c r="AQ392" s="749"/>
      <c r="AR392" s="749"/>
      <c r="AS392" s="749"/>
      <c r="AT392" s="749"/>
      <c r="AU392" s="749"/>
      <c r="AV392" s="749"/>
      <c r="AW392" s="749"/>
      <c r="AX392" s="749"/>
      <c r="AY392" s="749"/>
      <c r="AZ392" s="749"/>
      <c r="BA392" s="749"/>
      <c r="BB392" s="749"/>
      <c r="BC392" s="749"/>
      <c r="BD392" s="749"/>
      <c r="BE392" s="749"/>
      <c r="BF392" s="749"/>
      <c r="BG392" s="749"/>
      <c r="BH392" s="749"/>
      <c r="BI392" s="749"/>
      <c r="BJ392" s="749"/>
      <c r="BK392" s="749"/>
      <c r="BL392" s="749"/>
    </row>
    <row r="393">
      <c r="A393" s="866"/>
      <c r="B393" s="867"/>
      <c r="C393" s="866"/>
      <c r="D393" s="866"/>
      <c r="E393" s="866"/>
      <c r="F393" s="866"/>
      <c r="G393" s="866"/>
      <c r="H393" s="866"/>
      <c r="I393" s="866"/>
      <c r="J393" s="868"/>
      <c r="K393" s="868"/>
      <c r="L393" s="799"/>
      <c r="M393" s="747"/>
      <c r="N393" s="744"/>
      <c r="O393" s="744"/>
      <c r="P393" s="744"/>
      <c r="Q393" s="744"/>
      <c r="R393" s="744"/>
      <c r="S393" s="744"/>
      <c r="T393" s="855"/>
      <c r="U393" s="746"/>
      <c r="V393" s="746"/>
      <c r="W393" s="746"/>
      <c r="X393" s="746"/>
      <c r="Y393" s="799"/>
      <c r="Z393" s="799"/>
      <c r="AA393" s="799"/>
      <c r="AB393" s="799"/>
      <c r="AC393" s="799"/>
      <c r="AD393" s="750"/>
      <c r="AE393" s="749"/>
      <c r="AF393" s="749"/>
      <c r="AG393" s="749"/>
      <c r="AH393" s="749"/>
      <c r="AI393" s="749"/>
      <c r="AJ393" s="749"/>
      <c r="AK393" s="749"/>
      <c r="AL393" s="749"/>
      <c r="AM393" s="749"/>
      <c r="AN393" s="749"/>
      <c r="AO393" s="749"/>
      <c r="AP393" s="749"/>
      <c r="AQ393" s="749"/>
      <c r="AR393" s="749"/>
      <c r="AS393" s="749"/>
      <c r="AT393" s="749"/>
      <c r="AU393" s="749"/>
      <c r="AV393" s="749"/>
      <c r="AW393" s="749"/>
      <c r="AX393" s="749"/>
      <c r="AY393" s="749"/>
      <c r="AZ393" s="749"/>
      <c r="BA393" s="749"/>
      <c r="BB393" s="749"/>
      <c r="BC393" s="749"/>
      <c r="BD393" s="749"/>
      <c r="BE393" s="749"/>
      <c r="BF393" s="749"/>
      <c r="BG393" s="749"/>
      <c r="BH393" s="749"/>
      <c r="BI393" s="749"/>
      <c r="BJ393" s="749"/>
      <c r="BK393" s="749"/>
      <c r="BL393" s="749"/>
    </row>
    <row r="394">
      <c r="A394" s="866"/>
      <c r="B394" s="867"/>
      <c r="C394" s="866"/>
      <c r="D394" s="866"/>
      <c r="E394" s="866"/>
      <c r="F394" s="866"/>
      <c r="G394" s="866"/>
      <c r="H394" s="866"/>
      <c r="I394" s="866"/>
      <c r="J394" s="868"/>
      <c r="K394" s="868"/>
      <c r="L394" s="799"/>
      <c r="M394" s="747"/>
      <c r="N394" s="744"/>
      <c r="O394" s="744"/>
      <c r="P394" s="744"/>
      <c r="Q394" s="744"/>
      <c r="R394" s="744"/>
      <c r="S394" s="744"/>
      <c r="T394" s="855"/>
      <c r="U394" s="746"/>
      <c r="V394" s="746"/>
      <c r="W394" s="746"/>
      <c r="X394" s="746"/>
      <c r="Y394" s="799"/>
      <c r="Z394" s="799"/>
      <c r="AA394" s="799"/>
      <c r="AB394" s="799"/>
      <c r="AC394" s="799"/>
      <c r="AD394" s="750"/>
      <c r="AE394" s="749"/>
      <c r="AF394" s="749"/>
      <c r="AG394" s="749"/>
      <c r="AH394" s="749"/>
      <c r="AI394" s="749"/>
      <c r="AJ394" s="749"/>
      <c r="AK394" s="749"/>
      <c r="AL394" s="749"/>
      <c r="AM394" s="749"/>
      <c r="AN394" s="749"/>
      <c r="AO394" s="749"/>
      <c r="AP394" s="749"/>
      <c r="AQ394" s="749"/>
      <c r="AR394" s="749"/>
      <c r="AS394" s="749"/>
      <c r="AT394" s="749"/>
      <c r="AU394" s="749"/>
      <c r="AV394" s="749"/>
      <c r="AW394" s="749"/>
      <c r="AX394" s="749"/>
      <c r="AY394" s="749"/>
      <c r="AZ394" s="749"/>
      <c r="BA394" s="749"/>
      <c r="BB394" s="749"/>
      <c r="BC394" s="749"/>
      <c r="BD394" s="749"/>
      <c r="BE394" s="749"/>
      <c r="BF394" s="749"/>
      <c r="BG394" s="749"/>
      <c r="BH394" s="749"/>
      <c r="BI394" s="749"/>
      <c r="BJ394" s="749"/>
      <c r="BK394" s="749"/>
      <c r="BL394" s="749"/>
    </row>
    <row r="395">
      <c r="A395" s="866"/>
      <c r="B395" s="867"/>
      <c r="C395" s="866"/>
      <c r="D395" s="866"/>
      <c r="E395" s="866"/>
      <c r="F395" s="866"/>
      <c r="G395" s="866"/>
      <c r="H395" s="866"/>
      <c r="I395" s="866"/>
      <c r="J395" s="868"/>
      <c r="K395" s="868"/>
      <c r="L395" s="799"/>
      <c r="M395" s="747"/>
      <c r="N395" s="744"/>
      <c r="O395" s="744"/>
      <c r="P395" s="744"/>
      <c r="Q395" s="744"/>
      <c r="R395" s="744"/>
      <c r="S395" s="744"/>
      <c r="T395" s="855"/>
      <c r="U395" s="746"/>
      <c r="V395" s="746"/>
      <c r="W395" s="746"/>
      <c r="X395" s="746"/>
      <c r="Y395" s="799"/>
      <c r="Z395" s="799"/>
      <c r="AA395" s="799"/>
      <c r="AB395" s="799"/>
      <c r="AC395" s="799"/>
      <c r="AD395" s="750"/>
      <c r="AE395" s="749"/>
      <c r="AF395" s="749"/>
      <c r="AG395" s="749"/>
      <c r="AH395" s="749"/>
      <c r="AI395" s="749"/>
      <c r="AJ395" s="749"/>
      <c r="AK395" s="749"/>
      <c r="AL395" s="749"/>
      <c r="AM395" s="749"/>
      <c r="AN395" s="749"/>
      <c r="AO395" s="749"/>
      <c r="AP395" s="749"/>
      <c r="AQ395" s="749"/>
      <c r="AR395" s="749"/>
      <c r="AS395" s="749"/>
      <c r="AT395" s="749"/>
      <c r="AU395" s="749"/>
      <c r="AV395" s="749"/>
      <c r="AW395" s="749"/>
      <c r="AX395" s="749"/>
      <c r="AY395" s="749"/>
      <c r="AZ395" s="749"/>
      <c r="BA395" s="749"/>
      <c r="BB395" s="749"/>
      <c r="BC395" s="749"/>
      <c r="BD395" s="749"/>
      <c r="BE395" s="749"/>
      <c r="BF395" s="749"/>
      <c r="BG395" s="749"/>
      <c r="BH395" s="749"/>
      <c r="BI395" s="749"/>
      <c r="BJ395" s="749"/>
      <c r="BK395" s="749"/>
      <c r="BL395" s="749"/>
    </row>
    <row r="396">
      <c r="A396" s="866"/>
      <c r="B396" s="867"/>
      <c r="C396" s="866"/>
      <c r="D396" s="866"/>
      <c r="E396" s="866"/>
      <c r="F396" s="866"/>
      <c r="G396" s="866"/>
      <c r="H396" s="866"/>
      <c r="I396" s="866"/>
      <c r="J396" s="868"/>
      <c r="K396" s="868"/>
      <c r="L396" s="799"/>
      <c r="M396" s="747"/>
      <c r="N396" s="744"/>
      <c r="O396" s="744"/>
      <c r="P396" s="744"/>
      <c r="Q396" s="744"/>
      <c r="R396" s="744"/>
      <c r="S396" s="744"/>
      <c r="T396" s="855"/>
      <c r="U396" s="746"/>
      <c r="V396" s="746"/>
      <c r="W396" s="746"/>
      <c r="X396" s="746"/>
      <c r="Y396" s="799"/>
      <c r="Z396" s="799"/>
      <c r="AA396" s="799"/>
      <c r="AB396" s="799"/>
      <c r="AC396" s="799"/>
      <c r="AD396" s="750"/>
      <c r="AE396" s="749"/>
      <c r="AF396" s="749"/>
      <c r="AG396" s="749"/>
      <c r="AH396" s="749"/>
      <c r="AI396" s="749"/>
      <c r="AJ396" s="749"/>
      <c r="AK396" s="749"/>
      <c r="AL396" s="749"/>
      <c r="AM396" s="749"/>
      <c r="AN396" s="749"/>
      <c r="AO396" s="749"/>
      <c r="AP396" s="749"/>
      <c r="AQ396" s="749"/>
      <c r="AR396" s="749"/>
      <c r="AS396" s="749"/>
      <c r="AT396" s="749"/>
      <c r="AU396" s="749"/>
      <c r="AV396" s="749"/>
      <c r="AW396" s="749"/>
      <c r="AX396" s="749"/>
      <c r="AY396" s="749"/>
      <c r="AZ396" s="749"/>
      <c r="BA396" s="749"/>
      <c r="BB396" s="749"/>
      <c r="BC396" s="749"/>
      <c r="BD396" s="749"/>
      <c r="BE396" s="749"/>
      <c r="BF396" s="749"/>
      <c r="BG396" s="749"/>
      <c r="BH396" s="749"/>
      <c r="BI396" s="749"/>
      <c r="BJ396" s="749"/>
      <c r="BK396" s="749"/>
      <c r="BL396" s="749"/>
    </row>
    <row r="397">
      <c r="A397" s="866"/>
      <c r="B397" s="867"/>
      <c r="C397" s="866"/>
      <c r="D397" s="866"/>
      <c r="E397" s="866"/>
      <c r="F397" s="866"/>
      <c r="G397" s="866"/>
      <c r="H397" s="866"/>
      <c r="I397" s="866"/>
      <c r="J397" s="868"/>
      <c r="K397" s="868"/>
      <c r="L397" s="799"/>
      <c r="M397" s="747"/>
      <c r="N397" s="744"/>
      <c r="O397" s="744"/>
      <c r="P397" s="744"/>
      <c r="Q397" s="744"/>
      <c r="R397" s="744"/>
      <c r="S397" s="744"/>
      <c r="T397" s="855"/>
      <c r="U397" s="746"/>
      <c r="V397" s="746"/>
      <c r="W397" s="746"/>
      <c r="X397" s="746"/>
      <c r="Y397" s="799"/>
      <c r="Z397" s="799"/>
      <c r="AA397" s="799"/>
      <c r="AB397" s="799"/>
      <c r="AC397" s="799"/>
      <c r="AD397" s="750"/>
      <c r="AE397" s="749"/>
      <c r="AF397" s="749"/>
      <c r="AG397" s="749"/>
      <c r="AH397" s="749"/>
      <c r="AI397" s="749"/>
      <c r="AJ397" s="749"/>
      <c r="AK397" s="749"/>
      <c r="AL397" s="749"/>
      <c r="AM397" s="749"/>
      <c r="AN397" s="749"/>
      <c r="AO397" s="749"/>
      <c r="AP397" s="749"/>
      <c r="AQ397" s="749"/>
      <c r="AR397" s="749"/>
      <c r="AS397" s="749"/>
      <c r="AT397" s="749"/>
      <c r="AU397" s="749"/>
      <c r="AV397" s="749"/>
      <c r="AW397" s="749"/>
      <c r="AX397" s="749"/>
      <c r="AY397" s="749"/>
      <c r="AZ397" s="749"/>
      <c r="BA397" s="749"/>
      <c r="BB397" s="749"/>
      <c r="BC397" s="749"/>
      <c r="BD397" s="749"/>
      <c r="BE397" s="749"/>
      <c r="BF397" s="749"/>
      <c r="BG397" s="749"/>
      <c r="BH397" s="749"/>
      <c r="BI397" s="749"/>
      <c r="BJ397" s="749"/>
      <c r="BK397" s="749"/>
      <c r="BL397" s="749"/>
    </row>
    <row r="398">
      <c r="A398" s="866"/>
      <c r="B398" s="867"/>
      <c r="C398" s="866"/>
      <c r="D398" s="866"/>
      <c r="E398" s="866"/>
      <c r="F398" s="866"/>
      <c r="G398" s="866"/>
      <c r="H398" s="866"/>
      <c r="I398" s="866"/>
      <c r="J398" s="868"/>
      <c r="K398" s="868"/>
      <c r="L398" s="799"/>
      <c r="M398" s="747"/>
      <c r="N398" s="744"/>
      <c r="O398" s="744"/>
      <c r="P398" s="744"/>
      <c r="Q398" s="744"/>
      <c r="R398" s="744"/>
      <c r="S398" s="744"/>
      <c r="T398" s="855"/>
      <c r="U398" s="746"/>
      <c r="V398" s="746"/>
      <c r="W398" s="746"/>
      <c r="X398" s="746"/>
      <c r="Y398" s="799"/>
      <c r="Z398" s="799"/>
      <c r="AA398" s="799"/>
      <c r="AB398" s="799"/>
      <c r="AC398" s="799"/>
      <c r="AD398" s="750"/>
      <c r="AE398" s="749"/>
      <c r="AF398" s="749"/>
      <c r="AG398" s="749"/>
      <c r="AH398" s="749"/>
      <c r="AI398" s="749"/>
      <c r="AJ398" s="749"/>
      <c r="AK398" s="749"/>
      <c r="AL398" s="749"/>
      <c r="AM398" s="749"/>
      <c r="AN398" s="749"/>
      <c r="AO398" s="749"/>
      <c r="AP398" s="749"/>
      <c r="AQ398" s="749"/>
      <c r="AR398" s="749"/>
      <c r="AS398" s="749"/>
      <c r="AT398" s="749"/>
      <c r="AU398" s="749"/>
      <c r="AV398" s="749"/>
      <c r="AW398" s="749"/>
      <c r="AX398" s="749"/>
      <c r="AY398" s="749"/>
      <c r="AZ398" s="749"/>
      <c r="BA398" s="749"/>
      <c r="BB398" s="749"/>
      <c r="BC398" s="749"/>
      <c r="BD398" s="749"/>
      <c r="BE398" s="749"/>
      <c r="BF398" s="749"/>
      <c r="BG398" s="749"/>
      <c r="BH398" s="749"/>
      <c r="BI398" s="749"/>
      <c r="BJ398" s="749"/>
      <c r="BK398" s="749"/>
      <c r="BL398" s="749"/>
    </row>
    <row r="399">
      <c r="A399" s="866"/>
      <c r="B399" s="867"/>
      <c r="C399" s="866"/>
      <c r="D399" s="866"/>
      <c r="E399" s="866"/>
      <c r="F399" s="866"/>
      <c r="G399" s="866"/>
      <c r="H399" s="866"/>
      <c r="I399" s="866"/>
      <c r="J399" s="868"/>
      <c r="K399" s="868"/>
      <c r="L399" s="799"/>
      <c r="M399" s="747"/>
      <c r="N399" s="744"/>
      <c r="O399" s="744"/>
      <c r="P399" s="744"/>
      <c r="Q399" s="744"/>
      <c r="R399" s="744"/>
      <c r="S399" s="744"/>
      <c r="T399" s="855"/>
      <c r="U399" s="746"/>
      <c r="V399" s="746"/>
      <c r="W399" s="746"/>
      <c r="X399" s="746"/>
      <c r="Y399" s="799"/>
      <c r="Z399" s="799"/>
      <c r="AA399" s="799"/>
      <c r="AB399" s="799"/>
      <c r="AC399" s="799"/>
      <c r="AD399" s="750"/>
      <c r="AE399" s="749"/>
      <c r="AF399" s="749"/>
      <c r="AG399" s="749"/>
      <c r="AH399" s="749"/>
      <c r="AI399" s="749"/>
      <c r="AJ399" s="749"/>
      <c r="AK399" s="749"/>
      <c r="AL399" s="749"/>
      <c r="AM399" s="749"/>
      <c r="AN399" s="749"/>
      <c r="AO399" s="749"/>
      <c r="AP399" s="749"/>
      <c r="AQ399" s="749"/>
      <c r="AR399" s="749"/>
      <c r="AS399" s="749"/>
      <c r="AT399" s="749"/>
      <c r="AU399" s="749"/>
      <c r="AV399" s="749"/>
      <c r="AW399" s="749"/>
      <c r="AX399" s="749"/>
      <c r="AY399" s="749"/>
      <c r="AZ399" s="749"/>
      <c r="BA399" s="749"/>
      <c r="BB399" s="749"/>
      <c r="BC399" s="749"/>
      <c r="BD399" s="749"/>
      <c r="BE399" s="749"/>
      <c r="BF399" s="749"/>
      <c r="BG399" s="749"/>
      <c r="BH399" s="749"/>
      <c r="BI399" s="749"/>
      <c r="BJ399" s="749"/>
      <c r="BK399" s="749"/>
      <c r="BL399" s="749"/>
    </row>
    <row r="400">
      <c r="A400" s="866"/>
      <c r="B400" s="867"/>
      <c r="C400" s="866"/>
      <c r="D400" s="866"/>
      <c r="E400" s="866"/>
      <c r="F400" s="866"/>
      <c r="G400" s="866"/>
      <c r="H400" s="866"/>
      <c r="I400" s="866"/>
      <c r="J400" s="868"/>
      <c r="K400" s="868"/>
      <c r="L400" s="799"/>
      <c r="M400" s="747"/>
      <c r="N400" s="744"/>
      <c r="O400" s="744"/>
      <c r="P400" s="744"/>
      <c r="Q400" s="744"/>
      <c r="R400" s="744"/>
      <c r="S400" s="744"/>
      <c r="T400" s="855"/>
      <c r="U400" s="746"/>
      <c r="V400" s="746"/>
      <c r="W400" s="746"/>
      <c r="X400" s="746"/>
      <c r="Y400" s="799"/>
      <c r="Z400" s="799"/>
      <c r="AA400" s="799"/>
      <c r="AB400" s="799"/>
      <c r="AC400" s="799"/>
      <c r="AD400" s="750"/>
      <c r="AE400" s="749"/>
      <c r="AF400" s="749"/>
      <c r="AG400" s="749"/>
      <c r="AH400" s="749"/>
      <c r="AI400" s="749"/>
      <c r="AJ400" s="749"/>
      <c r="AK400" s="749"/>
      <c r="AL400" s="749"/>
      <c r="AM400" s="749"/>
      <c r="AN400" s="749"/>
      <c r="AO400" s="749"/>
      <c r="AP400" s="749"/>
      <c r="AQ400" s="749"/>
      <c r="AR400" s="749"/>
      <c r="AS400" s="749"/>
      <c r="AT400" s="749"/>
      <c r="AU400" s="749"/>
      <c r="AV400" s="749"/>
      <c r="AW400" s="749"/>
      <c r="AX400" s="749"/>
      <c r="AY400" s="749"/>
      <c r="AZ400" s="749"/>
      <c r="BA400" s="749"/>
      <c r="BB400" s="749"/>
      <c r="BC400" s="749"/>
      <c r="BD400" s="749"/>
      <c r="BE400" s="749"/>
      <c r="BF400" s="749"/>
      <c r="BG400" s="749"/>
      <c r="BH400" s="749"/>
      <c r="BI400" s="749"/>
      <c r="BJ400" s="749"/>
      <c r="BK400" s="749"/>
      <c r="BL400" s="749"/>
    </row>
    <row r="401">
      <c r="A401" s="866"/>
      <c r="B401" s="867"/>
      <c r="C401" s="866"/>
      <c r="D401" s="866"/>
      <c r="E401" s="866"/>
      <c r="F401" s="866"/>
      <c r="G401" s="866"/>
      <c r="H401" s="866"/>
      <c r="I401" s="866"/>
      <c r="J401" s="868"/>
      <c r="K401" s="868"/>
      <c r="L401" s="799"/>
      <c r="M401" s="747"/>
      <c r="N401" s="744"/>
      <c r="O401" s="744"/>
      <c r="P401" s="744"/>
      <c r="Q401" s="744"/>
      <c r="R401" s="744"/>
      <c r="S401" s="744"/>
      <c r="T401" s="855"/>
      <c r="U401" s="746"/>
      <c r="V401" s="746"/>
      <c r="W401" s="746"/>
      <c r="X401" s="746"/>
      <c r="Y401" s="799"/>
      <c r="Z401" s="799"/>
      <c r="AA401" s="799"/>
      <c r="AB401" s="799"/>
      <c r="AC401" s="799"/>
      <c r="AD401" s="750"/>
      <c r="AE401" s="749"/>
      <c r="AF401" s="749"/>
      <c r="AG401" s="749"/>
      <c r="AH401" s="749"/>
      <c r="AI401" s="749"/>
      <c r="AJ401" s="749"/>
      <c r="AK401" s="749"/>
      <c r="AL401" s="749"/>
      <c r="AM401" s="749"/>
      <c r="AN401" s="749"/>
      <c r="AO401" s="749"/>
      <c r="AP401" s="749"/>
      <c r="AQ401" s="749"/>
      <c r="AR401" s="749"/>
      <c r="AS401" s="749"/>
      <c r="AT401" s="749"/>
      <c r="AU401" s="749"/>
      <c r="AV401" s="749"/>
      <c r="AW401" s="749"/>
      <c r="AX401" s="749"/>
      <c r="AY401" s="749"/>
      <c r="AZ401" s="749"/>
      <c r="BA401" s="749"/>
      <c r="BB401" s="749"/>
      <c r="BC401" s="749"/>
      <c r="BD401" s="749"/>
      <c r="BE401" s="749"/>
      <c r="BF401" s="749"/>
      <c r="BG401" s="749"/>
      <c r="BH401" s="749"/>
      <c r="BI401" s="749"/>
      <c r="BJ401" s="749"/>
      <c r="BK401" s="749"/>
      <c r="BL401" s="749"/>
    </row>
    <row r="402">
      <c r="A402" s="866"/>
      <c r="B402" s="867"/>
      <c r="C402" s="866"/>
      <c r="D402" s="866"/>
      <c r="E402" s="866"/>
      <c r="F402" s="866"/>
      <c r="G402" s="866"/>
      <c r="H402" s="866"/>
      <c r="I402" s="866"/>
      <c r="J402" s="868"/>
      <c r="K402" s="868"/>
      <c r="L402" s="799"/>
      <c r="M402" s="747"/>
      <c r="N402" s="744"/>
      <c r="O402" s="744"/>
      <c r="P402" s="744"/>
      <c r="Q402" s="744"/>
      <c r="R402" s="744"/>
      <c r="S402" s="744"/>
      <c r="T402" s="855"/>
      <c r="U402" s="746"/>
      <c r="V402" s="746"/>
      <c r="W402" s="746"/>
      <c r="X402" s="746"/>
      <c r="Y402" s="799"/>
      <c r="Z402" s="799"/>
      <c r="AA402" s="799"/>
      <c r="AB402" s="799"/>
      <c r="AC402" s="799"/>
      <c r="AD402" s="750"/>
      <c r="AE402" s="749"/>
      <c r="AF402" s="749"/>
      <c r="AG402" s="749"/>
      <c r="AH402" s="749"/>
      <c r="AI402" s="749"/>
      <c r="AJ402" s="749"/>
      <c r="AK402" s="749"/>
      <c r="AL402" s="749"/>
      <c r="AM402" s="749"/>
      <c r="AN402" s="749"/>
      <c r="AO402" s="749"/>
      <c r="AP402" s="749"/>
      <c r="AQ402" s="749"/>
      <c r="AR402" s="749"/>
      <c r="AS402" s="749"/>
      <c r="AT402" s="749"/>
      <c r="AU402" s="749"/>
      <c r="AV402" s="749"/>
      <c r="AW402" s="749"/>
      <c r="AX402" s="749"/>
      <c r="AY402" s="749"/>
      <c r="AZ402" s="749"/>
      <c r="BA402" s="749"/>
      <c r="BB402" s="749"/>
      <c r="BC402" s="749"/>
      <c r="BD402" s="749"/>
      <c r="BE402" s="749"/>
      <c r="BF402" s="749"/>
      <c r="BG402" s="749"/>
      <c r="BH402" s="749"/>
      <c r="BI402" s="749"/>
      <c r="BJ402" s="749"/>
      <c r="BK402" s="749"/>
      <c r="BL402" s="749"/>
    </row>
    <row r="403">
      <c r="A403" s="866"/>
      <c r="B403" s="867"/>
      <c r="C403" s="866"/>
      <c r="D403" s="866"/>
      <c r="E403" s="866"/>
      <c r="F403" s="866"/>
      <c r="G403" s="866"/>
      <c r="H403" s="866"/>
      <c r="I403" s="866"/>
      <c r="J403" s="868"/>
      <c r="K403" s="868"/>
      <c r="L403" s="799"/>
      <c r="M403" s="747"/>
      <c r="N403" s="744"/>
      <c r="O403" s="744"/>
      <c r="P403" s="744"/>
      <c r="Q403" s="744"/>
      <c r="R403" s="744"/>
      <c r="S403" s="744"/>
      <c r="T403" s="855"/>
      <c r="U403" s="746"/>
      <c r="V403" s="746"/>
      <c r="W403" s="746"/>
      <c r="X403" s="746"/>
      <c r="Y403" s="799"/>
      <c r="Z403" s="799"/>
      <c r="AA403" s="799"/>
      <c r="AB403" s="799"/>
      <c r="AC403" s="799"/>
      <c r="AD403" s="750"/>
      <c r="AE403" s="749"/>
      <c r="AF403" s="749"/>
      <c r="AG403" s="749"/>
      <c r="AH403" s="749"/>
      <c r="AI403" s="749"/>
      <c r="AJ403" s="749"/>
      <c r="AK403" s="749"/>
      <c r="AL403" s="749"/>
      <c r="AM403" s="749"/>
      <c r="AN403" s="749"/>
      <c r="AO403" s="749"/>
      <c r="AP403" s="749"/>
      <c r="AQ403" s="749"/>
      <c r="AR403" s="749"/>
      <c r="AS403" s="749"/>
      <c r="AT403" s="749"/>
      <c r="AU403" s="749"/>
      <c r="AV403" s="749"/>
      <c r="AW403" s="749"/>
      <c r="AX403" s="749"/>
      <c r="AY403" s="749"/>
      <c r="AZ403" s="749"/>
      <c r="BA403" s="749"/>
      <c r="BB403" s="749"/>
      <c r="BC403" s="749"/>
      <c r="BD403" s="749"/>
      <c r="BE403" s="749"/>
      <c r="BF403" s="749"/>
      <c r="BG403" s="749"/>
      <c r="BH403" s="749"/>
      <c r="BI403" s="749"/>
      <c r="BJ403" s="749"/>
      <c r="BK403" s="749"/>
      <c r="BL403" s="749"/>
    </row>
    <row r="404">
      <c r="A404" s="866"/>
      <c r="B404" s="867"/>
      <c r="C404" s="866"/>
      <c r="D404" s="866"/>
      <c r="E404" s="866"/>
      <c r="F404" s="866"/>
      <c r="G404" s="866"/>
      <c r="H404" s="866"/>
      <c r="I404" s="866"/>
      <c r="J404" s="868"/>
      <c r="K404" s="868"/>
      <c r="L404" s="799"/>
      <c r="M404" s="747"/>
      <c r="N404" s="744"/>
      <c r="O404" s="744"/>
      <c r="P404" s="744"/>
      <c r="Q404" s="744"/>
      <c r="R404" s="744"/>
      <c r="S404" s="744"/>
      <c r="T404" s="855"/>
      <c r="U404" s="746"/>
      <c r="V404" s="746"/>
      <c r="W404" s="746"/>
      <c r="X404" s="746"/>
      <c r="Y404" s="799"/>
      <c r="Z404" s="799"/>
      <c r="AA404" s="799"/>
      <c r="AB404" s="799"/>
      <c r="AC404" s="799"/>
      <c r="AD404" s="750"/>
      <c r="AE404" s="749"/>
      <c r="AF404" s="749"/>
      <c r="AG404" s="749"/>
      <c r="AH404" s="749"/>
      <c r="AI404" s="749"/>
      <c r="AJ404" s="749"/>
      <c r="AK404" s="749"/>
      <c r="AL404" s="749"/>
      <c r="AM404" s="749"/>
      <c r="AN404" s="749"/>
      <c r="AO404" s="749"/>
      <c r="AP404" s="749"/>
      <c r="AQ404" s="749"/>
      <c r="AR404" s="749"/>
      <c r="AS404" s="749"/>
      <c r="AT404" s="749"/>
      <c r="AU404" s="749"/>
      <c r="AV404" s="749"/>
      <c r="AW404" s="749"/>
      <c r="AX404" s="749"/>
      <c r="AY404" s="749"/>
      <c r="AZ404" s="749"/>
      <c r="BA404" s="749"/>
      <c r="BB404" s="749"/>
      <c r="BC404" s="749"/>
      <c r="BD404" s="749"/>
      <c r="BE404" s="749"/>
      <c r="BF404" s="749"/>
      <c r="BG404" s="749"/>
      <c r="BH404" s="749"/>
      <c r="BI404" s="749"/>
      <c r="BJ404" s="749"/>
      <c r="BK404" s="749"/>
      <c r="BL404" s="749"/>
    </row>
    <row r="405">
      <c r="A405" s="866"/>
      <c r="B405" s="867"/>
      <c r="C405" s="866"/>
      <c r="D405" s="866"/>
      <c r="E405" s="866"/>
      <c r="F405" s="866"/>
      <c r="G405" s="866"/>
      <c r="H405" s="866"/>
      <c r="I405" s="866"/>
      <c r="J405" s="868"/>
      <c r="K405" s="868"/>
      <c r="L405" s="799"/>
      <c r="M405" s="747"/>
      <c r="N405" s="744"/>
      <c r="O405" s="744"/>
      <c r="P405" s="744"/>
      <c r="Q405" s="744"/>
      <c r="R405" s="744"/>
      <c r="S405" s="744"/>
      <c r="T405" s="855"/>
      <c r="U405" s="746"/>
      <c r="V405" s="746"/>
      <c r="W405" s="746"/>
      <c r="X405" s="746"/>
      <c r="Y405" s="799"/>
      <c r="Z405" s="799"/>
      <c r="AA405" s="799"/>
      <c r="AB405" s="799"/>
      <c r="AC405" s="799"/>
      <c r="AD405" s="750"/>
      <c r="AE405" s="749"/>
      <c r="AF405" s="749"/>
      <c r="AG405" s="749"/>
      <c r="AH405" s="749"/>
      <c r="AI405" s="749"/>
      <c r="AJ405" s="749"/>
      <c r="AK405" s="749"/>
      <c r="AL405" s="749"/>
      <c r="AM405" s="749"/>
      <c r="AN405" s="749"/>
      <c r="AO405" s="749"/>
      <c r="AP405" s="749"/>
      <c r="AQ405" s="749"/>
      <c r="AR405" s="749"/>
      <c r="AS405" s="749"/>
      <c r="AT405" s="749"/>
      <c r="AU405" s="749"/>
      <c r="AV405" s="749"/>
      <c r="AW405" s="749"/>
      <c r="AX405" s="749"/>
      <c r="AY405" s="749"/>
      <c r="AZ405" s="749"/>
      <c r="BA405" s="749"/>
      <c r="BB405" s="749"/>
      <c r="BC405" s="749"/>
      <c r="BD405" s="749"/>
      <c r="BE405" s="749"/>
      <c r="BF405" s="749"/>
      <c r="BG405" s="749"/>
      <c r="BH405" s="749"/>
      <c r="BI405" s="749"/>
      <c r="BJ405" s="749"/>
      <c r="BK405" s="749"/>
      <c r="BL405" s="749"/>
    </row>
    <row r="406">
      <c r="A406" s="866"/>
      <c r="B406" s="867"/>
      <c r="C406" s="866"/>
      <c r="D406" s="866"/>
      <c r="E406" s="866"/>
      <c r="F406" s="866"/>
      <c r="G406" s="866"/>
      <c r="H406" s="866"/>
      <c r="I406" s="866"/>
      <c r="J406" s="868"/>
      <c r="K406" s="868"/>
      <c r="L406" s="799"/>
      <c r="M406" s="747"/>
      <c r="N406" s="744"/>
      <c r="O406" s="744"/>
      <c r="P406" s="744"/>
      <c r="Q406" s="744"/>
      <c r="R406" s="744"/>
      <c r="S406" s="744"/>
      <c r="T406" s="855"/>
      <c r="U406" s="746"/>
      <c r="V406" s="746"/>
      <c r="W406" s="746"/>
      <c r="X406" s="746"/>
      <c r="Y406" s="799"/>
      <c r="Z406" s="799"/>
      <c r="AA406" s="799"/>
      <c r="AB406" s="799"/>
      <c r="AC406" s="799"/>
      <c r="AD406" s="750"/>
      <c r="AE406" s="749"/>
      <c r="AF406" s="749"/>
      <c r="AG406" s="749"/>
      <c r="AH406" s="749"/>
      <c r="AI406" s="749"/>
      <c r="AJ406" s="749"/>
      <c r="AK406" s="749"/>
      <c r="AL406" s="749"/>
      <c r="AM406" s="749"/>
      <c r="AN406" s="749"/>
      <c r="AO406" s="749"/>
      <c r="AP406" s="749"/>
      <c r="AQ406" s="749"/>
      <c r="AR406" s="749"/>
      <c r="AS406" s="749"/>
      <c r="AT406" s="749"/>
      <c r="AU406" s="749"/>
      <c r="AV406" s="749"/>
      <c r="AW406" s="749"/>
      <c r="AX406" s="749"/>
      <c r="AY406" s="749"/>
      <c r="AZ406" s="749"/>
      <c r="BA406" s="749"/>
      <c r="BB406" s="749"/>
      <c r="BC406" s="749"/>
      <c r="BD406" s="749"/>
      <c r="BE406" s="749"/>
      <c r="BF406" s="749"/>
      <c r="BG406" s="749"/>
      <c r="BH406" s="749"/>
      <c r="BI406" s="749"/>
      <c r="BJ406" s="749"/>
      <c r="BK406" s="749"/>
      <c r="BL406" s="749"/>
    </row>
    <row r="407">
      <c r="A407" s="866"/>
      <c r="B407" s="867"/>
      <c r="C407" s="866"/>
      <c r="D407" s="866"/>
      <c r="E407" s="866"/>
      <c r="F407" s="866"/>
      <c r="G407" s="866"/>
      <c r="H407" s="866"/>
      <c r="I407" s="866"/>
      <c r="J407" s="868"/>
      <c r="K407" s="868"/>
      <c r="L407" s="799"/>
      <c r="M407" s="747"/>
      <c r="N407" s="744"/>
      <c r="O407" s="744"/>
      <c r="P407" s="744"/>
      <c r="Q407" s="744"/>
      <c r="R407" s="744"/>
      <c r="S407" s="744"/>
      <c r="T407" s="855"/>
      <c r="U407" s="746"/>
      <c r="V407" s="746"/>
      <c r="W407" s="746"/>
      <c r="X407" s="746"/>
      <c r="Y407" s="799"/>
      <c r="Z407" s="799"/>
      <c r="AA407" s="799"/>
      <c r="AB407" s="799"/>
      <c r="AC407" s="799"/>
      <c r="AD407" s="750"/>
      <c r="AE407" s="749"/>
      <c r="AF407" s="749"/>
      <c r="AG407" s="749"/>
      <c r="AH407" s="749"/>
      <c r="AI407" s="749"/>
      <c r="AJ407" s="749"/>
      <c r="AK407" s="749"/>
      <c r="AL407" s="749"/>
      <c r="AM407" s="749"/>
      <c r="AN407" s="749"/>
      <c r="AO407" s="749"/>
      <c r="AP407" s="749"/>
      <c r="AQ407" s="749"/>
      <c r="AR407" s="749"/>
      <c r="AS407" s="749"/>
      <c r="AT407" s="749"/>
      <c r="AU407" s="749"/>
      <c r="AV407" s="749"/>
      <c r="AW407" s="749"/>
      <c r="AX407" s="749"/>
      <c r="AY407" s="749"/>
      <c r="AZ407" s="749"/>
      <c r="BA407" s="749"/>
      <c r="BB407" s="749"/>
      <c r="BC407" s="749"/>
      <c r="BD407" s="749"/>
      <c r="BE407" s="749"/>
      <c r="BF407" s="749"/>
      <c r="BG407" s="749"/>
      <c r="BH407" s="749"/>
      <c r="BI407" s="749"/>
      <c r="BJ407" s="749"/>
      <c r="BK407" s="749"/>
      <c r="BL407" s="749"/>
    </row>
    <row r="408">
      <c r="A408" s="866"/>
      <c r="B408" s="867"/>
      <c r="C408" s="866"/>
      <c r="D408" s="866"/>
      <c r="E408" s="866"/>
      <c r="F408" s="866"/>
      <c r="G408" s="866"/>
      <c r="H408" s="866"/>
      <c r="I408" s="866"/>
      <c r="J408" s="868"/>
      <c r="K408" s="868"/>
      <c r="L408" s="799"/>
      <c r="M408" s="747"/>
      <c r="N408" s="744"/>
      <c r="O408" s="744"/>
      <c r="P408" s="744"/>
      <c r="Q408" s="744"/>
      <c r="R408" s="744"/>
      <c r="S408" s="744"/>
      <c r="T408" s="855"/>
      <c r="U408" s="746"/>
      <c r="V408" s="746"/>
      <c r="W408" s="746"/>
      <c r="X408" s="746"/>
      <c r="Y408" s="799"/>
      <c r="Z408" s="799"/>
      <c r="AA408" s="799"/>
      <c r="AB408" s="799"/>
      <c r="AC408" s="799"/>
      <c r="AD408" s="750"/>
      <c r="AE408" s="749"/>
      <c r="AF408" s="749"/>
      <c r="AG408" s="749"/>
      <c r="AH408" s="749"/>
      <c r="AI408" s="749"/>
      <c r="AJ408" s="749"/>
      <c r="AK408" s="749"/>
      <c r="AL408" s="749"/>
      <c r="AM408" s="749"/>
      <c r="AN408" s="749"/>
      <c r="AO408" s="749"/>
      <c r="AP408" s="749"/>
      <c r="AQ408" s="749"/>
      <c r="AR408" s="749"/>
      <c r="AS408" s="749"/>
      <c r="AT408" s="749"/>
      <c r="AU408" s="749"/>
      <c r="AV408" s="749"/>
      <c r="AW408" s="749"/>
      <c r="AX408" s="749"/>
      <c r="AY408" s="749"/>
      <c r="AZ408" s="749"/>
      <c r="BA408" s="749"/>
      <c r="BB408" s="749"/>
      <c r="BC408" s="749"/>
      <c r="BD408" s="749"/>
      <c r="BE408" s="749"/>
      <c r="BF408" s="749"/>
      <c r="BG408" s="749"/>
      <c r="BH408" s="749"/>
      <c r="BI408" s="749"/>
      <c r="BJ408" s="749"/>
      <c r="BK408" s="749"/>
      <c r="BL408" s="749"/>
    </row>
    <row r="409">
      <c r="A409" s="866"/>
      <c r="B409" s="867"/>
      <c r="C409" s="866"/>
      <c r="D409" s="866"/>
      <c r="E409" s="866"/>
      <c r="F409" s="866"/>
      <c r="G409" s="866"/>
      <c r="H409" s="866"/>
      <c r="I409" s="866"/>
      <c r="J409" s="868"/>
      <c r="K409" s="868"/>
      <c r="L409" s="799"/>
      <c r="M409" s="747"/>
      <c r="N409" s="744"/>
      <c r="O409" s="744"/>
      <c r="P409" s="744"/>
      <c r="Q409" s="744"/>
      <c r="R409" s="744"/>
      <c r="S409" s="744"/>
      <c r="T409" s="855"/>
      <c r="U409" s="746"/>
      <c r="V409" s="746"/>
      <c r="W409" s="746"/>
      <c r="X409" s="746"/>
      <c r="Y409" s="799"/>
      <c r="Z409" s="799"/>
      <c r="AA409" s="799"/>
      <c r="AB409" s="799"/>
      <c r="AC409" s="799"/>
      <c r="AD409" s="750"/>
      <c r="AE409" s="749"/>
      <c r="AF409" s="749"/>
      <c r="AG409" s="749"/>
      <c r="AH409" s="749"/>
      <c r="AI409" s="749"/>
      <c r="AJ409" s="749"/>
      <c r="AK409" s="749"/>
      <c r="AL409" s="749"/>
      <c r="AM409" s="749"/>
      <c r="AN409" s="749"/>
      <c r="AO409" s="749"/>
      <c r="AP409" s="749"/>
      <c r="AQ409" s="749"/>
      <c r="AR409" s="749"/>
      <c r="AS409" s="749"/>
      <c r="AT409" s="749"/>
      <c r="AU409" s="749"/>
      <c r="AV409" s="749"/>
      <c r="AW409" s="749"/>
      <c r="AX409" s="749"/>
      <c r="AY409" s="749"/>
      <c r="AZ409" s="749"/>
      <c r="BA409" s="749"/>
      <c r="BB409" s="749"/>
      <c r="BC409" s="749"/>
      <c r="BD409" s="749"/>
      <c r="BE409" s="749"/>
      <c r="BF409" s="749"/>
      <c r="BG409" s="749"/>
      <c r="BH409" s="749"/>
      <c r="BI409" s="749"/>
      <c r="BJ409" s="749"/>
      <c r="BK409" s="749"/>
      <c r="BL409" s="749"/>
    </row>
    <row r="410">
      <c r="A410" s="866"/>
      <c r="B410" s="867"/>
      <c r="C410" s="866"/>
      <c r="D410" s="866"/>
      <c r="E410" s="866"/>
      <c r="F410" s="866"/>
      <c r="G410" s="866"/>
      <c r="H410" s="866"/>
      <c r="I410" s="866"/>
      <c r="J410" s="868"/>
      <c r="K410" s="868"/>
      <c r="L410" s="799"/>
      <c r="M410" s="747"/>
      <c r="N410" s="744"/>
      <c r="O410" s="744"/>
      <c r="P410" s="744"/>
      <c r="Q410" s="744"/>
      <c r="R410" s="744"/>
      <c r="S410" s="744"/>
      <c r="T410" s="855"/>
      <c r="U410" s="746"/>
      <c r="V410" s="746"/>
      <c r="W410" s="746"/>
      <c r="X410" s="746"/>
      <c r="Y410" s="799"/>
      <c r="Z410" s="799"/>
      <c r="AA410" s="799"/>
      <c r="AB410" s="799"/>
      <c r="AC410" s="799"/>
      <c r="AD410" s="750"/>
      <c r="AE410" s="749"/>
      <c r="AF410" s="749"/>
      <c r="AG410" s="749"/>
      <c r="AH410" s="749"/>
      <c r="AI410" s="749"/>
      <c r="AJ410" s="749"/>
      <c r="AK410" s="749"/>
      <c r="AL410" s="749"/>
      <c r="AM410" s="749"/>
      <c r="AN410" s="749"/>
      <c r="AO410" s="749"/>
      <c r="AP410" s="749"/>
      <c r="AQ410" s="749"/>
      <c r="AR410" s="749"/>
      <c r="AS410" s="749"/>
      <c r="AT410" s="749"/>
      <c r="AU410" s="749"/>
      <c r="AV410" s="749"/>
      <c r="AW410" s="749"/>
      <c r="AX410" s="749"/>
      <c r="AY410" s="749"/>
      <c r="AZ410" s="749"/>
      <c r="BA410" s="749"/>
      <c r="BB410" s="749"/>
      <c r="BC410" s="749"/>
      <c r="BD410" s="749"/>
      <c r="BE410" s="749"/>
      <c r="BF410" s="749"/>
      <c r="BG410" s="749"/>
      <c r="BH410" s="749"/>
      <c r="BI410" s="749"/>
      <c r="BJ410" s="749"/>
      <c r="BK410" s="749"/>
      <c r="BL410" s="749"/>
    </row>
    <row r="411">
      <c r="A411" s="866"/>
      <c r="B411" s="867"/>
      <c r="C411" s="866"/>
      <c r="D411" s="866"/>
      <c r="E411" s="866"/>
      <c r="F411" s="866"/>
      <c r="G411" s="866"/>
      <c r="H411" s="866"/>
      <c r="I411" s="866"/>
      <c r="J411" s="868"/>
      <c r="K411" s="868"/>
      <c r="L411" s="799"/>
      <c r="M411" s="747"/>
      <c r="N411" s="744"/>
      <c r="O411" s="744"/>
      <c r="P411" s="744"/>
      <c r="Q411" s="744"/>
      <c r="R411" s="744"/>
      <c r="S411" s="744"/>
      <c r="T411" s="855"/>
      <c r="U411" s="746"/>
      <c r="V411" s="746"/>
      <c r="W411" s="746"/>
      <c r="X411" s="746"/>
      <c r="Y411" s="799"/>
      <c r="Z411" s="799"/>
      <c r="AA411" s="799"/>
      <c r="AB411" s="799"/>
      <c r="AC411" s="799"/>
      <c r="AD411" s="750"/>
      <c r="AE411" s="749"/>
      <c r="AF411" s="749"/>
      <c r="AG411" s="749"/>
      <c r="AH411" s="749"/>
      <c r="AI411" s="749"/>
      <c r="AJ411" s="749"/>
      <c r="AK411" s="749"/>
      <c r="AL411" s="749"/>
      <c r="AM411" s="749"/>
      <c r="AN411" s="749"/>
      <c r="AO411" s="749"/>
      <c r="AP411" s="749"/>
      <c r="AQ411" s="749"/>
      <c r="AR411" s="749"/>
      <c r="AS411" s="749"/>
      <c r="AT411" s="749"/>
      <c r="AU411" s="749"/>
      <c r="AV411" s="749"/>
      <c r="AW411" s="749"/>
      <c r="AX411" s="749"/>
      <c r="AY411" s="749"/>
      <c r="AZ411" s="749"/>
      <c r="BA411" s="749"/>
      <c r="BB411" s="749"/>
      <c r="BC411" s="749"/>
      <c r="BD411" s="749"/>
      <c r="BE411" s="749"/>
      <c r="BF411" s="749"/>
      <c r="BG411" s="749"/>
      <c r="BH411" s="749"/>
      <c r="BI411" s="749"/>
      <c r="BJ411" s="749"/>
      <c r="BK411" s="749"/>
      <c r="BL411" s="749"/>
    </row>
    <row r="412">
      <c r="A412" s="866"/>
      <c r="B412" s="867"/>
      <c r="C412" s="866"/>
      <c r="D412" s="866"/>
      <c r="E412" s="866"/>
      <c r="F412" s="866"/>
      <c r="G412" s="866"/>
      <c r="H412" s="866"/>
      <c r="I412" s="866"/>
      <c r="J412" s="868"/>
      <c r="K412" s="868"/>
      <c r="L412" s="799"/>
      <c r="M412" s="747"/>
      <c r="N412" s="744"/>
      <c r="O412" s="744"/>
      <c r="P412" s="744"/>
      <c r="Q412" s="744"/>
      <c r="R412" s="744"/>
      <c r="S412" s="744"/>
      <c r="T412" s="855"/>
      <c r="U412" s="746"/>
      <c r="V412" s="746"/>
      <c r="W412" s="746"/>
      <c r="X412" s="746"/>
      <c r="Y412" s="799"/>
      <c r="Z412" s="799"/>
      <c r="AA412" s="799"/>
      <c r="AB412" s="799"/>
      <c r="AC412" s="799"/>
      <c r="AD412" s="750"/>
      <c r="AE412" s="749"/>
      <c r="AF412" s="749"/>
      <c r="AG412" s="749"/>
      <c r="AH412" s="749"/>
      <c r="AI412" s="749"/>
      <c r="AJ412" s="749"/>
      <c r="AK412" s="749"/>
      <c r="AL412" s="749"/>
      <c r="AM412" s="749"/>
      <c r="AN412" s="749"/>
      <c r="AO412" s="749"/>
      <c r="AP412" s="749"/>
      <c r="AQ412" s="749"/>
      <c r="AR412" s="749"/>
      <c r="AS412" s="749"/>
      <c r="AT412" s="749"/>
      <c r="AU412" s="749"/>
      <c r="AV412" s="749"/>
      <c r="AW412" s="749"/>
      <c r="AX412" s="749"/>
      <c r="AY412" s="749"/>
      <c r="AZ412" s="749"/>
      <c r="BA412" s="749"/>
      <c r="BB412" s="749"/>
      <c r="BC412" s="749"/>
      <c r="BD412" s="749"/>
      <c r="BE412" s="749"/>
      <c r="BF412" s="749"/>
      <c r="BG412" s="749"/>
      <c r="BH412" s="749"/>
      <c r="BI412" s="749"/>
      <c r="BJ412" s="749"/>
      <c r="BK412" s="749"/>
      <c r="BL412" s="749"/>
    </row>
    <row r="413">
      <c r="A413" s="866"/>
      <c r="B413" s="867"/>
      <c r="C413" s="866"/>
      <c r="D413" s="866"/>
      <c r="E413" s="866"/>
      <c r="F413" s="866"/>
      <c r="G413" s="866"/>
      <c r="H413" s="866"/>
      <c r="I413" s="866"/>
      <c r="J413" s="868"/>
      <c r="K413" s="868"/>
      <c r="L413" s="799"/>
      <c r="M413" s="747"/>
      <c r="N413" s="744"/>
      <c r="O413" s="744"/>
      <c r="P413" s="744"/>
      <c r="Q413" s="744"/>
      <c r="R413" s="744"/>
      <c r="S413" s="744"/>
      <c r="T413" s="855"/>
      <c r="U413" s="746"/>
      <c r="V413" s="746"/>
      <c r="W413" s="746"/>
      <c r="X413" s="746"/>
      <c r="Y413" s="799"/>
      <c r="Z413" s="799"/>
      <c r="AA413" s="799"/>
      <c r="AB413" s="799"/>
      <c r="AC413" s="799"/>
      <c r="AD413" s="750"/>
      <c r="AE413" s="749"/>
      <c r="AF413" s="749"/>
      <c r="AG413" s="749"/>
      <c r="AH413" s="749"/>
      <c r="AI413" s="749"/>
      <c r="AJ413" s="749"/>
      <c r="AK413" s="749"/>
      <c r="AL413" s="749"/>
      <c r="AM413" s="749"/>
      <c r="AN413" s="749"/>
      <c r="AO413" s="749"/>
      <c r="AP413" s="749"/>
      <c r="AQ413" s="749"/>
      <c r="AR413" s="749"/>
      <c r="AS413" s="749"/>
      <c r="AT413" s="749"/>
      <c r="AU413" s="749"/>
      <c r="AV413" s="749"/>
      <c r="AW413" s="749"/>
      <c r="AX413" s="749"/>
      <c r="AY413" s="749"/>
      <c r="AZ413" s="749"/>
      <c r="BA413" s="749"/>
      <c r="BB413" s="749"/>
      <c r="BC413" s="749"/>
      <c r="BD413" s="749"/>
      <c r="BE413" s="749"/>
      <c r="BF413" s="749"/>
      <c r="BG413" s="749"/>
      <c r="BH413" s="749"/>
      <c r="BI413" s="749"/>
      <c r="BJ413" s="749"/>
      <c r="BK413" s="749"/>
      <c r="BL413" s="749"/>
    </row>
    <row r="414">
      <c r="A414" s="866"/>
      <c r="B414" s="867"/>
      <c r="C414" s="866"/>
      <c r="D414" s="866"/>
      <c r="E414" s="866"/>
      <c r="F414" s="866"/>
      <c r="G414" s="866"/>
      <c r="H414" s="866"/>
      <c r="I414" s="866"/>
      <c r="J414" s="868"/>
      <c r="K414" s="868"/>
      <c r="L414" s="799"/>
      <c r="M414" s="747"/>
      <c r="N414" s="744"/>
      <c r="O414" s="744"/>
      <c r="P414" s="744"/>
      <c r="Q414" s="744"/>
      <c r="R414" s="744"/>
      <c r="S414" s="744"/>
      <c r="T414" s="855"/>
      <c r="U414" s="746"/>
      <c r="V414" s="746"/>
      <c r="W414" s="746"/>
      <c r="X414" s="746"/>
      <c r="Y414" s="799"/>
      <c r="Z414" s="799"/>
      <c r="AA414" s="799"/>
      <c r="AB414" s="799"/>
      <c r="AC414" s="799"/>
      <c r="AD414" s="750"/>
      <c r="AE414" s="749"/>
      <c r="AF414" s="749"/>
      <c r="AG414" s="749"/>
      <c r="AH414" s="749"/>
      <c r="AI414" s="749"/>
      <c r="AJ414" s="749"/>
      <c r="AK414" s="749"/>
      <c r="AL414" s="749"/>
      <c r="AM414" s="749"/>
      <c r="AN414" s="749"/>
      <c r="AO414" s="749"/>
      <c r="AP414" s="749"/>
      <c r="AQ414" s="749"/>
      <c r="AR414" s="749"/>
      <c r="AS414" s="749"/>
      <c r="AT414" s="749"/>
      <c r="AU414" s="749"/>
      <c r="AV414" s="749"/>
      <c r="AW414" s="749"/>
      <c r="AX414" s="749"/>
      <c r="AY414" s="749"/>
      <c r="AZ414" s="749"/>
      <c r="BA414" s="749"/>
      <c r="BB414" s="749"/>
      <c r="BC414" s="749"/>
      <c r="BD414" s="749"/>
      <c r="BE414" s="749"/>
      <c r="BF414" s="749"/>
      <c r="BG414" s="749"/>
      <c r="BH414" s="749"/>
      <c r="BI414" s="749"/>
      <c r="BJ414" s="749"/>
      <c r="BK414" s="749"/>
      <c r="BL414" s="749"/>
    </row>
    <row r="415">
      <c r="A415" s="866"/>
      <c r="B415" s="867"/>
      <c r="C415" s="866"/>
      <c r="D415" s="866"/>
      <c r="E415" s="866"/>
      <c r="F415" s="866"/>
      <c r="G415" s="866"/>
      <c r="H415" s="866"/>
      <c r="I415" s="866"/>
      <c r="J415" s="868"/>
      <c r="K415" s="868"/>
      <c r="L415" s="799"/>
      <c r="M415" s="747"/>
      <c r="N415" s="744"/>
      <c r="O415" s="744"/>
      <c r="P415" s="744"/>
      <c r="Q415" s="744"/>
      <c r="R415" s="744"/>
      <c r="S415" s="744"/>
      <c r="T415" s="855"/>
      <c r="U415" s="746"/>
      <c r="V415" s="746"/>
      <c r="W415" s="746"/>
      <c r="X415" s="746"/>
      <c r="Y415" s="799"/>
      <c r="Z415" s="799"/>
      <c r="AA415" s="799"/>
      <c r="AB415" s="799"/>
      <c r="AC415" s="799"/>
      <c r="AD415" s="750"/>
      <c r="AE415" s="749"/>
      <c r="AF415" s="749"/>
      <c r="AG415" s="749"/>
      <c r="AH415" s="749"/>
      <c r="AI415" s="749"/>
      <c r="AJ415" s="749"/>
      <c r="AK415" s="749"/>
      <c r="AL415" s="749"/>
      <c r="AM415" s="749"/>
      <c r="AN415" s="749"/>
      <c r="AO415" s="749"/>
      <c r="AP415" s="749"/>
      <c r="AQ415" s="749"/>
      <c r="AR415" s="749"/>
      <c r="AS415" s="749"/>
      <c r="AT415" s="749"/>
      <c r="AU415" s="749"/>
      <c r="AV415" s="749"/>
      <c r="AW415" s="749"/>
      <c r="AX415" s="749"/>
      <c r="AY415" s="749"/>
      <c r="AZ415" s="749"/>
      <c r="BA415" s="749"/>
      <c r="BB415" s="749"/>
      <c r="BC415" s="749"/>
      <c r="BD415" s="749"/>
      <c r="BE415" s="749"/>
      <c r="BF415" s="749"/>
      <c r="BG415" s="749"/>
      <c r="BH415" s="749"/>
      <c r="BI415" s="749"/>
      <c r="BJ415" s="749"/>
      <c r="BK415" s="749"/>
      <c r="BL415" s="749"/>
    </row>
    <row r="416">
      <c r="A416" s="866"/>
      <c r="B416" s="867"/>
      <c r="C416" s="866"/>
      <c r="D416" s="866"/>
      <c r="E416" s="866"/>
      <c r="F416" s="866"/>
      <c r="G416" s="866"/>
      <c r="H416" s="866"/>
      <c r="I416" s="866"/>
      <c r="J416" s="868"/>
      <c r="K416" s="868"/>
      <c r="L416" s="799"/>
      <c r="M416" s="747"/>
      <c r="N416" s="744"/>
      <c r="O416" s="744"/>
      <c r="P416" s="744"/>
      <c r="Q416" s="744"/>
      <c r="R416" s="744"/>
      <c r="S416" s="744"/>
      <c r="T416" s="855"/>
      <c r="U416" s="746"/>
      <c r="V416" s="746"/>
      <c r="W416" s="746"/>
      <c r="X416" s="746"/>
      <c r="Y416" s="799"/>
      <c r="Z416" s="799"/>
      <c r="AA416" s="799"/>
      <c r="AB416" s="799"/>
      <c r="AC416" s="799"/>
      <c r="AD416" s="750"/>
      <c r="AE416" s="749"/>
      <c r="AF416" s="749"/>
      <c r="AG416" s="749"/>
      <c r="AH416" s="749"/>
      <c r="AI416" s="749"/>
      <c r="AJ416" s="749"/>
      <c r="AK416" s="749"/>
      <c r="AL416" s="749"/>
      <c r="AM416" s="749"/>
      <c r="AN416" s="749"/>
      <c r="AO416" s="749"/>
      <c r="AP416" s="749"/>
      <c r="AQ416" s="749"/>
      <c r="AR416" s="749"/>
      <c r="AS416" s="749"/>
      <c r="AT416" s="749"/>
      <c r="AU416" s="749"/>
      <c r="AV416" s="749"/>
      <c r="AW416" s="749"/>
      <c r="AX416" s="749"/>
      <c r="AY416" s="749"/>
      <c r="AZ416" s="749"/>
      <c r="BA416" s="749"/>
      <c r="BB416" s="749"/>
      <c r="BC416" s="749"/>
      <c r="BD416" s="749"/>
      <c r="BE416" s="749"/>
      <c r="BF416" s="749"/>
      <c r="BG416" s="749"/>
      <c r="BH416" s="749"/>
      <c r="BI416" s="749"/>
      <c r="BJ416" s="749"/>
      <c r="BK416" s="749"/>
      <c r="BL416" s="749"/>
    </row>
    <row r="417">
      <c r="A417" s="866"/>
      <c r="B417" s="867"/>
      <c r="C417" s="866"/>
      <c r="D417" s="866"/>
      <c r="E417" s="866"/>
      <c r="F417" s="866"/>
      <c r="G417" s="866"/>
      <c r="H417" s="866"/>
      <c r="I417" s="866"/>
      <c r="J417" s="868"/>
      <c r="K417" s="868"/>
      <c r="L417" s="799"/>
      <c r="M417" s="747"/>
      <c r="N417" s="744"/>
      <c r="O417" s="744"/>
      <c r="P417" s="744"/>
      <c r="Q417" s="744"/>
      <c r="R417" s="744"/>
      <c r="S417" s="744"/>
      <c r="T417" s="855"/>
      <c r="U417" s="746"/>
      <c r="V417" s="746"/>
      <c r="W417" s="746"/>
      <c r="X417" s="746"/>
      <c r="Y417" s="799"/>
      <c r="Z417" s="799"/>
      <c r="AA417" s="799"/>
      <c r="AB417" s="799"/>
      <c r="AC417" s="799"/>
      <c r="AD417" s="750"/>
      <c r="AE417" s="749"/>
      <c r="AF417" s="749"/>
      <c r="AG417" s="749"/>
      <c r="AH417" s="749"/>
      <c r="AI417" s="749"/>
      <c r="AJ417" s="749"/>
      <c r="AK417" s="749"/>
      <c r="AL417" s="749"/>
      <c r="AM417" s="749"/>
      <c r="AN417" s="749"/>
      <c r="AO417" s="749"/>
      <c r="AP417" s="749"/>
      <c r="AQ417" s="749"/>
      <c r="AR417" s="749"/>
      <c r="AS417" s="749"/>
      <c r="AT417" s="749"/>
      <c r="AU417" s="749"/>
      <c r="AV417" s="749"/>
      <c r="AW417" s="749"/>
      <c r="AX417" s="749"/>
      <c r="AY417" s="749"/>
      <c r="AZ417" s="749"/>
      <c r="BA417" s="749"/>
      <c r="BB417" s="749"/>
      <c r="BC417" s="749"/>
      <c r="BD417" s="749"/>
      <c r="BE417" s="749"/>
      <c r="BF417" s="749"/>
      <c r="BG417" s="749"/>
      <c r="BH417" s="749"/>
      <c r="BI417" s="749"/>
      <c r="BJ417" s="749"/>
      <c r="BK417" s="749"/>
      <c r="BL417" s="749"/>
    </row>
    <row r="418">
      <c r="A418" s="866"/>
      <c r="B418" s="867"/>
      <c r="C418" s="866"/>
      <c r="D418" s="866"/>
      <c r="E418" s="866"/>
      <c r="F418" s="866"/>
      <c r="G418" s="866"/>
      <c r="H418" s="866"/>
      <c r="I418" s="866"/>
      <c r="J418" s="868"/>
      <c r="K418" s="868"/>
      <c r="L418" s="799"/>
      <c r="M418" s="747"/>
      <c r="N418" s="744"/>
      <c r="O418" s="744"/>
      <c r="P418" s="744"/>
      <c r="Q418" s="744"/>
      <c r="R418" s="744"/>
      <c r="S418" s="744"/>
      <c r="T418" s="855"/>
      <c r="U418" s="746"/>
      <c r="V418" s="746"/>
      <c r="W418" s="746"/>
      <c r="X418" s="746"/>
      <c r="Y418" s="799"/>
      <c r="Z418" s="799"/>
      <c r="AA418" s="799"/>
      <c r="AB418" s="799"/>
      <c r="AC418" s="799"/>
      <c r="AD418" s="750"/>
      <c r="AE418" s="749"/>
      <c r="AF418" s="749"/>
      <c r="AG418" s="749"/>
      <c r="AH418" s="749"/>
      <c r="AI418" s="749"/>
      <c r="AJ418" s="749"/>
      <c r="AK418" s="749"/>
      <c r="AL418" s="749"/>
      <c r="AM418" s="749"/>
      <c r="AN418" s="749"/>
      <c r="AO418" s="749"/>
      <c r="AP418" s="749"/>
      <c r="AQ418" s="749"/>
      <c r="AR418" s="749"/>
      <c r="AS418" s="749"/>
      <c r="AT418" s="749"/>
      <c r="AU418" s="749"/>
      <c r="AV418" s="749"/>
      <c r="AW418" s="749"/>
      <c r="AX418" s="749"/>
      <c r="AY418" s="749"/>
      <c r="AZ418" s="749"/>
      <c r="BA418" s="749"/>
      <c r="BB418" s="749"/>
      <c r="BC418" s="749"/>
      <c r="BD418" s="749"/>
      <c r="BE418" s="749"/>
      <c r="BF418" s="749"/>
      <c r="BG418" s="749"/>
      <c r="BH418" s="749"/>
      <c r="BI418" s="749"/>
      <c r="BJ418" s="749"/>
      <c r="BK418" s="749"/>
      <c r="BL418" s="749"/>
    </row>
    <row r="419">
      <c r="A419" s="866"/>
      <c r="B419" s="867"/>
      <c r="C419" s="866"/>
      <c r="D419" s="866"/>
      <c r="E419" s="866"/>
      <c r="F419" s="866"/>
      <c r="G419" s="866"/>
      <c r="H419" s="866"/>
      <c r="I419" s="866"/>
      <c r="J419" s="868"/>
      <c r="K419" s="868"/>
      <c r="L419" s="799"/>
      <c r="M419" s="747"/>
      <c r="N419" s="744"/>
      <c r="O419" s="744"/>
      <c r="P419" s="744"/>
      <c r="Q419" s="744"/>
      <c r="R419" s="744"/>
      <c r="S419" s="744"/>
      <c r="T419" s="855"/>
      <c r="U419" s="746"/>
      <c r="V419" s="746"/>
      <c r="W419" s="746"/>
      <c r="X419" s="746"/>
      <c r="Y419" s="799"/>
      <c r="Z419" s="799"/>
      <c r="AA419" s="799"/>
      <c r="AB419" s="799"/>
      <c r="AC419" s="799"/>
      <c r="AD419" s="750"/>
      <c r="AE419" s="749"/>
      <c r="AF419" s="749"/>
      <c r="AG419" s="749"/>
      <c r="AH419" s="749"/>
      <c r="AI419" s="749"/>
      <c r="AJ419" s="749"/>
      <c r="AK419" s="749"/>
      <c r="AL419" s="749"/>
      <c r="AM419" s="749"/>
      <c r="AN419" s="749"/>
      <c r="AO419" s="749"/>
      <c r="AP419" s="749"/>
      <c r="AQ419" s="749"/>
      <c r="AR419" s="749"/>
      <c r="AS419" s="749"/>
      <c r="AT419" s="749"/>
      <c r="AU419" s="749"/>
      <c r="AV419" s="749"/>
      <c r="AW419" s="749"/>
      <c r="AX419" s="749"/>
      <c r="AY419" s="749"/>
      <c r="AZ419" s="749"/>
      <c r="BA419" s="749"/>
      <c r="BB419" s="749"/>
      <c r="BC419" s="749"/>
      <c r="BD419" s="749"/>
      <c r="BE419" s="749"/>
      <c r="BF419" s="749"/>
      <c r="BG419" s="749"/>
      <c r="BH419" s="749"/>
      <c r="BI419" s="749"/>
      <c r="BJ419" s="749"/>
      <c r="BK419" s="749"/>
      <c r="BL419" s="749"/>
    </row>
    <row r="420">
      <c r="A420" s="866"/>
      <c r="B420" s="867"/>
      <c r="C420" s="866"/>
      <c r="D420" s="866"/>
      <c r="E420" s="866"/>
      <c r="F420" s="866"/>
      <c r="G420" s="866"/>
      <c r="H420" s="866"/>
      <c r="I420" s="866"/>
      <c r="J420" s="868"/>
      <c r="K420" s="868"/>
      <c r="L420" s="799"/>
      <c r="M420" s="747"/>
      <c r="N420" s="744"/>
      <c r="O420" s="744"/>
      <c r="P420" s="744"/>
      <c r="Q420" s="744"/>
      <c r="R420" s="744"/>
      <c r="S420" s="744"/>
      <c r="T420" s="855"/>
      <c r="U420" s="746"/>
      <c r="V420" s="746"/>
      <c r="W420" s="746"/>
      <c r="X420" s="746"/>
      <c r="Y420" s="799"/>
      <c r="Z420" s="799"/>
      <c r="AA420" s="799"/>
      <c r="AB420" s="799"/>
      <c r="AC420" s="799"/>
      <c r="AD420" s="750"/>
      <c r="AE420" s="749"/>
      <c r="AF420" s="749"/>
      <c r="AG420" s="749"/>
      <c r="AH420" s="749"/>
      <c r="AI420" s="749"/>
      <c r="AJ420" s="749"/>
      <c r="AK420" s="749"/>
      <c r="AL420" s="749"/>
      <c r="AM420" s="749"/>
      <c r="AN420" s="749"/>
      <c r="AO420" s="749"/>
      <c r="AP420" s="749"/>
      <c r="AQ420" s="749"/>
      <c r="AR420" s="749"/>
      <c r="AS420" s="749"/>
      <c r="AT420" s="749"/>
      <c r="AU420" s="749"/>
      <c r="AV420" s="749"/>
      <c r="AW420" s="749"/>
      <c r="AX420" s="749"/>
      <c r="AY420" s="749"/>
      <c r="AZ420" s="749"/>
      <c r="BA420" s="749"/>
      <c r="BB420" s="749"/>
      <c r="BC420" s="749"/>
      <c r="BD420" s="749"/>
      <c r="BE420" s="749"/>
      <c r="BF420" s="749"/>
      <c r="BG420" s="749"/>
      <c r="BH420" s="749"/>
      <c r="BI420" s="749"/>
      <c r="BJ420" s="749"/>
      <c r="BK420" s="749"/>
      <c r="BL420" s="749"/>
    </row>
    <row r="421">
      <c r="A421" s="866"/>
      <c r="B421" s="867"/>
      <c r="C421" s="866"/>
      <c r="D421" s="866"/>
      <c r="E421" s="866"/>
      <c r="F421" s="866"/>
      <c r="G421" s="866"/>
      <c r="H421" s="866"/>
      <c r="I421" s="866"/>
      <c r="J421" s="868"/>
      <c r="K421" s="868"/>
      <c r="L421" s="799"/>
      <c r="M421" s="747"/>
      <c r="N421" s="744"/>
      <c r="O421" s="744"/>
      <c r="P421" s="744"/>
      <c r="Q421" s="744"/>
      <c r="R421" s="744"/>
      <c r="S421" s="744"/>
      <c r="T421" s="855"/>
      <c r="U421" s="746"/>
      <c r="V421" s="746"/>
      <c r="W421" s="746"/>
      <c r="X421" s="746"/>
      <c r="Y421" s="799"/>
      <c r="Z421" s="799"/>
      <c r="AA421" s="799"/>
      <c r="AB421" s="799"/>
      <c r="AC421" s="799"/>
      <c r="AD421" s="750"/>
      <c r="AE421" s="749"/>
      <c r="AF421" s="749"/>
      <c r="AG421" s="749"/>
      <c r="AH421" s="749"/>
      <c r="AI421" s="749"/>
      <c r="AJ421" s="749"/>
      <c r="AK421" s="749"/>
      <c r="AL421" s="749"/>
      <c r="AM421" s="749"/>
      <c r="AN421" s="749"/>
      <c r="AO421" s="749"/>
      <c r="AP421" s="749"/>
      <c r="AQ421" s="749"/>
      <c r="AR421" s="749"/>
      <c r="AS421" s="749"/>
      <c r="AT421" s="749"/>
      <c r="AU421" s="749"/>
      <c r="AV421" s="749"/>
      <c r="AW421" s="749"/>
      <c r="AX421" s="749"/>
      <c r="AY421" s="749"/>
      <c r="AZ421" s="749"/>
      <c r="BA421" s="749"/>
      <c r="BB421" s="749"/>
      <c r="BC421" s="749"/>
      <c r="BD421" s="749"/>
      <c r="BE421" s="749"/>
      <c r="BF421" s="749"/>
      <c r="BG421" s="749"/>
      <c r="BH421" s="749"/>
      <c r="BI421" s="749"/>
      <c r="BJ421" s="749"/>
      <c r="BK421" s="749"/>
      <c r="BL421" s="749"/>
    </row>
    <row r="422">
      <c r="A422" s="866"/>
      <c r="B422" s="867"/>
      <c r="C422" s="866"/>
      <c r="D422" s="866"/>
      <c r="E422" s="866"/>
      <c r="F422" s="866"/>
      <c r="G422" s="866"/>
      <c r="H422" s="866"/>
      <c r="I422" s="866"/>
      <c r="J422" s="868"/>
      <c r="K422" s="868"/>
      <c r="L422" s="799"/>
      <c r="M422" s="747"/>
      <c r="N422" s="744"/>
      <c r="O422" s="744"/>
      <c r="P422" s="744"/>
      <c r="Q422" s="744"/>
      <c r="R422" s="744"/>
      <c r="S422" s="744"/>
      <c r="T422" s="855"/>
      <c r="U422" s="746"/>
      <c r="V422" s="746"/>
      <c r="W422" s="746"/>
      <c r="X422" s="746"/>
      <c r="Y422" s="799"/>
      <c r="Z422" s="799"/>
      <c r="AA422" s="799"/>
      <c r="AB422" s="799"/>
      <c r="AC422" s="799"/>
      <c r="AD422" s="750"/>
      <c r="AE422" s="749"/>
      <c r="AF422" s="749"/>
      <c r="AG422" s="749"/>
      <c r="AH422" s="749"/>
      <c r="AI422" s="749"/>
      <c r="AJ422" s="749"/>
      <c r="AK422" s="749"/>
      <c r="AL422" s="749"/>
      <c r="AM422" s="749"/>
      <c r="AN422" s="749"/>
      <c r="AO422" s="749"/>
      <c r="AP422" s="749"/>
      <c r="AQ422" s="749"/>
      <c r="AR422" s="749"/>
      <c r="AS422" s="749"/>
      <c r="AT422" s="749"/>
      <c r="AU422" s="749"/>
      <c r="AV422" s="749"/>
      <c r="AW422" s="749"/>
      <c r="AX422" s="749"/>
      <c r="AY422" s="749"/>
      <c r="AZ422" s="749"/>
      <c r="BA422" s="749"/>
      <c r="BB422" s="749"/>
      <c r="BC422" s="749"/>
      <c r="BD422" s="749"/>
      <c r="BE422" s="749"/>
      <c r="BF422" s="749"/>
      <c r="BG422" s="749"/>
      <c r="BH422" s="749"/>
      <c r="BI422" s="749"/>
      <c r="BJ422" s="749"/>
      <c r="BK422" s="749"/>
      <c r="BL422" s="749"/>
    </row>
    <row r="423">
      <c r="A423" s="866"/>
      <c r="B423" s="867"/>
      <c r="C423" s="866"/>
      <c r="D423" s="866"/>
      <c r="E423" s="866"/>
      <c r="F423" s="866"/>
      <c r="G423" s="866"/>
      <c r="H423" s="866"/>
      <c r="I423" s="866"/>
      <c r="J423" s="868"/>
      <c r="K423" s="868"/>
      <c r="L423" s="799"/>
      <c r="M423" s="747"/>
      <c r="N423" s="744"/>
      <c r="O423" s="744"/>
      <c r="P423" s="744"/>
      <c r="Q423" s="744"/>
      <c r="R423" s="744"/>
      <c r="S423" s="744"/>
      <c r="T423" s="855"/>
      <c r="U423" s="746"/>
      <c r="V423" s="746"/>
      <c r="W423" s="746"/>
      <c r="X423" s="746"/>
      <c r="Y423" s="799"/>
      <c r="Z423" s="799"/>
      <c r="AA423" s="799"/>
      <c r="AB423" s="799"/>
      <c r="AC423" s="799"/>
      <c r="AD423" s="750"/>
      <c r="AE423" s="749"/>
      <c r="AF423" s="749"/>
      <c r="AG423" s="749"/>
      <c r="AH423" s="749"/>
      <c r="AI423" s="749"/>
      <c r="AJ423" s="749"/>
      <c r="AK423" s="749"/>
      <c r="AL423" s="749"/>
      <c r="AM423" s="749"/>
      <c r="AN423" s="749"/>
      <c r="AO423" s="749"/>
      <c r="AP423" s="749"/>
      <c r="AQ423" s="749"/>
      <c r="AR423" s="749"/>
      <c r="AS423" s="749"/>
      <c r="AT423" s="749"/>
      <c r="AU423" s="749"/>
      <c r="AV423" s="749"/>
      <c r="AW423" s="749"/>
      <c r="AX423" s="749"/>
      <c r="AY423" s="749"/>
      <c r="AZ423" s="749"/>
      <c r="BA423" s="749"/>
      <c r="BB423" s="749"/>
      <c r="BC423" s="749"/>
      <c r="BD423" s="749"/>
      <c r="BE423" s="749"/>
      <c r="BF423" s="749"/>
      <c r="BG423" s="749"/>
      <c r="BH423" s="749"/>
      <c r="BI423" s="749"/>
      <c r="BJ423" s="749"/>
      <c r="BK423" s="749"/>
      <c r="BL423" s="749"/>
    </row>
    <row r="424">
      <c r="A424" s="866"/>
      <c r="B424" s="867"/>
      <c r="C424" s="866"/>
      <c r="D424" s="866"/>
      <c r="E424" s="866"/>
      <c r="F424" s="866"/>
      <c r="G424" s="866"/>
      <c r="H424" s="866"/>
      <c r="I424" s="866"/>
      <c r="J424" s="868"/>
      <c r="K424" s="868"/>
      <c r="L424" s="799"/>
      <c r="M424" s="747"/>
      <c r="N424" s="744"/>
      <c r="O424" s="744"/>
      <c r="P424" s="744"/>
      <c r="Q424" s="744"/>
      <c r="R424" s="744"/>
      <c r="S424" s="744"/>
      <c r="T424" s="855"/>
      <c r="U424" s="746"/>
      <c r="V424" s="746"/>
      <c r="W424" s="746"/>
      <c r="X424" s="746"/>
      <c r="Y424" s="799"/>
      <c r="Z424" s="799"/>
      <c r="AA424" s="799"/>
      <c r="AB424" s="799"/>
      <c r="AC424" s="799"/>
      <c r="AD424" s="750"/>
      <c r="AE424" s="749"/>
      <c r="AF424" s="749"/>
      <c r="AG424" s="749"/>
      <c r="AH424" s="749"/>
      <c r="AI424" s="749"/>
      <c r="AJ424" s="749"/>
      <c r="AK424" s="749"/>
      <c r="AL424" s="749"/>
      <c r="AM424" s="749"/>
      <c r="AN424" s="749"/>
      <c r="AO424" s="749"/>
      <c r="AP424" s="749"/>
      <c r="AQ424" s="749"/>
      <c r="AR424" s="749"/>
      <c r="AS424" s="749"/>
      <c r="AT424" s="749"/>
      <c r="AU424" s="749"/>
      <c r="AV424" s="749"/>
      <c r="AW424" s="749"/>
      <c r="AX424" s="749"/>
      <c r="AY424" s="749"/>
      <c r="AZ424" s="749"/>
      <c r="BA424" s="749"/>
      <c r="BB424" s="749"/>
      <c r="BC424" s="749"/>
      <c r="BD424" s="749"/>
      <c r="BE424" s="749"/>
      <c r="BF424" s="749"/>
      <c r="BG424" s="749"/>
      <c r="BH424" s="749"/>
      <c r="BI424" s="749"/>
      <c r="BJ424" s="749"/>
      <c r="BK424" s="749"/>
      <c r="BL424" s="749"/>
    </row>
    <row r="425">
      <c r="A425" s="866"/>
      <c r="B425" s="867"/>
      <c r="C425" s="866"/>
      <c r="D425" s="866"/>
      <c r="E425" s="866"/>
      <c r="F425" s="866"/>
      <c r="G425" s="866"/>
      <c r="H425" s="866"/>
      <c r="I425" s="866"/>
      <c r="J425" s="868"/>
      <c r="K425" s="868"/>
      <c r="L425" s="799"/>
      <c r="M425" s="747"/>
      <c r="N425" s="744"/>
      <c r="O425" s="744"/>
      <c r="P425" s="744"/>
      <c r="Q425" s="744"/>
      <c r="R425" s="744"/>
      <c r="S425" s="744"/>
      <c r="T425" s="855"/>
      <c r="U425" s="746"/>
      <c r="V425" s="746"/>
      <c r="W425" s="746"/>
      <c r="X425" s="746"/>
      <c r="Y425" s="799"/>
      <c r="Z425" s="799"/>
      <c r="AA425" s="799"/>
      <c r="AB425" s="799"/>
      <c r="AC425" s="799"/>
      <c r="AD425" s="750"/>
      <c r="AE425" s="749"/>
      <c r="AF425" s="749"/>
      <c r="AG425" s="749"/>
      <c r="AH425" s="749"/>
      <c r="AI425" s="749"/>
      <c r="AJ425" s="749"/>
      <c r="AK425" s="749"/>
      <c r="AL425" s="749"/>
      <c r="AM425" s="749"/>
      <c r="AN425" s="749"/>
      <c r="AO425" s="749"/>
      <c r="AP425" s="749"/>
      <c r="AQ425" s="749"/>
      <c r="AR425" s="749"/>
      <c r="AS425" s="749"/>
      <c r="AT425" s="749"/>
      <c r="AU425" s="749"/>
      <c r="AV425" s="749"/>
      <c r="AW425" s="749"/>
      <c r="AX425" s="749"/>
      <c r="AY425" s="749"/>
      <c r="AZ425" s="749"/>
      <c r="BA425" s="749"/>
      <c r="BB425" s="749"/>
      <c r="BC425" s="749"/>
      <c r="BD425" s="749"/>
      <c r="BE425" s="749"/>
      <c r="BF425" s="749"/>
      <c r="BG425" s="749"/>
      <c r="BH425" s="749"/>
      <c r="BI425" s="749"/>
      <c r="BJ425" s="749"/>
      <c r="BK425" s="749"/>
      <c r="BL425" s="749"/>
    </row>
    <row r="426">
      <c r="A426" s="866"/>
      <c r="B426" s="867"/>
      <c r="C426" s="866"/>
      <c r="D426" s="866"/>
      <c r="E426" s="866"/>
      <c r="F426" s="866"/>
      <c r="G426" s="866"/>
      <c r="H426" s="866"/>
      <c r="I426" s="866"/>
      <c r="J426" s="868"/>
      <c r="K426" s="868"/>
      <c r="L426" s="799"/>
      <c r="M426" s="747"/>
      <c r="N426" s="744"/>
      <c r="O426" s="744"/>
      <c r="P426" s="744"/>
      <c r="Q426" s="744"/>
      <c r="R426" s="744"/>
      <c r="S426" s="744"/>
      <c r="T426" s="855"/>
      <c r="U426" s="746"/>
      <c r="V426" s="746"/>
      <c r="W426" s="746"/>
      <c r="X426" s="746"/>
      <c r="Y426" s="799"/>
      <c r="Z426" s="799"/>
      <c r="AA426" s="799"/>
      <c r="AB426" s="799"/>
      <c r="AC426" s="799"/>
      <c r="AD426" s="750"/>
      <c r="AE426" s="749"/>
      <c r="AF426" s="749"/>
      <c r="AG426" s="749"/>
      <c r="AH426" s="749"/>
      <c r="AI426" s="749"/>
      <c r="AJ426" s="749"/>
      <c r="AK426" s="749"/>
      <c r="AL426" s="749"/>
      <c r="AM426" s="749"/>
      <c r="AN426" s="749"/>
      <c r="AO426" s="749"/>
      <c r="AP426" s="749"/>
      <c r="AQ426" s="749"/>
      <c r="AR426" s="749"/>
      <c r="AS426" s="749"/>
      <c r="AT426" s="749"/>
      <c r="AU426" s="749"/>
      <c r="AV426" s="749"/>
      <c r="AW426" s="749"/>
      <c r="AX426" s="749"/>
      <c r="AY426" s="749"/>
      <c r="AZ426" s="749"/>
      <c r="BA426" s="749"/>
      <c r="BB426" s="749"/>
      <c r="BC426" s="749"/>
      <c r="BD426" s="749"/>
      <c r="BE426" s="749"/>
      <c r="BF426" s="749"/>
      <c r="BG426" s="749"/>
      <c r="BH426" s="749"/>
      <c r="BI426" s="749"/>
      <c r="BJ426" s="749"/>
      <c r="BK426" s="749"/>
      <c r="BL426" s="749"/>
    </row>
    <row r="427">
      <c r="A427" s="866"/>
      <c r="B427" s="867"/>
      <c r="C427" s="866"/>
      <c r="D427" s="866"/>
      <c r="E427" s="866"/>
      <c r="F427" s="866"/>
      <c r="G427" s="866"/>
      <c r="H427" s="866"/>
      <c r="I427" s="866"/>
      <c r="J427" s="868"/>
      <c r="K427" s="868"/>
      <c r="L427" s="799"/>
      <c r="M427" s="747"/>
      <c r="N427" s="744"/>
      <c r="O427" s="744"/>
      <c r="P427" s="744"/>
      <c r="Q427" s="744"/>
      <c r="R427" s="744"/>
      <c r="S427" s="744"/>
      <c r="T427" s="855"/>
      <c r="U427" s="746"/>
      <c r="V427" s="746"/>
      <c r="W427" s="746"/>
      <c r="X427" s="746"/>
      <c r="Y427" s="799"/>
      <c r="Z427" s="799"/>
      <c r="AA427" s="799"/>
      <c r="AB427" s="799"/>
      <c r="AC427" s="799"/>
      <c r="AD427" s="750"/>
      <c r="AE427" s="749"/>
      <c r="AF427" s="749"/>
      <c r="AG427" s="749"/>
      <c r="AH427" s="749"/>
      <c r="AI427" s="749"/>
      <c r="AJ427" s="749"/>
      <c r="AK427" s="749"/>
      <c r="AL427" s="749"/>
      <c r="AM427" s="749"/>
      <c r="AN427" s="749"/>
      <c r="AO427" s="749"/>
      <c r="AP427" s="749"/>
      <c r="AQ427" s="749"/>
      <c r="AR427" s="749"/>
      <c r="AS427" s="749"/>
      <c r="AT427" s="749"/>
      <c r="AU427" s="749"/>
      <c r="AV427" s="749"/>
      <c r="AW427" s="749"/>
      <c r="AX427" s="749"/>
      <c r="AY427" s="749"/>
      <c r="AZ427" s="749"/>
      <c r="BA427" s="749"/>
      <c r="BB427" s="749"/>
      <c r="BC427" s="749"/>
      <c r="BD427" s="749"/>
      <c r="BE427" s="749"/>
      <c r="BF427" s="749"/>
      <c r="BG427" s="749"/>
      <c r="BH427" s="749"/>
      <c r="BI427" s="749"/>
      <c r="BJ427" s="749"/>
      <c r="BK427" s="749"/>
      <c r="BL427" s="749"/>
    </row>
    <row r="428">
      <c r="A428" s="866"/>
      <c r="B428" s="867"/>
      <c r="C428" s="866"/>
      <c r="D428" s="866"/>
      <c r="E428" s="866"/>
      <c r="F428" s="866"/>
      <c r="G428" s="866"/>
      <c r="H428" s="866"/>
      <c r="I428" s="866"/>
      <c r="J428" s="868"/>
      <c r="K428" s="868"/>
      <c r="L428" s="799"/>
      <c r="M428" s="747"/>
      <c r="N428" s="744"/>
      <c r="O428" s="744"/>
      <c r="P428" s="744"/>
      <c r="Q428" s="744"/>
      <c r="R428" s="744"/>
      <c r="S428" s="744"/>
      <c r="T428" s="855"/>
      <c r="U428" s="746"/>
      <c r="V428" s="746"/>
      <c r="W428" s="746"/>
      <c r="X428" s="746"/>
      <c r="Y428" s="799"/>
      <c r="Z428" s="799"/>
      <c r="AA428" s="799"/>
      <c r="AB428" s="799"/>
      <c r="AC428" s="799"/>
      <c r="AD428" s="750"/>
      <c r="AE428" s="749"/>
      <c r="AF428" s="749"/>
      <c r="AG428" s="749"/>
      <c r="AH428" s="749"/>
      <c r="AI428" s="749"/>
      <c r="AJ428" s="749"/>
      <c r="AK428" s="749"/>
      <c r="AL428" s="749"/>
      <c r="AM428" s="749"/>
      <c r="AN428" s="749"/>
      <c r="AO428" s="749"/>
      <c r="AP428" s="749"/>
      <c r="AQ428" s="749"/>
      <c r="AR428" s="749"/>
      <c r="AS428" s="749"/>
      <c r="AT428" s="749"/>
      <c r="AU428" s="749"/>
      <c r="AV428" s="749"/>
      <c r="AW428" s="749"/>
      <c r="AX428" s="749"/>
      <c r="AY428" s="749"/>
      <c r="AZ428" s="749"/>
      <c r="BA428" s="749"/>
      <c r="BB428" s="749"/>
      <c r="BC428" s="749"/>
      <c r="BD428" s="749"/>
      <c r="BE428" s="749"/>
      <c r="BF428" s="749"/>
      <c r="BG428" s="749"/>
      <c r="BH428" s="749"/>
      <c r="BI428" s="749"/>
      <c r="BJ428" s="749"/>
      <c r="BK428" s="749"/>
      <c r="BL428" s="749"/>
    </row>
    <row r="429">
      <c r="A429" s="866"/>
      <c r="B429" s="867"/>
      <c r="C429" s="866"/>
      <c r="D429" s="866"/>
      <c r="E429" s="866"/>
      <c r="F429" s="866"/>
      <c r="G429" s="866"/>
      <c r="H429" s="866"/>
      <c r="I429" s="866"/>
      <c r="J429" s="868"/>
      <c r="K429" s="868"/>
      <c r="L429" s="799"/>
      <c r="M429" s="747"/>
      <c r="N429" s="744"/>
      <c r="O429" s="744"/>
      <c r="P429" s="744"/>
      <c r="Q429" s="744"/>
      <c r="R429" s="744"/>
      <c r="S429" s="744"/>
      <c r="T429" s="855"/>
      <c r="U429" s="746"/>
      <c r="V429" s="746"/>
      <c r="W429" s="746"/>
      <c r="X429" s="746"/>
      <c r="Y429" s="799"/>
      <c r="Z429" s="799"/>
      <c r="AA429" s="799"/>
      <c r="AB429" s="799"/>
      <c r="AC429" s="799"/>
      <c r="AD429" s="750"/>
      <c r="AE429" s="749"/>
      <c r="AF429" s="749"/>
      <c r="AG429" s="749"/>
      <c r="AH429" s="749"/>
      <c r="AI429" s="749"/>
      <c r="AJ429" s="749"/>
      <c r="AK429" s="749"/>
      <c r="AL429" s="749"/>
      <c r="AM429" s="749"/>
      <c r="AN429" s="749"/>
      <c r="AO429" s="749"/>
      <c r="AP429" s="749"/>
      <c r="AQ429" s="749"/>
      <c r="AR429" s="749"/>
      <c r="AS429" s="749"/>
      <c r="AT429" s="749"/>
      <c r="AU429" s="749"/>
      <c r="AV429" s="749"/>
      <c r="AW429" s="749"/>
      <c r="AX429" s="749"/>
      <c r="AY429" s="749"/>
      <c r="AZ429" s="749"/>
      <c r="BA429" s="749"/>
      <c r="BB429" s="749"/>
      <c r="BC429" s="749"/>
      <c r="BD429" s="749"/>
      <c r="BE429" s="749"/>
      <c r="BF429" s="749"/>
      <c r="BG429" s="749"/>
      <c r="BH429" s="749"/>
      <c r="BI429" s="749"/>
      <c r="BJ429" s="749"/>
      <c r="BK429" s="749"/>
      <c r="BL429" s="749"/>
    </row>
    <row r="430">
      <c r="A430" s="866"/>
      <c r="B430" s="867"/>
      <c r="C430" s="866"/>
      <c r="D430" s="866"/>
      <c r="E430" s="866"/>
      <c r="F430" s="866"/>
      <c r="G430" s="866"/>
      <c r="H430" s="866"/>
      <c r="I430" s="866"/>
      <c r="J430" s="868"/>
      <c r="K430" s="868"/>
      <c r="L430" s="799"/>
      <c r="M430" s="747"/>
      <c r="N430" s="744"/>
      <c r="O430" s="744"/>
      <c r="P430" s="744"/>
      <c r="Q430" s="744"/>
      <c r="R430" s="744"/>
      <c r="S430" s="744"/>
      <c r="T430" s="855"/>
      <c r="U430" s="746"/>
      <c r="V430" s="746"/>
      <c r="W430" s="746"/>
      <c r="X430" s="746"/>
      <c r="Y430" s="799"/>
      <c r="Z430" s="799"/>
      <c r="AA430" s="799"/>
      <c r="AB430" s="799"/>
      <c r="AC430" s="799"/>
      <c r="AD430" s="750"/>
      <c r="AE430" s="749"/>
      <c r="AF430" s="749"/>
      <c r="AG430" s="749"/>
      <c r="AH430" s="749"/>
      <c r="AI430" s="749"/>
      <c r="AJ430" s="749"/>
      <c r="AK430" s="749"/>
      <c r="AL430" s="749"/>
      <c r="AM430" s="749"/>
      <c r="AN430" s="749"/>
      <c r="AO430" s="749"/>
      <c r="AP430" s="749"/>
      <c r="AQ430" s="749"/>
      <c r="AR430" s="749"/>
      <c r="AS430" s="749"/>
      <c r="AT430" s="749"/>
      <c r="AU430" s="749"/>
      <c r="AV430" s="749"/>
      <c r="AW430" s="749"/>
      <c r="AX430" s="749"/>
      <c r="AY430" s="749"/>
      <c r="AZ430" s="749"/>
      <c r="BA430" s="749"/>
      <c r="BB430" s="749"/>
      <c r="BC430" s="749"/>
      <c r="BD430" s="749"/>
      <c r="BE430" s="749"/>
      <c r="BF430" s="749"/>
      <c r="BG430" s="749"/>
      <c r="BH430" s="749"/>
      <c r="BI430" s="749"/>
      <c r="BJ430" s="749"/>
      <c r="BK430" s="749"/>
      <c r="BL430" s="749"/>
    </row>
    <row r="431">
      <c r="A431" s="866"/>
      <c r="B431" s="867"/>
      <c r="C431" s="866"/>
      <c r="D431" s="866"/>
      <c r="E431" s="866"/>
      <c r="F431" s="866"/>
      <c r="G431" s="866"/>
      <c r="H431" s="866"/>
      <c r="I431" s="866"/>
      <c r="J431" s="868"/>
      <c r="K431" s="868"/>
      <c r="L431" s="799"/>
      <c r="M431" s="747"/>
      <c r="N431" s="744"/>
      <c r="O431" s="744"/>
      <c r="P431" s="744"/>
      <c r="Q431" s="744"/>
      <c r="R431" s="744"/>
      <c r="S431" s="744"/>
      <c r="T431" s="855"/>
      <c r="U431" s="746"/>
      <c r="V431" s="746"/>
      <c r="W431" s="746"/>
      <c r="X431" s="746"/>
      <c r="Y431" s="799"/>
      <c r="Z431" s="799"/>
      <c r="AA431" s="799"/>
      <c r="AB431" s="799"/>
      <c r="AC431" s="799"/>
      <c r="AD431" s="750"/>
      <c r="AE431" s="749"/>
      <c r="AF431" s="749"/>
      <c r="AG431" s="749"/>
      <c r="AH431" s="749"/>
      <c r="AI431" s="749"/>
      <c r="AJ431" s="749"/>
      <c r="AK431" s="749"/>
      <c r="AL431" s="749"/>
      <c r="AM431" s="749"/>
      <c r="AN431" s="749"/>
      <c r="AO431" s="749"/>
      <c r="AP431" s="749"/>
      <c r="AQ431" s="749"/>
      <c r="AR431" s="749"/>
      <c r="AS431" s="749"/>
      <c r="AT431" s="749"/>
      <c r="AU431" s="749"/>
      <c r="AV431" s="749"/>
      <c r="AW431" s="749"/>
      <c r="AX431" s="749"/>
      <c r="AY431" s="749"/>
      <c r="AZ431" s="749"/>
      <c r="BA431" s="749"/>
      <c r="BB431" s="749"/>
      <c r="BC431" s="749"/>
      <c r="BD431" s="749"/>
      <c r="BE431" s="749"/>
      <c r="BF431" s="749"/>
      <c r="BG431" s="749"/>
      <c r="BH431" s="749"/>
      <c r="BI431" s="749"/>
      <c r="BJ431" s="749"/>
      <c r="BK431" s="749"/>
      <c r="BL431" s="749"/>
    </row>
    <row r="432">
      <c r="A432" s="866"/>
      <c r="B432" s="867"/>
      <c r="C432" s="866"/>
      <c r="D432" s="866"/>
      <c r="E432" s="866"/>
      <c r="F432" s="866"/>
      <c r="G432" s="866"/>
      <c r="H432" s="866"/>
      <c r="I432" s="866"/>
      <c r="J432" s="868"/>
      <c r="K432" s="868"/>
      <c r="L432" s="799"/>
      <c r="M432" s="747"/>
      <c r="N432" s="744"/>
      <c r="O432" s="744"/>
      <c r="P432" s="744"/>
      <c r="Q432" s="744"/>
      <c r="R432" s="744"/>
      <c r="S432" s="744"/>
      <c r="T432" s="855"/>
      <c r="U432" s="746"/>
      <c r="V432" s="746"/>
      <c r="W432" s="746"/>
      <c r="X432" s="746"/>
      <c r="Y432" s="799"/>
      <c r="Z432" s="799"/>
      <c r="AA432" s="799"/>
      <c r="AB432" s="799"/>
      <c r="AC432" s="799"/>
      <c r="AD432" s="750"/>
      <c r="AE432" s="749"/>
      <c r="AF432" s="749"/>
      <c r="AG432" s="749"/>
      <c r="AH432" s="749"/>
      <c r="AI432" s="749"/>
      <c r="AJ432" s="749"/>
      <c r="AK432" s="749"/>
      <c r="AL432" s="749"/>
      <c r="AM432" s="749"/>
      <c r="AN432" s="749"/>
      <c r="AO432" s="749"/>
      <c r="AP432" s="749"/>
      <c r="AQ432" s="749"/>
      <c r="AR432" s="749"/>
      <c r="AS432" s="749"/>
      <c r="AT432" s="749"/>
      <c r="AU432" s="749"/>
      <c r="AV432" s="749"/>
      <c r="AW432" s="749"/>
      <c r="AX432" s="749"/>
      <c r="AY432" s="749"/>
      <c r="AZ432" s="749"/>
      <c r="BA432" s="749"/>
      <c r="BB432" s="749"/>
      <c r="BC432" s="749"/>
      <c r="BD432" s="749"/>
      <c r="BE432" s="749"/>
      <c r="BF432" s="749"/>
      <c r="BG432" s="749"/>
      <c r="BH432" s="749"/>
      <c r="BI432" s="749"/>
      <c r="BJ432" s="749"/>
      <c r="BK432" s="749"/>
      <c r="BL432" s="749"/>
    </row>
    <row r="433">
      <c r="A433" s="866"/>
      <c r="B433" s="867"/>
      <c r="C433" s="866"/>
      <c r="D433" s="866"/>
      <c r="E433" s="866"/>
      <c r="F433" s="866"/>
      <c r="G433" s="866"/>
      <c r="H433" s="866"/>
      <c r="I433" s="866"/>
      <c r="J433" s="868"/>
      <c r="K433" s="868"/>
      <c r="L433" s="799"/>
      <c r="M433" s="747"/>
      <c r="N433" s="744"/>
      <c r="O433" s="744"/>
      <c r="P433" s="744"/>
      <c r="Q433" s="744"/>
      <c r="R433" s="744"/>
      <c r="S433" s="744"/>
      <c r="T433" s="855"/>
      <c r="U433" s="746"/>
      <c r="V433" s="746"/>
      <c r="W433" s="746"/>
      <c r="X433" s="746"/>
      <c r="Y433" s="799"/>
      <c r="Z433" s="799"/>
      <c r="AA433" s="799"/>
      <c r="AB433" s="799"/>
      <c r="AC433" s="799"/>
      <c r="AD433" s="750"/>
      <c r="AE433" s="749"/>
      <c r="AF433" s="749"/>
      <c r="AG433" s="749"/>
      <c r="AH433" s="749"/>
      <c r="AI433" s="749"/>
      <c r="AJ433" s="749"/>
      <c r="AK433" s="749"/>
      <c r="AL433" s="749"/>
      <c r="AM433" s="749"/>
      <c r="AN433" s="749"/>
      <c r="AO433" s="749"/>
      <c r="AP433" s="749"/>
      <c r="AQ433" s="749"/>
      <c r="AR433" s="749"/>
      <c r="AS433" s="749"/>
      <c r="AT433" s="749"/>
      <c r="AU433" s="749"/>
      <c r="AV433" s="749"/>
      <c r="AW433" s="749"/>
      <c r="AX433" s="749"/>
      <c r="AY433" s="749"/>
      <c r="AZ433" s="749"/>
      <c r="BA433" s="749"/>
      <c r="BB433" s="749"/>
      <c r="BC433" s="749"/>
      <c r="BD433" s="749"/>
      <c r="BE433" s="749"/>
      <c r="BF433" s="749"/>
      <c r="BG433" s="749"/>
      <c r="BH433" s="749"/>
      <c r="BI433" s="749"/>
      <c r="BJ433" s="749"/>
      <c r="BK433" s="749"/>
      <c r="BL433" s="749"/>
    </row>
    <row r="434">
      <c r="A434" s="866"/>
      <c r="B434" s="867"/>
      <c r="C434" s="866"/>
      <c r="D434" s="866"/>
      <c r="E434" s="866"/>
      <c r="F434" s="866"/>
      <c r="G434" s="866"/>
      <c r="H434" s="866"/>
      <c r="I434" s="866"/>
      <c r="J434" s="868"/>
      <c r="K434" s="868"/>
      <c r="L434" s="799"/>
      <c r="M434" s="747"/>
      <c r="N434" s="744"/>
      <c r="O434" s="744"/>
      <c r="P434" s="744"/>
      <c r="Q434" s="744"/>
      <c r="R434" s="744"/>
      <c r="S434" s="744"/>
      <c r="T434" s="855"/>
      <c r="U434" s="746"/>
      <c r="V434" s="746"/>
      <c r="W434" s="746"/>
      <c r="X434" s="746"/>
      <c r="Y434" s="799"/>
      <c r="Z434" s="799"/>
      <c r="AA434" s="799"/>
      <c r="AB434" s="799"/>
      <c r="AC434" s="799"/>
      <c r="AD434" s="750"/>
      <c r="AE434" s="749"/>
      <c r="AF434" s="749"/>
      <c r="AG434" s="749"/>
      <c r="AH434" s="749"/>
      <c r="AI434" s="749"/>
      <c r="AJ434" s="749"/>
      <c r="AK434" s="749"/>
      <c r="AL434" s="749"/>
      <c r="AM434" s="749"/>
      <c r="AN434" s="749"/>
      <c r="AO434" s="749"/>
      <c r="AP434" s="749"/>
      <c r="AQ434" s="749"/>
      <c r="AR434" s="749"/>
      <c r="AS434" s="749"/>
      <c r="AT434" s="749"/>
      <c r="AU434" s="749"/>
      <c r="AV434" s="749"/>
      <c r="AW434" s="749"/>
      <c r="AX434" s="749"/>
      <c r="AY434" s="749"/>
      <c r="AZ434" s="749"/>
      <c r="BA434" s="749"/>
      <c r="BB434" s="749"/>
      <c r="BC434" s="749"/>
      <c r="BD434" s="749"/>
      <c r="BE434" s="749"/>
      <c r="BF434" s="749"/>
      <c r="BG434" s="749"/>
      <c r="BH434" s="749"/>
      <c r="BI434" s="749"/>
      <c r="BJ434" s="749"/>
      <c r="BK434" s="749"/>
      <c r="BL434" s="749"/>
    </row>
    <row r="435">
      <c r="A435" s="866"/>
      <c r="B435" s="867"/>
      <c r="C435" s="866"/>
      <c r="D435" s="866"/>
      <c r="E435" s="866"/>
      <c r="F435" s="866"/>
      <c r="G435" s="866"/>
      <c r="H435" s="866"/>
      <c r="I435" s="866"/>
      <c r="J435" s="868"/>
      <c r="K435" s="868"/>
      <c r="L435" s="799"/>
      <c r="M435" s="747"/>
      <c r="N435" s="744"/>
      <c r="O435" s="744"/>
      <c r="P435" s="744"/>
      <c r="Q435" s="744"/>
      <c r="R435" s="744"/>
      <c r="S435" s="744"/>
      <c r="T435" s="855"/>
      <c r="U435" s="746"/>
      <c r="V435" s="746"/>
      <c r="W435" s="746"/>
      <c r="X435" s="746"/>
      <c r="Y435" s="799"/>
      <c r="Z435" s="799"/>
      <c r="AA435" s="799"/>
      <c r="AB435" s="799"/>
      <c r="AC435" s="799"/>
      <c r="AD435" s="750"/>
      <c r="AE435" s="749"/>
      <c r="AF435" s="749"/>
      <c r="AG435" s="749"/>
      <c r="AH435" s="749"/>
      <c r="AI435" s="749"/>
      <c r="AJ435" s="749"/>
      <c r="AK435" s="749"/>
      <c r="AL435" s="749"/>
      <c r="AM435" s="749"/>
      <c r="AN435" s="749"/>
      <c r="AO435" s="749"/>
      <c r="AP435" s="749"/>
      <c r="AQ435" s="749"/>
      <c r="AR435" s="749"/>
      <c r="AS435" s="749"/>
      <c r="AT435" s="749"/>
      <c r="AU435" s="749"/>
      <c r="AV435" s="749"/>
      <c r="AW435" s="749"/>
      <c r="AX435" s="749"/>
      <c r="AY435" s="749"/>
      <c r="AZ435" s="749"/>
      <c r="BA435" s="749"/>
      <c r="BB435" s="749"/>
      <c r="BC435" s="749"/>
      <c r="BD435" s="749"/>
      <c r="BE435" s="749"/>
      <c r="BF435" s="749"/>
      <c r="BG435" s="749"/>
      <c r="BH435" s="749"/>
      <c r="BI435" s="749"/>
      <c r="BJ435" s="749"/>
      <c r="BK435" s="749"/>
      <c r="BL435" s="749"/>
    </row>
    <row r="436">
      <c r="A436" s="866"/>
      <c r="B436" s="867"/>
      <c r="C436" s="866"/>
      <c r="D436" s="866"/>
      <c r="E436" s="866"/>
      <c r="F436" s="866"/>
      <c r="G436" s="866"/>
      <c r="H436" s="866"/>
      <c r="I436" s="866"/>
      <c r="J436" s="868"/>
      <c r="K436" s="868"/>
      <c r="L436" s="799"/>
      <c r="M436" s="747"/>
      <c r="N436" s="744"/>
      <c r="O436" s="744"/>
      <c r="P436" s="744"/>
      <c r="Q436" s="744"/>
      <c r="R436" s="744"/>
      <c r="S436" s="744"/>
      <c r="T436" s="855"/>
      <c r="U436" s="746"/>
      <c r="V436" s="746"/>
      <c r="W436" s="746"/>
      <c r="X436" s="746"/>
      <c r="Y436" s="799"/>
      <c r="Z436" s="799"/>
      <c r="AA436" s="799"/>
      <c r="AB436" s="799"/>
      <c r="AC436" s="799"/>
      <c r="AD436" s="750"/>
      <c r="AE436" s="749"/>
      <c r="AF436" s="749"/>
      <c r="AG436" s="749"/>
      <c r="AH436" s="749"/>
      <c r="AI436" s="749"/>
      <c r="AJ436" s="749"/>
      <c r="AK436" s="749"/>
      <c r="AL436" s="749"/>
      <c r="AM436" s="749"/>
      <c r="AN436" s="749"/>
      <c r="AO436" s="749"/>
      <c r="AP436" s="749"/>
      <c r="AQ436" s="749"/>
      <c r="AR436" s="749"/>
      <c r="AS436" s="749"/>
      <c r="AT436" s="749"/>
      <c r="AU436" s="749"/>
      <c r="AV436" s="749"/>
      <c r="AW436" s="749"/>
      <c r="AX436" s="749"/>
      <c r="AY436" s="749"/>
      <c r="AZ436" s="749"/>
      <c r="BA436" s="749"/>
      <c r="BB436" s="749"/>
      <c r="BC436" s="749"/>
      <c r="BD436" s="749"/>
      <c r="BE436" s="749"/>
      <c r="BF436" s="749"/>
      <c r="BG436" s="749"/>
      <c r="BH436" s="749"/>
      <c r="BI436" s="749"/>
      <c r="BJ436" s="749"/>
      <c r="BK436" s="749"/>
      <c r="BL436" s="749"/>
    </row>
    <row r="437">
      <c r="A437" s="866"/>
      <c r="B437" s="867"/>
      <c r="C437" s="866"/>
      <c r="D437" s="866"/>
      <c r="E437" s="866"/>
      <c r="F437" s="866"/>
      <c r="G437" s="866"/>
      <c r="H437" s="866"/>
      <c r="I437" s="866"/>
      <c r="J437" s="868"/>
      <c r="K437" s="868"/>
      <c r="L437" s="799"/>
      <c r="M437" s="747"/>
      <c r="N437" s="744"/>
      <c r="O437" s="744"/>
      <c r="P437" s="744"/>
      <c r="Q437" s="744"/>
      <c r="R437" s="744"/>
      <c r="S437" s="744"/>
      <c r="T437" s="855"/>
      <c r="U437" s="746"/>
      <c r="V437" s="746"/>
      <c r="W437" s="746"/>
      <c r="X437" s="746"/>
      <c r="Y437" s="799"/>
      <c r="Z437" s="799"/>
      <c r="AA437" s="799"/>
      <c r="AB437" s="799"/>
      <c r="AC437" s="799"/>
      <c r="AD437" s="750"/>
      <c r="AE437" s="749"/>
      <c r="AF437" s="749"/>
      <c r="AG437" s="749"/>
      <c r="AH437" s="749"/>
      <c r="AI437" s="749"/>
      <c r="AJ437" s="749"/>
      <c r="AK437" s="749"/>
      <c r="AL437" s="749"/>
      <c r="AM437" s="749"/>
      <c r="AN437" s="749"/>
      <c r="AO437" s="749"/>
      <c r="AP437" s="749"/>
      <c r="AQ437" s="749"/>
      <c r="AR437" s="749"/>
      <c r="AS437" s="749"/>
      <c r="AT437" s="749"/>
      <c r="AU437" s="749"/>
      <c r="AV437" s="749"/>
      <c r="AW437" s="749"/>
      <c r="AX437" s="749"/>
      <c r="AY437" s="749"/>
      <c r="AZ437" s="749"/>
      <c r="BA437" s="749"/>
      <c r="BB437" s="749"/>
      <c r="BC437" s="749"/>
      <c r="BD437" s="749"/>
      <c r="BE437" s="749"/>
      <c r="BF437" s="749"/>
      <c r="BG437" s="749"/>
      <c r="BH437" s="749"/>
      <c r="BI437" s="749"/>
      <c r="BJ437" s="749"/>
      <c r="BK437" s="749"/>
      <c r="BL437" s="749"/>
    </row>
    <row r="438">
      <c r="A438" s="866"/>
      <c r="B438" s="867"/>
      <c r="C438" s="866"/>
      <c r="D438" s="866"/>
      <c r="E438" s="866"/>
      <c r="F438" s="866"/>
      <c r="G438" s="866"/>
      <c r="H438" s="866"/>
      <c r="I438" s="866"/>
      <c r="J438" s="868"/>
      <c r="K438" s="868"/>
      <c r="L438" s="799"/>
      <c r="M438" s="747"/>
      <c r="N438" s="744"/>
      <c r="O438" s="744"/>
      <c r="P438" s="744"/>
      <c r="Q438" s="744"/>
      <c r="R438" s="744"/>
      <c r="S438" s="744"/>
      <c r="T438" s="855"/>
      <c r="U438" s="746"/>
      <c r="V438" s="746"/>
      <c r="W438" s="746"/>
      <c r="X438" s="746"/>
      <c r="Y438" s="799"/>
      <c r="Z438" s="799"/>
      <c r="AA438" s="799"/>
      <c r="AB438" s="799"/>
      <c r="AC438" s="799"/>
      <c r="AD438" s="750"/>
      <c r="AE438" s="749"/>
      <c r="AF438" s="749"/>
      <c r="AG438" s="749"/>
      <c r="AH438" s="749"/>
      <c r="AI438" s="749"/>
      <c r="AJ438" s="749"/>
      <c r="AK438" s="749"/>
      <c r="AL438" s="749"/>
      <c r="AM438" s="749"/>
      <c r="AN438" s="749"/>
      <c r="AO438" s="749"/>
      <c r="AP438" s="749"/>
      <c r="AQ438" s="749"/>
      <c r="AR438" s="749"/>
      <c r="AS438" s="749"/>
      <c r="AT438" s="749"/>
      <c r="AU438" s="749"/>
      <c r="AV438" s="749"/>
      <c r="AW438" s="749"/>
      <c r="AX438" s="749"/>
      <c r="AY438" s="749"/>
      <c r="AZ438" s="749"/>
      <c r="BA438" s="749"/>
      <c r="BB438" s="749"/>
      <c r="BC438" s="749"/>
      <c r="BD438" s="749"/>
      <c r="BE438" s="749"/>
      <c r="BF438" s="749"/>
      <c r="BG438" s="749"/>
      <c r="BH438" s="749"/>
      <c r="BI438" s="749"/>
      <c r="BJ438" s="749"/>
      <c r="BK438" s="749"/>
      <c r="BL438" s="749"/>
    </row>
    <row r="439">
      <c r="A439" s="866"/>
      <c r="B439" s="867"/>
      <c r="C439" s="866"/>
      <c r="D439" s="866"/>
      <c r="E439" s="866"/>
      <c r="F439" s="866"/>
      <c r="G439" s="866"/>
      <c r="H439" s="866"/>
      <c r="I439" s="866"/>
      <c r="J439" s="868"/>
      <c r="K439" s="868"/>
      <c r="L439" s="799"/>
      <c r="M439" s="747"/>
      <c r="N439" s="744"/>
      <c r="O439" s="744"/>
      <c r="P439" s="744"/>
      <c r="Q439" s="744"/>
      <c r="R439" s="744"/>
      <c r="S439" s="744"/>
      <c r="T439" s="855"/>
      <c r="U439" s="746"/>
      <c r="V439" s="746"/>
      <c r="W439" s="746"/>
      <c r="X439" s="746"/>
      <c r="Y439" s="799"/>
      <c r="Z439" s="799"/>
      <c r="AA439" s="799"/>
      <c r="AB439" s="799"/>
      <c r="AC439" s="799"/>
      <c r="AD439" s="750"/>
      <c r="AE439" s="749"/>
      <c r="AF439" s="749"/>
      <c r="AG439" s="749"/>
      <c r="AH439" s="749"/>
      <c r="AI439" s="749"/>
      <c r="AJ439" s="749"/>
      <c r="AK439" s="749"/>
      <c r="AL439" s="749"/>
      <c r="AM439" s="749"/>
      <c r="AN439" s="749"/>
      <c r="AO439" s="749"/>
      <c r="AP439" s="749"/>
      <c r="AQ439" s="749"/>
      <c r="AR439" s="749"/>
      <c r="AS439" s="749"/>
      <c r="AT439" s="749"/>
      <c r="AU439" s="749"/>
      <c r="AV439" s="749"/>
      <c r="AW439" s="749"/>
      <c r="AX439" s="749"/>
      <c r="AY439" s="749"/>
      <c r="AZ439" s="749"/>
      <c r="BA439" s="749"/>
      <c r="BB439" s="749"/>
      <c r="BC439" s="749"/>
      <c r="BD439" s="749"/>
      <c r="BE439" s="749"/>
      <c r="BF439" s="749"/>
      <c r="BG439" s="749"/>
      <c r="BH439" s="749"/>
      <c r="BI439" s="749"/>
      <c r="BJ439" s="749"/>
      <c r="BK439" s="749"/>
      <c r="BL439" s="749"/>
    </row>
    <row r="440">
      <c r="A440" s="866"/>
      <c r="B440" s="867"/>
      <c r="C440" s="866"/>
      <c r="D440" s="866"/>
      <c r="E440" s="866"/>
      <c r="F440" s="866"/>
      <c r="G440" s="866"/>
      <c r="H440" s="866"/>
      <c r="I440" s="866"/>
      <c r="J440" s="868"/>
      <c r="K440" s="868"/>
      <c r="L440" s="799"/>
      <c r="M440" s="747"/>
      <c r="N440" s="744"/>
      <c r="O440" s="744"/>
      <c r="P440" s="744"/>
      <c r="Q440" s="744"/>
      <c r="R440" s="744"/>
      <c r="S440" s="744"/>
      <c r="T440" s="855"/>
      <c r="U440" s="746"/>
      <c r="V440" s="746"/>
      <c r="W440" s="746"/>
      <c r="X440" s="746"/>
      <c r="Y440" s="799"/>
      <c r="Z440" s="799"/>
      <c r="AA440" s="799"/>
      <c r="AB440" s="799"/>
      <c r="AC440" s="799"/>
      <c r="AD440" s="750"/>
      <c r="AE440" s="749"/>
      <c r="AF440" s="749"/>
      <c r="AG440" s="749"/>
      <c r="AH440" s="749"/>
      <c r="AI440" s="749"/>
      <c r="AJ440" s="749"/>
      <c r="AK440" s="749"/>
      <c r="AL440" s="749"/>
      <c r="AM440" s="749"/>
      <c r="AN440" s="749"/>
      <c r="AO440" s="749"/>
      <c r="AP440" s="749"/>
      <c r="AQ440" s="749"/>
      <c r="AR440" s="749"/>
      <c r="AS440" s="749"/>
      <c r="AT440" s="749"/>
      <c r="AU440" s="749"/>
      <c r="AV440" s="749"/>
      <c r="AW440" s="749"/>
      <c r="AX440" s="749"/>
      <c r="AY440" s="749"/>
      <c r="AZ440" s="749"/>
      <c r="BA440" s="749"/>
      <c r="BB440" s="749"/>
      <c r="BC440" s="749"/>
      <c r="BD440" s="749"/>
      <c r="BE440" s="749"/>
      <c r="BF440" s="749"/>
      <c r="BG440" s="749"/>
      <c r="BH440" s="749"/>
      <c r="BI440" s="749"/>
      <c r="BJ440" s="749"/>
      <c r="BK440" s="749"/>
      <c r="BL440" s="749"/>
    </row>
    <row r="441">
      <c r="A441" s="866"/>
      <c r="B441" s="867"/>
      <c r="C441" s="866"/>
      <c r="D441" s="866"/>
      <c r="E441" s="866"/>
      <c r="F441" s="866"/>
      <c r="G441" s="866"/>
      <c r="H441" s="866"/>
      <c r="I441" s="866"/>
      <c r="J441" s="868"/>
      <c r="K441" s="868"/>
      <c r="L441" s="799"/>
      <c r="M441" s="747"/>
      <c r="N441" s="744"/>
      <c r="O441" s="744"/>
      <c r="P441" s="744"/>
      <c r="Q441" s="744"/>
      <c r="R441" s="744"/>
      <c r="S441" s="744"/>
      <c r="T441" s="855"/>
      <c r="U441" s="746"/>
      <c r="V441" s="746"/>
      <c r="W441" s="746"/>
      <c r="X441" s="746"/>
      <c r="Y441" s="799"/>
      <c r="Z441" s="799"/>
      <c r="AA441" s="799"/>
      <c r="AB441" s="799"/>
      <c r="AC441" s="799"/>
      <c r="AD441" s="750"/>
      <c r="AE441" s="749"/>
      <c r="AF441" s="749"/>
      <c r="AG441" s="749"/>
      <c r="AH441" s="749"/>
      <c r="AI441" s="749"/>
      <c r="AJ441" s="749"/>
      <c r="AK441" s="749"/>
      <c r="AL441" s="749"/>
      <c r="AM441" s="749"/>
      <c r="AN441" s="749"/>
      <c r="AO441" s="749"/>
      <c r="AP441" s="749"/>
      <c r="AQ441" s="749"/>
      <c r="AR441" s="749"/>
      <c r="AS441" s="749"/>
      <c r="AT441" s="749"/>
      <c r="AU441" s="749"/>
      <c r="AV441" s="749"/>
      <c r="AW441" s="749"/>
      <c r="AX441" s="749"/>
      <c r="AY441" s="749"/>
      <c r="AZ441" s="749"/>
      <c r="BA441" s="749"/>
      <c r="BB441" s="749"/>
      <c r="BC441" s="749"/>
      <c r="BD441" s="749"/>
      <c r="BE441" s="749"/>
      <c r="BF441" s="749"/>
      <c r="BG441" s="749"/>
      <c r="BH441" s="749"/>
      <c r="BI441" s="749"/>
      <c r="BJ441" s="749"/>
      <c r="BK441" s="749"/>
      <c r="BL441" s="749"/>
    </row>
    <row r="442">
      <c r="A442" s="866"/>
      <c r="B442" s="867"/>
      <c r="C442" s="866"/>
      <c r="D442" s="866"/>
      <c r="E442" s="866"/>
      <c r="F442" s="866"/>
      <c r="G442" s="866"/>
      <c r="H442" s="866"/>
      <c r="I442" s="866"/>
      <c r="J442" s="868"/>
      <c r="K442" s="868"/>
      <c r="L442" s="799"/>
      <c r="M442" s="747"/>
      <c r="N442" s="744"/>
      <c r="O442" s="744"/>
      <c r="P442" s="744"/>
      <c r="Q442" s="744"/>
      <c r="R442" s="744"/>
      <c r="S442" s="744"/>
      <c r="T442" s="855"/>
      <c r="U442" s="746"/>
      <c r="V442" s="746"/>
      <c r="W442" s="746"/>
      <c r="X442" s="746"/>
      <c r="Y442" s="799"/>
      <c r="Z442" s="799"/>
      <c r="AA442" s="799"/>
      <c r="AB442" s="799"/>
      <c r="AC442" s="799"/>
      <c r="AD442" s="750"/>
      <c r="AE442" s="749"/>
      <c r="AF442" s="749"/>
      <c r="AG442" s="749"/>
      <c r="AH442" s="749"/>
      <c r="AI442" s="749"/>
      <c r="AJ442" s="749"/>
      <c r="AK442" s="749"/>
      <c r="AL442" s="749"/>
      <c r="AM442" s="749"/>
      <c r="AN442" s="749"/>
      <c r="AO442" s="749"/>
      <c r="AP442" s="749"/>
      <c r="AQ442" s="749"/>
      <c r="AR442" s="749"/>
      <c r="AS442" s="749"/>
      <c r="AT442" s="749"/>
      <c r="AU442" s="749"/>
      <c r="AV442" s="749"/>
      <c r="AW442" s="749"/>
      <c r="AX442" s="749"/>
      <c r="AY442" s="749"/>
      <c r="AZ442" s="749"/>
      <c r="BA442" s="749"/>
      <c r="BB442" s="749"/>
      <c r="BC442" s="749"/>
      <c r="BD442" s="749"/>
      <c r="BE442" s="749"/>
      <c r="BF442" s="749"/>
      <c r="BG442" s="749"/>
      <c r="BH442" s="749"/>
      <c r="BI442" s="749"/>
      <c r="BJ442" s="749"/>
      <c r="BK442" s="749"/>
      <c r="BL442" s="749"/>
    </row>
    <row r="443">
      <c r="A443" s="866"/>
      <c r="B443" s="867"/>
      <c r="C443" s="866"/>
      <c r="D443" s="866"/>
      <c r="E443" s="866"/>
      <c r="F443" s="866"/>
      <c r="G443" s="866"/>
      <c r="H443" s="866"/>
      <c r="I443" s="866"/>
      <c r="J443" s="868"/>
      <c r="K443" s="868"/>
      <c r="L443" s="799"/>
      <c r="M443" s="747"/>
      <c r="N443" s="744"/>
      <c r="O443" s="744"/>
      <c r="P443" s="744"/>
      <c r="Q443" s="744"/>
      <c r="R443" s="744"/>
      <c r="S443" s="744"/>
      <c r="T443" s="855"/>
      <c r="U443" s="746"/>
      <c r="V443" s="746"/>
      <c r="W443" s="746"/>
      <c r="X443" s="746"/>
      <c r="Y443" s="799"/>
      <c r="Z443" s="799"/>
      <c r="AA443" s="799"/>
      <c r="AB443" s="799"/>
      <c r="AC443" s="799"/>
      <c r="AD443" s="750"/>
      <c r="AE443" s="749"/>
      <c r="AF443" s="749"/>
      <c r="AG443" s="749"/>
      <c r="AH443" s="749"/>
      <c r="AI443" s="749"/>
      <c r="AJ443" s="749"/>
      <c r="AK443" s="749"/>
      <c r="AL443" s="749"/>
      <c r="AM443" s="749"/>
      <c r="AN443" s="749"/>
      <c r="AO443" s="749"/>
      <c r="AP443" s="749"/>
      <c r="AQ443" s="749"/>
      <c r="AR443" s="749"/>
      <c r="AS443" s="749"/>
      <c r="AT443" s="749"/>
      <c r="AU443" s="749"/>
      <c r="AV443" s="749"/>
      <c r="AW443" s="749"/>
      <c r="AX443" s="749"/>
      <c r="AY443" s="749"/>
      <c r="AZ443" s="749"/>
      <c r="BA443" s="749"/>
      <c r="BB443" s="749"/>
      <c r="BC443" s="749"/>
      <c r="BD443" s="749"/>
      <c r="BE443" s="749"/>
      <c r="BF443" s="749"/>
      <c r="BG443" s="749"/>
      <c r="BH443" s="749"/>
      <c r="BI443" s="749"/>
      <c r="BJ443" s="749"/>
      <c r="BK443" s="749"/>
      <c r="BL443" s="749"/>
    </row>
    <row r="444">
      <c r="A444" s="866"/>
      <c r="B444" s="867"/>
      <c r="C444" s="866"/>
      <c r="D444" s="866"/>
      <c r="E444" s="866"/>
      <c r="F444" s="866"/>
      <c r="G444" s="866"/>
      <c r="H444" s="866"/>
      <c r="I444" s="866"/>
      <c r="J444" s="868"/>
      <c r="K444" s="868"/>
      <c r="L444" s="799"/>
      <c r="M444" s="747"/>
      <c r="N444" s="744"/>
      <c r="O444" s="744"/>
      <c r="P444" s="744"/>
      <c r="Q444" s="744"/>
      <c r="R444" s="744"/>
      <c r="S444" s="744"/>
      <c r="T444" s="855"/>
      <c r="U444" s="746"/>
      <c r="V444" s="746"/>
      <c r="W444" s="746"/>
      <c r="X444" s="746"/>
      <c r="Y444" s="799"/>
      <c r="Z444" s="799"/>
      <c r="AA444" s="799"/>
      <c r="AB444" s="799"/>
      <c r="AC444" s="799"/>
      <c r="AD444" s="750"/>
      <c r="AE444" s="749"/>
      <c r="AF444" s="749"/>
      <c r="AG444" s="749"/>
      <c r="AH444" s="749"/>
      <c r="AI444" s="749"/>
      <c r="AJ444" s="749"/>
      <c r="AK444" s="749"/>
      <c r="AL444" s="749"/>
      <c r="AM444" s="749"/>
      <c r="AN444" s="749"/>
      <c r="AO444" s="749"/>
      <c r="AP444" s="749"/>
      <c r="AQ444" s="749"/>
      <c r="AR444" s="749"/>
      <c r="AS444" s="749"/>
      <c r="AT444" s="749"/>
      <c r="AU444" s="749"/>
      <c r="AV444" s="749"/>
      <c r="AW444" s="749"/>
      <c r="AX444" s="749"/>
      <c r="AY444" s="749"/>
      <c r="AZ444" s="749"/>
      <c r="BA444" s="749"/>
      <c r="BB444" s="749"/>
      <c r="BC444" s="749"/>
      <c r="BD444" s="749"/>
      <c r="BE444" s="749"/>
      <c r="BF444" s="749"/>
      <c r="BG444" s="749"/>
      <c r="BH444" s="749"/>
      <c r="BI444" s="749"/>
      <c r="BJ444" s="749"/>
      <c r="BK444" s="749"/>
      <c r="BL444" s="749"/>
    </row>
    <row r="445">
      <c r="A445" s="866"/>
      <c r="B445" s="867"/>
      <c r="C445" s="866"/>
      <c r="D445" s="866"/>
      <c r="E445" s="866"/>
      <c r="F445" s="866"/>
      <c r="G445" s="866"/>
      <c r="H445" s="866"/>
      <c r="I445" s="866"/>
      <c r="J445" s="868"/>
      <c r="K445" s="868"/>
      <c r="L445" s="799"/>
      <c r="M445" s="747"/>
      <c r="N445" s="744"/>
      <c r="O445" s="744"/>
      <c r="P445" s="744"/>
      <c r="Q445" s="744"/>
      <c r="R445" s="744"/>
      <c r="S445" s="744"/>
      <c r="T445" s="855"/>
      <c r="U445" s="746"/>
      <c r="V445" s="746"/>
      <c r="W445" s="746"/>
      <c r="X445" s="746"/>
      <c r="Y445" s="799"/>
      <c r="Z445" s="799"/>
      <c r="AA445" s="799"/>
      <c r="AB445" s="799"/>
      <c r="AC445" s="799"/>
      <c r="AD445" s="750"/>
      <c r="AE445" s="749"/>
      <c r="AF445" s="749"/>
      <c r="AG445" s="749"/>
      <c r="AH445" s="749"/>
      <c r="AI445" s="749"/>
      <c r="AJ445" s="749"/>
      <c r="AK445" s="749"/>
      <c r="AL445" s="749"/>
      <c r="AM445" s="749"/>
      <c r="AN445" s="749"/>
      <c r="AO445" s="749"/>
      <c r="AP445" s="749"/>
      <c r="AQ445" s="749"/>
      <c r="AR445" s="749"/>
      <c r="AS445" s="749"/>
      <c r="AT445" s="749"/>
      <c r="AU445" s="749"/>
      <c r="AV445" s="749"/>
      <c r="AW445" s="749"/>
      <c r="AX445" s="749"/>
      <c r="AY445" s="749"/>
      <c r="AZ445" s="749"/>
      <c r="BA445" s="749"/>
      <c r="BB445" s="749"/>
      <c r="BC445" s="749"/>
      <c r="BD445" s="749"/>
      <c r="BE445" s="749"/>
      <c r="BF445" s="749"/>
      <c r="BG445" s="749"/>
      <c r="BH445" s="749"/>
      <c r="BI445" s="749"/>
      <c r="BJ445" s="749"/>
      <c r="BK445" s="749"/>
      <c r="BL445" s="749"/>
    </row>
    <row r="446">
      <c r="A446" s="866"/>
      <c r="B446" s="867"/>
      <c r="C446" s="866"/>
      <c r="D446" s="866"/>
      <c r="E446" s="866"/>
      <c r="F446" s="866"/>
      <c r="G446" s="866"/>
      <c r="H446" s="866"/>
      <c r="I446" s="866"/>
      <c r="J446" s="868"/>
      <c r="K446" s="868"/>
      <c r="L446" s="799"/>
      <c r="M446" s="747"/>
      <c r="N446" s="744"/>
      <c r="O446" s="744"/>
      <c r="P446" s="744"/>
      <c r="Q446" s="744"/>
      <c r="R446" s="744"/>
      <c r="S446" s="744"/>
      <c r="T446" s="855"/>
      <c r="U446" s="746"/>
      <c r="V446" s="746"/>
      <c r="W446" s="746"/>
      <c r="X446" s="746"/>
      <c r="Y446" s="799"/>
      <c r="Z446" s="799"/>
      <c r="AA446" s="799"/>
      <c r="AB446" s="799"/>
      <c r="AC446" s="799"/>
      <c r="AD446" s="750"/>
      <c r="AE446" s="749"/>
      <c r="AF446" s="749"/>
      <c r="AG446" s="749"/>
      <c r="AH446" s="749"/>
      <c r="AI446" s="749"/>
      <c r="AJ446" s="749"/>
      <c r="AK446" s="749"/>
      <c r="AL446" s="749"/>
      <c r="AM446" s="749"/>
      <c r="AN446" s="749"/>
      <c r="AO446" s="749"/>
      <c r="AP446" s="749"/>
      <c r="AQ446" s="749"/>
      <c r="AR446" s="749"/>
      <c r="AS446" s="749"/>
      <c r="AT446" s="749"/>
      <c r="AU446" s="749"/>
      <c r="AV446" s="749"/>
      <c r="AW446" s="749"/>
      <c r="AX446" s="749"/>
      <c r="AY446" s="749"/>
      <c r="AZ446" s="749"/>
      <c r="BA446" s="749"/>
      <c r="BB446" s="749"/>
      <c r="BC446" s="749"/>
      <c r="BD446" s="749"/>
      <c r="BE446" s="749"/>
      <c r="BF446" s="749"/>
      <c r="BG446" s="749"/>
      <c r="BH446" s="749"/>
      <c r="BI446" s="749"/>
      <c r="BJ446" s="749"/>
      <c r="BK446" s="749"/>
      <c r="BL446" s="749"/>
    </row>
    <row r="447">
      <c r="A447" s="866"/>
      <c r="B447" s="867"/>
      <c r="C447" s="866"/>
      <c r="D447" s="866"/>
      <c r="E447" s="866"/>
      <c r="F447" s="866"/>
      <c r="G447" s="866"/>
      <c r="H447" s="866"/>
      <c r="I447" s="866"/>
      <c r="J447" s="868"/>
      <c r="K447" s="868"/>
      <c r="L447" s="799"/>
      <c r="M447" s="747"/>
      <c r="N447" s="744"/>
      <c r="O447" s="744"/>
      <c r="P447" s="744"/>
      <c r="Q447" s="744"/>
      <c r="R447" s="744"/>
      <c r="S447" s="744"/>
      <c r="T447" s="855"/>
      <c r="U447" s="746"/>
      <c r="V447" s="746"/>
      <c r="W447" s="746"/>
      <c r="X447" s="746"/>
      <c r="Y447" s="799"/>
      <c r="Z447" s="799"/>
      <c r="AA447" s="799"/>
      <c r="AB447" s="799"/>
      <c r="AC447" s="799"/>
      <c r="AD447" s="750"/>
      <c r="AE447" s="749"/>
      <c r="AF447" s="749"/>
      <c r="AG447" s="749"/>
      <c r="AH447" s="749"/>
      <c r="AI447" s="749"/>
      <c r="AJ447" s="749"/>
      <c r="AK447" s="749"/>
      <c r="AL447" s="749"/>
      <c r="AM447" s="749"/>
      <c r="AN447" s="749"/>
      <c r="AO447" s="749"/>
      <c r="AP447" s="749"/>
      <c r="AQ447" s="749"/>
      <c r="AR447" s="749"/>
      <c r="AS447" s="749"/>
      <c r="AT447" s="749"/>
      <c r="AU447" s="749"/>
      <c r="AV447" s="749"/>
      <c r="AW447" s="749"/>
      <c r="AX447" s="749"/>
      <c r="AY447" s="749"/>
      <c r="AZ447" s="749"/>
      <c r="BA447" s="749"/>
      <c r="BB447" s="749"/>
      <c r="BC447" s="749"/>
      <c r="BD447" s="749"/>
      <c r="BE447" s="749"/>
      <c r="BF447" s="749"/>
      <c r="BG447" s="749"/>
      <c r="BH447" s="749"/>
      <c r="BI447" s="749"/>
      <c r="BJ447" s="749"/>
      <c r="BK447" s="749"/>
      <c r="BL447" s="749"/>
    </row>
    <row r="448">
      <c r="A448" s="866"/>
      <c r="B448" s="867"/>
      <c r="C448" s="866"/>
      <c r="D448" s="866"/>
      <c r="E448" s="866"/>
      <c r="F448" s="866"/>
      <c r="G448" s="866"/>
      <c r="H448" s="866"/>
      <c r="I448" s="866"/>
      <c r="J448" s="868"/>
      <c r="K448" s="868"/>
      <c r="L448" s="799"/>
      <c r="M448" s="747"/>
      <c r="N448" s="744"/>
      <c r="O448" s="744"/>
      <c r="P448" s="744"/>
      <c r="Q448" s="744"/>
      <c r="R448" s="744"/>
      <c r="S448" s="744"/>
      <c r="T448" s="855"/>
      <c r="U448" s="746"/>
      <c r="V448" s="746"/>
      <c r="W448" s="746"/>
      <c r="X448" s="746"/>
      <c r="Y448" s="799"/>
      <c r="Z448" s="799"/>
      <c r="AA448" s="799"/>
      <c r="AB448" s="799"/>
      <c r="AC448" s="799"/>
      <c r="AD448" s="750"/>
      <c r="AE448" s="749"/>
      <c r="AF448" s="749"/>
      <c r="AG448" s="749"/>
      <c r="AH448" s="749"/>
      <c r="AI448" s="749"/>
      <c r="AJ448" s="749"/>
      <c r="AK448" s="749"/>
      <c r="AL448" s="749"/>
      <c r="AM448" s="749"/>
      <c r="AN448" s="749"/>
      <c r="AO448" s="749"/>
      <c r="AP448" s="749"/>
      <c r="AQ448" s="749"/>
      <c r="AR448" s="749"/>
      <c r="AS448" s="749"/>
      <c r="AT448" s="749"/>
      <c r="AU448" s="749"/>
      <c r="AV448" s="749"/>
      <c r="AW448" s="749"/>
      <c r="AX448" s="749"/>
      <c r="AY448" s="749"/>
      <c r="AZ448" s="749"/>
      <c r="BA448" s="749"/>
      <c r="BB448" s="749"/>
      <c r="BC448" s="749"/>
      <c r="BD448" s="749"/>
      <c r="BE448" s="749"/>
      <c r="BF448" s="749"/>
      <c r="BG448" s="749"/>
      <c r="BH448" s="749"/>
      <c r="BI448" s="749"/>
      <c r="BJ448" s="749"/>
      <c r="BK448" s="749"/>
      <c r="BL448" s="749"/>
    </row>
    <row r="449">
      <c r="A449" s="866"/>
      <c r="B449" s="867"/>
      <c r="C449" s="866"/>
      <c r="D449" s="866"/>
      <c r="E449" s="866"/>
      <c r="F449" s="866"/>
      <c r="G449" s="866"/>
      <c r="H449" s="866"/>
      <c r="I449" s="866"/>
      <c r="J449" s="868"/>
      <c r="K449" s="868"/>
      <c r="L449" s="799"/>
      <c r="M449" s="747"/>
      <c r="N449" s="744"/>
      <c r="O449" s="744"/>
      <c r="P449" s="744"/>
      <c r="Q449" s="744"/>
      <c r="R449" s="744"/>
      <c r="S449" s="744"/>
      <c r="T449" s="855"/>
      <c r="U449" s="746"/>
      <c r="V449" s="746"/>
      <c r="W449" s="746"/>
      <c r="X449" s="746"/>
      <c r="Y449" s="799"/>
      <c r="Z449" s="799"/>
      <c r="AA449" s="799"/>
      <c r="AB449" s="799"/>
      <c r="AC449" s="799"/>
      <c r="AD449" s="750"/>
      <c r="AE449" s="749"/>
      <c r="AF449" s="749"/>
      <c r="AG449" s="749"/>
      <c r="AH449" s="749"/>
      <c r="AI449" s="749"/>
      <c r="AJ449" s="749"/>
      <c r="AK449" s="749"/>
      <c r="AL449" s="749"/>
      <c r="AM449" s="749"/>
      <c r="AN449" s="749"/>
      <c r="AO449" s="749"/>
      <c r="AP449" s="749"/>
      <c r="AQ449" s="749"/>
      <c r="AR449" s="749"/>
      <c r="AS449" s="749"/>
      <c r="AT449" s="749"/>
      <c r="AU449" s="749"/>
      <c r="AV449" s="749"/>
      <c r="AW449" s="749"/>
      <c r="AX449" s="749"/>
      <c r="AY449" s="749"/>
      <c r="AZ449" s="749"/>
      <c r="BA449" s="749"/>
      <c r="BB449" s="749"/>
      <c r="BC449" s="749"/>
      <c r="BD449" s="749"/>
      <c r="BE449" s="749"/>
      <c r="BF449" s="749"/>
      <c r="BG449" s="749"/>
      <c r="BH449" s="749"/>
      <c r="BI449" s="749"/>
      <c r="BJ449" s="749"/>
      <c r="BK449" s="749"/>
      <c r="BL449" s="749"/>
    </row>
    <row r="450">
      <c r="A450" s="866"/>
      <c r="B450" s="867"/>
      <c r="C450" s="866"/>
      <c r="D450" s="866"/>
      <c r="E450" s="866"/>
      <c r="F450" s="866"/>
      <c r="G450" s="866"/>
      <c r="H450" s="866"/>
      <c r="I450" s="866"/>
      <c r="J450" s="868"/>
      <c r="K450" s="868"/>
      <c r="L450" s="799"/>
      <c r="M450" s="747"/>
      <c r="N450" s="744"/>
      <c r="O450" s="744"/>
      <c r="P450" s="744"/>
      <c r="Q450" s="744"/>
      <c r="R450" s="744"/>
      <c r="S450" s="744"/>
      <c r="T450" s="855"/>
      <c r="U450" s="746"/>
      <c r="V450" s="746"/>
      <c r="W450" s="746"/>
      <c r="X450" s="746"/>
      <c r="Y450" s="799"/>
      <c r="Z450" s="799"/>
      <c r="AA450" s="799"/>
      <c r="AB450" s="799"/>
      <c r="AC450" s="799"/>
      <c r="AD450" s="750"/>
      <c r="AE450" s="749"/>
      <c r="AF450" s="749"/>
      <c r="AG450" s="749"/>
      <c r="AH450" s="749"/>
      <c r="AI450" s="749"/>
      <c r="AJ450" s="749"/>
      <c r="AK450" s="749"/>
      <c r="AL450" s="749"/>
      <c r="AM450" s="749"/>
      <c r="AN450" s="749"/>
      <c r="AO450" s="749"/>
      <c r="AP450" s="749"/>
      <c r="AQ450" s="749"/>
      <c r="AR450" s="749"/>
      <c r="AS450" s="749"/>
      <c r="AT450" s="749"/>
      <c r="AU450" s="749"/>
      <c r="AV450" s="749"/>
      <c r="AW450" s="749"/>
      <c r="AX450" s="749"/>
      <c r="AY450" s="749"/>
      <c r="AZ450" s="749"/>
      <c r="BA450" s="749"/>
      <c r="BB450" s="749"/>
      <c r="BC450" s="749"/>
      <c r="BD450" s="749"/>
      <c r="BE450" s="749"/>
      <c r="BF450" s="749"/>
      <c r="BG450" s="749"/>
      <c r="BH450" s="749"/>
      <c r="BI450" s="749"/>
      <c r="BJ450" s="749"/>
      <c r="BK450" s="749"/>
      <c r="BL450" s="749"/>
    </row>
    <row r="451">
      <c r="A451" s="866"/>
      <c r="B451" s="867"/>
      <c r="C451" s="866"/>
      <c r="D451" s="866"/>
      <c r="E451" s="866"/>
      <c r="F451" s="866"/>
      <c r="G451" s="866"/>
      <c r="H451" s="866"/>
      <c r="I451" s="866"/>
      <c r="J451" s="868"/>
      <c r="K451" s="868"/>
      <c r="L451" s="799"/>
      <c r="M451" s="747"/>
      <c r="N451" s="744"/>
      <c r="O451" s="744"/>
      <c r="P451" s="744"/>
      <c r="Q451" s="744"/>
      <c r="R451" s="744"/>
      <c r="S451" s="744"/>
      <c r="T451" s="855"/>
      <c r="U451" s="746"/>
      <c r="V451" s="746"/>
      <c r="W451" s="746"/>
      <c r="X451" s="746"/>
      <c r="Y451" s="799"/>
      <c r="Z451" s="799"/>
      <c r="AA451" s="799"/>
      <c r="AB451" s="799"/>
      <c r="AC451" s="799"/>
      <c r="AD451" s="750"/>
      <c r="AE451" s="749"/>
      <c r="AF451" s="749"/>
      <c r="AG451" s="749"/>
      <c r="AH451" s="749"/>
      <c r="AI451" s="749"/>
      <c r="AJ451" s="749"/>
      <c r="AK451" s="749"/>
      <c r="AL451" s="749"/>
      <c r="AM451" s="749"/>
      <c r="AN451" s="749"/>
      <c r="AO451" s="749"/>
      <c r="AP451" s="749"/>
      <c r="AQ451" s="749"/>
      <c r="AR451" s="749"/>
      <c r="AS451" s="749"/>
      <c r="AT451" s="749"/>
      <c r="AU451" s="749"/>
      <c r="AV451" s="749"/>
      <c r="AW451" s="749"/>
      <c r="AX451" s="749"/>
      <c r="AY451" s="749"/>
      <c r="AZ451" s="749"/>
      <c r="BA451" s="749"/>
      <c r="BB451" s="749"/>
      <c r="BC451" s="749"/>
      <c r="BD451" s="749"/>
      <c r="BE451" s="749"/>
      <c r="BF451" s="749"/>
      <c r="BG451" s="749"/>
      <c r="BH451" s="749"/>
      <c r="BI451" s="749"/>
      <c r="BJ451" s="749"/>
      <c r="BK451" s="749"/>
      <c r="BL451" s="749"/>
    </row>
    <row r="452">
      <c r="A452" s="866"/>
      <c r="B452" s="867"/>
      <c r="C452" s="866"/>
      <c r="D452" s="866"/>
      <c r="E452" s="866"/>
      <c r="F452" s="866"/>
      <c r="G452" s="866"/>
      <c r="H452" s="866"/>
      <c r="I452" s="866"/>
      <c r="J452" s="868"/>
      <c r="K452" s="868"/>
      <c r="L452" s="799"/>
      <c r="M452" s="747"/>
      <c r="N452" s="744"/>
      <c r="O452" s="744"/>
      <c r="P452" s="744"/>
      <c r="Q452" s="744"/>
      <c r="R452" s="744"/>
      <c r="S452" s="744"/>
      <c r="T452" s="855"/>
      <c r="U452" s="746"/>
      <c r="V452" s="746"/>
      <c r="W452" s="746"/>
      <c r="X452" s="746"/>
      <c r="Y452" s="799"/>
      <c r="Z452" s="799"/>
      <c r="AA452" s="799"/>
      <c r="AB452" s="799"/>
      <c r="AC452" s="799"/>
      <c r="AD452" s="750"/>
      <c r="AE452" s="749"/>
      <c r="AF452" s="749"/>
      <c r="AG452" s="749"/>
      <c r="AH452" s="749"/>
      <c r="AI452" s="749"/>
      <c r="AJ452" s="749"/>
      <c r="AK452" s="749"/>
      <c r="AL452" s="749"/>
      <c r="AM452" s="749"/>
      <c r="AN452" s="749"/>
      <c r="AO452" s="749"/>
      <c r="AP452" s="749"/>
      <c r="AQ452" s="749"/>
      <c r="AR452" s="749"/>
      <c r="AS452" s="749"/>
      <c r="AT452" s="749"/>
      <c r="AU452" s="749"/>
      <c r="AV452" s="749"/>
      <c r="AW452" s="749"/>
      <c r="AX452" s="749"/>
      <c r="AY452" s="749"/>
      <c r="AZ452" s="749"/>
      <c r="BA452" s="749"/>
      <c r="BB452" s="749"/>
      <c r="BC452" s="749"/>
      <c r="BD452" s="749"/>
      <c r="BE452" s="749"/>
      <c r="BF452" s="749"/>
      <c r="BG452" s="749"/>
      <c r="BH452" s="749"/>
      <c r="BI452" s="749"/>
      <c r="BJ452" s="749"/>
      <c r="BK452" s="749"/>
      <c r="BL452" s="749"/>
    </row>
    <row r="453">
      <c r="A453" s="866"/>
      <c r="B453" s="867"/>
      <c r="C453" s="866"/>
      <c r="D453" s="866"/>
      <c r="E453" s="866"/>
      <c r="F453" s="866"/>
      <c r="G453" s="866"/>
      <c r="H453" s="866"/>
      <c r="I453" s="866"/>
      <c r="J453" s="868"/>
      <c r="K453" s="868"/>
      <c r="L453" s="799"/>
      <c r="M453" s="747"/>
      <c r="N453" s="744"/>
      <c r="O453" s="744"/>
      <c r="P453" s="744"/>
      <c r="Q453" s="744"/>
      <c r="R453" s="744"/>
      <c r="S453" s="744"/>
      <c r="T453" s="855"/>
      <c r="U453" s="746"/>
      <c r="V453" s="746"/>
      <c r="W453" s="746"/>
      <c r="X453" s="746"/>
      <c r="Y453" s="799"/>
      <c r="Z453" s="799"/>
      <c r="AA453" s="799"/>
      <c r="AB453" s="799"/>
      <c r="AC453" s="799"/>
      <c r="AD453" s="750"/>
      <c r="AE453" s="749"/>
      <c r="AF453" s="749"/>
      <c r="AG453" s="749"/>
      <c r="AH453" s="749"/>
      <c r="AI453" s="749"/>
      <c r="AJ453" s="749"/>
      <c r="AK453" s="749"/>
      <c r="AL453" s="749"/>
      <c r="AM453" s="749"/>
      <c r="AN453" s="749"/>
      <c r="AO453" s="749"/>
      <c r="AP453" s="749"/>
      <c r="AQ453" s="749"/>
      <c r="AR453" s="749"/>
      <c r="AS453" s="749"/>
      <c r="AT453" s="749"/>
      <c r="AU453" s="749"/>
      <c r="AV453" s="749"/>
      <c r="AW453" s="749"/>
      <c r="AX453" s="749"/>
      <c r="AY453" s="749"/>
      <c r="AZ453" s="749"/>
      <c r="BA453" s="749"/>
      <c r="BB453" s="749"/>
      <c r="BC453" s="749"/>
      <c r="BD453" s="749"/>
      <c r="BE453" s="749"/>
      <c r="BF453" s="749"/>
      <c r="BG453" s="749"/>
      <c r="BH453" s="749"/>
      <c r="BI453" s="749"/>
      <c r="BJ453" s="749"/>
      <c r="BK453" s="749"/>
      <c r="BL453" s="749"/>
    </row>
    <row r="454">
      <c r="A454" s="866"/>
      <c r="B454" s="867"/>
      <c r="C454" s="866"/>
      <c r="D454" s="866"/>
      <c r="E454" s="866"/>
      <c r="F454" s="866"/>
      <c r="G454" s="866"/>
      <c r="H454" s="866"/>
      <c r="I454" s="866"/>
      <c r="J454" s="868"/>
      <c r="K454" s="868"/>
      <c r="L454" s="799"/>
      <c r="M454" s="747"/>
      <c r="N454" s="744"/>
      <c r="O454" s="744"/>
      <c r="P454" s="744"/>
      <c r="Q454" s="744"/>
      <c r="R454" s="744"/>
      <c r="S454" s="744"/>
      <c r="T454" s="855"/>
      <c r="U454" s="746"/>
      <c r="V454" s="746"/>
      <c r="W454" s="746"/>
      <c r="X454" s="746"/>
      <c r="Y454" s="799"/>
      <c r="Z454" s="799"/>
      <c r="AA454" s="799"/>
      <c r="AB454" s="799"/>
      <c r="AC454" s="799"/>
      <c r="AD454" s="750"/>
      <c r="AE454" s="749"/>
      <c r="AF454" s="749"/>
      <c r="AG454" s="749"/>
      <c r="AH454" s="749"/>
      <c r="AI454" s="749"/>
      <c r="AJ454" s="749"/>
      <c r="AK454" s="749"/>
      <c r="AL454" s="749"/>
      <c r="AM454" s="749"/>
      <c r="AN454" s="749"/>
      <c r="AO454" s="749"/>
      <c r="AP454" s="749"/>
      <c r="AQ454" s="749"/>
      <c r="AR454" s="749"/>
      <c r="AS454" s="749"/>
      <c r="AT454" s="749"/>
      <c r="AU454" s="749"/>
      <c r="AV454" s="749"/>
      <c r="AW454" s="749"/>
      <c r="AX454" s="749"/>
      <c r="AY454" s="749"/>
      <c r="AZ454" s="749"/>
      <c r="BA454" s="749"/>
      <c r="BB454" s="749"/>
      <c r="BC454" s="749"/>
      <c r="BD454" s="749"/>
      <c r="BE454" s="749"/>
      <c r="BF454" s="749"/>
      <c r="BG454" s="749"/>
      <c r="BH454" s="749"/>
      <c r="BI454" s="749"/>
      <c r="BJ454" s="749"/>
      <c r="BK454" s="749"/>
      <c r="BL454" s="749"/>
    </row>
    <row r="455">
      <c r="A455" s="866"/>
      <c r="B455" s="867"/>
      <c r="C455" s="866"/>
      <c r="D455" s="866"/>
      <c r="E455" s="866"/>
      <c r="F455" s="866"/>
      <c r="G455" s="866"/>
      <c r="H455" s="866"/>
      <c r="I455" s="866"/>
      <c r="J455" s="868"/>
      <c r="K455" s="868"/>
      <c r="L455" s="799"/>
      <c r="M455" s="747"/>
      <c r="N455" s="744"/>
      <c r="O455" s="744"/>
      <c r="P455" s="744"/>
      <c r="Q455" s="744"/>
      <c r="R455" s="744"/>
      <c r="S455" s="744"/>
      <c r="T455" s="855"/>
      <c r="U455" s="746"/>
      <c r="V455" s="746"/>
      <c r="W455" s="746"/>
      <c r="X455" s="746"/>
      <c r="Y455" s="799"/>
      <c r="Z455" s="799"/>
      <c r="AA455" s="799"/>
      <c r="AB455" s="799"/>
      <c r="AC455" s="799"/>
      <c r="AD455" s="750"/>
      <c r="AE455" s="749"/>
      <c r="AF455" s="749"/>
      <c r="AG455" s="749"/>
      <c r="AH455" s="749"/>
      <c r="AI455" s="749"/>
      <c r="AJ455" s="749"/>
      <c r="AK455" s="749"/>
      <c r="AL455" s="749"/>
      <c r="AM455" s="749"/>
      <c r="AN455" s="749"/>
      <c r="AO455" s="749"/>
      <c r="AP455" s="749"/>
      <c r="AQ455" s="749"/>
      <c r="AR455" s="749"/>
      <c r="AS455" s="749"/>
      <c r="AT455" s="749"/>
      <c r="AU455" s="749"/>
      <c r="AV455" s="749"/>
      <c r="AW455" s="749"/>
      <c r="AX455" s="749"/>
      <c r="AY455" s="749"/>
      <c r="AZ455" s="749"/>
      <c r="BA455" s="749"/>
      <c r="BB455" s="749"/>
      <c r="BC455" s="749"/>
      <c r="BD455" s="749"/>
      <c r="BE455" s="749"/>
      <c r="BF455" s="749"/>
      <c r="BG455" s="749"/>
      <c r="BH455" s="749"/>
      <c r="BI455" s="749"/>
      <c r="BJ455" s="749"/>
      <c r="BK455" s="749"/>
      <c r="BL455" s="749"/>
    </row>
    <row r="456">
      <c r="A456" s="866"/>
      <c r="B456" s="867"/>
      <c r="C456" s="866"/>
      <c r="D456" s="866"/>
      <c r="E456" s="866"/>
      <c r="F456" s="866"/>
      <c r="G456" s="866"/>
      <c r="H456" s="866"/>
      <c r="I456" s="866"/>
      <c r="J456" s="868"/>
      <c r="K456" s="868"/>
      <c r="L456" s="799"/>
      <c r="M456" s="747"/>
      <c r="N456" s="744"/>
      <c r="O456" s="744"/>
      <c r="P456" s="744"/>
      <c r="Q456" s="744"/>
      <c r="R456" s="744"/>
      <c r="S456" s="744"/>
      <c r="T456" s="855"/>
      <c r="U456" s="746"/>
      <c r="V456" s="746"/>
      <c r="W456" s="746"/>
      <c r="X456" s="746"/>
      <c r="Y456" s="799"/>
      <c r="Z456" s="799"/>
      <c r="AA456" s="799"/>
      <c r="AB456" s="799"/>
      <c r="AC456" s="799"/>
      <c r="AD456" s="750"/>
      <c r="AE456" s="749"/>
      <c r="AF456" s="749"/>
      <c r="AG456" s="749"/>
      <c r="AH456" s="749"/>
      <c r="AI456" s="749"/>
      <c r="AJ456" s="749"/>
      <c r="AK456" s="749"/>
      <c r="AL456" s="749"/>
      <c r="AM456" s="749"/>
      <c r="AN456" s="749"/>
      <c r="AO456" s="749"/>
      <c r="AP456" s="749"/>
      <c r="AQ456" s="749"/>
      <c r="AR456" s="749"/>
      <c r="AS456" s="749"/>
      <c r="AT456" s="749"/>
      <c r="AU456" s="749"/>
      <c r="AV456" s="749"/>
      <c r="AW456" s="749"/>
      <c r="AX456" s="749"/>
      <c r="AY456" s="749"/>
      <c r="AZ456" s="749"/>
      <c r="BA456" s="749"/>
      <c r="BB456" s="749"/>
      <c r="BC456" s="749"/>
      <c r="BD456" s="749"/>
      <c r="BE456" s="749"/>
      <c r="BF456" s="749"/>
      <c r="BG456" s="749"/>
      <c r="BH456" s="749"/>
      <c r="BI456" s="749"/>
      <c r="BJ456" s="749"/>
      <c r="BK456" s="749"/>
      <c r="BL456" s="749"/>
    </row>
    <row r="457">
      <c r="A457" s="866"/>
      <c r="B457" s="867"/>
      <c r="C457" s="866"/>
      <c r="D457" s="866"/>
      <c r="E457" s="866"/>
      <c r="F457" s="866"/>
      <c r="G457" s="866"/>
      <c r="H457" s="866"/>
      <c r="I457" s="866"/>
      <c r="J457" s="868"/>
      <c r="K457" s="868"/>
      <c r="L457" s="799"/>
      <c r="M457" s="747"/>
      <c r="N457" s="744"/>
      <c r="O457" s="744"/>
      <c r="P457" s="744"/>
      <c r="Q457" s="744"/>
      <c r="R457" s="744"/>
      <c r="S457" s="744"/>
      <c r="T457" s="855"/>
      <c r="U457" s="746"/>
      <c r="V457" s="746"/>
      <c r="W457" s="746"/>
      <c r="X457" s="746"/>
      <c r="Y457" s="799"/>
      <c r="Z457" s="799"/>
      <c r="AA457" s="799"/>
      <c r="AB457" s="799"/>
      <c r="AC457" s="799"/>
      <c r="AD457" s="750"/>
      <c r="AE457" s="749"/>
      <c r="AF457" s="749"/>
      <c r="AG457" s="749"/>
      <c r="AH457" s="749"/>
      <c r="AI457" s="749"/>
      <c r="AJ457" s="749"/>
      <c r="AK457" s="749"/>
      <c r="AL457" s="749"/>
      <c r="AM457" s="749"/>
      <c r="AN457" s="749"/>
      <c r="AO457" s="749"/>
      <c r="AP457" s="749"/>
      <c r="AQ457" s="749"/>
      <c r="AR457" s="749"/>
      <c r="AS457" s="749"/>
      <c r="AT457" s="749"/>
      <c r="AU457" s="749"/>
      <c r="AV457" s="749"/>
      <c r="AW457" s="749"/>
      <c r="AX457" s="749"/>
      <c r="AY457" s="749"/>
      <c r="AZ457" s="749"/>
      <c r="BA457" s="749"/>
      <c r="BB457" s="749"/>
      <c r="BC457" s="749"/>
      <c r="BD457" s="749"/>
      <c r="BE457" s="749"/>
      <c r="BF457" s="749"/>
      <c r="BG457" s="749"/>
      <c r="BH457" s="749"/>
      <c r="BI457" s="749"/>
      <c r="BJ457" s="749"/>
      <c r="BK457" s="749"/>
      <c r="BL457" s="749"/>
    </row>
    <row r="458">
      <c r="A458" s="866"/>
      <c r="B458" s="867"/>
      <c r="C458" s="866"/>
      <c r="D458" s="866"/>
      <c r="E458" s="866"/>
      <c r="F458" s="866"/>
      <c r="G458" s="866"/>
      <c r="H458" s="866"/>
      <c r="I458" s="866"/>
      <c r="J458" s="868"/>
      <c r="K458" s="868"/>
      <c r="L458" s="799"/>
      <c r="M458" s="747"/>
      <c r="N458" s="744"/>
      <c r="O458" s="744"/>
      <c r="P458" s="744"/>
      <c r="Q458" s="744"/>
      <c r="R458" s="744"/>
      <c r="S458" s="744"/>
      <c r="T458" s="855"/>
      <c r="U458" s="746"/>
      <c r="V458" s="746"/>
      <c r="W458" s="746"/>
      <c r="X458" s="746"/>
      <c r="Y458" s="799"/>
      <c r="Z458" s="799"/>
      <c r="AA458" s="799"/>
      <c r="AB458" s="799"/>
      <c r="AC458" s="799"/>
      <c r="AD458" s="750"/>
      <c r="AE458" s="749"/>
      <c r="AF458" s="749"/>
      <c r="AG458" s="749"/>
      <c r="AH458" s="749"/>
      <c r="AI458" s="749"/>
      <c r="AJ458" s="749"/>
      <c r="AK458" s="749"/>
      <c r="AL458" s="749"/>
      <c r="AM458" s="749"/>
      <c r="AN458" s="749"/>
      <c r="AO458" s="749"/>
      <c r="AP458" s="749"/>
      <c r="AQ458" s="749"/>
      <c r="AR458" s="749"/>
      <c r="AS458" s="749"/>
      <c r="AT458" s="749"/>
      <c r="AU458" s="749"/>
      <c r="AV458" s="749"/>
      <c r="AW458" s="749"/>
      <c r="AX458" s="749"/>
      <c r="AY458" s="749"/>
      <c r="AZ458" s="749"/>
      <c r="BA458" s="749"/>
      <c r="BB458" s="749"/>
      <c r="BC458" s="749"/>
      <c r="BD458" s="749"/>
      <c r="BE458" s="749"/>
      <c r="BF458" s="749"/>
      <c r="BG458" s="749"/>
      <c r="BH458" s="749"/>
      <c r="BI458" s="749"/>
      <c r="BJ458" s="749"/>
      <c r="BK458" s="749"/>
      <c r="BL458" s="749"/>
    </row>
    <row r="459">
      <c r="A459" s="866"/>
      <c r="B459" s="867"/>
      <c r="C459" s="866"/>
      <c r="D459" s="866"/>
      <c r="E459" s="866"/>
      <c r="F459" s="866"/>
      <c r="G459" s="866"/>
      <c r="H459" s="866"/>
      <c r="I459" s="866"/>
      <c r="J459" s="868"/>
      <c r="K459" s="868"/>
      <c r="L459" s="799"/>
      <c r="M459" s="747"/>
      <c r="N459" s="744"/>
      <c r="O459" s="744"/>
      <c r="P459" s="744"/>
      <c r="Q459" s="744"/>
      <c r="R459" s="744"/>
      <c r="S459" s="744"/>
      <c r="T459" s="855"/>
      <c r="U459" s="746"/>
      <c r="V459" s="746"/>
      <c r="W459" s="746"/>
      <c r="X459" s="746"/>
      <c r="Y459" s="799"/>
      <c r="Z459" s="799"/>
      <c r="AA459" s="799"/>
      <c r="AB459" s="799"/>
      <c r="AC459" s="799"/>
      <c r="AD459" s="750"/>
      <c r="AE459" s="749"/>
      <c r="AF459" s="749"/>
      <c r="AG459" s="749"/>
      <c r="AH459" s="749"/>
      <c r="AI459" s="749"/>
      <c r="AJ459" s="749"/>
      <c r="AK459" s="749"/>
      <c r="AL459" s="749"/>
      <c r="AM459" s="749"/>
      <c r="AN459" s="749"/>
      <c r="AO459" s="749"/>
      <c r="AP459" s="749"/>
      <c r="AQ459" s="749"/>
      <c r="AR459" s="749"/>
      <c r="AS459" s="749"/>
      <c r="AT459" s="749"/>
      <c r="AU459" s="749"/>
      <c r="AV459" s="749"/>
      <c r="AW459" s="749"/>
      <c r="AX459" s="749"/>
      <c r="AY459" s="749"/>
      <c r="AZ459" s="749"/>
      <c r="BA459" s="749"/>
      <c r="BB459" s="749"/>
      <c r="BC459" s="749"/>
      <c r="BD459" s="749"/>
      <c r="BE459" s="749"/>
      <c r="BF459" s="749"/>
      <c r="BG459" s="749"/>
      <c r="BH459" s="749"/>
      <c r="BI459" s="749"/>
      <c r="BJ459" s="749"/>
      <c r="BK459" s="749"/>
      <c r="BL459" s="749"/>
    </row>
    <row r="460">
      <c r="A460" s="866"/>
      <c r="B460" s="867"/>
      <c r="C460" s="866"/>
      <c r="D460" s="866"/>
      <c r="E460" s="866"/>
      <c r="F460" s="866"/>
      <c r="G460" s="866"/>
      <c r="H460" s="866"/>
      <c r="I460" s="866"/>
      <c r="J460" s="868"/>
      <c r="K460" s="868"/>
      <c r="L460" s="799"/>
      <c r="M460" s="747"/>
      <c r="N460" s="744"/>
      <c r="O460" s="744"/>
      <c r="P460" s="744"/>
      <c r="Q460" s="744"/>
      <c r="R460" s="744"/>
      <c r="S460" s="744"/>
      <c r="T460" s="855"/>
      <c r="U460" s="746"/>
      <c r="V460" s="746"/>
      <c r="W460" s="746"/>
      <c r="X460" s="746"/>
      <c r="Y460" s="799"/>
      <c r="Z460" s="799"/>
      <c r="AA460" s="799"/>
      <c r="AB460" s="799"/>
      <c r="AC460" s="799"/>
      <c r="AD460" s="750"/>
      <c r="AE460" s="749"/>
      <c r="AF460" s="749"/>
      <c r="AG460" s="749"/>
      <c r="AH460" s="749"/>
      <c r="AI460" s="749"/>
      <c r="AJ460" s="749"/>
      <c r="AK460" s="749"/>
      <c r="AL460" s="749"/>
      <c r="AM460" s="749"/>
      <c r="AN460" s="749"/>
      <c r="AO460" s="749"/>
      <c r="AP460" s="749"/>
      <c r="AQ460" s="749"/>
      <c r="AR460" s="749"/>
      <c r="AS460" s="749"/>
      <c r="AT460" s="749"/>
      <c r="AU460" s="749"/>
      <c r="AV460" s="749"/>
      <c r="AW460" s="749"/>
      <c r="AX460" s="749"/>
      <c r="AY460" s="749"/>
      <c r="AZ460" s="749"/>
      <c r="BA460" s="749"/>
      <c r="BB460" s="749"/>
      <c r="BC460" s="749"/>
      <c r="BD460" s="749"/>
      <c r="BE460" s="749"/>
      <c r="BF460" s="749"/>
      <c r="BG460" s="749"/>
      <c r="BH460" s="749"/>
      <c r="BI460" s="749"/>
      <c r="BJ460" s="749"/>
      <c r="BK460" s="749"/>
      <c r="BL460" s="749"/>
    </row>
    <row r="461">
      <c r="A461" s="866"/>
      <c r="B461" s="867"/>
      <c r="C461" s="866"/>
      <c r="D461" s="866"/>
      <c r="E461" s="866"/>
      <c r="F461" s="866"/>
      <c r="G461" s="866"/>
      <c r="H461" s="866"/>
      <c r="I461" s="866"/>
      <c r="J461" s="868"/>
      <c r="K461" s="868"/>
      <c r="L461" s="799"/>
      <c r="M461" s="747"/>
      <c r="N461" s="744"/>
      <c r="O461" s="744"/>
      <c r="P461" s="744"/>
      <c r="Q461" s="744"/>
      <c r="R461" s="744"/>
      <c r="S461" s="744"/>
      <c r="T461" s="855"/>
      <c r="U461" s="746"/>
      <c r="V461" s="746"/>
      <c r="W461" s="746"/>
      <c r="X461" s="746"/>
      <c r="Y461" s="799"/>
      <c r="Z461" s="799"/>
      <c r="AA461" s="799"/>
      <c r="AB461" s="799"/>
      <c r="AC461" s="799"/>
      <c r="AD461" s="750"/>
      <c r="AE461" s="749"/>
      <c r="AF461" s="749"/>
      <c r="AG461" s="749"/>
      <c r="AH461" s="749"/>
      <c r="AI461" s="749"/>
      <c r="AJ461" s="749"/>
      <c r="AK461" s="749"/>
      <c r="AL461" s="749"/>
      <c r="AM461" s="749"/>
      <c r="AN461" s="749"/>
      <c r="AO461" s="749"/>
      <c r="AP461" s="749"/>
      <c r="AQ461" s="749"/>
      <c r="AR461" s="749"/>
      <c r="AS461" s="749"/>
      <c r="AT461" s="749"/>
      <c r="AU461" s="749"/>
      <c r="AV461" s="749"/>
      <c r="AW461" s="749"/>
      <c r="AX461" s="749"/>
      <c r="AY461" s="749"/>
      <c r="AZ461" s="749"/>
      <c r="BA461" s="749"/>
      <c r="BB461" s="749"/>
      <c r="BC461" s="749"/>
      <c r="BD461" s="749"/>
      <c r="BE461" s="749"/>
      <c r="BF461" s="749"/>
      <c r="BG461" s="749"/>
      <c r="BH461" s="749"/>
      <c r="BI461" s="749"/>
      <c r="BJ461" s="749"/>
      <c r="BK461" s="749"/>
      <c r="BL461" s="749"/>
    </row>
    <row r="462">
      <c r="A462" s="866"/>
      <c r="B462" s="867"/>
      <c r="C462" s="866"/>
      <c r="D462" s="866"/>
      <c r="E462" s="866"/>
      <c r="F462" s="866"/>
      <c r="G462" s="866"/>
      <c r="H462" s="866"/>
      <c r="I462" s="866"/>
      <c r="J462" s="868"/>
      <c r="K462" s="868"/>
      <c r="L462" s="799"/>
      <c r="M462" s="747"/>
      <c r="N462" s="744"/>
      <c r="O462" s="744"/>
      <c r="P462" s="744"/>
      <c r="Q462" s="744"/>
      <c r="R462" s="744"/>
      <c r="S462" s="744"/>
      <c r="T462" s="855"/>
      <c r="U462" s="746"/>
      <c r="V462" s="746"/>
      <c r="W462" s="746"/>
      <c r="X462" s="746"/>
      <c r="Y462" s="799"/>
      <c r="Z462" s="799"/>
      <c r="AA462" s="799"/>
      <c r="AB462" s="799"/>
      <c r="AC462" s="799"/>
      <c r="AD462" s="750"/>
      <c r="AE462" s="749"/>
      <c r="AF462" s="749"/>
      <c r="AG462" s="749"/>
      <c r="AH462" s="749"/>
      <c r="AI462" s="749"/>
      <c r="AJ462" s="749"/>
      <c r="AK462" s="749"/>
      <c r="AL462" s="749"/>
      <c r="AM462" s="749"/>
      <c r="AN462" s="749"/>
      <c r="AO462" s="749"/>
      <c r="AP462" s="749"/>
      <c r="AQ462" s="749"/>
      <c r="AR462" s="749"/>
      <c r="AS462" s="749"/>
      <c r="AT462" s="749"/>
      <c r="AU462" s="749"/>
      <c r="AV462" s="749"/>
      <c r="AW462" s="749"/>
      <c r="AX462" s="749"/>
      <c r="AY462" s="749"/>
      <c r="AZ462" s="749"/>
      <c r="BA462" s="749"/>
      <c r="BB462" s="749"/>
      <c r="BC462" s="749"/>
      <c r="BD462" s="749"/>
      <c r="BE462" s="749"/>
      <c r="BF462" s="749"/>
      <c r="BG462" s="749"/>
      <c r="BH462" s="749"/>
      <c r="BI462" s="749"/>
      <c r="BJ462" s="749"/>
      <c r="BK462" s="749"/>
      <c r="BL462" s="749"/>
    </row>
    <row r="463">
      <c r="A463" s="866"/>
      <c r="B463" s="867"/>
      <c r="C463" s="866"/>
      <c r="D463" s="866"/>
      <c r="E463" s="866"/>
      <c r="F463" s="866"/>
      <c r="G463" s="866"/>
      <c r="H463" s="866"/>
      <c r="I463" s="866"/>
      <c r="J463" s="868"/>
      <c r="K463" s="868"/>
      <c r="L463" s="799"/>
      <c r="M463" s="747"/>
      <c r="N463" s="744"/>
      <c r="O463" s="744"/>
      <c r="P463" s="744"/>
      <c r="Q463" s="744"/>
      <c r="R463" s="744"/>
      <c r="S463" s="744"/>
      <c r="T463" s="855"/>
      <c r="U463" s="746"/>
      <c r="V463" s="746"/>
      <c r="W463" s="746"/>
      <c r="X463" s="746"/>
      <c r="Y463" s="799"/>
      <c r="Z463" s="799"/>
      <c r="AA463" s="799"/>
      <c r="AB463" s="799"/>
      <c r="AC463" s="799"/>
      <c r="AD463" s="750"/>
      <c r="AE463" s="749"/>
      <c r="AF463" s="749"/>
      <c r="AG463" s="749"/>
      <c r="AH463" s="749"/>
      <c r="AI463" s="749"/>
      <c r="AJ463" s="749"/>
      <c r="AK463" s="749"/>
      <c r="AL463" s="749"/>
      <c r="AM463" s="749"/>
      <c r="AN463" s="749"/>
      <c r="AO463" s="749"/>
      <c r="AP463" s="749"/>
      <c r="AQ463" s="749"/>
      <c r="AR463" s="749"/>
      <c r="AS463" s="749"/>
      <c r="AT463" s="749"/>
      <c r="AU463" s="749"/>
      <c r="AV463" s="749"/>
      <c r="AW463" s="749"/>
      <c r="AX463" s="749"/>
      <c r="AY463" s="749"/>
      <c r="AZ463" s="749"/>
      <c r="BA463" s="749"/>
      <c r="BB463" s="749"/>
      <c r="BC463" s="749"/>
      <c r="BD463" s="749"/>
      <c r="BE463" s="749"/>
      <c r="BF463" s="749"/>
      <c r="BG463" s="749"/>
      <c r="BH463" s="749"/>
      <c r="BI463" s="749"/>
      <c r="BJ463" s="749"/>
      <c r="BK463" s="749"/>
      <c r="BL463" s="749"/>
    </row>
    <row r="464">
      <c r="A464" s="866"/>
      <c r="B464" s="867"/>
      <c r="C464" s="866"/>
      <c r="D464" s="866"/>
      <c r="E464" s="866"/>
      <c r="F464" s="866"/>
      <c r="G464" s="866"/>
      <c r="H464" s="866"/>
      <c r="I464" s="866"/>
      <c r="J464" s="868"/>
      <c r="K464" s="868"/>
      <c r="L464" s="799"/>
      <c r="M464" s="747"/>
      <c r="N464" s="744"/>
      <c r="O464" s="744"/>
      <c r="P464" s="744"/>
      <c r="Q464" s="744"/>
      <c r="R464" s="744"/>
      <c r="S464" s="744"/>
      <c r="T464" s="855"/>
      <c r="U464" s="746"/>
      <c r="V464" s="746"/>
      <c r="W464" s="746"/>
      <c r="X464" s="746"/>
      <c r="Y464" s="799"/>
      <c r="Z464" s="799"/>
      <c r="AA464" s="799"/>
      <c r="AB464" s="799"/>
      <c r="AC464" s="799"/>
      <c r="AD464" s="750"/>
      <c r="AE464" s="749"/>
      <c r="AF464" s="749"/>
      <c r="AG464" s="749"/>
      <c r="AH464" s="749"/>
      <c r="AI464" s="749"/>
      <c r="AJ464" s="749"/>
      <c r="AK464" s="749"/>
      <c r="AL464" s="749"/>
      <c r="AM464" s="749"/>
      <c r="AN464" s="749"/>
      <c r="AO464" s="749"/>
      <c r="AP464" s="749"/>
      <c r="AQ464" s="749"/>
      <c r="AR464" s="749"/>
      <c r="AS464" s="749"/>
      <c r="AT464" s="749"/>
      <c r="AU464" s="749"/>
      <c r="AV464" s="749"/>
      <c r="AW464" s="749"/>
      <c r="AX464" s="749"/>
      <c r="AY464" s="749"/>
      <c r="AZ464" s="749"/>
      <c r="BA464" s="749"/>
      <c r="BB464" s="749"/>
      <c r="BC464" s="749"/>
      <c r="BD464" s="749"/>
      <c r="BE464" s="749"/>
      <c r="BF464" s="749"/>
      <c r="BG464" s="749"/>
      <c r="BH464" s="749"/>
      <c r="BI464" s="749"/>
      <c r="BJ464" s="749"/>
      <c r="BK464" s="749"/>
      <c r="BL464" s="749"/>
    </row>
    <row r="465">
      <c r="A465" s="866"/>
      <c r="B465" s="867"/>
      <c r="C465" s="866"/>
      <c r="D465" s="866"/>
      <c r="E465" s="866"/>
      <c r="F465" s="866"/>
      <c r="G465" s="866"/>
      <c r="H465" s="866"/>
      <c r="I465" s="866"/>
      <c r="J465" s="868"/>
      <c r="K465" s="868"/>
      <c r="L465" s="799"/>
      <c r="M465" s="747"/>
      <c r="N465" s="744"/>
      <c r="O465" s="744"/>
      <c r="P465" s="744"/>
      <c r="Q465" s="744"/>
      <c r="R465" s="744"/>
      <c r="S465" s="744"/>
      <c r="T465" s="855"/>
      <c r="U465" s="746"/>
      <c r="V465" s="746"/>
      <c r="W465" s="746"/>
      <c r="X465" s="746"/>
      <c r="Y465" s="799"/>
      <c r="Z465" s="799"/>
      <c r="AA465" s="799"/>
      <c r="AB465" s="799"/>
      <c r="AC465" s="799"/>
      <c r="AD465" s="750"/>
      <c r="AE465" s="749"/>
      <c r="AF465" s="749"/>
      <c r="AG465" s="749"/>
      <c r="AH465" s="749"/>
      <c r="AI465" s="749"/>
      <c r="AJ465" s="749"/>
      <c r="AK465" s="749"/>
      <c r="AL465" s="749"/>
      <c r="AM465" s="749"/>
      <c r="AN465" s="749"/>
      <c r="AO465" s="749"/>
      <c r="AP465" s="749"/>
      <c r="AQ465" s="749"/>
      <c r="AR465" s="749"/>
      <c r="AS465" s="749"/>
      <c r="AT465" s="749"/>
      <c r="AU465" s="749"/>
      <c r="AV465" s="749"/>
      <c r="AW465" s="749"/>
      <c r="AX465" s="749"/>
      <c r="AY465" s="749"/>
      <c r="AZ465" s="749"/>
      <c r="BA465" s="749"/>
      <c r="BB465" s="749"/>
      <c r="BC465" s="749"/>
      <c r="BD465" s="749"/>
      <c r="BE465" s="749"/>
      <c r="BF465" s="749"/>
      <c r="BG465" s="749"/>
      <c r="BH465" s="749"/>
      <c r="BI465" s="749"/>
      <c r="BJ465" s="749"/>
      <c r="BK465" s="749"/>
      <c r="BL465" s="749"/>
    </row>
    <row r="466">
      <c r="A466" s="866"/>
      <c r="B466" s="867"/>
      <c r="C466" s="866"/>
      <c r="D466" s="866"/>
      <c r="E466" s="866"/>
      <c r="F466" s="866"/>
      <c r="G466" s="866"/>
      <c r="H466" s="866"/>
      <c r="I466" s="866"/>
      <c r="J466" s="868"/>
      <c r="K466" s="868"/>
      <c r="L466" s="799"/>
      <c r="M466" s="747"/>
      <c r="N466" s="744"/>
      <c r="O466" s="744"/>
      <c r="P466" s="744"/>
      <c r="Q466" s="744"/>
      <c r="R466" s="744"/>
      <c r="S466" s="744"/>
      <c r="T466" s="855"/>
      <c r="U466" s="746"/>
      <c r="V466" s="746"/>
      <c r="W466" s="746"/>
      <c r="X466" s="746"/>
      <c r="Y466" s="799"/>
      <c r="Z466" s="799"/>
      <c r="AA466" s="799"/>
      <c r="AB466" s="799"/>
      <c r="AC466" s="799"/>
      <c r="AD466" s="750"/>
      <c r="AE466" s="749"/>
      <c r="AF466" s="749"/>
      <c r="AG466" s="749"/>
      <c r="AH466" s="749"/>
      <c r="AI466" s="749"/>
      <c r="AJ466" s="749"/>
      <c r="AK466" s="749"/>
      <c r="AL466" s="749"/>
      <c r="AM466" s="749"/>
      <c r="AN466" s="749"/>
      <c r="AO466" s="749"/>
      <c r="AP466" s="749"/>
      <c r="AQ466" s="749"/>
      <c r="AR466" s="749"/>
      <c r="AS466" s="749"/>
      <c r="AT466" s="749"/>
      <c r="AU466" s="749"/>
      <c r="AV466" s="749"/>
      <c r="AW466" s="749"/>
      <c r="AX466" s="749"/>
      <c r="AY466" s="749"/>
      <c r="AZ466" s="749"/>
      <c r="BA466" s="749"/>
      <c r="BB466" s="749"/>
      <c r="BC466" s="749"/>
      <c r="BD466" s="749"/>
      <c r="BE466" s="749"/>
      <c r="BF466" s="749"/>
      <c r="BG466" s="749"/>
      <c r="BH466" s="749"/>
      <c r="BI466" s="749"/>
      <c r="BJ466" s="749"/>
      <c r="BK466" s="749"/>
      <c r="BL466" s="749"/>
    </row>
    <row r="467">
      <c r="A467" s="866"/>
      <c r="B467" s="867"/>
      <c r="C467" s="866"/>
      <c r="D467" s="866"/>
      <c r="E467" s="866"/>
      <c r="F467" s="866"/>
      <c r="G467" s="866"/>
      <c r="H467" s="866"/>
      <c r="I467" s="866"/>
      <c r="J467" s="868"/>
      <c r="K467" s="868"/>
      <c r="L467" s="799"/>
      <c r="M467" s="747"/>
      <c r="N467" s="744"/>
      <c r="O467" s="744"/>
      <c r="P467" s="744"/>
      <c r="Q467" s="744"/>
      <c r="R467" s="744"/>
      <c r="S467" s="744"/>
      <c r="T467" s="855"/>
      <c r="U467" s="746"/>
      <c r="V467" s="746"/>
      <c r="W467" s="746"/>
      <c r="X467" s="746"/>
      <c r="Y467" s="799"/>
      <c r="Z467" s="799"/>
      <c r="AA467" s="799"/>
      <c r="AB467" s="799"/>
      <c r="AC467" s="799"/>
      <c r="AD467" s="750"/>
      <c r="AE467" s="749"/>
      <c r="AF467" s="749"/>
      <c r="AG467" s="749"/>
      <c r="AH467" s="749"/>
      <c r="AI467" s="749"/>
      <c r="AJ467" s="749"/>
      <c r="AK467" s="749"/>
      <c r="AL467" s="749"/>
      <c r="AM467" s="749"/>
      <c r="AN467" s="749"/>
      <c r="AO467" s="749"/>
      <c r="AP467" s="749"/>
      <c r="AQ467" s="749"/>
      <c r="AR467" s="749"/>
      <c r="AS467" s="749"/>
      <c r="AT467" s="749"/>
      <c r="AU467" s="749"/>
      <c r="AV467" s="749"/>
      <c r="AW467" s="749"/>
      <c r="AX467" s="749"/>
      <c r="AY467" s="749"/>
      <c r="AZ467" s="749"/>
      <c r="BA467" s="749"/>
      <c r="BB467" s="749"/>
      <c r="BC467" s="749"/>
      <c r="BD467" s="749"/>
      <c r="BE467" s="749"/>
      <c r="BF467" s="749"/>
      <c r="BG467" s="749"/>
      <c r="BH467" s="749"/>
      <c r="BI467" s="749"/>
      <c r="BJ467" s="749"/>
      <c r="BK467" s="749"/>
      <c r="BL467" s="749"/>
    </row>
    <row r="468">
      <c r="A468" s="866"/>
      <c r="B468" s="867"/>
      <c r="C468" s="866"/>
      <c r="D468" s="866"/>
      <c r="E468" s="866"/>
      <c r="F468" s="866"/>
      <c r="G468" s="866"/>
      <c r="H468" s="866"/>
      <c r="I468" s="866"/>
      <c r="J468" s="868"/>
      <c r="K468" s="868"/>
      <c r="L468" s="799"/>
      <c r="M468" s="747"/>
      <c r="N468" s="744"/>
      <c r="O468" s="744"/>
      <c r="P468" s="744"/>
      <c r="Q468" s="744"/>
      <c r="R468" s="744"/>
      <c r="S468" s="744"/>
      <c r="T468" s="855"/>
      <c r="U468" s="746"/>
      <c r="V468" s="746"/>
      <c r="W468" s="746"/>
      <c r="X468" s="746"/>
      <c r="Y468" s="799"/>
      <c r="Z468" s="799"/>
      <c r="AA468" s="799"/>
      <c r="AB468" s="799"/>
      <c r="AC468" s="799"/>
      <c r="AD468" s="750"/>
      <c r="AE468" s="749"/>
      <c r="AF468" s="749"/>
      <c r="AG468" s="749"/>
      <c r="AH468" s="749"/>
      <c r="AI468" s="749"/>
      <c r="AJ468" s="749"/>
      <c r="AK468" s="749"/>
      <c r="AL468" s="749"/>
      <c r="AM468" s="749"/>
      <c r="AN468" s="749"/>
      <c r="AO468" s="749"/>
      <c r="AP468" s="749"/>
      <c r="AQ468" s="749"/>
      <c r="AR468" s="749"/>
      <c r="AS468" s="749"/>
      <c r="AT468" s="749"/>
      <c r="AU468" s="749"/>
      <c r="AV468" s="749"/>
      <c r="AW468" s="749"/>
      <c r="AX468" s="749"/>
      <c r="AY468" s="749"/>
      <c r="AZ468" s="749"/>
      <c r="BA468" s="749"/>
      <c r="BB468" s="749"/>
      <c r="BC468" s="749"/>
      <c r="BD468" s="749"/>
      <c r="BE468" s="749"/>
      <c r="BF468" s="749"/>
      <c r="BG468" s="749"/>
      <c r="BH468" s="749"/>
      <c r="BI468" s="749"/>
      <c r="BJ468" s="749"/>
      <c r="BK468" s="749"/>
      <c r="BL468" s="749"/>
    </row>
    <row r="469">
      <c r="A469" s="866"/>
      <c r="B469" s="867"/>
      <c r="C469" s="866"/>
      <c r="D469" s="866"/>
      <c r="E469" s="866"/>
      <c r="F469" s="866"/>
      <c r="G469" s="866"/>
      <c r="H469" s="866"/>
      <c r="I469" s="866"/>
      <c r="J469" s="868"/>
      <c r="K469" s="868"/>
      <c r="L469" s="799"/>
      <c r="M469" s="747"/>
      <c r="N469" s="744"/>
      <c r="O469" s="744"/>
      <c r="P469" s="744"/>
      <c r="Q469" s="744"/>
      <c r="R469" s="744"/>
      <c r="S469" s="744"/>
      <c r="T469" s="855"/>
      <c r="U469" s="746"/>
      <c r="V469" s="746"/>
      <c r="W469" s="746"/>
      <c r="X469" s="746"/>
      <c r="Y469" s="799"/>
      <c r="Z469" s="799"/>
      <c r="AA469" s="799"/>
      <c r="AB469" s="799"/>
      <c r="AC469" s="799"/>
      <c r="AD469" s="750"/>
      <c r="AE469" s="749"/>
      <c r="AF469" s="749"/>
      <c r="AG469" s="749"/>
      <c r="AH469" s="749"/>
      <c r="AI469" s="749"/>
      <c r="AJ469" s="749"/>
      <c r="AK469" s="749"/>
      <c r="AL469" s="749"/>
      <c r="AM469" s="749"/>
      <c r="AN469" s="749"/>
      <c r="AO469" s="749"/>
      <c r="AP469" s="749"/>
      <c r="AQ469" s="749"/>
      <c r="AR469" s="749"/>
      <c r="AS469" s="749"/>
      <c r="AT469" s="749"/>
      <c r="AU469" s="749"/>
      <c r="AV469" s="749"/>
      <c r="AW469" s="749"/>
      <c r="AX469" s="749"/>
      <c r="AY469" s="749"/>
      <c r="AZ469" s="749"/>
      <c r="BA469" s="749"/>
      <c r="BB469" s="749"/>
      <c r="BC469" s="749"/>
      <c r="BD469" s="749"/>
      <c r="BE469" s="749"/>
      <c r="BF469" s="749"/>
      <c r="BG469" s="749"/>
      <c r="BH469" s="749"/>
      <c r="BI469" s="749"/>
      <c r="BJ469" s="749"/>
      <c r="BK469" s="749"/>
      <c r="BL469" s="749"/>
    </row>
    <row r="470">
      <c r="A470" s="866"/>
      <c r="B470" s="867"/>
      <c r="C470" s="866"/>
      <c r="D470" s="866"/>
      <c r="E470" s="866"/>
      <c r="F470" s="866"/>
      <c r="G470" s="866"/>
      <c r="H470" s="866"/>
      <c r="I470" s="866"/>
      <c r="J470" s="868"/>
      <c r="K470" s="868"/>
      <c r="L470" s="799"/>
      <c r="M470" s="747"/>
      <c r="N470" s="744"/>
      <c r="O470" s="744"/>
      <c r="P470" s="744"/>
      <c r="Q470" s="744"/>
      <c r="R470" s="744"/>
      <c r="S470" s="744"/>
      <c r="T470" s="855"/>
      <c r="U470" s="746"/>
      <c r="V470" s="746"/>
      <c r="W470" s="746"/>
      <c r="X470" s="746"/>
      <c r="Y470" s="799"/>
      <c r="Z470" s="799"/>
      <c r="AA470" s="799"/>
      <c r="AB470" s="799"/>
      <c r="AC470" s="799"/>
      <c r="AD470" s="750"/>
      <c r="AE470" s="749"/>
      <c r="AF470" s="749"/>
      <c r="AG470" s="749"/>
      <c r="AH470" s="749"/>
      <c r="AI470" s="749"/>
      <c r="AJ470" s="749"/>
      <c r="AK470" s="749"/>
      <c r="AL470" s="749"/>
      <c r="AM470" s="749"/>
      <c r="AN470" s="749"/>
      <c r="AO470" s="749"/>
      <c r="AP470" s="749"/>
      <c r="AQ470" s="749"/>
      <c r="AR470" s="749"/>
      <c r="AS470" s="749"/>
      <c r="AT470" s="749"/>
      <c r="AU470" s="749"/>
      <c r="AV470" s="749"/>
      <c r="AW470" s="749"/>
      <c r="AX470" s="749"/>
      <c r="AY470" s="749"/>
      <c r="AZ470" s="749"/>
      <c r="BA470" s="749"/>
      <c r="BB470" s="749"/>
      <c r="BC470" s="749"/>
      <c r="BD470" s="749"/>
      <c r="BE470" s="749"/>
      <c r="BF470" s="749"/>
      <c r="BG470" s="749"/>
      <c r="BH470" s="749"/>
      <c r="BI470" s="749"/>
      <c r="BJ470" s="749"/>
      <c r="BK470" s="749"/>
      <c r="BL470" s="749"/>
    </row>
    <row r="471">
      <c r="A471" s="866"/>
      <c r="B471" s="867"/>
      <c r="C471" s="866"/>
      <c r="D471" s="866"/>
      <c r="E471" s="866"/>
      <c r="F471" s="866"/>
      <c r="G471" s="866"/>
      <c r="H471" s="866"/>
      <c r="I471" s="866"/>
      <c r="J471" s="868"/>
      <c r="K471" s="868"/>
      <c r="L471" s="799"/>
      <c r="M471" s="747"/>
      <c r="N471" s="744"/>
      <c r="O471" s="744"/>
      <c r="P471" s="744"/>
      <c r="Q471" s="744"/>
      <c r="R471" s="744"/>
      <c r="S471" s="744"/>
      <c r="T471" s="855"/>
      <c r="U471" s="746"/>
      <c r="V471" s="746"/>
      <c r="W471" s="746"/>
      <c r="X471" s="746"/>
      <c r="Y471" s="799"/>
      <c r="Z471" s="799"/>
      <c r="AA471" s="799"/>
      <c r="AB471" s="799"/>
      <c r="AC471" s="799"/>
      <c r="AD471" s="750"/>
      <c r="AE471" s="749"/>
      <c r="AF471" s="749"/>
      <c r="AG471" s="749"/>
      <c r="AH471" s="749"/>
      <c r="AI471" s="749"/>
      <c r="AJ471" s="749"/>
      <c r="AK471" s="749"/>
      <c r="AL471" s="749"/>
      <c r="AM471" s="749"/>
      <c r="AN471" s="749"/>
      <c r="AO471" s="749"/>
      <c r="AP471" s="749"/>
      <c r="AQ471" s="749"/>
      <c r="AR471" s="749"/>
      <c r="AS471" s="749"/>
      <c r="AT471" s="749"/>
      <c r="AU471" s="749"/>
      <c r="AV471" s="749"/>
      <c r="AW471" s="749"/>
      <c r="AX471" s="749"/>
      <c r="AY471" s="749"/>
      <c r="AZ471" s="749"/>
      <c r="BA471" s="749"/>
      <c r="BB471" s="749"/>
      <c r="BC471" s="749"/>
      <c r="BD471" s="749"/>
      <c r="BE471" s="749"/>
      <c r="BF471" s="749"/>
      <c r="BG471" s="749"/>
      <c r="BH471" s="749"/>
      <c r="BI471" s="749"/>
      <c r="BJ471" s="749"/>
      <c r="BK471" s="749"/>
      <c r="BL471" s="749"/>
    </row>
    <row r="472">
      <c r="A472" s="866"/>
      <c r="B472" s="867"/>
      <c r="C472" s="866"/>
      <c r="D472" s="866"/>
      <c r="E472" s="866"/>
      <c r="F472" s="866"/>
      <c r="G472" s="866"/>
      <c r="H472" s="866"/>
      <c r="I472" s="866"/>
      <c r="J472" s="868"/>
      <c r="K472" s="868"/>
      <c r="L472" s="799"/>
      <c r="M472" s="747"/>
      <c r="N472" s="744"/>
      <c r="O472" s="744"/>
      <c r="P472" s="744"/>
      <c r="Q472" s="744"/>
      <c r="R472" s="744"/>
      <c r="S472" s="744"/>
      <c r="T472" s="855"/>
      <c r="U472" s="746"/>
      <c r="V472" s="746"/>
      <c r="W472" s="746"/>
      <c r="X472" s="746"/>
      <c r="Y472" s="799"/>
      <c r="Z472" s="799"/>
      <c r="AA472" s="799"/>
      <c r="AB472" s="799"/>
      <c r="AC472" s="799"/>
      <c r="AD472" s="750"/>
      <c r="AE472" s="749"/>
      <c r="AF472" s="749"/>
      <c r="AG472" s="749"/>
      <c r="AH472" s="749"/>
      <c r="AI472" s="749"/>
      <c r="AJ472" s="749"/>
      <c r="AK472" s="749"/>
      <c r="AL472" s="749"/>
      <c r="AM472" s="749"/>
      <c r="AN472" s="749"/>
      <c r="AO472" s="749"/>
      <c r="AP472" s="749"/>
      <c r="AQ472" s="749"/>
      <c r="AR472" s="749"/>
      <c r="AS472" s="749"/>
      <c r="AT472" s="749"/>
      <c r="AU472" s="749"/>
      <c r="AV472" s="749"/>
      <c r="AW472" s="749"/>
      <c r="AX472" s="749"/>
      <c r="AY472" s="749"/>
      <c r="AZ472" s="749"/>
      <c r="BA472" s="749"/>
      <c r="BB472" s="749"/>
      <c r="BC472" s="749"/>
      <c r="BD472" s="749"/>
      <c r="BE472" s="749"/>
      <c r="BF472" s="749"/>
      <c r="BG472" s="749"/>
      <c r="BH472" s="749"/>
      <c r="BI472" s="749"/>
      <c r="BJ472" s="749"/>
      <c r="BK472" s="749"/>
      <c r="BL472" s="749"/>
    </row>
    <row r="473">
      <c r="A473" s="866"/>
      <c r="B473" s="867"/>
      <c r="C473" s="866"/>
      <c r="D473" s="866"/>
      <c r="E473" s="866"/>
      <c r="F473" s="866"/>
      <c r="G473" s="866"/>
      <c r="H473" s="866"/>
      <c r="I473" s="866"/>
      <c r="J473" s="868"/>
      <c r="K473" s="868"/>
      <c r="L473" s="799"/>
      <c r="M473" s="747"/>
      <c r="N473" s="744"/>
      <c r="O473" s="744"/>
      <c r="P473" s="744"/>
      <c r="Q473" s="744"/>
      <c r="R473" s="744"/>
      <c r="S473" s="744"/>
      <c r="T473" s="855"/>
      <c r="U473" s="746"/>
      <c r="V473" s="746"/>
      <c r="W473" s="746"/>
      <c r="X473" s="746"/>
      <c r="Y473" s="799"/>
      <c r="Z473" s="799"/>
      <c r="AA473" s="799"/>
      <c r="AB473" s="799"/>
      <c r="AC473" s="799"/>
      <c r="AD473" s="750"/>
      <c r="AE473" s="749"/>
      <c r="AF473" s="749"/>
      <c r="AG473" s="749"/>
      <c r="AH473" s="749"/>
      <c r="AI473" s="749"/>
      <c r="AJ473" s="749"/>
      <c r="AK473" s="749"/>
      <c r="AL473" s="749"/>
      <c r="AM473" s="749"/>
      <c r="AN473" s="749"/>
      <c r="AO473" s="749"/>
      <c r="AP473" s="749"/>
      <c r="AQ473" s="749"/>
      <c r="AR473" s="749"/>
      <c r="AS473" s="749"/>
      <c r="AT473" s="749"/>
      <c r="AU473" s="749"/>
      <c r="AV473" s="749"/>
      <c r="AW473" s="749"/>
      <c r="AX473" s="749"/>
      <c r="AY473" s="749"/>
      <c r="AZ473" s="749"/>
      <c r="BA473" s="749"/>
      <c r="BB473" s="749"/>
      <c r="BC473" s="749"/>
      <c r="BD473" s="749"/>
      <c r="BE473" s="749"/>
      <c r="BF473" s="749"/>
      <c r="BG473" s="749"/>
      <c r="BH473" s="749"/>
      <c r="BI473" s="749"/>
      <c r="BJ473" s="749"/>
      <c r="BK473" s="749"/>
      <c r="BL473" s="749"/>
    </row>
    <row r="474">
      <c r="A474" s="866"/>
      <c r="B474" s="867"/>
      <c r="C474" s="866"/>
      <c r="D474" s="866"/>
      <c r="E474" s="866"/>
      <c r="F474" s="866"/>
      <c r="G474" s="866"/>
      <c r="H474" s="866"/>
      <c r="I474" s="866"/>
      <c r="J474" s="868"/>
      <c r="K474" s="868"/>
      <c r="L474" s="799"/>
      <c r="M474" s="747"/>
      <c r="N474" s="744"/>
      <c r="O474" s="744"/>
      <c r="P474" s="744"/>
      <c r="Q474" s="744"/>
      <c r="R474" s="744"/>
      <c r="S474" s="744"/>
      <c r="T474" s="855"/>
      <c r="U474" s="746"/>
      <c r="V474" s="746"/>
      <c r="W474" s="746"/>
      <c r="X474" s="746"/>
      <c r="Y474" s="799"/>
      <c r="Z474" s="799"/>
      <c r="AA474" s="799"/>
      <c r="AB474" s="799"/>
      <c r="AC474" s="799"/>
      <c r="AD474" s="750"/>
      <c r="AE474" s="749"/>
      <c r="AF474" s="749"/>
      <c r="AG474" s="749"/>
      <c r="AH474" s="749"/>
      <c r="AI474" s="749"/>
      <c r="AJ474" s="749"/>
      <c r="AK474" s="749"/>
      <c r="AL474" s="749"/>
      <c r="AM474" s="749"/>
      <c r="AN474" s="749"/>
      <c r="AO474" s="749"/>
      <c r="AP474" s="749"/>
      <c r="AQ474" s="749"/>
      <c r="AR474" s="749"/>
      <c r="AS474" s="749"/>
      <c r="AT474" s="749"/>
      <c r="AU474" s="749"/>
      <c r="AV474" s="749"/>
      <c r="AW474" s="749"/>
      <c r="AX474" s="749"/>
      <c r="AY474" s="749"/>
      <c r="AZ474" s="749"/>
      <c r="BA474" s="749"/>
      <c r="BB474" s="749"/>
      <c r="BC474" s="749"/>
      <c r="BD474" s="749"/>
      <c r="BE474" s="749"/>
      <c r="BF474" s="749"/>
      <c r="BG474" s="749"/>
      <c r="BH474" s="749"/>
      <c r="BI474" s="749"/>
      <c r="BJ474" s="749"/>
      <c r="BK474" s="749"/>
      <c r="BL474" s="749"/>
    </row>
    <row r="475">
      <c r="A475" s="866"/>
      <c r="B475" s="867"/>
      <c r="C475" s="866"/>
      <c r="D475" s="866"/>
      <c r="E475" s="866"/>
      <c r="F475" s="866"/>
      <c r="G475" s="866"/>
      <c r="H475" s="866"/>
      <c r="I475" s="866"/>
      <c r="J475" s="868"/>
      <c r="K475" s="868"/>
      <c r="L475" s="799"/>
      <c r="M475" s="747"/>
      <c r="N475" s="744"/>
      <c r="O475" s="744"/>
      <c r="P475" s="744"/>
      <c r="Q475" s="744"/>
      <c r="R475" s="744"/>
      <c r="S475" s="744"/>
      <c r="T475" s="855"/>
      <c r="U475" s="746"/>
      <c r="V475" s="746"/>
      <c r="W475" s="746"/>
      <c r="X475" s="746"/>
      <c r="Y475" s="799"/>
      <c r="Z475" s="799"/>
      <c r="AA475" s="799"/>
      <c r="AB475" s="799"/>
      <c r="AC475" s="799"/>
      <c r="AD475" s="750"/>
      <c r="AE475" s="749"/>
      <c r="AF475" s="749"/>
      <c r="AG475" s="749"/>
      <c r="AH475" s="749"/>
      <c r="AI475" s="749"/>
      <c r="AJ475" s="749"/>
      <c r="AK475" s="749"/>
      <c r="AL475" s="749"/>
      <c r="AM475" s="749"/>
      <c r="AN475" s="749"/>
      <c r="AO475" s="749"/>
      <c r="AP475" s="749"/>
      <c r="AQ475" s="749"/>
      <c r="AR475" s="749"/>
      <c r="AS475" s="749"/>
      <c r="AT475" s="749"/>
      <c r="AU475" s="749"/>
      <c r="AV475" s="749"/>
      <c r="AW475" s="749"/>
      <c r="AX475" s="749"/>
      <c r="AY475" s="749"/>
      <c r="AZ475" s="749"/>
      <c r="BA475" s="749"/>
      <c r="BB475" s="749"/>
      <c r="BC475" s="749"/>
      <c r="BD475" s="749"/>
      <c r="BE475" s="749"/>
      <c r="BF475" s="749"/>
      <c r="BG475" s="749"/>
      <c r="BH475" s="749"/>
      <c r="BI475" s="749"/>
      <c r="BJ475" s="749"/>
      <c r="BK475" s="749"/>
      <c r="BL475" s="749"/>
    </row>
    <row r="476">
      <c r="A476" s="866"/>
      <c r="B476" s="867"/>
      <c r="C476" s="866"/>
      <c r="D476" s="866"/>
      <c r="E476" s="866"/>
      <c r="F476" s="866"/>
      <c r="G476" s="866"/>
      <c r="H476" s="866"/>
      <c r="I476" s="866"/>
      <c r="J476" s="868"/>
      <c r="K476" s="868"/>
      <c r="L476" s="799"/>
      <c r="M476" s="747"/>
      <c r="N476" s="744"/>
      <c r="O476" s="744"/>
      <c r="P476" s="744"/>
      <c r="Q476" s="744"/>
      <c r="R476" s="744"/>
      <c r="S476" s="744"/>
      <c r="T476" s="855"/>
      <c r="U476" s="746"/>
      <c r="V476" s="746"/>
      <c r="W476" s="746"/>
      <c r="X476" s="746"/>
      <c r="Y476" s="799"/>
      <c r="Z476" s="799"/>
      <c r="AA476" s="799"/>
      <c r="AB476" s="799"/>
      <c r="AC476" s="799"/>
      <c r="AD476" s="750"/>
      <c r="AE476" s="749"/>
      <c r="AF476" s="749"/>
      <c r="AG476" s="749"/>
      <c r="AH476" s="749"/>
      <c r="AI476" s="749"/>
      <c r="AJ476" s="749"/>
      <c r="AK476" s="749"/>
      <c r="AL476" s="749"/>
      <c r="AM476" s="749"/>
      <c r="AN476" s="749"/>
      <c r="AO476" s="749"/>
      <c r="AP476" s="749"/>
      <c r="AQ476" s="749"/>
      <c r="AR476" s="749"/>
      <c r="AS476" s="749"/>
      <c r="AT476" s="749"/>
      <c r="AU476" s="749"/>
      <c r="AV476" s="749"/>
      <c r="AW476" s="749"/>
      <c r="AX476" s="749"/>
      <c r="AY476" s="749"/>
      <c r="AZ476" s="749"/>
      <c r="BA476" s="749"/>
      <c r="BB476" s="749"/>
      <c r="BC476" s="749"/>
      <c r="BD476" s="749"/>
      <c r="BE476" s="749"/>
      <c r="BF476" s="749"/>
      <c r="BG476" s="749"/>
      <c r="BH476" s="749"/>
      <c r="BI476" s="749"/>
      <c r="BJ476" s="749"/>
      <c r="BK476" s="749"/>
      <c r="BL476" s="749"/>
    </row>
    <row r="477">
      <c r="A477" s="866"/>
      <c r="B477" s="867"/>
      <c r="C477" s="866"/>
      <c r="D477" s="866"/>
      <c r="E477" s="866"/>
      <c r="F477" s="866"/>
      <c r="G477" s="866"/>
      <c r="H477" s="866"/>
      <c r="I477" s="866"/>
      <c r="J477" s="868"/>
      <c r="K477" s="868"/>
      <c r="L477" s="799"/>
      <c r="M477" s="747"/>
      <c r="N477" s="744"/>
      <c r="O477" s="744"/>
      <c r="P477" s="744"/>
      <c r="Q477" s="744"/>
      <c r="R477" s="744"/>
      <c r="S477" s="744"/>
      <c r="T477" s="855"/>
      <c r="U477" s="746"/>
      <c r="V477" s="746"/>
      <c r="W477" s="746"/>
      <c r="X477" s="746"/>
      <c r="Y477" s="799"/>
      <c r="Z477" s="799"/>
      <c r="AA477" s="799"/>
      <c r="AB477" s="799"/>
      <c r="AC477" s="799"/>
      <c r="AD477" s="750"/>
      <c r="AE477" s="749"/>
      <c r="AF477" s="749"/>
      <c r="AG477" s="749"/>
      <c r="AH477" s="749"/>
      <c r="AI477" s="749"/>
      <c r="AJ477" s="749"/>
      <c r="AK477" s="749"/>
      <c r="AL477" s="749"/>
      <c r="AM477" s="749"/>
      <c r="AN477" s="749"/>
      <c r="AO477" s="749"/>
      <c r="AP477" s="749"/>
      <c r="AQ477" s="749"/>
      <c r="AR477" s="749"/>
      <c r="AS477" s="749"/>
      <c r="AT477" s="749"/>
      <c r="AU477" s="749"/>
      <c r="AV477" s="749"/>
      <c r="AW477" s="749"/>
      <c r="AX477" s="749"/>
      <c r="AY477" s="749"/>
      <c r="AZ477" s="749"/>
      <c r="BA477" s="749"/>
      <c r="BB477" s="749"/>
      <c r="BC477" s="749"/>
      <c r="BD477" s="749"/>
      <c r="BE477" s="749"/>
      <c r="BF477" s="749"/>
      <c r="BG477" s="749"/>
      <c r="BH477" s="749"/>
      <c r="BI477" s="749"/>
      <c r="BJ477" s="749"/>
      <c r="BK477" s="749"/>
      <c r="BL477" s="749"/>
    </row>
    <row r="478">
      <c r="A478" s="866"/>
      <c r="B478" s="867"/>
      <c r="C478" s="866"/>
      <c r="D478" s="866"/>
      <c r="E478" s="866"/>
      <c r="F478" s="866"/>
      <c r="G478" s="866"/>
      <c r="H478" s="866"/>
      <c r="I478" s="866"/>
      <c r="J478" s="868"/>
      <c r="K478" s="868"/>
      <c r="L478" s="799"/>
      <c r="M478" s="747"/>
      <c r="N478" s="744"/>
      <c r="O478" s="744"/>
      <c r="P478" s="744"/>
      <c r="Q478" s="744"/>
      <c r="R478" s="744"/>
      <c r="S478" s="744"/>
      <c r="T478" s="855"/>
      <c r="U478" s="746"/>
      <c r="V478" s="746"/>
      <c r="W478" s="746"/>
      <c r="X478" s="746"/>
      <c r="Y478" s="799"/>
      <c r="Z478" s="799"/>
      <c r="AA478" s="799"/>
      <c r="AB478" s="799"/>
      <c r="AC478" s="799"/>
      <c r="AD478" s="750"/>
      <c r="AE478" s="749"/>
      <c r="AF478" s="749"/>
      <c r="AG478" s="749"/>
      <c r="AH478" s="749"/>
      <c r="AI478" s="749"/>
      <c r="AJ478" s="749"/>
      <c r="AK478" s="749"/>
      <c r="AL478" s="749"/>
      <c r="AM478" s="749"/>
      <c r="AN478" s="749"/>
      <c r="AO478" s="749"/>
      <c r="AP478" s="749"/>
      <c r="AQ478" s="749"/>
      <c r="AR478" s="749"/>
      <c r="AS478" s="749"/>
      <c r="AT478" s="749"/>
      <c r="AU478" s="749"/>
      <c r="AV478" s="749"/>
      <c r="AW478" s="749"/>
      <c r="AX478" s="749"/>
      <c r="AY478" s="749"/>
      <c r="AZ478" s="749"/>
      <c r="BA478" s="749"/>
      <c r="BB478" s="749"/>
      <c r="BC478" s="749"/>
      <c r="BD478" s="749"/>
      <c r="BE478" s="749"/>
      <c r="BF478" s="749"/>
      <c r="BG478" s="749"/>
      <c r="BH478" s="749"/>
      <c r="BI478" s="749"/>
      <c r="BJ478" s="749"/>
      <c r="BK478" s="749"/>
      <c r="BL478" s="749"/>
    </row>
    <row r="479">
      <c r="A479" s="866"/>
      <c r="B479" s="867"/>
      <c r="C479" s="866"/>
      <c r="D479" s="866"/>
      <c r="E479" s="866"/>
      <c r="F479" s="866"/>
      <c r="G479" s="866"/>
      <c r="H479" s="866"/>
      <c r="I479" s="866"/>
      <c r="J479" s="868"/>
      <c r="K479" s="868"/>
      <c r="L479" s="799"/>
      <c r="M479" s="747"/>
      <c r="N479" s="744"/>
      <c r="O479" s="744"/>
      <c r="P479" s="744"/>
      <c r="Q479" s="744"/>
      <c r="R479" s="744"/>
      <c r="S479" s="744"/>
      <c r="T479" s="855"/>
      <c r="U479" s="746"/>
      <c r="V479" s="746"/>
      <c r="W479" s="746"/>
      <c r="X479" s="746"/>
      <c r="Y479" s="799"/>
      <c r="Z479" s="799"/>
      <c r="AA479" s="799"/>
      <c r="AB479" s="799"/>
      <c r="AC479" s="799"/>
      <c r="AD479" s="750"/>
      <c r="AE479" s="749"/>
      <c r="AF479" s="749"/>
      <c r="AG479" s="749"/>
      <c r="AH479" s="749"/>
      <c r="AI479" s="749"/>
      <c r="AJ479" s="749"/>
      <c r="AK479" s="749"/>
      <c r="AL479" s="749"/>
      <c r="AM479" s="749"/>
      <c r="AN479" s="749"/>
      <c r="AO479" s="749"/>
      <c r="AP479" s="749"/>
      <c r="AQ479" s="749"/>
      <c r="AR479" s="749"/>
      <c r="AS479" s="749"/>
      <c r="AT479" s="749"/>
      <c r="AU479" s="749"/>
      <c r="AV479" s="749"/>
      <c r="AW479" s="749"/>
      <c r="AX479" s="749"/>
      <c r="AY479" s="749"/>
      <c r="AZ479" s="749"/>
      <c r="BA479" s="749"/>
      <c r="BB479" s="749"/>
      <c r="BC479" s="749"/>
      <c r="BD479" s="749"/>
      <c r="BE479" s="749"/>
      <c r="BF479" s="749"/>
      <c r="BG479" s="749"/>
      <c r="BH479" s="749"/>
      <c r="BI479" s="749"/>
      <c r="BJ479" s="749"/>
      <c r="BK479" s="749"/>
      <c r="BL479" s="749"/>
    </row>
    <row r="480">
      <c r="A480" s="866"/>
      <c r="B480" s="867"/>
      <c r="C480" s="866"/>
      <c r="D480" s="866"/>
      <c r="E480" s="866"/>
      <c r="F480" s="866"/>
      <c r="G480" s="866"/>
      <c r="H480" s="866"/>
      <c r="I480" s="866"/>
      <c r="J480" s="868"/>
      <c r="K480" s="868"/>
      <c r="L480" s="799"/>
      <c r="M480" s="747"/>
      <c r="N480" s="744"/>
      <c r="O480" s="744"/>
      <c r="P480" s="744"/>
      <c r="Q480" s="744"/>
      <c r="R480" s="744"/>
      <c r="S480" s="744"/>
      <c r="T480" s="855"/>
      <c r="U480" s="746"/>
      <c r="V480" s="746"/>
      <c r="W480" s="746"/>
      <c r="X480" s="746"/>
      <c r="Y480" s="799"/>
      <c r="Z480" s="799"/>
      <c r="AA480" s="799"/>
      <c r="AB480" s="799"/>
      <c r="AC480" s="799"/>
      <c r="AD480" s="750"/>
      <c r="AE480" s="749"/>
      <c r="AF480" s="749"/>
      <c r="AG480" s="749"/>
      <c r="AH480" s="749"/>
      <c r="AI480" s="749"/>
      <c r="AJ480" s="749"/>
      <c r="AK480" s="749"/>
      <c r="AL480" s="749"/>
      <c r="AM480" s="749"/>
      <c r="AN480" s="749"/>
      <c r="AO480" s="749"/>
      <c r="AP480" s="749"/>
      <c r="AQ480" s="749"/>
      <c r="AR480" s="749"/>
      <c r="AS480" s="749"/>
      <c r="AT480" s="749"/>
      <c r="AU480" s="749"/>
      <c r="AV480" s="749"/>
      <c r="AW480" s="749"/>
      <c r="AX480" s="749"/>
      <c r="AY480" s="749"/>
      <c r="AZ480" s="749"/>
      <c r="BA480" s="749"/>
      <c r="BB480" s="749"/>
      <c r="BC480" s="749"/>
      <c r="BD480" s="749"/>
      <c r="BE480" s="749"/>
      <c r="BF480" s="749"/>
      <c r="BG480" s="749"/>
      <c r="BH480" s="749"/>
      <c r="BI480" s="749"/>
      <c r="BJ480" s="749"/>
      <c r="BK480" s="749"/>
      <c r="BL480" s="749"/>
    </row>
    <row r="481">
      <c r="A481" s="866"/>
      <c r="B481" s="867"/>
      <c r="C481" s="866"/>
      <c r="D481" s="866"/>
      <c r="E481" s="866"/>
      <c r="F481" s="866"/>
      <c r="G481" s="866"/>
      <c r="H481" s="866"/>
      <c r="I481" s="866"/>
      <c r="J481" s="868"/>
      <c r="K481" s="868"/>
      <c r="L481" s="799"/>
      <c r="M481" s="747"/>
      <c r="N481" s="744"/>
      <c r="O481" s="744"/>
      <c r="P481" s="744"/>
      <c r="Q481" s="744"/>
      <c r="R481" s="744"/>
      <c r="S481" s="744"/>
      <c r="T481" s="855"/>
      <c r="U481" s="746"/>
      <c r="V481" s="746"/>
      <c r="W481" s="746"/>
      <c r="X481" s="746"/>
      <c r="Y481" s="799"/>
      <c r="Z481" s="799"/>
      <c r="AA481" s="799"/>
      <c r="AB481" s="799"/>
      <c r="AC481" s="799"/>
      <c r="AD481" s="750"/>
      <c r="AE481" s="749"/>
      <c r="AF481" s="749"/>
      <c r="AG481" s="749"/>
      <c r="AH481" s="749"/>
      <c r="AI481" s="749"/>
      <c r="AJ481" s="749"/>
      <c r="AK481" s="749"/>
      <c r="AL481" s="749"/>
      <c r="AM481" s="749"/>
      <c r="AN481" s="749"/>
      <c r="AO481" s="749"/>
      <c r="AP481" s="749"/>
      <c r="AQ481" s="749"/>
      <c r="AR481" s="749"/>
      <c r="AS481" s="749"/>
      <c r="AT481" s="749"/>
      <c r="AU481" s="749"/>
      <c r="AV481" s="749"/>
      <c r="AW481" s="749"/>
      <c r="AX481" s="749"/>
      <c r="AY481" s="749"/>
      <c r="AZ481" s="749"/>
      <c r="BA481" s="749"/>
      <c r="BB481" s="749"/>
      <c r="BC481" s="749"/>
      <c r="BD481" s="749"/>
      <c r="BE481" s="749"/>
      <c r="BF481" s="749"/>
      <c r="BG481" s="749"/>
      <c r="BH481" s="749"/>
      <c r="BI481" s="749"/>
      <c r="BJ481" s="749"/>
      <c r="BK481" s="749"/>
      <c r="BL481" s="749"/>
    </row>
    <row r="482">
      <c r="A482" s="866"/>
      <c r="B482" s="867"/>
      <c r="C482" s="866"/>
      <c r="D482" s="866"/>
      <c r="E482" s="866"/>
      <c r="F482" s="866"/>
      <c r="G482" s="866"/>
      <c r="H482" s="866"/>
      <c r="I482" s="866"/>
      <c r="J482" s="868"/>
      <c r="K482" s="868"/>
      <c r="L482" s="799"/>
      <c r="M482" s="747"/>
      <c r="N482" s="744"/>
      <c r="O482" s="744"/>
      <c r="P482" s="744"/>
      <c r="Q482" s="744"/>
      <c r="R482" s="744"/>
      <c r="S482" s="744"/>
      <c r="T482" s="855"/>
      <c r="U482" s="746"/>
      <c r="V482" s="746"/>
      <c r="W482" s="746"/>
      <c r="X482" s="746"/>
      <c r="Y482" s="799"/>
      <c r="Z482" s="799"/>
      <c r="AA482" s="799"/>
      <c r="AB482" s="799"/>
      <c r="AC482" s="799"/>
      <c r="AD482" s="750"/>
      <c r="AE482" s="749"/>
      <c r="AF482" s="749"/>
      <c r="AG482" s="749"/>
      <c r="AH482" s="749"/>
      <c r="AI482" s="749"/>
      <c r="AJ482" s="749"/>
      <c r="AK482" s="749"/>
      <c r="AL482" s="749"/>
      <c r="AM482" s="749"/>
      <c r="AN482" s="749"/>
      <c r="AO482" s="749"/>
      <c r="AP482" s="749"/>
      <c r="AQ482" s="749"/>
      <c r="AR482" s="749"/>
      <c r="AS482" s="749"/>
      <c r="AT482" s="749"/>
      <c r="AU482" s="749"/>
      <c r="AV482" s="749"/>
      <c r="AW482" s="749"/>
      <c r="AX482" s="749"/>
      <c r="AY482" s="749"/>
      <c r="AZ482" s="749"/>
      <c r="BA482" s="749"/>
      <c r="BB482" s="749"/>
      <c r="BC482" s="749"/>
      <c r="BD482" s="749"/>
      <c r="BE482" s="749"/>
      <c r="BF482" s="749"/>
      <c r="BG482" s="749"/>
      <c r="BH482" s="749"/>
      <c r="BI482" s="749"/>
      <c r="BJ482" s="749"/>
      <c r="BK482" s="749"/>
      <c r="BL482" s="749"/>
    </row>
    <row r="483">
      <c r="A483" s="866"/>
      <c r="B483" s="867"/>
      <c r="C483" s="866"/>
      <c r="D483" s="866"/>
      <c r="E483" s="866"/>
      <c r="F483" s="866"/>
      <c r="G483" s="866"/>
      <c r="H483" s="866"/>
      <c r="I483" s="866"/>
      <c r="J483" s="868"/>
      <c r="K483" s="868"/>
      <c r="L483" s="799"/>
      <c r="M483" s="747"/>
      <c r="N483" s="744"/>
      <c r="O483" s="744"/>
      <c r="P483" s="744"/>
      <c r="Q483" s="744"/>
      <c r="R483" s="744"/>
      <c r="S483" s="744"/>
      <c r="T483" s="855"/>
      <c r="U483" s="746"/>
      <c r="V483" s="746"/>
      <c r="W483" s="746"/>
      <c r="X483" s="746"/>
      <c r="Y483" s="799"/>
      <c r="Z483" s="799"/>
      <c r="AA483" s="799"/>
      <c r="AB483" s="799"/>
      <c r="AC483" s="799"/>
      <c r="AD483" s="750"/>
      <c r="AE483" s="749"/>
      <c r="AF483" s="749"/>
      <c r="AG483" s="749"/>
      <c r="AH483" s="749"/>
      <c r="AI483" s="749"/>
      <c r="AJ483" s="749"/>
      <c r="AK483" s="749"/>
      <c r="AL483" s="749"/>
      <c r="AM483" s="749"/>
      <c r="AN483" s="749"/>
      <c r="AO483" s="749"/>
      <c r="AP483" s="749"/>
      <c r="AQ483" s="749"/>
      <c r="AR483" s="749"/>
      <c r="AS483" s="749"/>
      <c r="AT483" s="749"/>
      <c r="AU483" s="749"/>
      <c r="AV483" s="749"/>
      <c r="AW483" s="749"/>
      <c r="AX483" s="749"/>
      <c r="AY483" s="749"/>
      <c r="AZ483" s="749"/>
      <c r="BA483" s="749"/>
      <c r="BB483" s="749"/>
      <c r="BC483" s="749"/>
      <c r="BD483" s="749"/>
      <c r="BE483" s="749"/>
      <c r="BF483" s="749"/>
      <c r="BG483" s="749"/>
      <c r="BH483" s="749"/>
      <c r="BI483" s="749"/>
      <c r="BJ483" s="749"/>
      <c r="BK483" s="749"/>
      <c r="BL483" s="749"/>
    </row>
    <row r="484">
      <c r="A484" s="866"/>
      <c r="B484" s="867"/>
      <c r="C484" s="866"/>
      <c r="D484" s="866"/>
      <c r="E484" s="866"/>
      <c r="F484" s="866"/>
      <c r="G484" s="866"/>
      <c r="H484" s="866"/>
      <c r="I484" s="866"/>
      <c r="J484" s="868"/>
      <c r="K484" s="868"/>
      <c r="L484" s="799"/>
      <c r="M484" s="747"/>
      <c r="N484" s="744"/>
      <c r="O484" s="744"/>
      <c r="P484" s="744"/>
      <c r="Q484" s="744"/>
      <c r="R484" s="744"/>
      <c r="S484" s="744"/>
      <c r="T484" s="855"/>
      <c r="U484" s="746"/>
      <c r="V484" s="746"/>
      <c r="W484" s="746"/>
      <c r="X484" s="746"/>
      <c r="Y484" s="799"/>
      <c r="Z484" s="799"/>
      <c r="AA484" s="799"/>
      <c r="AB484" s="799"/>
      <c r="AC484" s="799"/>
      <c r="AD484" s="750"/>
      <c r="AE484" s="749"/>
      <c r="AF484" s="749"/>
      <c r="AG484" s="749"/>
      <c r="AH484" s="749"/>
      <c r="AI484" s="749"/>
      <c r="AJ484" s="749"/>
      <c r="AK484" s="749"/>
      <c r="AL484" s="749"/>
      <c r="AM484" s="749"/>
      <c r="AN484" s="749"/>
      <c r="AO484" s="749"/>
      <c r="AP484" s="749"/>
      <c r="AQ484" s="749"/>
      <c r="AR484" s="749"/>
      <c r="AS484" s="749"/>
      <c r="AT484" s="749"/>
      <c r="AU484" s="749"/>
      <c r="AV484" s="749"/>
      <c r="AW484" s="749"/>
      <c r="AX484" s="749"/>
      <c r="AY484" s="749"/>
      <c r="AZ484" s="749"/>
      <c r="BA484" s="749"/>
      <c r="BB484" s="749"/>
      <c r="BC484" s="749"/>
      <c r="BD484" s="749"/>
      <c r="BE484" s="749"/>
      <c r="BF484" s="749"/>
      <c r="BG484" s="749"/>
      <c r="BH484" s="749"/>
      <c r="BI484" s="749"/>
      <c r="BJ484" s="749"/>
      <c r="BK484" s="749"/>
      <c r="BL484" s="749"/>
    </row>
    <row r="485">
      <c r="A485" s="866"/>
      <c r="B485" s="867"/>
      <c r="C485" s="866"/>
      <c r="D485" s="866"/>
      <c r="E485" s="866"/>
      <c r="F485" s="866"/>
      <c r="G485" s="866"/>
      <c r="H485" s="866"/>
      <c r="I485" s="866"/>
      <c r="J485" s="868"/>
      <c r="K485" s="868"/>
      <c r="L485" s="799"/>
      <c r="M485" s="747"/>
      <c r="N485" s="744"/>
      <c r="O485" s="744"/>
      <c r="P485" s="744"/>
      <c r="Q485" s="744"/>
      <c r="R485" s="744"/>
      <c r="S485" s="744"/>
      <c r="T485" s="855"/>
      <c r="U485" s="746"/>
      <c r="V485" s="746"/>
      <c r="W485" s="746"/>
      <c r="X485" s="746"/>
      <c r="Y485" s="799"/>
      <c r="Z485" s="799"/>
      <c r="AA485" s="799"/>
      <c r="AB485" s="799"/>
      <c r="AC485" s="799"/>
      <c r="AD485" s="750"/>
      <c r="AE485" s="749"/>
      <c r="AF485" s="749"/>
      <c r="AG485" s="749"/>
      <c r="AH485" s="749"/>
      <c r="AI485" s="749"/>
      <c r="AJ485" s="749"/>
      <c r="AK485" s="749"/>
      <c r="AL485" s="749"/>
      <c r="AM485" s="749"/>
      <c r="AN485" s="749"/>
      <c r="AO485" s="749"/>
      <c r="AP485" s="749"/>
      <c r="AQ485" s="749"/>
      <c r="AR485" s="749"/>
      <c r="AS485" s="749"/>
      <c r="AT485" s="749"/>
      <c r="AU485" s="749"/>
      <c r="AV485" s="749"/>
      <c r="AW485" s="749"/>
      <c r="AX485" s="749"/>
      <c r="AY485" s="749"/>
      <c r="AZ485" s="749"/>
      <c r="BA485" s="749"/>
      <c r="BB485" s="749"/>
      <c r="BC485" s="749"/>
      <c r="BD485" s="749"/>
      <c r="BE485" s="749"/>
      <c r="BF485" s="749"/>
      <c r="BG485" s="749"/>
      <c r="BH485" s="749"/>
      <c r="BI485" s="749"/>
      <c r="BJ485" s="749"/>
      <c r="BK485" s="749"/>
      <c r="BL485" s="749"/>
    </row>
    <row r="486">
      <c r="A486" s="866"/>
      <c r="B486" s="867"/>
      <c r="C486" s="866"/>
      <c r="D486" s="866"/>
      <c r="E486" s="866"/>
      <c r="F486" s="866"/>
      <c r="G486" s="866"/>
      <c r="H486" s="866"/>
      <c r="I486" s="866"/>
      <c r="J486" s="868"/>
      <c r="K486" s="868"/>
      <c r="L486" s="799"/>
      <c r="M486" s="747"/>
      <c r="N486" s="744"/>
      <c r="O486" s="744"/>
      <c r="P486" s="744"/>
      <c r="Q486" s="744"/>
      <c r="R486" s="744"/>
      <c r="S486" s="744"/>
      <c r="T486" s="855"/>
      <c r="U486" s="746"/>
      <c r="V486" s="746"/>
      <c r="W486" s="746"/>
      <c r="X486" s="746"/>
      <c r="Y486" s="799"/>
      <c r="Z486" s="799"/>
      <c r="AA486" s="799"/>
      <c r="AB486" s="799"/>
      <c r="AC486" s="799"/>
      <c r="AD486" s="750"/>
      <c r="AE486" s="749"/>
      <c r="AF486" s="749"/>
      <c r="AG486" s="749"/>
      <c r="AH486" s="749"/>
      <c r="AI486" s="749"/>
      <c r="AJ486" s="749"/>
      <c r="AK486" s="749"/>
      <c r="AL486" s="749"/>
      <c r="AM486" s="749"/>
      <c r="AN486" s="749"/>
      <c r="AO486" s="749"/>
      <c r="AP486" s="749"/>
      <c r="AQ486" s="749"/>
      <c r="AR486" s="749"/>
      <c r="AS486" s="749"/>
      <c r="AT486" s="749"/>
      <c r="AU486" s="749"/>
      <c r="AV486" s="749"/>
      <c r="AW486" s="749"/>
      <c r="AX486" s="749"/>
      <c r="AY486" s="749"/>
      <c r="AZ486" s="749"/>
      <c r="BA486" s="749"/>
      <c r="BB486" s="749"/>
      <c r="BC486" s="749"/>
      <c r="BD486" s="749"/>
      <c r="BE486" s="749"/>
      <c r="BF486" s="749"/>
      <c r="BG486" s="749"/>
      <c r="BH486" s="749"/>
      <c r="BI486" s="749"/>
      <c r="BJ486" s="749"/>
      <c r="BK486" s="749"/>
      <c r="BL486" s="749"/>
    </row>
    <row r="487">
      <c r="A487" s="866"/>
      <c r="B487" s="867"/>
      <c r="C487" s="866"/>
      <c r="D487" s="866"/>
      <c r="E487" s="866"/>
      <c r="F487" s="866"/>
      <c r="G487" s="866"/>
      <c r="H487" s="866"/>
      <c r="I487" s="866"/>
      <c r="J487" s="868"/>
      <c r="K487" s="868"/>
      <c r="L487" s="799"/>
      <c r="M487" s="747"/>
      <c r="N487" s="744"/>
      <c r="O487" s="744"/>
      <c r="P487" s="744"/>
      <c r="Q487" s="744"/>
      <c r="R487" s="744"/>
      <c r="S487" s="744"/>
      <c r="T487" s="855"/>
      <c r="U487" s="746"/>
      <c r="V487" s="746"/>
      <c r="W487" s="746"/>
      <c r="X487" s="746"/>
      <c r="Y487" s="799"/>
      <c r="Z487" s="799"/>
      <c r="AA487" s="799"/>
      <c r="AB487" s="799"/>
      <c r="AC487" s="799"/>
      <c r="AD487" s="750"/>
      <c r="AE487" s="749"/>
      <c r="AF487" s="749"/>
      <c r="AG487" s="749"/>
      <c r="AH487" s="749"/>
      <c r="AI487" s="749"/>
      <c r="AJ487" s="749"/>
      <c r="AK487" s="749"/>
      <c r="AL487" s="749"/>
      <c r="AM487" s="749"/>
      <c r="AN487" s="749"/>
      <c r="AO487" s="749"/>
      <c r="AP487" s="749"/>
      <c r="AQ487" s="749"/>
      <c r="AR487" s="749"/>
      <c r="AS487" s="749"/>
      <c r="AT487" s="749"/>
      <c r="AU487" s="749"/>
      <c r="AV487" s="749"/>
      <c r="AW487" s="749"/>
      <c r="AX487" s="749"/>
      <c r="AY487" s="749"/>
      <c r="AZ487" s="749"/>
      <c r="BA487" s="749"/>
      <c r="BB487" s="749"/>
      <c r="BC487" s="749"/>
      <c r="BD487" s="749"/>
      <c r="BE487" s="749"/>
      <c r="BF487" s="749"/>
      <c r="BG487" s="749"/>
      <c r="BH487" s="749"/>
      <c r="BI487" s="749"/>
      <c r="BJ487" s="749"/>
      <c r="BK487" s="749"/>
      <c r="BL487" s="749"/>
    </row>
    <row r="488">
      <c r="A488" s="866"/>
      <c r="B488" s="867"/>
      <c r="C488" s="866"/>
      <c r="D488" s="866"/>
      <c r="E488" s="866"/>
      <c r="F488" s="866"/>
      <c r="G488" s="866"/>
      <c r="H488" s="866"/>
      <c r="I488" s="866"/>
      <c r="J488" s="868"/>
      <c r="K488" s="868"/>
      <c r="L488" s="799"/>
      <c r="M488" s="747"/>
      <c r="N488" s="744"/>
      <c r="O488" s="744"/>
      <c r="P488" s="744"/>
      <c r="Q488" s="744"/>
      <c r="R488" s="744"/>
      <c r="S488" s="744"/>
      <c r="T488" s="855"/>
      <c r="U488" s="746"/>
      <c r="V488" s="746"/>
      <c r="W488" s="746"/>
      <c r="X488" s="746"/>
      <c r="Y488" s="799"/>
      <c r="Z488" s="799"/>
      <c r="AA488" s="799"/>
      <c r="AB488" s="799"/>
      <c r="AC488" s="799"/>
      <c r="AD488" s="750"/>
      <c r="AE488" s="749"/>
      <c r="AF488" s="749"/>
      <c r="AG488" s="749"/>
      <c r="AH488" s="749"/>
      <c r="AI488" s="749"/>
      <c r="AJ488" s="749"/>
      <c r="AK488" s="749"/>
      <c r="AL488" s="749"/>
      <c r="AM488" s="749"/>
      <c r="AN488" s="749"/>
      <c r="AO488" s="749"/>
      <c r="AP488" s="749"/>
      <c r="AQ488" s="749"/>
      <c r="AR488" s="749"/>
      <c r="AS488" s="749"/>
      <c r="AT488" s="749"/>
      <c r="AU488" s="749"/>
      <c r="AV488" s="749"/>
      <c r="AW488" s="749"/>
      <c r="AX488" s="749"/>
      <c r="AY488" s="749"/>
      <c r="AZ488" s="749"/>
      <c r="BA488" s="749"/>
      <c r="BB488" s="749"/>
      <c r="BC488" s="749"/>
      <c r="BD488" s="749"/>
      <c r="BE488" s="749"/>
      <c r="BF488" s="749"/>
      <c r="BG488" s="749"/>
      <c r="BH488" s="749"/>
      <c r="BI488" s="749"/>
      <c r="BJ488" s="749"/>
      <c r="BK488" s="749"/>
      <c r="BL488" s="749"/>
    </row>
    <row r="489">
      <c r="A489" s="866"/>
      <c r="B489" s="867"/>
      <c r="C489" s="866"/>
      <c r="D489" s="866"/>
      <c r="E489" s="866"/>
      <c r="F489" s="866"/>
      <c r="G489" s="866"/>
      <c r="H489" s="866"/>
      <c r="I489" s="866"/>
      <c r="J489" s="868"/>
      <c r="K489" s="868"/>
      <c r="L489" s="799"/>
      <c r="M489" s="747"/>
      <c r="N489" s="744"/>
      <c r="O489" s="744"/>
      <c r="P489" s="744"/>
      <c r="Q489" s="744"/>
      <c r="R489" s="744"/>
      <c r="S489" s="744"/>
      <c r="T489" s="855"/>
      <c r="U489" s="746"/>
      <c r="V489" s="746"/>
      <c r="W489" s="746"/>
      <c r="X489" s="746"/>
      <c r="Y489" s="799"/>
      <c r="Z489" s="799"/>
      <c r="AA489" s="799"/>
      <c r="AB489" s="799"/>
      <c r="AC489" s="799"/>
      <c r="AD489" s="750"/>
      <c r="AE489" s="749"/>
      <c r="AF489" s="749"/>
      <c r="AG489" s="749"/>
      <c r="AH489" s="749"/>
      <c r="AI489" s="749"/>
      <c r="AJ489" s="749"/>
      <c r="AK489" s="749"/>
      <c r="AL489" s="749"/>
      <c r="AM489" s="749"/>
      <c r="AN489" s="749"/>
      <c r="AO489" s="749"/>
      <c r="AP489" s="749"/>
      <c r="AQ489" s="749"/>
      <c r="AR489" s="749"/>
      <c r="AS489" s="749"/>
      <c r="AT489" s="749"/>
      <c r="AU489" s="749"/>
      <c r="AV489" s="749"/>
      <c r="AW489" s="749"/>
      <c r="AX489" s="749"/>
      <c r="AY489" s="749"/>
      <c r="AZ489" s="749"/>
      <c r="BA489" s="749"/>
      <c r="BB489" s="749"/>
      <c r="BC489" s="749"/>
      <c r="BD489" s="749"/>
      <c r="BE489" s="749"/>
      <c r="BF489" s="749"/>
      <c r="BG489" s="749"/>
      <c r="BH489" s="749"/>
      <c r="BI489" s="749"/>
      <c r="BJ489" s="749"/>
      <c r="BK489" s="749"/>
      <c r="BL489" s="749"/>
    </row>
    <row r="490">
      <c r="A490" s="866"/>
      <c r="B490" s="867"/>
      <c r="C490" s="866"/>
      <c r="D490" s="866"/>
      <c r="E490" s="866"/>
      <c r="F490" s="866"/>
      <c r="G490" s="866"/>
      <c r="H490" s="866"/>
      <c r="I490" s="866"/>
      <c r="J490" s="868"/>
      <c r="K490" s="868"/>
      <c r="L490" s="799"/>
      <c r="M490" s="747"/>
      <c r="N490" s="744"/>
      <c r="O490" s="744"/>
      <c r="P490" s="744"/>
      <c r="Q490" s="744"/>
      <c r="R490" s="744"/>
      <c r="S490" s="744"/>
      <c r="T490" s="855"/>
      <c r="U490" s="746"/>
      <c r="V490" s="746"/>
      <c r="W490" s="746"/>
      <c r="X490" s="746"/>
      <c r="Y490" s="799"/>
      <c r="Z490" s="799"/>
      <c r="AA490" s="799"/>
      <c r="AB490" s="799"/>
      <c r="AC490" s="799"/>
      <c r="AD490" s="750"/>
      <c r="AE490" s="749"/>
      <c r="AF490" s="749"/>
      <c r="AG490" s="749"/>
      <c r="AH490" s="749"/>
      <c r="AI490" s="749"/>
      <c r="AJ490" s="749"/>
      <c r="AK490" s="749"/>
      <c r="AL490" s="749"/>
      <c r="AM490" s="749"/>
      <c r="AN490" s="749"/>
      <c r="AO490" s="749"/>
      <c r="AP490" s="749"/>
      <c r="AQ490" s="749"/>
      <c r="AR490" s="749"/>
      <c r="AS490" s="749"/>
      <c r="AT490" s="749"/>
      <c r="AU490" s="749"/>
      <c r="AV490" s="749"/>
      <c r="AW490" s="749"/>
      <c r="AX490" s="749"/>
      <c r="AY490" s="749"/>
      <c r="AZ490" s="749"/>
      <c r="BA490" s="749"/>
      <c r="BB490" s="749"/>
      <c r="BC490" s="749"/>
      <c r="BD490" s="749"/>
      <c r="BE490" s="749"/>
      <c r="BF490" s="749"/>
      <c r="BG490" s="749"/>
      <c r="BH490" s="749"/>
      <c r="BI490" s="749"/>
      <c r="BJ490" s="749"/>
      <c r="BK490" s="749"/>
      <c r="BL490" s="749"/>
    </row>
    <row r="491">
      <c r="A491" s="866"/>
      <c r="B491" s="867"/>
      <c r="C491" s="866"/>
      <c r="D491" s="866"/>
      <c r="E491" s="866"/>
      <c r="F491" s="866"/>
      <c r="G491" s="866"/>
      <c r="H491" s="866"/>
      <c r="I491" s="866"/>
      <c r="J491" s="868"/>
      <c r="K491" s="868"/>
      <c r="L491" s="799"/>
      <c r="M491" s="747"/>
      <c r="N491" s="744"/>
      <c r="O491" s="744"/>
      <c r="P491" s="744"/>
      <c r="Q491" s="744"/>
      <c r="R491" s="744"/>
      <c r="S491" s="744"/>
      <c r="T491" s="855"/>
      <c r="U491" s="746"/>
      <c r="V491" s="746"/>
      <c r="W491" s="746"/>
      <c r="X491" s="746"/>
      <c r="Y491" s="799"/>
      <c r="Z491" s="799"/>
      <c r="AA491" s="799"/>
      <c r="AB491" s="799"/>
      <c r="AC491" s="799"/>
      <c r="AD491" s="750"/>
      <c r="AE491" s="749"/>
      <c r="AF491" s="749"/>
      <c r="AG491" s="749"/>
      <c r="AH491" s="749"/>
      <c r="AI491" s="749"/>
      <c r="AJ491" s="749"/>
      <c r="AK491" s="749"/>
      <c r="AL491" s="749"/>
      <c r="AM491" s="749"/>
      <c r="AN491" s="749"/>
      <c r="AO491" s="749"/>
      <c r="AP491" s="749"/>
      <c r="AQ491" s="749"/>
      <c r="AR491" s="749"/>
      <c r="AS491" s="749"/>
      <c r="AT491" s="749"/>
      <c r="AU491" s="749"/>
      <c r="AV491" s="749"/>
      <c r="AW491" s="749"/>
      <c r="AX491" s="749"/>
      <c r="AY491" s="749"/>
      <c r="AZ491" s="749"/>
      <c r="BA491" s="749"/>
      <c r="BB491" s="749"/>
      <c r="BC491" s="749"/>
      <c r="BD491" s="749"/>
      <c r="BE491" s="749"/>
      <c r="BF491" s="749"/>
      <c r="BG491" s="749"/>
      <c r="BH491" s="749"/>
      <c r="BI491" s="749"/>
      <c r="BJ491" s="749"/>
      <c r="BK491" s="749"/>
      <c r="BL491" s="749"/>
    </row>
    <row r="492">
      <c r="A492" s="866"/>
      <c r="B492" s="867"/>
      <c r="C492" s="866"/>
      <c r="D492" s="866"/>
      <c r="E492" s="866"/>
      <c r="F492" s="866"/>
      <c r="G492" s="866"/>
      <c r="H492" s="866"/>
      <c r="I492" s="866"/>
      <c r="J492" s="868"/>
      <c r="K492" s="868"/>
      <c r="L492" s="799"/>
      <c r="M492" s="747"/>
      <c r="N492" s="744"/>
      <c r="O492" s="744"/>
      <c r="P492" s="744"/>
      <c r="Q492" s="744"/>
      <c r="R492" s="744"/>
      <c r="S492" s="744"/>
      <c r="T492" s="855"/>
      <c r="U492" s="746"/>
      <c r="V492" s="746"/>
      <c r="W492" s="746"/>
      <c r="X492" s="746"/>
      <c r="Y492" s="799"/>
      <c r="Z492" s="799"/>
      <c r="AA492" s="799"/>
      <c r="AB492" s="799"/>
      <c r="AC492" s="799"/>
      <c r="AD492" s="750"/>
      <c r="AE492" s="749"/>
      <c r="AF492" s="749"/>
      <c r="AG492" s="749"/>
      <c r="AH492" s="749"/>
      <c r="AI492" s="749"/>
      <c r="AJ492" s="749"/>
      <c r="AK492" s="749"/>
      <c r="AL492" s="749"/>
      <c r="AM492" s="749"/>
      <c r="AN492" s="749"/>
      <c r="AO492" s="749"/>
      <c r="AP492" s="749"/>
      <c r="AQ492" s="749"/>
      <c r="AR492" s="749"/>
      <c r="AS492" s="749"/>
      <c r="AT492" s="749"/>
      <c r="AU492" s="749"/>
      <c r="AV492" s="749"/>
      <c r="AW492" s="749"/>
      <c r="AX492" s="749"/>
      <c r="AY492" s="749"/>
      <c r="AZ492" s="749"/>
      <c r="BA492" s="749"/>
      <c r="BB492" s="749"/>
      <c r="BC492" s="749"/>
      <c r="BD492" s="749"/>
      <c r="BE492" s="749"/>
      <c r="BF492" s="749"/>
      <c r="BG492" s="749"/>
      <c r="BH492" s="749"/>
      <c r="BI492" s="749"/>
      <c r="BJ492" s="749"/>
      <c r="BK492" s="749"/>
      <c r="BL492" s="749"/>
    </row>
    <row r="493">
      <c r="A493" s="866"/>
      <c r="B493" s="867"/>
      <c r="C493" s="866"/>
      <c r="D493" s="866"/>
      <c r="E493" s="866"/>
      <c r="F493" s="866"/>
      <c r="G493" s="866"/>
      <c r="H493" s="866"/>
      <c r="I493" s="866"/>
      <c r="J493" s="868"/>
      <c r="K493" s="868"/>
      <c r="L493" s="799"/>
      <c r="M493" s="747"/>
      <c r="N493" s="744"/>
      <c r="O493" s="744"/>
      <c r="P493" s="744"/>
      <c r="Q493" s="744"/>
      <c r="R493" s="744"/>
      <c r="S493" s="744"/>
      <c r="T493" s="855"/>
      <c r="U493" s="746"/>
      <c r="V493" s="746"/>
      <c r="W493" s="746"/>
      <c r="X493" s="746"/>
      <c r="Y493" s="799"/>
      <c r="Z493" s="799"/>
      <c r="AA493" s="799"/>
      <c r="AB493" s="799"/>
      <c r="AC493" s="799"/>
      <c r="AD493" s="750"/>
      <c r="AE493" s="749"/>
      <c r="AF493" s="749"/>
      <c r="AG493" s="749"/>
      <c r="AH493" s="749"/>
      <c r="AI493" s="749"/>
      <c r="AJ493" s="749"/>
      <c r="AK493" s="749"/>
      <c r="AL493" s="749"/>
      <c r="AM493" s="749"/>
      <c r="AN493" s="749"/>
      <c r="AO493" s="749"/>
      <c r="AP493" s="749"/>
      <c r="AQ493" s="749"/>
      <c r="AR493" s="749"/>
      <c r="AS493" s="749"/>
      <c r="AT493" s="749"/>
      <c r="AU493" s="749"/>
      <c r="AV493" s="749"/>
      <c r="AW493" s="749"/>
      <c r="AX493" s="749"/>
      <c r="AY493" s="749"/>
      <c r="AZ493" s="749"/>
      <c r="BA493" s="749"/>
      <c r="BB493" s="749"/>
      <c r="BC493" s="749"/>
      <c r="BD493" s="749"/>
      <c r="BE493" s="749"/>
      <c r="BF493" s="749"/>
      <c r="BG493" s="749"/>
      <c r="BH493" s="749"/>
      <c r="BI493" s="749"/>
      <c r="BJ493" s="749"/>
      <c r="BK493" s="749"/>
      <c r="BL493" s="749"/>
    </row>
    <row r="494">
      <c r="A494" s="866"/>
      <c r="B494" s="867"/>
      <c r="C494" s="866"/>
      <c r="D494" s="866"/>
      <c r="E494" s="866"/>
      <c r="F494" s="866"/>
      <c r="G494" s="866"/>
      <c r="H494" s="866"/>
      <c r="I494" s="866"/>
      <c r="J494" s="868"/>
      <c r="K494" s="868"/>
      <c r="L494" s="799"/>
      <c r="M494" s="747"/>
      <c r="N494" s="744"/>
      <c r="O494" s="744"/>
      <c r="P494" s="744"/>
      <c r="Q494" s="744"/>
      <c r="R494" s="744"/>
      <c r="S494" s="744"/>
      <c r="T494" s="855"/>
      <c r="U494" s="746"/>
      <c r="V494" s="746"/>
      <c r="W494" s="746"/>
      <c r="X494" s="746"/>
      <c r="Y494" s="799"/>
      <c r="Z494" s="799"/>
      <c r="AA494" s="799"/>
      <c r="AB494" s="799"/>
      <c r="AC494" s="799"/>
      <c r="AD494" s="750"/>
      <c r="AE494" s="749"/>
      <c r="AF494" s="749"/>
      <c r="AG494" s="749"/>
      <c r="AH494" s="749"/>
      <c r="AI494" s="749"/>
      <c r="AJ494" s="749"/>
      <c r="AK494" s="749"/>
      <c r="AL494" s="749"/>
      <c r="AM494" s="749"/>
      <c r="AN494" s="749"/>
      <c r="AO494" s="749"/>
      <c r="AP494" s="749"/>
      <c r="AQ494" s="749"/>
      <c r="AR494" s="749"/>
      <c r="AS494" s="749"/>
      <c r="AT494" s="749"/>
      <c r="AU494" s="749"/>
      <c r="AV494" s="749"/>
      <c r="AW494" s="749"/>
      <c r="AX494" s="749"/>
      <c r="AY494" s="749"/>
      <c r="AZ494" s="749"/>
      <c r="BA494" s="749"/>
      <c r="BB494" s="749"/>
      <c r="BC494" s="749"/>
      <c r="BD494" s="749"/>
      <c r="BE494" s="749"/>
      <c r="BF494" s="749"/>
      <c r="BG494" s="749"/>
      <c r="BH494" s="749"/>
      <c r="BI494" s="749"/>
      <c r="BJ494" s="749"/>
      <c r="BK494" s="749"/>
      <c r="BL494" s="749"/>
    </row>
    <row r="495">
      <c r="A495" s="866"/>
      <c r="B495" s="867"/>
      <c r="C495" s="866"/>
      <c r="D495" s="866"/>
      <c r="E495" s="866"/>
      <c r="F495" s="866"/>
      <c r="G495" s="866"/>
      <c r="H495" s="866"/>
      <c r="I495" s="866"/>
      <c r="J495" s="868"/>
      <c r="K495" s="868"/>
      <c r="L495" s="799"/>
      <c r="M495" s="747"/>
      <c r="N495" s="744"/>
      <c r="O495" s="744"/>
      <c r="P495" s="744"/>
      <c r="Q495" s="744"/>
      <c r="R495" s="744"/>
      <c r="S495" s="744"/>
      <c r="T495" s="855"/>
      <c r="U495" s="746"/>
      <c r="V495" s="746"/>
      <c r="W495" s="746"/>
      <c r="X495" s="746"/>
      <c r="Y495" s="799"/>
      <c r="Z495" s="799"/>
      <c r="AA495" s="799"/>
      <c r="AB495" s="799"/>
      <c r="AC495" s="799"/>
      <c r="AD495" s="750"/>
      <c r="AE495" s="749"/>
      <c r="AF495" s="749"/>
      <c r="AG495" s="749"/>
      <c r="AH495" s="749"/>
      <c r="AI495" s="749"/>
      <c r="AJ495" s="749"/>
      <c r="AK495" s="749"/>
      <c r="AL495" s="749"/>
      <c r="AM495" s="749"/>
      <c r="AN495" s="749"/>
      <c r="AO495" s="749"/>
      <c r="AP495" s="749"/>
      <c r="AQ495" s="749"/>
      <c r="AR495" s="749"/>
      <c r="AS495" s="749"/>
      <c r="AT495" s="749"/>
      <c r="AU495" s="749"/>
      <c r="AV495" s="749"/>
      <c r="AW495" s="749"/>
      <c r="AX495" s="749"/>
      <c r="AY495" s="749"/>
      <c r="AZ495" s="749"/>
      <c r="BA495" s="749"/>
      <c r="BB495" s="749"/>
      <c r="BC495" s="749"/>
      <c r="BD495" s="749"/>
      <c r="BE495" s="749"/>
      <c r="BF495" s="749"/>
      <c r="BG495" s="749"/>
      <c r="BH495" s="749"/>
      <c r="BI495" s="749"/>
      <c r="BJ495" s="749"/>
      <c r="BK495" s="749"/>
      <c r="BL495" s="749"/>
    </row>
    <row r="496">
      <c r="A496" s="866"/>
      <c r="B496" s="867"/>
      <c r="C496" s="866"/>
      <c r="D496" s="866"/>
      <c r="E496" s="866"/>
      <c r="F496" s="866"/>
      <c r="G496" s="866"/>
      <c r="H496" s="866"/>
      <c r="I496" s="866"/>
      <c r="J496" s="868"/>
      <c r="K496" s="868"/>
      <c r="L496" s="799"/>
      <c r="M496" s="747"/>
      <c r="N496" s="744"/>
      <c r="O496" s="744"/>
      <c r="P496" s="744"/>
      <c r="Q496" s="744"/>
      <c r="R496" s="744"/>
      <c r="S496" s="744"/>
      <c r="T496" s="855"/>
      <c r="U496" s="746"/>
      <c r="V496" s="746"/>
      <c r="W496" s="746"/>
      <c r="X496" s="746"/>
      <c r="Y496" s="799"/>
      <c r="Z496" s="799"/>
      <c r="AA496" s="799"/>
      <c r="AB496" s="799"/>
      <c r="AC496" s="799"/>
      <c r="AD496" s="750"/>
      <c r="AE496" s="749"/>
      <c r="AF496" s="749"/>
      <c r="AG496" s="749"/>
      <c r="AH496" s="749"/>
      <c r="AI496" s="749"/>
      <c r="AJ496" s="749"/>
      <c r="AK496" s="749"/>
      <c r="AL496" s="749"/>
      <c r="AM496" s="749"/>
      <c r="AN496" s="749"/>
      <c r="AO496" s="749"/>
      <c r="AP496" s="749"/>
      <c r="AQ496" s="749"/>
      <c r="AR496" s="749"/>
      <c r="AS496" s="749"/>
      <c r="AT496" s="749"/>
      <c r="AU496" s="749"/>
      <c r="AV496" s="749"/>
      <c r="AW496" s="749"/>
      <c r="AX496" s="749"/>
      <c r="AY496" s="749"/>
      <c r="AZ496" s="749"/>
      <c r="BA496" s="749"/>
      <c r="BB496" s="749"/>
      <c r="BC496" s="749"/>
      <c r="BD496" s="749"/>
      <c r="BE496" s="749"/>
      <c r="BF496" s="749"/>
      <c r="BG496" s="749"/>
      <c r="BH496" s="749"/>
      <c r="BI496" s="749"/>
      <c r="BJ496" s="749"/>
      <c r="BK496" s="749"/>
      <c r="BL496" s="749"/>
    </row>
    <row r="497">
      <c r="A497" s="866"/>
      <c r="B497" s="867"/>
      <c r="C497" s="866"/>
      <c r="D497" s="866"/>
      <c r="E497" s="866"/>
      <c r="F497" s="866"/>
      <c r="G497" s="866"/>
      <c r="H497" s="866"/>
      <c r="I497" s="866"/>
      <c r="J497" s="868"/>
      <c r="K497" s="868"/>
      <c r="L497" s="799"/>
      <c r="M497" s="747"/>
      <c r="N497" s="744"/>
      <c r="O497" s="744"/>
      <c r="P497" s="744"/>
      <c r="Q497" s="744"/>
      <c r="R497" s="744"/>
      <c r="S497" s="744"/>
      <c r="T497" s="855"/>
      <c r="U497" s="746"/>
      <c r="V497" s="746"/>
      <c r="W497" s="746"/>
      <c r="X497" s="746"/>
      <c r="Y497" s="799"/>
      <c r="Z497" s="799"/>
      <c r="AA497" s="799"/>
      <c r="AB497" s="799"/>
      <c r="AC497" s="799"/>
      <c r="AD497" s="750"/>
      <c r="AE497" s="749"/>
      <c r="AF497" s="749"/>
      <c r="AG497" s="749"/>
      <c r="AH497" s="749"/>
      <c r="AI497" s="749"/>
      <c r="AJ497" s="749"/>
      <c r="AK497" s="749"/>
      <c r="AL497" s="749"/>
      <c r="AM497" s="749"/>
      <c r="AN497" s="749"/>
      <c r="AO497" s="749"/>
      <c r="AP497" s="749"/>
      <c r="AQ497" s="749"/>
      <c r="AR497" s="749"/>
      <c r="AS497" s="749"/>
      <c r="AT497" s="749"/>
      <c r="AU497" s="749"/>
      <c r="AV497" s="749"/>
      <c r="AW497" s="749"/>
      <c r="AX497" s="749"/>
      <c r="AY497" s="749"/>
      <c r="AZ497" s="749"/>
      <c r="BA497" s="749"/>
      <c r="BB497" s="749"/>
      <c r="BC497" s="749"/>
      <c r="BD497" s="749"/>
      <c r="BE497" s="749"/>
      <c r="BF497" s="749"/>
      <c r="BG497" s="749"/>
      <c r="BH497" s="749"/>
      <c r="BI497" s="749"/>
      <c r="BJ497" s="749"/>
      <c r="BK497" s="749"/>
      <c r="BL497" s="749"/>
    </row>
    <row r="498">
      <c r="A498" s="866"/>
      <c r="B498" s="867"/>
      <c r="C498" s="866"/>
      <c r="D498" s="866"/>
      <c r="E498" s="866"/>
      <c r="F498" s="866"/>
      <c r="G498" s="866"/>
      <c r="H498" s="866"/>
      <c r="I498" s="866"/>
      <c r="J498" s="868"/>
      <c r="K498" s="868"/>
      <c r="L498" s="799"/>
      <c r="M498" s="747"/>
      <c r="N498" s="744"/>
      <c r="O498" s="744"/>
      <c r="P498" s="744"/>
      <c r="Q498" s="744"/>
      <c r="R498" s="744"/>
      <c r="S498" s="744"/>
      <c r="T498" s="855"/>
      <c r="U498" s="746"/>
      <c r="V498" s="746"/>
      <c r="W498" s="746"/>
      <c r="X498" s="746"/>
      <c r="Y498" s="799"/>
      <c r="Z498" s="799"/>
      <c r="AA498" s="799"/>
      <c r="AB498" s="799"/>
      <c r="AC498" s="799"/>
      <c r="AD498" s="750"/>
      <c r="AE498" s="749"/>
      <c r="AF498" s="749"/>
      <c r="AG498" s="749"/>
      <c r="AH498" s="749"/>
      <c r="AI498" s="749"/>
      <c r="AJ498" s="749"/>
      <c r="AK498" s="749"/>
      <c r="AL498" s="749"/>
      <c r="AM498" s="749"/>
      <c r="AN498" s="749"/>
      <c r="AO498" s="749"/>
      <c r="AP498" s="749"/>
      <c r="AQ498" s="749"/>
      <c r="AR498" s="749"/>
      <c r="AS498" s="749"/>
      <c r="AT498" s="749"/>
      <c r="AU498" s="749"/>
      <c r="AV498" s="749"/>
      <c r="AW498" s="749"/>
      <c r="AX498" s="749"/>
      <c r="AY498" s="749"/>
      <c r="AZ498" s="749"/>
      <c r="BA498" s="749"/>
      <c r="BB498" s="749"/>
      <c r="BC498" s="749"/>
      <c r="BD498" s="749"/>
      <c r="BE498" s="749"/>
      <c r="BF498" s="749"/>
      <c r="BG498" s="749"/>
      <c r="BH498" s="749"/>
      <c r="BI498" s="749"/>
      <c r="BJ498" s="749"/>
      <c r="BK498" s="749"/>
      <c r="BL498" s="749"/>
    </row>
    <row r="499">
      <c r="A499" s="866"/>
      <c r="B499" s="867"/>
      <c r="C499" s="866"/>
      <c r="D499" s="866"/>
      <c r="E499" s="866"/>
      <c r="F499" s="866"/>
      <c r="G499" s="866"/>
      <c r="H499" s="866"/>
      <c r="I499" s="866"/>
      <c r="J499" s="868"/>
      <c r="K499" s="868"/>
      <c r="L499" s="799"/>
      <c r="M499" s="747"/>
      <c r="N499" s="744"/>
      <c r="O499" s="744"/>
      <c r="P499" s="744"/>
      <c r="Q499" s="744"/>
      <c r="R499" s="744"/>
      <c r="S499" s="744"/>
      <c r="T499" s="855"/>
      <c r="U499" s="746"/>
      <c r="V499" s="746"/>
      <c r="W499" s="746"/>
      <c r="X499" s="746"/>
      <c r="Y499" s="799"/>
      <c r="Z499" s="799"/>
      <c r="AA499" s="799"/>
      <c r="AB499" s="799"/>
      <c r="AC499" s="799"/>
      <c r="AD499" s="750"/>
      <c r="AE499" s="749"/>
      <c r="AF499" s="749"/>
      <c r="AG499" s="749"/>
      <c r="AH499" s="749"/>
      <c r="AI499" s="749"/>
      <c r="AJ499" s="749"/>
      <c r="AK499" s="749"/>
      <c r="AL499" s="749"/>
      <c r="AM499" s="749"/>
      <c r="AN499" s="749"/>
      <c r="AO499" s="749"/>
      <c r="AP499" s="749"/>
      <c r="AQ499" s="749"/>
      <c r="AR499" s="749"/>
      <c r="AS499" s="749"/>
      <c r="AT499" s="749"/>
      <c r="AU499" s="749"/>
      <c r="AV499" s="749"/>
      <c r="AW499" s="749"/>
      <c r="AX499" s="749"/>
      <c r="AY499" s="749"/>
      <c r="AZ499" s="749"/>
      <c r="BA499" s="749"/>
      <c r="BB499" s="749"/>
      <c r="BC499" s="749"/>
      <c r="BD499" s="749"/>
      <c r="BE499" s="749"/>
      <c r="BF499" s="749"/>
      <c r="BG499" s="749"/>
      <c r="BH499" s="749"/>
      <c r="BI499" s="749"/>
      <c r="BJ499" s="749"/>
      <c r="BK499" s="749"/>
      <c r="BL499" s="749"/>
    </row>
    <row r="500">
      <c r="A500" s="866"/>
      <c r="B500" s="867"/>
      <c r="C500" s="866"/>
      <c r="D500" s="866"/>
      <c r="E500" s="866"/>
      <c r="F500" s="866"/>
      <c r="G500" s="866"/>
      <c r="H500" s="866"/>
      <c r="I500" s="866"/>
      <c r="J500" s="868"/>
      <c r="K500" s="868"/>
      <c r="L500" s="799"/>
      <c r="M500" s="747"/>
      <c r="N500" s="744"/>
      <c r="O500" s="744"/>
      <c r="P500" s="744"/>
      <c r="Q500" s="744"/>
      <c r="R500" s="744"/>
      <c r="S500" s="744"/>
      <c r="T500" s="855"/>
      <c r="U500" s="746"/>
      <c r="V500" s="746"/>
      <c r="W500" s="746"/>
      <c r="X500" s="746"/>
      <c r="Y500" s="799"/>
      <c r="Z500" s="799"/>
      <c r="AA500" s="799"/>
      <c r="AB500" s="799"/>
      <c r="AC500" s="799"/>
      <c r="AD500" s="750"/>
      <c r="AE500" s="749"/>
      <c r="AF500" s="749"/>
      <c r="AG500" s="749"/>
      <c r="AH500" s="749"/>
      <c r="AI500" s="749"/>
      <c r="AJ500" s="749"/>
      <c r="AK500" s="749"/>
      <c r="AL500" s="749"/>
      <c r="AM500" s="749"/>
      <c r="AN500" s="749"/>
      <c r="AO500" s="749"/>
      <c r="AP500" s="749"/>
      <c r="AQ500" s="749"/>
      <c r="AR500" s="749"/>
      <c r="AS500" s="749"/>
      <c r="AT500" s="749"/>
      <c r="AU500" s="749"/>
      <c r="AV500" s="749"/>
      <c r="AW500" s="749"/>
      <c r="AX500" s="749"/>
      <c r="AY500" s="749"/>
      <c r="AZ500" s="749"/>
      <c r="BA500" s="749"/>
      <c r="BB500" s="749"/>
      <c r="BC500" s="749"/>
      <c r="BD500" s="749"/>
      <c r="BE500" s="749"/>
      <c r="BF500" s="749"/>
      <c r="BG500" s="749"/>
      <c r="BH500" s="749"/>
      <c r="BI500" s="749"/>
      <c r="BJ500" s="749"/>
      <c r="BK500" s="749"/>
      <c r="BL500" s="749"/>
    </row>
    <row r="501">
      <c r="A501" s="866"/>
      <c r="B501" s="867"/>
      <c r="C501" s="866"/>
      <c r="D501" s="866"/>
      <c r="E501" s="866"/>
      <c r="F501" s="866"/>
      <c r="G501" s="866"/>
      <c r="H501" s="866"/>
      <c r="I501" s="866"/>
      <c r="J501" s="868"/>
      <c r="K501" s="868"/>
      <c r="L501" s="799"/>
      <c r="M501" s="747"/>
      <c r="N501" s="744"/>
      <c r="O501" s="744"/>
      <c r="P501" s="744"/>
      <c r="Q501" s="744"/>
      <c r="R501" s="744"/>
      <c r="S501" s="744"/>
      <c r="T501" s="855"/>
      <c r="U501" s="746"/>
      <c r="V501" s="746"/>
      <c r="W501" s="746"/>
      <c r="X501" s="746"/>
      <c r="Y501" s="799"/>
      <c r="Z501" s="799"/>
      <c r="AA501" s="799"/>
      <c r="AB501" s="799"/>
      <c r="AC501" s="799"/>
      <c r="AD501" s="750"/>
      <c r="AE501" s="749"/>
      <c r="AF501" s="749"/>
      <c r="AG501" s="749"/>
      <c r="AH501" s="749"/>
      <c r="AI501" s="749"/>
      <c r="AJ501" s="749"/>
      <c r="AK501" s="749"/>
      <c r="AL501" s="749"/>
      <c r="AM501" s="749"/>
      <c r="AN501" s="749"/>
      <c r="AO501" s="749"/>
      <c r="AP501" s="749"/>
      <c r="AQ501" s="749"/>
      <c r="AR501" s="749"/>
      <c r="AS501" s="749"/>
      <c r="AT501" s="749"/>
      <c r="AU501" s="749"/>
      <c r="AV501" s="749"/>
      <c r="AW501" s="749"/>
      <c r="AX501" s="749"/>
      <c r="AY501" s="749"/>
      <c r="AZ501" s="749"/>
      <c r="BA501" s="749"/>
      <c r="BB501" s="749"/>
      <c r="BC501" s="749"/>
      <c r="BD501" s="749"/>
      <c r="BE501" s="749"/>
      <c r="BF501" s="749"/>
      <c r="BG501" s="749"/>
      <c r="BH501" s="749"/>
      <c r="BI501" s="749"/>
      <c r="BJ501" s="749"/>
      <c r="BK501" s="749"/>
      <c r="BL501" s="749"/>
    </row>
    <row r="502">
      <c r="A502" s="866"/>
      <c r="B502" s="867"/>
      <c r="C502" s="866"/>
      <c r="D502" s="866"/>
      <c r="E502" s="866"/>
      <c r="F502" s="866"/>
      <c r="G502" s="866"/>
      <c r="H502" s="866"/>
      <c r="I502" s="866"/>
      <c r="J502" s="868"/>
      <c r="K502" s="868"/>
      <c r="L502" s="799"/>
      <c r="M502" s="747"/>
      <c r="N502" s="744"/>
      <c r="O502" s="744"/>
      <c r="P502" s="744"/>
      <c r="Q502" s="744"/>
      <c r="R502" s="744"/>
      <c r="S502" s="744"/>
      <c r="T502" s="855"/>
      <c r="U502" s="746"/>
      <c r="V502" s="746"/>
      <c r="W502" s="746"/>
      <c r="X502" s="746"/>
      <c r="Y502" s="799"/>
      <c r="Z502" s="799"/>
      <c r="AA502" s="799"/>
      <c r="AB502" s="799"/>
      <c r="AC502" s="799"/>
      <c r="AD502" s="750"/>
      <c r="AE502" s="749"/>
      <c r="AF502" s="749"/>
      <c r="AG502" s="749"/>
      <c r="AH502" s="749"/>
      <c r="AI502" s="749"/>
      <c r="AJ502" s="749"/>
      <c r="AK502" s="749"/>
      <c r="AL502" s="749"/>
      <c r="AM502" s="749"/>
      <c r="AN502" s="749"/>
      <c r="AO502" s="749"/>
      <c r="AP502" s="749"/>
      <c r="AQ502" s="749"/>
      <c r="AR502" s="749"/>
      <c r="AS502" s="749"/>
      <c r="AT502" s="749"/>
      <c r="AU502" s="749"/>
      <c r="AV502" s="749"/>
      <c r="AW502" s="749"/>
      <c r="AX502" s="749"/>
      <c r="AY502" s="749"/>
      <c r="AZ502" s="749"/>
      <c r="BA502" s="749"/>
      <c r="BB502" s="749"/>
      <c r="BC502" s="749"/>
      <c r="BD502" s="749"/>
      <c r="BE502" s="749"/>
      <c r="BF502" s="749"/>
      <c r="BG502" s="749"/>
      <c r="BH502" s="749"/>
      <c r="BI502" s="749"/>
      <c r="BJ502" s="749"/>
      <c r="BK502" s="749"/>
      <c r="BL502" s="749"/>
    </row>
    <row r="503">
      <c r="A503" s="866"/>
      <c r="B503" s="867"/>
      <c r="C503" s="866"/>
      <c r="D503" s="866"/>
      <c r="E503" s="866"/>
      <c r="F503" s="866"/>
      <c r="G503" s="866"/>
      <c r="H503" s="866"/>
      <c r="I503" s="866"/>
      <c r="J503" s="868"/>
      <c r="K503" s="868"/>
      <c r="L503" s="799"/>
      <c r="M503" s="747"/>
      <c r="N503" s="744"/>
      <c r="O503" s="744"/>
      <c r="P503" s="744"/>
      <c r="Q503" s="744"/>
      <c r="R503" s="744"/>
      <c r="S503" s="744"/>
      <c r="T503" s="855"/>
      <c r="U503" s="746"/>
      <c r="V503" s="746"/>
      <c r="W503" s="746"/>
      <c r="X503" s="746"/>
      <c r="Y503" s="799"/>
      <c r="Z503" s="799"/>
      <c r="AA503" s="799"/>
      <c r="AB503" s="799"/>
      <c r="AC503" s="799"/>
      <c r="AD503" s="750"/>
      <c r="AE503" s="749"/>
      <c r="AF503" s="749"/>
      <c r="AG503" s="749"/>
      <c r="AH503" s="749"/>
      <c r="AI503" s="749"/>
      <c r="AJ503" s="749"/>
      <c r="AK503" s="749"/>
      <c r="AL503" s="749"/>
      <c r="AM503" s="749"/>
      <c r="AN503" s="749"/>
      <c r="AO503" s="749"/>
      <c r="AP503" s="749"/>
      <c r="AQ503" s="749"/>
      <c r="AR503" s="749"/>
      <c r="AS503" s="749"/>
      <c r="AT503" s="749"/>
      <c r="AU503" s="749"/>
      <c r="AV503" s="749"/>
      <c r="AW503" s="749"/>
      <c r="AX503" s="749"/>
      <c r="AY503" s="749"/>
      <c r="AZ503" s="749"/>
      <c r="BA503" s="749"/>
      <c r="BB503" s="749"/>
      <c r="BC503" s="749"/>
      <c r="BD503" s="749"/>
      <c r="BE503" s="749"/>
      <c r="BF503" s="749"/>
      <c r="BG503" s="749"/>
      <c r="BH503" s="749"/>
      <c r="BI503" s="749"/>
      <c r="BJ503" s="749"/>
      <c r="BK503" s="749"/>
      <c r="BL503" s="749"/>
    </row>
    <row r="504">
      <c r="A504" s="866"/>
      <c r="B504" s="867"/>
      <c r="C504" s="866"/>
      <c r="D504" s="866"/>
      <c r="E504" s="866"/>
      <c r="F504" s="866"/>
      <c r="G504" s="866"/>
      <c r="H504" s="866"/>
      <c r="I504" s="866"/>
      <c r="J504" s="868"/>
      <c r="K504" s="868"/>
      <c r="L504" s="799"/>
      <c r="M504" s="747"/>
      <c r="N504" s="744"/>
      <c r="O504" s="744"/>
      <c r="P504" s="744"/>
      <c r="Q504" s="744"/>
      <c r="R504" s="744"/>
      <c r="S504" s="744"/>
      <c r="T504" s="855"/>
      <c r="U504" s="746"/>
      <c r="V504" s="746"/>
      <c r="W504" s="746"/>
      <c r="X504" s="746"/>
      <c r="Y504" s="799"/>
      <c r="Z504" s="799"/>
      <c r="AA504" s="799"/>
      <c r="AB504" s="799"/>
      <c r="AC504" s="799"/>
      <c r="AD504" s="750"/>
      <c r="AE504" s="749"/>
      <c r="AF504" s="749"/>
      <c r="AG504" s="749"/>
      <c r="AH504" s="749"/>
      <c r="AI504" s="749"/>
      <c r="AJ504" s="749"/>
      <c r="AK504" s="749"/>
      <c r="AL504" s="749"/>
      <c r="AM504" s="749"/>
      <c r="AN504" s="749"/>
      <c r="AO504" s="749"/>
      <c r="AP504" s="749"/>
      <c r="AQ504" s="749"/>
      <c r="AR504" s="749"/>
      <c r="AS504" s="749"/>
      <c r="AT504" s="749"/>
      <c r="AU504" s="749"/>
      <c r="AV504" s="749"/>
      <c r="AW504" s="749"/>
      <c r="AX504" s="749"/>
      <c r="AY504" s="749"/>
      <c r="AZ504" s="749"/>
      <c r="BA504" s="749"/>
      <c r="BB504" s="749"/>
      <c r="BC504" s="749"/>
      <c r="BD504" s="749"/>
      <c r="BE504" s="749"/>
      <c r="BF504" s="749"/>
      <c r="BG504" s="749"/>
      <c r="BH504" s="749"/>
      <c r="BI504" s="749"/>
      <c r="BJ504" s="749"/>
      <c r="BK504" s="749"/>
      <c r="BL504" s="749"/>
    </row>
    <row r="505">
      <c r="A505" s="866"/>
      <c r="B505" s="867"/>
      <c r="C505" s="866"/>
      <c r="D505" s="866"/>
      <c r="E505" s="866"/>
      <c r="F505" s="866"/>
      <c r="G505" s="866"/>
      <c r="H505" s="866"/>
      <c r="I505" s="866"/>
      <c r="J505" s="868"/>
      <c r="K505" s="868"/>
      <c r="L505" s="799"/>
      <c r="M505" s="747"/>
      <c r="N505" s="744"/>
      <c r="O505" s="744"/>
      <c r="P505" s="744"/>
      <c r="Q505" s="744"/>
      <c r="R505" s="744"/>
      <c r="S505" s="744"/>
      <c r="T505" s="855"/>
      <c r="U505" s="746"/>
      <c r="V505" s="746"/>
      <c r="W505" s="746"/>
      <c r="X505" s="746"/>
      <c r="Y505" s="799"/>
      <c r="Z505" s="799"/>
      <c r="AA505" s="799"/>
      <c r="AB505" s="799"/>
      <c r="AC505" s="799"/>
      <c r="AD505" s="750"/>
      <c r="AE505" s="749"/>
      <c r="AF505" s="749"/>
      <c r="AG505" s="749"/>
      <c r="AH505" s="749"/>
      <c r="AI505" s="749"/>
      <c r="AJ505" s="749"/>
      <c r="AK505" s="749"/>
      <c r="AL505" s="749"/>
      <c r="AM505" s="749"/>
      <c r="AN505" s="749"/>
      <c r="AO505" s="749"/>
      <c r="AP505" s="749"/>
      <c r="AQ505" s="749"/>
      <c r="AR505" s="749"/>
      <c r="AS505" s="749"/>
      <c r="AT505" s="749"/>
      <c r="AU505" s="749"/>
      <c r="AV505" s="749"/>
      <c r="AW505" s="749"/>
      <c r="AX505" s="749"/>
      <c r="AY505" s="749"/>
      <c r="AZ505" s="749"/>
      <c r="BA505" s="749"/>
      <c r="BB505" s="749"/>
      <c r="BC505" s="749"/>
      <c r="BD505" s="749"/>
      <c r="BE505" s="749"/>
      <c r="BF505" s="749"/>
      <c r="BG505" s="749"/>
      <c r="BH505" s="749"/>
      <c r="BI505" s="749"/>
      <c r="BJ505" s="749"/>
      <c r="BK505" s="749"/>
      <c r="BL505" s="749"/>
    </row>
    <row r="506">
      <c r="A506" s="866"/>
      <c r="B506" s="867"/>
      <c r="C506" s="866"/>
      <c r="D506" s="866"/>
      <c r="E506" s="866"/>
      <c r="F506" s="866"/>
      <c r="G506" s="866"/>
      <c r="H506" s="866"/>
      <c r="I506" s="866"/>
      <c r="J506" s="868"/>
      <c r="K506" s="868"/>
      <c r="L506" s="799"/>
      <c r="M506" s="747"/>
      <c r="N506" s="744"/>
      <c r="O506" s="744"/>
      <c r="P506" s="744"/>
      <c r="Q506" s="744"/>
      <c r="R506" s="744"/>
      <c r="S506" s="744"/>
      <c r="T506" s="855"/>
      <c r="U506" s="746"/>
      <c r="V506" s="746"/>
      <c r="W506" s="746"/>
      <c r="X506" s="746"/>
      <c r="Y506" s="799"/>
      <c r="Z506" s="799"/>
      <c r="AA506" s="799"/>
      <c r="AB506" s="799"/>
      <c r="AC506" s="799"/>
      <c r="AD506" s="750"/>
      <c r="AE506" s="749"/>
      <c r="AF506" s="749"/>
      <c r="AG506" s="749"/>
      <c r="AH506" s="749"/>
      <c r="AI506" s="749"/>
      <c r="AJ506" s="749"/>
      <c r="AK506" s="749"/>
      <c r="AL506" s="749"/>
      <c r="AM506" s="749"/>
      <c r="AN506" s="749"/>
      <c r="AO506" s="749"/>
      <c r="AP506" s="749"/>
      <c r="AQ506" s="749"/>
      <c r="AR506" s="749"/>
      <c r="AS506" s="749"/>
      <c r="AT506" s="749"/>
      <c r="AU506" s="749"/>
      <c r="AV506" s="749"/>
      <c r="AW506" s="749"/>
      <c r="AX506" s="749"/>
      <c r="AY506" s="749"/>
      <c r="AZ506" s="749"/>
      <c r="BA506" s="749"/>
      <c r="BB506" s="749"/>
      <c r="BC506" s="749"/>
      <c r="BD506" s="749"/>
      <c r="BE506" s="749"/>
      <c r="BF506" s="749"/>
      <c r="BG506" s="749"/>
      <c r="BH506" s="749"/>
      <c r="BI506" s="749"/>
      <c r="BJ506" s="749"/>
      <c r="BK506" s="749"/>
      <c r="BL506" s="749"/>
    </row>
    <row r="507">
      <c r="A507" s="866"/>
      <c r="B507" s="867"/>
      <c r="C507" s="866"/>
      <c r="D507" s="866"/>
      <c r="E507" s="866"/>
      <c r="F507" s="866"/>
      <c r="G507" s="866"/>
      <c r="H507" s="866"/>
      <c r="I507" s="866"/>
      <c r="J507" s="868"/>
      <c r="K507" s="868"/>
      <c r="L507" s="799"/>
      <c r="M507" s="747"/>
      <c r="N507" s="744"/>
      <c r="O507" s="744"/>
      <c r="P507" s="744"/>
      <c r="Q507" s="744"/>
      <c r="R507" s="744"/>
      <c r="S507" s="744"/>
      <c r="T507" s="855"/>
      <c r="U507" s="746"/>
      <c r="V507" s="746"/>
      <c r="W507" s="746"/>
      <c r="X507" s="746"/>
      <c r="Y507" s="799"/>
      <c r="Z507" s="799"/>
      <c r="AA507" s="799"/>
      <c r="AB507" s="799"/>
      <c r="AC507" s="799"/>
      <c r="AD507" s="750"/>
      <c r="AE507" s="749"/>
      <c r="AF507" s="749"/>
      <c r="AG507" s="749"/>
      <c r="AH507" s="749"/>
      <c r="AI507" s="749"/>
      <c r="AJ507" s="749"/>
      <c r="AK507" s="749"/>
      <c r="AL507" s="749"/>
      <c r="AM507" s="749"/>
      <c r="AN507" s="749"/>
      <c r="AO507" s="749"/>
      <c r="AP507" s="749"/>
      <c r="AQ507" s="749"/>
      <c r="AR507" s="749"/>
      <c r="AS507" s="749"/>
      <c r="AT507" s="749"/>
      <c r="AU507" s="749"/>
      <c r="AV507" s="749"/>
      <c r="AW507" s="749"/>
      <c r="AX507" s="749"/>
      <c r="AY507" s="749"/>
      <c r="AZ507" s="749"/>
      <c r="BA507" s="749"/>
      <c r="BB507" s="749"/>
      <c r="BC507" s="749"/>
      <c r="BD507" s="749"/>
      <c r="BE507" s="749"/>
      <c r="BF507" s="749"/>
      <c r="BG507" s="749"/>
      <c r="BH507" s="749"/>
      <c r="BI507" s="749"/>
      <c r="BJ507" s="749"/>
      <c r="BK507" s="749"/>
      <c r="BL507" s="749"/>
    </row>
    <row r="508">
      <c r="A508" s="866"/>
      <c r="B508" s="867"/>
      <c r="C508" s="866"/>
      <c r="D508" s="866"/>
      <c r="E508" s="866"/>
      <c r="F508" s="866"/>
      <c r="G508" s="866"/>
      <c r="H508" s="866"/>
      <c r="I508" s="866"/>
      <c r="J508" s="868"/>
      <c r="K508" s="868"/>
      <c r="L508" s="799"/>
      <c r="M508" s="747"/>
      <c r="N508" s="744"/>
      <c r="O508" s="744"/>
      <c r="P508" s="744"/>
      <c r="Q508" s="744"/>
      <c r="R508" s="744"/>
      <c r="S508" s="744"/>
      <c r="T508" s="855"/>
      <c r="U508" s="746"/>
      <c r="V508" s="746"/>
      <c r="W508" s="746"/>
      <c r="X508" s="746"/>
      <c r="Y508" s="799"/>
      <c r="Z508" s="799"/>
      <c r="AA508" s="799"/>
      <c r="AB508" s="799"/>
      <c r="AC508" s="799"/>
      <c r="AD508" s="750"/>
      <c r="AE508" s="749"/>
      <c r="AF508" s="749"/>
      <c r="AG508" s="749"/>
      <c r="AH508" s="749"/>
      <c r="AI508" s="749"/>
      <c r="AJ508" s="749"/>
      <c r="AK508" s="749"/>
      <c r="AL508" s="749"/>
      <c r="AM508" s="749"/>
      <c r="AN508" s="749"/>
      <c r="AO508" s="749"/>
      <c r="AP508" s="749"/>
      <c r="AQ508" s="749"/>
      <c r="AR508" s="749"/>
      <c r="AS508" s="749"/>
      <c r="AT508" s="749"/>
      <c r="AU508" s="749"/>
      <c r="AV508" s="749"/>
      <c r="AW508" s="749"/>
      <c r="AX508" s="749"/>
      <c r="AY508" s="749"/>
      <c r="AZ508" s="749"/>
      <c r="BA508" s="749"/>
      <c r="BB508" s="749"/>
      <c r="BC508" s="749"/>
      <c r="BD508" s="749"/>
      <c r="BE508" s="749"/>
      <c r="BF508" s="749"/>
      <c r="BG508" s="749"/>
      <c r="BH508" s="749"/>
      <c r="BI508" s="749"/>
      <c r="BJ508" s="749"/>
      <c r="BK508" s="749"/>
      <c r="BL508" s="749"/>
    </row>
    <row r="509">
      <c r="A509" s="866"/>
      <c r="B509" s="867"/>
      <c r="C509" s="866"/>
      <c r="D509" s="866"/>
      <c r="E509" s="866"/>
      <c r="F509" s="866"/>
      <c r="G509" s="866"/>
      <c r="H509" s="866"/>
      <c r="I509" s="866"/>
      <c r="J509" s="868"/>
      <c r="K509" s="868"/>
      <c r="L509" s="799"/>
      <c r="M509" s="747"/>
      <c r="N509" s="744"/>
      <c r="O509" s="744"/>
      <c r="P509" s="744"/>
      <c r="Q509" s="744"/>
      <c r="R509" s="744"/>
      <c r="S509" s="744"/>
      <c r="T509" s="855"/>
      <c r="U509" s="746"/>
      <c r="V509" s="746"/>
      <c r="W509" s="746"/>
      <c r="X509" s="746"/>
      <c r="Y509" s="799"/>
      <c r="Z509" s="799"/>
      <c r="AA509" s="799"/>
      <c r="AB509" s="799"/>
      <c r="AC509" s="799"/>
      <c r="AD509" s="750"/>
      <c r="AE509" s="749"/>
      <c r="AF509" s="749"/>
      <c r="AG509" s="749"/>
      <c r="AH509" s="749"/>
      <c r="AI509" s="749"/>
      <c r="AJ509" s="749"/>
      <c r="AK509" s="749"/>
      <c r="AL509" s="749"/>
      <c r="AM509" s="749"/>
      <c r="AN509" s="749"/>
      <c r="AO509" s="749"/>
      <c r="AP509" s="749"/>
      <c r="AQ509" s="749"/>
      <c r="AR509" s="749"/>
      <c r="AS509" s="749"/>
      <c r="AT509" s="749"/>
      <c r="AU509" s="749"/>
      <c r="AV509" s="749"/>
      <c r="AW509" s="749"/>
      <c r="AX509" s="749"/>
      <c r="AY509" s="749"/>
      <c r="AZ509" s="749"/>
      <c r="BA509" s="749"/>
      <c r="BB509" s="749"/>
      <c r="BC509" s="749"/>
      <c r="BD509" s="749"/>
      <c r="BE509" s="749"/>
      <c r="BF509" s="749"/>
      <c r="BG509" s="749"/>
      <c r="BH509" s="749"/>
      <c r="BI509" s="749"/>
      <c r="BJ509" s="749"/>
      <c r="BK509" s="749"/>
      <c r="BL509" s="749"/>
    </row>
    <row r="510">
      <c r="A510" s="866"/>
      <c r="B510" s="867"/>
      <c r="C510" s="866"/>
      <c r="D510" s="866"/>
      <c r="E510" s="866"/>
      <c r="F510" s="866"/>
      <c r="G510" s="866"/>
      <c r="H510" s="866"/>
      <c r="I510" s="866"/>
      <c r="J510" s="868"/>
      <c r="K510" s="868"/>
      <c r="L510" s="799"/>
      <c r="M510" s="747"/>
      <c r="N510" s="744"/>
      <c r="O510" s="744"/>
      <c r="P510" s="744"/>
      <c r="Q510" s="744"/>
      <c r="R510" s="744"/>
      <c r="S510" s="744"/>
      <c r="T510" s="855"/>
      <c r="U510" s="746"/>
      <c r="V510" s="746"/>
      <c r="W510" s="746"/>
      <c r="X510" s="746"/>
      <c r="Y510" s="799"/>
      <c r="Z510" s="799"/>
      <c r="AA510" s="799"/>
      <c r="AB510" s="799"/>
      <c r="AC510" s="799"/>
      <c r="AD510" s="750"/>
      <c r="AE510" s="749"/>
      <c r="AF510" s="749"/>
      <c r="AG510" s="749"/>
      <c r="AH510" s="749"/>
      <c r="AI510" s="749"/>
      <c r="AJ510" s="749"/>
      <c r="AK510" s="749"/>
      <c r="AL510" s="749"/>
      <c r="AM510" s="749"/>
      <c r="AN510" s="749"/>
      <c r="AO510" s="749"/>
      <c r="AP510" s="749"/>
      <c r="AQ510" s="749"/>
      <c r="AR510" s="749"/>
      <c r="AS510" s="749"/>
      <c r="AT510" s="749"/>
      <c r="AU510" s="749"/>
      <c r="AV510" s="749"/>
      <c r="AW510" s="749"/>
      <c r="AX510" s="749"/>
      <c r="AY510" s="749"/>
      <c r="AZ510" s="749"/>
      <c r="BA510" s="749"/>
      <c r="BB510" s="749"/>
      <c r="BC510" s="749"/>
      <c r="BD510" s="749"/>
      <c r="BE510" s="749"/>
      <c r="BF510" s="749"/>
      <c r="BG510" s="749"/>
      <c r="BH510" s="749"/>
      <c r="BI510" s="749"/>
      <c r="BJ510" s="749"/>
      <c r="BK510" s="749"/>
      <c r="BL510" s="749"/>
    </row>
    <row r="511">
      <c r="A511" s="866"/>
      <c r="B511" s="867"/>
      <c r="C511" s="866"/>
      <c r="D511" s="866"/>
      <c r="E511" s="866"/>
      <c r="F511" s="866"/>
      <c r="G511" s="866"/>
      <c r="H511" s="866"/>
      <c r="I511" s="866"/>
      <c r="J511" s="868"/>
      <c r="K511" s="868"/>
      <c r="L511" s="799"/>
      <c r="M511" s="747"/>
      <c r="N511" s="744"/>
      <c r="O511" s="744"/>
      <c r="P511" s="744"/>
      <c r="Q511" s="744"/>
      <c r="R511" s="744"/>
      <c r="S511" s="744"/>
      <c r="T511" s="855"/>
      <c r="U511" s="746"/>
      <c r="V511" s="746"/>
      <c r="W511" s="746"/>
      <c r="X511" s="746"/>
      <c r="Y511" s="799"/>
      <c r="Z511" s="799"/>
      <c r="AA511" s="799"/>
      <c r="AB511" s="799"/>
      <c r="AC511" s="799"/>
      <c r="AD511" s="750"/>
      <c r="AE511" s="749"/>
      <c r="AF511" s="749"/>
      <c r="AG511" s="749"/>
      <c r="AH511" s="749"/>
      <c r="AI511" s="749"/>
      <c r="AJ511" s="749"/>
      <c r="AK511" s="749"/>
      <c r="AL511" s="749"/>
      <c r="AM511" s="749"/>
      <c r="AN511" s="749"/>
      <c r="AO511" s="749"/>
      <c r="AP511" s="749"/>
      <c r="AQ511" s="749"/>
      <c r="AR511" s="749"/>
      <c r="AS511" s="749"/>
      <c r="AT511" s="749"/>
      <c r="AU511" s="749"/>
      <c r="AV511" s="749"/>
      <c r="AW511" s="749"/>
      <c r="AX511" s="749"/>
      <c r="AY511" s="749"/>
      <c r="AZ511" s="749"/>
      <c r="BA511" s="749"/>
      <c r="BB511" s="749"/>
      <c r="BC511" s="749"/>
      <c r="BD511" s="749"/>
      <c r="BE511" s="749"/>
      <c r="BF511" s="749"/>
      <c r="BG511" s="749"/>
      <c r="BH511" s="749"/>
      <c r="BI511" s="749"/>
      <c r="BJ511" s="749"/>
      <c r="BK511" s="749"/>
      <c r="BL511" s="749"/>
    </row>
    <row r="512">
      <c r="A512" s="866"/>
      <c r="B512" s="867"/>
      <c r="C512" s="866"/>
      <c r="D512" s="866"/>
      <c r="E512" s="866"/>
      <c r="F512" s="866"/>
      <c r="G512" s="866"/>
      <c r="H512" s="866"/>
      <c r="I512" s="866"/>
      <c r="J512" s="868"/>
      <c r="K512" s="868"/>
      <c r="L512" s="799"/>
      <c r="M512" s="747"/>
      <c r="N512" s="744"/>
      <c r="O512" s="744"/>
      <c r="P512" s="744"/>
      <c r="Q512" s="744"/>
      <c r="R512" s="744"/>
      <c r="S512" s="744"/>
      <c r="T512" s="855"/>
      <c r="U512" s="746"/>
      <c r="V512" s="746"/>
      <c r="W512" s="746"/>
      <c r="X512" s="746"/>
      <c r="Y512" s="799"/>
      <c r="Z512" s="799"/>
      <c r="AA512" s="799"/>
      <c r="AB512" s="799"/>
      <c r="AC512" s="799"/>
      <c r="AD512" s="750"/>
      <c r="AE512" s="749"/>
      <c r="AF512" s="749"/>
      <c r="AG512" s="749"/>
      <c r="AH512" s="749"/>
      <c r="AI512" s="749"/>
      <c r="AJ512" s="749"/>
      <c r="AK512" s="749"/>
      <c r="AL512" s="749"/>
      <c r="AM512" s="749"/>
      <c r="AN512" s="749"/>
      <c r="AO512" s="749"/>
      <c r="AP512" s="749"/>
      <c r="AQ512" s="749"/>
      <c r="AR512" s="749"/>
      <c r="AS512" s="749"/>
      <c r="AT512" s="749"/>
      <c r="AU512" s="749"/>
      <c r="AV512" s="749"/>
      <c r="AW512" s="749"/>
      <c r="AX512" s="749"/>
      <c r="AY512" s="749"/>
      <c r="AZ512" s="749"/>
      <c r="BA512" s="749"/>
      <c r="BB512" s="749"/>
      <c r="BC512" s="749"/>
      <c r="BD512" s="749"/>
      <c r="BE512" s="749"/>
      <c r="BF512" s="749"/>
      <c r="BG512" s="749"/>
      <c r="BH512" s="749"/>
      <c r="BI512" s="749"/>
      <c r="BJ512" s="749"/>
      <c r="BK512" s="749"/>
      <c r="BL512" s="749"/>
    </row>
    <row r="513">
      <c r="A513" s="866"/>
      <c r="B513" s="867"/>
      <c r="C513" s="866"/>
      <c r="D513" s="866"/>
      <c r="E513" s="866"/>
      <c r="F513" s="866"/>
      <c r="G513" s="866"/>
      <c r="H513" s="866"/>
      <c r="I513" s="866"/>
      <c r="J513" s="868"/>
      <c r="K513" s="868"/>
      <c r="L513" s="799"/>
      <c r="M513" s="747"/>
      <c r="N513" s="744"/>
      <c r="O513" s="744"/>
      <c r="P513" s="744"/>
      <c r="Q513" s="744"/>
      <c r="R513" s="744"/>
      <c r="S513" s="744"/>
      <c r="T513" s="855"/>
      <c r="U513" s="746"/>
      <c r="V513" s="746"/>
      <c r="W513" s="746"/>
      <c r="X513" s="746"/>
      <c r="Y513" s="799"/>
      <c r="Z513" s="799"/>
      <c r="AA513" s="799"/>
      <c r="AB513" s="799"/>
      <c r="AC513" s="799"/>
      <c r="AD513" s="750"/>
      <c r="AE513" s="749"/>
      <c r="AF513" s="749"/>
      <c r="AG513" s="749"/>
      <c r="AH513" s="749"/>
      <c r="AI513" s="749"/>
      <c r="AJ513" s="749"/>
      <c r="AK513" s="749"/>
      <c r="AL513" s="749"/>
      <c r="AM513" s="749"/>
      <c r="AN513" s="749"/>
      <c r="AO513" s="749"/>
      <c r="AP513" s="749"/>
      <c r="AQ513" s="749"/>
      <c r="AR513" s="749"/>
      <c r="AS513" s="749"/>
      <c r="AT513" s="749"/>
      <c r="AU513" s="749"/>
      <c r="AV513" s="749"/>
      <c r="AW513" s="749"/>
      <c r="AX513" s="749"/>
      <c r="AY513" s="749"/>
      <c r="AZ513" s="749"/>
      <c r="BA513" s="749"/>
      <c r="BB513" s="749"/>
      <c r="BC513" s="749"/>
      <c r="BD513" s="749"/>
      <c r="BE513" s="749"/>
      <c r="BF513" s="749"/>
      <c r="BG513" s="749"/>
      <c r="BH513" s="749"/>
      <c r="BI513" s="749"/>
      <c r="BJ513" s="749"/>
      <c r="BK513" s="749"/>
      <c r="BL513" s="749"/>
    </row>
    <row r="514">
      <c r="A514" s="866"/>
      <c r="B514" s="867"/>
      <c r="C514" s="866"/>
      <c r="D514" s="866"/>
      <c r="E514" s="866"/>
      <c r="F514" s="866"/>
      <c r="G514" s="866"/>
      <c r="H514" s="866"/>
      <c r="I514" s="866"/>
      <c r="J514" s="868"/>
      <c r="K514" s="868"/>
      <c r="L514" s="799"/>
      <c r="M514" s="747"/>
      <c r="N514" s="744"/>
      <c r="O514" s="744"/>
      <c r="P514" s="744"/>
      <c r="Q514" s="744"/>
      <c r="R514" s="744"/>
      <c r="S514" s="744"/>
      <c r="T514" s="855"/>
      <c r="U514" s="746"/>
      <c r="V514" s="746"/>
      <c r="W514" s="746"/>
      <c r="X514" s="746"/>
      <c r="Y514" s="799"/>
      <c r="Z514" s="799"/>
      <c r="AA514" s="799"/>
      <c r="AB514" s="799"/>
      <c r="AC514" s="799"/>
      <c r="AD514" s="750"/>
      <c r="AE514" s="749"/>
      <c r="AF514" s="749"/>
      <c r="AG514" s="749"/>
      <c r="AH514" s="749"/>
      <c r="AI514" s="749"/>
      <c r="AJ514" s="749"/>
      <c r="AK514" s="749"/>
      <c r="AL514" s="749"/>
      <c r="AM514" s="749"/>
      <c r="AN514" s="749"/>
      <c r="AO514" s="749"/>
      <c r="AP514" s="749"/>
      <c r="AQ514" s="749"/>
      <c r="AR514" s="749"/>
      <c r="AS514" s="749"/>
      <c r="AT514" s="749"/>
      <c r="AU514" s="749"/>
      <c r="AV514" s="749"/>
      <c r="AW514" s="749"/>
      <c r="AX514" s="749"/>
      <c r="AY514" s="749"/>
      <c r="AZ514" s="749"/>
      <c r="BA514" s="749"/>
      <c r="BB514" s="749"/>
      <c r="BC514" s="749"/>
      <c r="BD514" s="749"/>
      <c r="BE514" s="749"/>
      <c r="BF514" s="749"/>
      <c r="BG514" s="749"/>
      <c r="BH514" s="749"/>
      <c r="BI514" s="749"/>
      <c r="BJ514" s="749"/>
      <c r="BK514" s="749"/>
      <c r="BL514" s="749"/>
    </row>
    <row r="515">
      <c r="A515" s="866"/>
      <c r="B515" s="867"/>
      <c r="C515" s="866"/>
      <c r="D515" s="866"/>
      <c r="E515" s="866"/>
      <c r="F515" s="866"/>
      <c r="G515" s="866"/>
      <c r="H515" s="866"/>
      <c r="I515" s="866"/>
      <c r="J515" s="868"/>
      <c r="K515" s="868"/>
      <c r="L515" s="799"/>
      <c r="M515" s="747"/>
      <c r="N515" s="744"/>
      <c r="O515" s="744"/>
      <c r="P515" s="744"/>
      <c r="Q515" s="744"/>
      <c r="R515" s="744"/>
      <c r="S515" s="744"/>
      <c r="T515" s="855"/>
      <c r="U515" s="746"/>
      <c r="V515" s="746"/>
      <c r="W515" s="746"/>
      <c r="X515" s="746"/>
      <c r="Y515" s="799"/>
      <c r="Z515" s="799"/>
      <c r="AA515" s="799"/>
      <c r="AB515" s="799"/>
      <c r="AC515" s="799"/>
      <c r="AD515" s="750"/>
      <c r="AE515" s="749"/>
      <c r="AF515" s="749"/>
      <c r="AG515" s="749"/>
      <c r="AH515" s="749"/>
      <c r="AI515" s="749"/>
      <c r="AJ515" s="749"/>
      <c r="AK515" s="749"/>
      <c r="AL515" s="749"/>
      <c r="AM515" s="749"/>
      <c r="AN515" s="749"/>
      <c r="AO515" s="749"/>
      <c r="AP515" s="749"/>
      <c r="AQ515" s="749"/>
      <c r="AR515" s="749"/>
      <c r="AS515" s="749"/>
      <c r="AT515" s="749"/>
      <c r="AU515" s="749"/>
      <c r="AV515" s="749"/>
      <c r="AW515" s="749"/>
      <c r="AX515" s="749"/>
      <c r="AY515" s="749"/>
      <c r="AZ515" s="749"/>
      <c r="BA515" s="749"/>
      <c r="BB515" s="749"/>
      <c r="BC515" s="749"/>
      <c r="BD515" s="749"/>
      <c r="BE515" s="749"/>
      <c r="BF515" s="749"/>
      <c r="BG515" s="749"/>
      <c r="BH515" s="749"/>
      <c r="BI515" s="749"/>
      <c r="BJ515" s="749"/>
      <c r="BK515" s="749"/>
      <c r="BL515" s="749"/>
    </row>
    <row r="516">
      <c r="A516" s="866"/>
      <c r="B516" s="867"/>
      <c r="C516" s="866"/>
      <c r="D516" s="866"/>
      <c r="E516" s="866"/>
      <c r="F516" s="866"/>
      <c r="G516" s="866"/>
      <c r="H516" s="866"/>
      <c r="I516" s="866"/>
      <c r="J516" s="868"/>
      <c r="K516" s="868"/>
      <c r="L516" s="799"/>
      <c r="M516" s="747"/>
      <c r="N516" s="744"/>
      <c r="O516" s="744"/>
      <c r="P516" s="744"/>
      <c r="Q516" s="744"/>
      <c r="R516" s="744"/>
      <c r="S516" s="744"/>
      <c r="T516" s="855"/>
      <c r="U516" s="746"/>
      <c r="V516" s="746"/>
      <c r="W516" s="746"/>
      <c r="X516" s="746"/>
      <c r="Y516" s="799"/>
      <c r="Z516" s="799"/>
      <c r="AA516" s="799"/>
      <c r="AB516" s="799"/>
      <c r="AC516" s="799"/>
      <c r="AD516" s="750"/>
      <c r="AE516" s="749"/>
      <c r="AF516" s="749"/>
      <c r="AG516" s="749"/>
      <c r="AH516" s="749"/>
      <c r="AI516" s="749"/>
      <c r="AJ516" s="749"/>
      <c r="AK516" s="749"/>
      <c r="AL516" s="749"/>
      <c r="AM516" s="749"/>
      <c r="AN516" s="749"/>
      <c r="AO516" s="749"/>
      <c r="AP516" s="749"/>
      <c r="AQ516" s="749"/>
      <c r="AR516" s="749"/>
      <c r="AS516" s="749"/>
      <c r="AT516" s="749"/>
      <c r="AU516" s="749"/>
      <c r="AV516" s="749"/>
      <c r="AW516" s="749"/>
      <c r="AX516" s="749"/>
      <c r="AY516" s="749"/>
      <c r="AZ516" s="749"/>
      <c r="BA516" s="749"/>
      <c r="BB516" s="749"/>
      <c r="BC516" s="749"/>
      <c r="BD516" s="749"/>
      <c r="BE516" s="749"/>
      <c r="BF516" s="749"/>
      <c r="BG516" s="749"/>
      <c r="BH516" s="749"/>
      <c r="BI516" s="749"/>
      <c r="BJ516" s="749"/>
      <c r="BK516" s="749"/>
      <c r="BL516" s="749"/>
    </row>
    <row r="517">
      <c r="A517" s="866"/>
      <c r="B517" s="867"/>
      <c r="C517" s="866"/>
      <c r="D517" s="866"/>
      <c r="E517" s="866"/>
      <c r="F517" s="866"/>
      <c r="G517" s="866"/>
      <c r="H517" s="866"/>
      <c r="I517" s="866"/>
      <c r="J517" s="868"/>
      <c r="K517" s="868"/>
      <c r="L517" s="799"/>
      <c r="M517" s="747"/>
      <c r="N517" s="744"/>
      <c r="O517" s="744"/>
      <c r="P517" s="744"/>
      <c r="Q517" s="744"/>
      <c r="R517" s="744"/>
      <c r="S517" s="744"/>
      <c r="T517" s="855"/>
      <c r="U517" s="746"/>
      <c r="V517" s="746"/>
      <c r="W517" s="746"/>
      <c r="X517" s="746"/>
      <c r="Y517" s="799"/>
      <c r="Z517" s="799"/>
      <c r="AA517" s="799"/>
      <c r="AB517" s="799"/>
      <c r="AC517" s="799"/>
      <c r="AD517" s="750"/>
      <c r="AE517" s="749"/>
      <c r="AF517" s="749"/>
      <c r="AG517" s="749"/>
      <c r="AH517" s="749"/>
      <c r="AI517" s="749"/>
      <c r="AJ517" s="749"/>
      <c r="AK517" s="749"/>
      <c r="AL517" s="749"/>
      <c r="AM517" s="749"/>
      <c r="AN517" s="749"/>
      <c r="AO517" s="749"/>
      <c r="AP517" s="749"/>
      <c r="AQ517" s="749"/>
      <c r="AR517" s="749"/>
      <c r="AS517" s="749"/>
      <c r="AT517" s="749"/>
      <c r="AU517" s="749"/>
      <c r="AV517" s="749"/>
      <c r="AW517" s="749"/>
      <c r="AX517" s="749"/>
      <c r="AY517" s="749"/>
      <c r="AZ517" s="749"/>
      <c r="BA517" s="749"/>
      <c r="BB517" s="749"/>
      <c r="BC517" s="749"/>
      <c r="BD517" s="749"/>
      <c r="BE517" s="749"/>
      <c r="BF517" s="749"/>
      <c r="BG517" s="749"/>
      <c r="BH517" s="749"/>
      <c r="BI517" s="749"/>
      <c r="BJ517" s="749"/>
      <c r="BK517" s="749"/>
      <c r="BL517" s="749"/>
    </row>
    <row r="518">
      <c r="A518" s="866"/>
      <c r="B518" s="867"/>
      <c r="C518" s="866"/>
      <c r="D518" s="866"/>
      <c r="E518" s="866"/>
      <c r="F518" s="866"/>
      <c r="G518" s="866"/>
      <c r="H518" s="866"/>
      <c r="I518" s="866"/>
      <c r="J518" s="868"/>
      <c r="K518" s="868"/>
      <c r="L518" s="799"/>
      <c r="M518" s="747"/>
      <c r="N518" s="744"/>
      <c r="O518" s="744"/>
      <c r="P518" s="744"/>
      <c r="Q518" s="744"/>
      <c r="R518" s="744"/>
      <c r="S518" s="744"/>
      <c r="T518" s="855"/>
      <c r="U518" s="746"/>
      <c r="V518" s="746"/>
      <c r="W518" s="746"/>
      <c r="X518" s="746"/>
      <c r="Y518" s="799"/>
      <c r="Z518" s="799"/>
      <c r="AA518" s="799"/>
      <c r="AB518" s="799"/>
      <c r="AC518" s="799"/>
      <c r="AD518" s="750"/>
      <c r="AE518" s="749"/>
      <c r="AF518" s="749"/>
      <c r="AG518" s="749"/>
      <c r="AH518" s="749"/>
      <c r="AI518" s="749"/>
      <c r="AJ518" s="749"/>
      <c r="AK518" s="749"/>
      <c r="AL518" s="749"/>
      <c r="AM518" s="749"/>
      <c r="AN518" s="749"/>
      <c r="AO518" s="749"/>
      <c r="AP518" s="749"/>
      <c r="AQ518" s="749"/>
      <c r="AR518" s="749"/>
      <c r="AS518" s="749"/>
      <c r="AT518" s="749"/>
      <c r="AU518" s="749"/>
      <c r="AV518" s="749"/>
      <c r="AW518" s="749"/>
      <c r="AX518" s="749"/>
      <c r="AY518" s="749"/>
      <c r="AZ518" s="749"/>
      <c r="BA518" s="749"/>
      <c r="BB518" s="749"/>
      <c r="BC518" s="749"/>
      <c r="BD518" s="749"/>
      <c r="BE518" s="749"/>
      <c r="BF518" s="749"/>
      <c r="BG518" s="749"/>
      <c r="BH518" s="749"/>
      <c r="BI518" s="749"/>
      <c r="BJ518" s="749"/>
      <c r="BK518" s="749"/>
      <c r="BL518" s="749"/>
    </row>
    <row r="519">
      <c r="A519" s="866"/>
      <c r="B519" s="867"/>
      <c r="C519" s="866"/>
      <c r="D519" s="866"/>
      <c r="E519" s="866"/>
      <c r="F519" s="866"/>
      <c r="G519" s="866"/>
      <c r="H519" s="866"/>
      <c r="I519" s="866"/>
      <c r="J519" s="868"/>
      <c r="K519" s="868"/>
      <c r="L519" s="799"/>
      <c r="M519" s="747"/>
      <c r="N519" s="744"/>
      <c r="O519" s="744"/>
      <c r="P519" s="744"/>
      <c r="Q519" s="744"/>
      <c r="R519" s="744"/>
      <c r="S519" s="744"/>
      <c r="T519" s="855"/>
      <c r="U519" s="746"/>
      <c r="V519" s="746"/>
      <c r="W519" s="746"/>
      <c r="X519" s="746"/>
      <c r="Y519" s="799"/>
      <c r="Z519" s="799"/>
      <c r="AA519" s="799"/>
      <c r="AB519" s="799"/>
      <c r="AC519" s="799"/>
      <c r="AD519" s="750"/>
      <c r="AE519" s="749"/>
      <c r="AF519" s="749"/>
      <c r="AG519" s="749"/>
      <c r="AH519" s="749"/>
      <c r="AI519" s="749"/>
      <c r="AJ519" s="749"/>
      <c r="AK519" s="749"/>
      <c r="AL519" s="749"/>
      <c r="AM519" s="749"/>
      <c r="AN519" s="749"/>
      <c r="AO519" s="749"/>
      <c r="AP519" s="749"/>
      <c r="AQ519" s="749"/>
      <c r="AR519" s="749"/>
      <c r="AS519" s="749"/>
      <c r="AT519" s="749"/>
      <c r="AU519" s="749"/>
      <c r="AV519" s="749"/>
      <c r="AW519" s="749"/>
      <c r="AX519" s="749"/>
      <c r="AY519" s="749"/>
      <c r="AZ519" s="749"/>
      <c r="BA519" s="749"/>
      <c r="BB519" s="749"/>
      <c r="BC519" s="749"/>
      <c r="BD519" s="749"/>
      <c r="BE519" s="749"/>
      <c r="BF519" s="749"/>
      <c r="BG519" s="749"/>
      <c r="BH519" s="749"/>
      <c r="BI519" s="749"/>
      <c r="BJ519" s="749"/>
      <c r="BK519" s="749"/>
      <c r="BL519" s="749"/>
    </row>
    <row r="520">
      <c r="A520" s="866"/>
      <c r="B520" s="867"/>
      <c r="C520" s="866"/>
      <c r="D520" s="866"/>
      <c r="E520" s="866"/>
      <c r="F520" s="866"/>
      <c r="G520" s="866"/>
      <c r="H520" s="866"/>
      <c r="I520" s="866"/>
      <c r="J520" s="868"/>
      <c r="K520" s="868"/>
      <c r="L520" s="799"/>
      <c r="M520" s="747"/>
      <c r="N520" s="744"/>
      <c r="O520" s="744"/>
      <c r="P520" s="744"/>
      <c r="Q520" s="744"/>
      <c r="R520" s="744"/>
      <c r="S520" s="744"/>
      <c r="T520" s="855"/>
      <c r="U520" s="746"/>
      <c r="V520" s="746"/>
      <c r="W520" s="746"/>
      <c r="X520" s="746"/>
      <c r="Y520" s="799"/>
      <c r="Z520" s="799"/>
      <c r="AA520" s="799"/>
      <c r="AB520" s="799"/>
      <c r="AC520" s="799"/>
      <c r="AD520" s="750"/>
      <c r="AE520" s="749"/>
      <c r="AF520" s="749"/>
      <c r="AG520" s="749"/>
      <c r="AH520" s="749"/>
      <c r="AI520" s="749"/>
      <c r="AJ520" s="749"/>
      <c r="AK520" s="749"/>
      <c r="AL520" s="749"/>
      <c r="AM520" s="749"/>
      <c r="AN520" s="749"/>
      <c r="AO520" s="749"/>
      <c r="AP520" s="749"/>
      <c r="AQ520" s="749"/>
      <c r="AR520" s="749"/>
      <c r="AS520" s="749"/>
      <c r="AT520" s="749"/>
      <c r="AU520" s="749"/>
      <c r="AV520" s="749"/>
      <c r="AW520" s="749"/>
      <c r="AX520" s="749"/>
      <c r="AY520" s="749"/>
      <c r="AZ520" s="749"/>
      <c r="BA520" s="749"/>
      <c r="BB520" s="749"/>
      <c r="BC520" s="749"/>
      <c r="BD520" s="749"/>
      <c r="BE520" s="749"/>
      <c r="BF520" s="749"/>
      <c r="BG520" s="749"/>
      <c r="BH520" s="749"/>
      <c r="BI520" s="749"/>
      <c r="BJ520" s="749"/>
      <c r="BK520" s="749"/>
      <c r="BL520" s="749"/>
    </row>
    <row r="521">
      <c r="A521" s="866"/>
      <c r="B521" s="867"/>
      <c r="C521" s="866"/>
      <c r="D521" s="866"/>
      <c r="E521" s="866"/>
      <c r="F521" s="866"/>
      <c r="G521" s="866"/>
      <c r="H521" s="866"/>
      <c r="I521" s="866"/>
      <c r="J521" s="868"/>
      <c r="K521" s="868"/>
      <c r="L521" s="799"/>
      <c r="M521" s="747"/>
      <c r="N521" s="744"/>
      <c r="O521" s="744"/>
      <c r="P521" s="744"/>
      <c r="Q521" s="744"/>
      <c r="R521" s="744"/>
      <c r="S521" s="744"/>
      <c r="T521" s="855"/>
      <c r="U521" s="746"/>
      <c r="V521" s="746"/>
      <c r="W521" s="746"/>
      <c r="X521" s="746"/>
      <c r="Y521" s="799"/>
      <c r="Z521" s="799"/>
      <c r="AA521" s="799"/>
      <c r="AB521" s="799"/>
      <c r="AC521" s="799"/>
      <c r="AD521" s="750"/>
      <c r="AE521" s="749"/>
      <c r="AF521" s="749"/>
      <c r="AG521" s="749"/>
      <c r="AH521" s="749"/>
      <c r="AI521" s="749"/>
      <c r="AJ521" s="749"/>
      <c r="AK521" s="749"/>
      <c r="AL521" s="749"/>
      <c r="AM521" s="749"/>
      <c r="AN521" s="749"/>
      <c r="AO521" s="749"/>
      <c r="AP521" s="749"/>
      <c r="AQ521" s="749"/>
      <c r="AR521" s="749"/>
      <c r="AS521" s="749"/>
      <c r="AT521" s="749"/>
      <c r="AU521" s="749"/>
      <c r="AV521" s="749"/>
      <c r="AW521" s="749"/>
      <c r="AX521" s="749"/>
      <c r="AY521" s="749"/>
      <c r="AZ521" s="749"/>
      <c r="BA521" s="749"/>
      <c r="BB521" s="749"/>
      <c r="BC521" s="749"/>
      <c r="BD521" s="749"/>
      <c r="BE521" s="749"/>
      <c r="BF521" s="749"/>
      <c r="BG521" s="749"/>
      <c r="BH521" s="749"/>
      <c r="BI521" s="749"/>
      <c r="BJ521" s="749"/>
      <c r="BK521" s="749"/>
      <c r="BL521" s="749"/>
    </row>
    <row r="522">
      <c r="A522" s="866"/>
      <c r="B522" s="867"/>
      <c r="C522" s="866"/>
      <c r="D522" s="866"/>
      <c r="E522" s="866"/>
      <c r="F522" s="866"/>
      <c r="G522" s="866"/>
      <c r="H522" s="866"/>
      <c r="I522" s="866"/>
      <c r="J522" s="868"/>
      <c r="K522" s="868"/>
      <c r="L522" s="799"/>
      <c r="M522" s="747"/>
      <c r="N522" s="744"/>
      <c r="O522" s="744"/>
      <c r="P522" s="744"/>
      <c r="Q522" s="744"/>
      <c r="R522" s="744"/>
      <c r="S522" s="744"/>
      <c r="T522" s="855"/>
      <c r="U522" s="746"/>
      <c r="V522" s="746"/>
      <c r="W522" s="746"/>
      <c r="X522" s="746"/>
      <c r="Y522" s="799"/>
      <c r="Z522" s="799"/>
      <c r="AA522" s="799"/>
      <c r="AB522" s="799"/>
      <c r="AC522" s="799"/>
      <c r="AD522" s="750"/>
      <c r="AE522" s="749"/>
      <c r="AF522" s="749"/>
      <c r="AG522" s="749"/>
      <c r="AH522" s="749"/>
      <c r="AI522" s="749"/>
      <c r="AJ522" s="749"/>
      <c r="AK522" s="749"/>
      <c r="AL522" s="749"/>
      <c r="AM522" s="749"/>
      <c r="AN522" s="749"/>
      <c r="AO522" s="749"/>
      <c r="AP522" s="749"/>
      <c r="AQ522" s="749"/>
      <c r="AR522" s="749"/>
      <c r="AS522" s="749"/>
      <c r="AT522" s="749"/>
      <c r="AU522" s="749"/>
      <c r="AV522" s="749"/>
      <c r="AW522" s="749"/>
      <c r="AX522" s="749"/>
      <c r="AY522" s="749"/>
      <c r="AZ522" s="749"/>
      <c r="BA522" s="749"/>
      <c r="BB522" s="749"/>
      <c r="BC522" s="749"/>
      <c r="BD522" s="749"/>
      <c r="BE522" s="749"/>
      <c r="BF522" s="749"/>
      <c r="BG522" s="749"/>
      <c r="BH522" s="749"/>
      <c r="BI522" s="749"/>
      <c r="BJ522" s="749"/>
      <c r="BK522" s="749"/>
      <c r="BL522" s="749"/>
    </row>
    <row r="523">
      <c r="A523" s="866"/>
      <c r="B523" s="867"/>
      <c r="C523" s="866"/>
      <c r="D523" s="866"/>
      <c r="E523" s="866"/>
      <c r="F523" s="866"/>
      <c r="G523" s="866"/>
      <c r="H523" s="866"/>
      <c r="I523" s="866"/>
      <c r="J523" s="868"/>
      <c r="K523" s="868"/>
      <c r="L523" s="799"/>
      <c r="M523" s="747"/>
      <c r="N523" s="744"/>
      <c r="O523" s="744"/>
      <c r="P523" s="744"/>
      <c r="Q523" s="744"/>
      <c r="R523" s="744"/>
      <c r="S523" s="744"/>
      <c r="T523" s="855"/>
      <c r="U523" s="746"/>
      <c r="V523" s="746"/>
      <c r="W523" s="746"/>
      <c r="X523" s="746"/>
      <c r="Y523" s="799"/>
      <c r="Z523" s="799"/>
      <c r="AA523" s="799"/>
      <c r="AB523" s="799"/>
      <c r="AC523" s="799"/>
      <c r="AD523" s="750"/>
      <c r="AE523" s="749"/>
      <c r="AF523" s="749"/>
      <c r="AG523" s="749"/>
      <c r="AH523" s="749"/>
      <c r="AI523" s="749"/>
      <c r="AJ523" s="749"/>
      <c r="AK523" s="749"/>
      <c r="AL523" s="749"/>
      <c r="AM523" s="749"/>
      <c r="AN523" s="749"/>
      <c r="AO523" s="749"/>
      <c r="AP523" s="749"/>
      <c r="AQ523" s="749"/>
      <c r="AR523" s="749"/>
      <c r="AS523" s="749"/>
      <c r="AT523" s="749"/>
      <c r="AU523" s="749"/>
      <c r="AV523" s="749"/>
      <c r="AW523" s="749"/>
      <c r="AX523" s="749"/>
      <c r="AY523" s="749"/>
      <c r="AZ523" s="749"/>
      <c r="BA523" s="749"/>
      <c r="BB523" s="749"/>
      <c r="BC523" s="749"/>
      <c r="BD523" s="749"/>
      <c r="BE523" s="749"/>
      <c r="BF523" s="749"/>
      <c r="BG523" s="749"/>
      <c r="BH523" s="749"/>
      <c r="BI523" s="749"/>
      <c r="BJ523" s="749"/>
      <c r="BK523" s="749"/>
      <c r="BL523" s="749"/>
    </row>
    <row r="524">
      <c r="A524" s="866"/>
      <c r="B524" s="867"/>
      <c r="C524" s="866"/>
      <c r="D524" s="866"/>
      <c r="E524" s="866"/>
      <c r="F524" s="866"/>
      <c r="G524" s="866"/>
      <c r="H524" s="866"/>
      <c r="I524" s="866"/>
      <c r="J524" s="868"/>
      <c r="K524" s="868"/>
      <c r="L524" s="799"/>
      <c r="M524" s="747"/>
      <c r="N524" s="744"/>
      <c r="O524" s="744"/>
      <c r="P524" s="744"/>
      <c r="Q524" s="744"/>
      <c r="R524" s="744"/>
      <c r="S524" s="744"/>
      <c r="T524" s="855"/>
      <c r="U524" s="746"/>
      <c r="V524" s="746"/>
      <c r="W524" s="746"/>
      <c r="X524" s="746"/>
      <c r="Y524" s="799"/>
      <c r="Z524" s="799"/>
      <c r="AA524" s="799"/>
      <c r="AB524" s="799"/>
      <c r="AC524" s="799"/>
      <c r="AD524" s="750"/>
      <c r="AE524" s="749"/>
      <c r="AF524" s="749"/>
      <c r="AG524" s="749"/>
      <c r="AH524" s="749"/>
      <c r="AI524" s="749"/>
      <c r="AJ524" s="749"/>
      <c r="AK524" s="749"/>
      <c r="AL524" s="749"/>
      <c r="AM524" s="749"/>
      <c r="AN524" s="749"/>
      <c r="AO524" s="749"/>
      <c r="AP524" s="749"/>
      <c r="AQ524" s="749"/>
      <c r="AR524" s="749"/>
      <c r="AS524" s="749"/>
      <c r="AT524" s="749"/>
      <c r="AU524" s="749"/>
      <c r="AV524" s="749"/>
      <c r="AW524" s="749"/>
      <c r="AX524" s="749"/>
      <c r="AY524" s="749"/>
      <c r="AZ524" s="749"/>
      <c r="BA524" s="749"/>
      <c r="BB524" s="749"/>
      <c r="BC524" s="749"/>
      <c r="BD524" s="749"/>
      <c r="BE524" s="749"/>
      <c r="BF524" s="749"/>
      <c r="BG524" s="749"/>
      <c r="BH524" s="749"/>
      <c r="BI524" s="749"/>
      <c r="BJ524" s="749"/>
      <c r="BK524" s="749"/>
      <c r="BL524" s="749"/>
    </row>
    <row r="525">
      <c r="A525" s="866"/>
      <c r="B525" s="867"/>
      <c r="C525" s="866"/>
      <c r="D525" s="866"/>
      <c r="E525" s="866"/>
      <c r="F525" s="866"/>
      <c r="G525" s="866"/>
      <c r="H525" s="866"/>
      <c r="I525" s="866"/>
      <c r="J525" s="868"/>
      <c r="K525" s="868"/>
      <c r="L525" s="799"/>
      <c r="M525" s="747"/>
      <c r="N525" s="744"/>
      <c r="O525" s="744"/>
      <c r="P525" s="744"/>
      <c r="Q525" s="744"/>
      <c r="R525" s="744"/>
      <c r="S525" s="744"/>
      <c r="T525" s="855"/>
      <c r="U525" s="746"/>
      <c r="V525" s="746"/>
      <c r="W525" s="746"/>
      <c r="X525" s="746"/>
      <c r="Y525" s="799"/>
      <c r="Z525" s="799"/>
      <c r="AA525" s="799"/>
      <c r="AB525" s="799"/>
      <c r="AC525" s="799"/>
      <c r="AD525" s="750"/>
      <c r="AE525" s="749"/>
      <c r="AF525" s="749"/>
      <c r="AG525" s="749"/>
      <c r="AH525" s="749"/>
      <c r="AI525" s="749"/>
      <c r="AJ525" s="749"/>
      <c r="AK525" s="749"/>
      <c r="AL525" s="749"/>
      <c r="AM525" s="749"/>
      <c r="AN525" s="749"/>
      <c r="AO525" s="749"/>
      <c r="AP525" s="749"/>
      <c r="AQ525" s="749"/>
      <c r="AR525" s="749"/>
      <c r="AS525" s="749"/>
      <c r="AT525" s="749"/>
      <c r="AU525" s="749"/>
      <c r="AV525" s="749"/>
      <c r="AW525" s="749"/>
      <c r="AX525" s="749"/>
      <c r="AY525" s="749"/>
      <c r="AZ525" s="749"/>
      <c r="BA525" s="749"/>
      <c r="BB525" s="749"/>
      <c r="BC525" s="749"/>
      <c r="BD525" s="749"/>
      <c r="BE525" s="749"/>
      <c r="BF525" s="749"/>
      <c r="BG525" s="749"/>
      <c r="BH525" s="749"/>
      <c r="BI525" s="749"/>
      <c r="BJ525" s="749"/>
      <c r="BK525" s="749"/>
      <c r="BL525" s="749"/>
    </row>
    <row r="526">
      <c r="A526" s="866"/>
      <c r="B526" s="867"/>
      <c r="C526" s="866"/>
      <c r="D526" s="866"/>
      <c r="E526" s="866"/>
      <c r="F526" s="866"/>
      <c r="G526" s="866"/>
      <c r="H526" s="866"/>
      <c r="I526" s="866"/>
      <c r="J526" s="868"/>
      <c r="K526" s="868"/>
      <c r="L526" s="799"/>
      <c r="M526" s="747"/>
      <c r="N526" s="744"/>
      <c r="O526" s="744"/>
      <c r="P526" s="744"/>
      <c r="Q526" s="744"/>
      <c r="R526" s="744"/>
      <c r="S526" s="744"/>
      <c r="T526" s="855"/>
      <c r="U526" s="746"/>
      <c r="V526" s="746"/>
      <c r="W526" s="746"/>
      <c r="X526" s="746"/>
      <c r="Y526" s="799"/>
      <c r="Z526" s="799"/>
      <c r="AA526" s="799"/>
      <c r="AB526" s="799"/>
      <c r="AC526" s="799"/>
      <c r="AD526" s="750"/>
      <c r="AE526" s="749"/>
      <c r="AF526" s="749"/>
      <c r="AG526" s="749"/>
      <c r="AH526" s="749"/>
      <c r="AI526" s="749"/>
      <c r="AJ526" s="749"/>
      <c r="AK526" s="749"/>
      <c r="AL526" s="749"/>
      <c r="AM526" s="749"/>
      <c r="AN526" s="749"/>
      <c r="AO526" s="749"/>
      <c r="AP526" s="749"/>
      <c r="AQ526" s="749"/>
      <c r="AR526" s="749"/>
      <c r="AS526" s="749"/>
      <c r="AT526" s="749"/>
      <c r="AU526" s="749"/>
      <c r="AV526" s="749"/>
      <c r="AW526" s="749"/>
      <c r="AX526" s="749"/>
      <c r="AY526" s="749"/>
      <c r="AZ526" s="749"/>
      <c r="BA526" s="749"/>
      <c r="BB526" s="749"/>
      <c r="BC526" s="749"/>
      <c r="BD526" s="749"/>
      <c r="BE526" s="749"/>
      <c r="BF526" s="749"/>
      <c r="BG526" s="749"/>
      <c r="BH526" s="749"/>
      <c r="BI526" s="749"/>
      <c r="BJ526" s="749"/>
      <c r="BK526" s="749"/>
      <c r="BL526" s="749"/>
    </row>
    <row r="527">
      <c r="A527" s="866"/>
      <c r="B527" s="867"/>
      <c r="C527" s="866"/>
      <c r="D527" s="866"/>
      <c r="E527" s="866"/>
      <c r="F527" s="866"/>
      <c r="G527" s="866"/>
      <c r="H527" s="866"/>
      <c r="I527" s="866"/>
      <c r="J527" s="868"/>
      <c r="K527" s="868"/>
      <c r="L527" s="799"/>
      <c r="M527" s="747"/>
      <c r="N527" s="744"/>
      <c r="O527" s="744"/>
      <c r="P527" s="744"/>
      <c r="Q527" s="744"/>
      <c r="R527" s="744"/>
      <c r="S527" s="744"/>
      <c r="T527" s="855"/>
      <c r="U527" s="746"/>
      <c r="V527" s="746"/>
      <c r="W527" s="746"/>
      <c r="X527" s="746"/>
      <c r="Y527" s="799"/>
      <c r="Z527" s="799"/>
      <c r="AA527" s="799"/>
      <c r="AB527" s="799"/>
      <c r="AC527" s="799"/>
      <c r="AD527" s="750"/>
      <c r="AE527" s="749"/>
      <c r="AF527" s="749"/>
      <c r="AG527" s="749"/>
      <c r="AH527" s="749"/>
      <c r="AI527" s="749"/>
      <c r="AJ527" s="749"/>
      <c r="AK527" s="749"/>
      <c r="AL527" s="749"/>
      <c r="AM527" s="749"/>
      <c r="AN527" s="749"/>
      <c r="AO527" s="749"/>
      <c r="AP527" s="749"/>
      <c r="AQ527" s="749"/>
      <c r="AR527" s="749"/>
      <c r="AS527" s="749"/>
      <c r="AT527" s="749"/>
      <c r="AU527" s="749"/>
      <c r="AV527" s="749"/>
      <c r="AW527" s="749"/>
      <c r="AX527" s="749"/>
      <c r="AY527" s="749"/>
      <c r="AZ527" s="749"/>
      <c r="BA527" s="749"/>
      <c r="BB527" s="749"/>
      <c r="BC527" s="749"/>
      <c r="BD527" s="749"/>
      <c r="BE527" s="749"/>
      <c r="BF527" s="749"/>
      <c r="BG527" s="749"/>
      <c r="BH527" s="749"/>
      <c r="BI527" s="749"/>
      <c r="BJ527" s="749"/>
      <c r="BK527" s="749"/>
      <c r="BL527" s="749"/>
    </row>
    <row r="528">
      <c r="A528" s="866"/>
      <c r="B528" s="867"/>
      <c r="C528" s="866"/>
      <c r="D528" s="866"/>
      <c r="E528" s="866"/>
      <c r="F528" s="866"/>
      <c r="G528" s="866"/>
      <c r="H528" s="866"/>
      <c r="I528" s="866"/>
      <c r="J528" s="868"/>
      <c r="K528" s="868"/>
      <c r="L528" s="799"/>
      <c r="M528" s="747"/>
      <c r="N528" s="744"/>
      <c r="O528" s="744"/>
      <c r="P528" s="744"/>
      <c r="Q528" s="744"/>
      <c r="R528" s="744"/>
      <c r="S528" s="744"/>
      <c r="T528" s="855"/>
      <c r="U528" s="746"/>
      <c r="V528" s="746"/>
      <c r="W528" s="746"/>
      <c r="X528" s="746"/>
      <c r="Y528" s="799"/>
      <c r="Z528" s="799"/>
      <c r="AA528" s="799"/>
      <c r="AB528" s="799"/>
      <c r="AC528" s="799"/>
      <c r="AD528" s="750"/>
      <c r="AE528" s="749"/>
      <c r="AF528" s="749"/>
      <c r="AG528" s="749"/>
      <c r="AH528" s="749"/>
      <c r="AI528" s="749"/>
      <c r="AJ528" s="749"/>
      <c r="AK528" s="749"/>
      <c r="AL528" s="749"/>
      <c r="AM528" s="749"/>
      <c r="AN528" s="749"/>
      <c r="AO528" s="749"/>
      <c r="AP528" s="749"/>
      <c r="AQ528" s="749"/>
      <c r="AR528" s="749"/>
      <c r="AS528" s="749"/>
      <c r="AT528" s="749"/>
      <c r="AU528" s="749"/>
      <c r="AV528" s="749"/>
      <c r="AW528" s="749"/>
      <c r="AX528" s="749"/>
      <c r="AY528" s="749"/>
      <c r="AZ528" s="749"/>
      <c r="BA528" s="749"/>
      <c r="BB528" s="749"/>
      <c r="BC528" s="749"/>
      <c r="BD528" s="749"/>
      <c r="BE528" s="749"/>
      <c r="BF528" s="749"/>
      <c r="BG528" s="749"/>
      <c r="BH528" s="749"/>
      <c r="BI528" s="749"/>
      <c r="BJ528" s="749"/>
      <c r="BK528" s="749"/>
      <c r="BL528" s="749"/>
    </row>
    <row r="529">
      <c r="A529" s="866"/>
      <c r="B529" s="867"/>
      <c r="C529" s="866"/>
      <c r="D529" s="866"/>
      <c r="E529" s="866"/>
      <c r="F529" s="866"/>
      <c r="G529" s="866"/>
      <c r="H529" s="866"/>
      <c r="I529" s="866"/>
      <c r="J529" s="868"/>
      <c r="K529" s="868"/>
      <c r="L529" s="799"/>
      <c r="M529" s="747"/>
      <c r="N529" s="744"/>
      <c r="O529" s="744"/>
      <c r="P529" s="744"/>
      <c r="Q529" s="744"/>
      <c r="R529" s="744"/>
      <c r="S529" s="744"/>
      <c r="T529" s="855"/>
      <c r="U529" s="746"/>
      <c r="V529" s="746"/>
      <c r="W529" s="746"/>
      <c r="X529" s="746"/>
      <c r="Y529" s="799"/>
      <c r="Z529" s="799"/>
      <c r="AA529" s="799"/>
      <c r="AB529" s="799"/>
      <c r="AC529" s="799"/>
      <c r="AD529" s="750"/>
      <c r="AE529" s="749"/>
      <c r="AF529" s="749"/>
      <c r="AG529" s="749"/>
      <c r="AH529" s="749"/>
      <c r="AI529" s="749"/>
      <c r="AJ529" s="749"/>
      <c r="AK529" s="749"/>
      <c r="AL529" s="749"/>
      <c r="AM529" s="749"/>
      <c r="AN529" s="749"/>
      <c r="AO529" s="749"/>
      <c r="AP529" s="749"/>
      <c r="AQ529" s="749"/>
      <c r="AR529" s="749"/>
      <c r="AS529" s="749"/>
      <c r="AT529" s="749"/>
      <c r="AU529" s="749"/>
      <c r="AV529" s="749"/>
      <c r="AW529" s="749"/>
      <c r="AX529" s="749"/>
      <c r="AY529" s="749"/>
      <c r="AZ529" s="749"/>
      <c r="BA529" s="749"/>
      <c r="BB529" s="749"/>
      <c r="BC529" s="749"/>
      <c r="BD529" s="749"/>
      <c r="BE529" s="749"/>
      <c r="BF529" s="749"/>
      <c r="BG529" s="749"/>
      <c r="BH529" s="749"/>
      <c r="BI529" s="749"/>
      <c r="BJ529" s="749"/>
      <c r="BK529" s="749"/>
      <c r="BL529" s="749"/>
    </row>
    <row r="530">
      <c r="A530" s="866"/>
      <c r="B530" s="867"/>
      <c r="C530" s="866"/>
      <c r="D530" s="866"/>
      <c r="E530" s="866"/>
      <c r="F530" s="866"/>
      <c r="G530" s="866"/>
      <c r="H530" s="866"/>
      <c r="I530" s="866"/>
      <c r="J530" s="868"/>
      <c r="K530" s="868"/>
      <c r="L530" s="799"/>
      <c r="M530" s="747"/>
      <c r="N530" s="744"/>
      <c r="O530" s="744"/>
      <c r="P530" s="744"/>
      <c r="Q530" s="744"/>
      <c r="R530" s="744"/>
      <c r="S530" s="744"/>
      <c r="T530" s="855"/>
      <c r="U530" s="746"/>
      <c r="V530" s="746"/>
      <c r="W530" s="746"/>
      <c r="X530" s="746"/>
      <c r="Y530" s="799"/>
      <c r="Z530" s="799"/>
      <c r="AA530" s="799"/>
      <c r="AB530" s="799"/>
      <c r="AC530" s="799"/>
      <c r="AD530" s="750"/>
      <c r="AE530" s="749"/>
      <c r="AF530" s="749"/>
      <c r="AG530" s="749"/>
      <c r="AH530" s="749"/>
      <c r="AI530" s="749"/>
      <c r="AJ530" s="749"/>
      <c r="AK530" s="749"/>
      <c r="AL530" s="749"/>
      <c r="AM530" s="749"/>
      <c r="AN530" s="749"/>
      <c r="AO530" s="749"/>
      <c r="AP530" s="749"/>
      <c r="AQ530" s="749"/>
      <c r="AR530" s="749"/>
      <c r="AS530" s="749"/>
      <c r="AT530" s="749"/>
      <c r="AU530" s="749"/>
      <c r="AV530" s="749"/>
      <c r="AW530" s="749"/>
      <c r="AX530" s="749"/>
      <c r="AY530" s="749"/>
      <c r="AZ530" s="749"/>
      <c r="BA530" s="749"/>
      <c r="BB530" s="749"/>
      <c r="BC530" s="749"/>
      <c r="BD530" s="749"/>
      <c r="BE530" s="749"/>
      <c r="BF530" s="749"/>
      <c r="BG530" s="749"/>
      <c r="BH530" s="749"/>
      <c r="BI530" s="749"/>
      <c r="BJ530" s="749"/>
      <c r="BK530" s="749"/>
      <c r="BL530" s="749"/>
    </row>
    <row r="531">
      <c r="A531" s="866"/>
      <c r="B531" s="867"/>
      <c r="C531" s="866"/>
      <c r="D531" s="866"/>
      <c r="E531" s="866"/>
      <c r="F531" s="866"/>
      <c r="G531" s="866"/>
      <c r="H531" s="866"/>
      <c r="I531" s="866"/>
      <c r="J531" s="868"/>
      <c r="K531" s="868"/>
      <c r="L531" s="799"/>
      <c r="M531" s="747"/>
      <c r="N531" s="744"/>
      <c r="O531" s="744"/>
      <c r="P531" s="744"/>
      <c r="Q531" s="744"/>
      <c r="R531" s="744"/>
      <c r="S531" s="744"/>
      <c r="T531" s="855"/>
      <c r="U531" s="746"/>
      <c r="V531" s="746"/>
      <c r="W531" s="746"/>
      <c r="X531" s="746"/>
      <c r="Y531" s="799"/>
      <c r="Z531" s="799"/>
      <c r="AA531" s="799"/>
      <c r="AB531" s="799"/>
      <c r="AC531" s="799"/>
      <c r="AD531" s="750"/>
      <c r="AE531" s="749"/>
      <c r="AF531" s="749"/>
      <c r="AG531" s="749"/>
      <c r="AH531" s="749"/>
      <c r="AI531" s="749"/>
      <c r="AJ531" s="749"/>
      <c r="AK531" s="749"/>
      <c r="AL531" s="749"/>
      <c r="AM531" s="749"/>
      <c r="AN531" s="749"/>
      <c r="AO531" s="749"/>
      <c r="AP531" s="749"/>
      <c r="AQ531" s="749"/>
      <c r="AR531" s="749"/>
      <c r="AS531" s="749"/>
      <c r="AT531" s="749"/>
      <c r="AU531" s="749"/>
      <c r="AV531" s="749"/>
      <c r="AW531" s="749"/>
      <c r="AX531" s="749"/>
      <c r="AY531" s="749"/>
      <c r="AZ531" s="749"/>
      <c r="BA531" s="749"/>
      <c r="BB531" s="749"/>
      <c r="BC531" s="749"/>
      <c r="BD531" s="749"/>
      <c r="BE531" s="749"/>
      <c r="BF531" s="749"/>
      <c r="BG531" s="749"/>
      <c r="BH531" s="749"/>
      <c r="BI531" s="749"/>
      <c r="BJ531" s="749"/>
      <c r="BK531" s="749"/>
      <c r="BL531" s="749"/>
    </row>
    <row r="532">
      <c r="A532" s="866"/>
      <c r="B532" s="867"/>
      <c r="C532" s="866"/>
      <c r="D532" s="866"/>
      <c r="E532" s="866"/>
      <c r="F532" s="866"/>
      <c r="G532" s="866"/>
      <c r="H532" s="866"/>
      <c r="I532" s="866"/>
      <c r="J532" s="868"/>
      <c r="K532" s="868"/>
      <c r="L532" s="799"/>
      <c r="M532" s="747"/>
      <c r="N532" s="744"/>
      <c r="O532" s="744"/>
      <c r="P532" s="744"/>
      <c r="Q532" s="744"/>
      <c r="R532" s="744"/>
      <c r="S532" s="744"/>
      <c r="T532" s="855"/>
      <c r="U532" s="746"/>
      <c r="V532" s="746"/>
      <c r="W532" s="746"/>
      <c r="X532" s="746"/>
      <c r="Y532" s="799"/>
      <c r="Z532" s="799"/>
      <c r="AA532" s="799"/>
      <c r="AB532" s="799"/>
      <c r="AC532" s="799"/>
      <c r="AD532" s="750"/>
      <c r="AE532" s="749"/>
      <c r="AF532" s="749"/>
      <c r="AG532" s="749"/>
      <c r="AH532" s="749"/>
      <c r="AI532" s="749"/>
      <c r="AJ532" s="749"/>
      <c r="AK532" s="749"/>
      <c r="AL532" s="749"/>
      <c r="AM532" s="749"/>
      <c r="AN532" s="749"/>
      <c r="AO532" s="749"/>
      <c r="AP532" s="749"/>
      <c r="AQ532" s="749"/>
      <c r="AR532" s="749"/>
      <c r="AS532" s="749"/>
      <c r="AT532" s="749"/>
      <c r="AU532" s="749"/>
      <c r="AV532" s="749"/>
      <c r="AW532" s="749"/>
      <c r="AX532" s="749"/>
      <c r="AY532" s="749"/>
      <c r="AZ532" s="749"/>
      <c r="BA532" s="749"/>
      <c r="BB532" s="749"/>
      <c r="BC532" s="749"/>
      <c r="BD532" s="749"/>
      <c r="BE532" s="749"/>
      <c r="BF532" s="749"/>
      <c r="BG532" s="749"/>
      <c r="BH532" s="749"/>
      <c r="BI532" s="749"/>
      <c r="BJ532" s="749"/>
      <c r="BK532" s="749"/>
      <c r="BL532" s="749"/>
    </row>
    <row r="533">
      <c r="A533" s="866"/>
      <c r="B533" s="867"/>
      <c r="C533" s="866"/>
      <c r="D533" s="866"/>
      <c r="E533" s="866"/>
      <c r="F533" s="866"/>
      <c r="G533" s="866"/>
      <c r="H533" s="866"/>
      <c r="I533" s="866"/>
      <c r="J533" s="868"/>
      <c r="K533" s="868"/>
      <c r="L533" s="799"/>
      <c r="M533" s="747"/>
      <c r="N533" s="744"/>
      <c r="O533" s="744"/>
      <c r="P533" s="744"/>
      <c r="Q533" s="744"/>
      <c r="R533" s="744"/>
      <c r="S533" s="744"/>
      <c r="T533" s="855"/>
      <c r="U533" s="746"/>
      <c r="V533" s="746"/>
      <c r="W533" s="746"/>
      <c r="X533" s="746"/>
      <c r="Y533" s="799"/>
      <c r="Z533" s="799"/>
      <c r="AA533" s="799"/>
      <c r="AB533" s="799"/>
      <c r="AC533" s="799"/>
      <c r="AD533" s="750"/>
      <c r="AE533" s="749"/>
      <c r="AF533" s="749"/>
      <c r="AG533" s="749"/>
      <c r="AH533" s="749"/>
      <c r="AI533" s="749"/>
      <c r="AJ533" s="749"/>
      <c r="AK533" s="749"/>
      <c r="AL533" s="749"/>
      <c r="AM533" s="749"/>
      <c r="AN533" s="749"/>
      <c r="AO533" s="749"/>
      <c r="AP533" s="749"/>
      <c r="AQ533" s="749"/>
      <c r="AR533" s="749"/>
      <c r="AS533" s="749"/>
      <c r="AT533" s="749"/>
      <c r="AU533" s="749"/>
      <c r="AV533" s="749"/>
      <c r="AW533" s="749"/>
      <c r="AX533" s="749"/>
      <c r="AY533" s="749"/>
      <c r="AZ533" s="749"/>
      <c r="BA533" s="749"/>
      <c r="BB533" s="749"/>
      <c r="BC533" s="749"/>
      <c r="BD533" s="749"/>
      <c r="BE533" s="749"/>
      <c r="BF533" s="749"/>
      <c r="BG533" s="749"/>
      <c r="BH533" s="749"/>
      <c r="BI533" s="749"/>
      <c r="BJ533" s="749"/>
      <c r="BK533" s="749"/>
      <c r="BL533" s="749"/>
    </row>
    <row r="534">
      <c r="A534" s="866"/>
      <c r="B534" s="867"/>
      <c r="C534" s="866"/>
      <c r="D534" s="866"/>
      <c r="E534" s="866"/>
      <c r="F534" s="866"/>
      <c r="G534" s="866"/>
      <c r="H534" s="866"/>
      <c r="I534" s="866"/>
      <c r="J534" s="868"/>
      <c r="K534" s="868"/>
      <c r="L534" s="799"/>
      <c r="M534" s="747"/>
      <c r="N534" s="744"/>
      <c r="O534" s="744"/>
      <c r="P534" s="744"/>
      <c r="Q534" s="744"/>
      <c r="R534" s="744"/>
      <c r="S534" s="744"/>
      <c r="T534" s="855"/>
      <c r="U534" s="746"/>
      <c r="V534" s="746"/>
      <c r="W534" s="746"/>
      <c r="X534" s="746"/>
      <c r="Y534" s="799"/>
      <c r="Z534" s="799"/>
      <c r="AA534" s="799"/>
      <c r="AB534" s="799"/>
      <c r="AC534" s="799"/>
      <c r="AD534" s="750"/>
      <c r="AE534" s="749"/>
      <c r="AF534" s="749"/>
      <c r="AG534" s="749"/>
      <c r="AH534" s="749"/>
      <c r="AI534" s="749"/>
      <c r="AJ534" s="749"/>
      <c r="AK534" s="749"/>
      <c r="AL534" s="749"/>
      <c r="AM534" s="749"/>
      <c r="AN534" s="749"/>
      <c r="AO534" s="749"/>
      <c r="AP534" s="749"/>
      <c r="AQ534" s="749"/>
      <c r="AR534" s="749"/>
      <c r="AS534" s="749"/>
      <c r="AT534" s="749"/>
      <c r="AU534" s="749"/>
      <c r="AV534" s="749"/>
      <c r="AW534" s="749"/>
      <c r="AX534" s="749"/>
      <c r="AY534" s="749"/>
      <c r="AZ534" s="749"/>
      <c r="BA534" s="749"/>
      <c r="BB534" s="749"/>
      <c r="BC534" s="749"/>
      <c r="BD534" s="749"/>
      <c r="BE534" s="749"/>
      <c r="BF534" s="749"/>
      <c r="BG534" s="749"/>
      <c r="BH534" s="749"/>
      <c r="BI534" s="749"/>
      <c r="BJ534" s="749"/>
      <c r="BK534" s="749"/>
      <c r="BL534" s="749"/>
    </row>
    <row r="535">
      <c r="A535" s="866"/>
      <c r="B535" s="867"/>
      <c r="C535" s="866"/>
      <c r="D535" s="866"/>
      <c r="E535" s="866"/>
      <c r="F535" s="866"/>
      <c r="G535" s="866"/>
      <c r="H535" s="866"/>
      <c r="I535" s="866"/>
      <c r="J535" s="868"/>
      <c r="K535" s="868"/>
      <c r="L535" s="799"/>
      <c r="M535" s="747"/>
      <c r="N535" s="744"/>
      <c r="O535" s="744"/>
      <c r="P535" s="744"/>
      <c r="Q535" s="744"/>
      <c r="R535" s="744"/>
      <c r="S535" s="744"/>
      <c r="T535" s="855"/>
      <c r="U535" s="746"/>
      <c r="V535" s="746"/>
      <c r="W535" s="746"/>
      <c r="X535" s="746"/>
      <c r="Y535" s="799"/>
      <c r="Z535" s="799"/>
      <c r="AA535" s="799"/>
      <c r="AB535" s="799"/>
      <c r="AC535" s="799"/>
      <c r="AD535" s="750"/>
      <c r="AE535" s="749"/>
      <c r="AF535" s="749"/>
      <c r="AG535" s="749"/>
      <c r="AH535" s="749"/>
      <c r="AI535" s="749"/>
      <c r="AJ535" s="749"/>
      <c r="AK535" s="749"/>
      <c r="AL535" s="749"/>
      <c r="AM535" s="749"/>
      <c r="AN535" s="749"/>
      <c r="AO535" s="749"/>
      <c r="AP535" s="749"/>
      <c r="AQ535" s="749"/>
      <c r="AR535" s="749"/>
      <c r="AS535" s="749"/>
      <c r="AT535" s="749"/>
      <c r="AU535" s="749"/>
      <c r="AV535" s="749"/>
      <c r="AW535" s="749"/>
      <c r="AX535" s="749"/>
      <c r="AY535" s="749"/>
      <c r="AZ535" s="749"/>
      <c r="BA535" s="749"/>
      <c r="BB535" s="749"/>
      <c r="BC535" s="749"/>
      <c r="BD535" s="749"/>
      <c r="BE535" s="749"/>
      <c r="BF535" s="749"/>
      <c r="BG535" s="749"/>
      <c r="BH535" s="749"/>
      <c r="BI535" s="749"/>
      <c r="BJ535" s="749"/>
      <c r="BK535" s="749"/>
      <c r="BL535" s="749"/>
    </row>
    <row r="536">
      <c r="A536" s="866"/>
      <c r="B536" s="867"/>
      <c r="C536" s="866"/>
      <c r="D536" s="866"/>
      <c r="E536" s="866"/>
      <c r="F536" s="866"/>
      <c r="G536" s="866"/>
      <c r="H536" s="866"/>
      <c r="I536" s="866"/>
      <c r="J536" s="868"/>
      <c r="K536" s="868"/>
      <c r="L536" s="799"/>
      <c r="M536" s="747"/>
      <c r="N536" s="744"/>
      <c r="O536" s="744"/>
      <c r="P536" s="744"/>
      <c r="Q536" s="744"/>
      <c r="R536" s="744"/>
      <c r="S536" s="744"/>
      <c r="T536" s="855"/>
      <c r="U536" s="746"/>
      <c r="V536" s="746"/>
      <c r="W536" s="746"/>
      <c r="X536" s="746"/>
      <c r="Y536" s="799"/>
      <c r="Z536" s="799"/>
      <c r="AA536" s="799"/>
      <c r="AB536" s="799"/>
      <c r="AC536" s="799"/>
      <c r="AD536" s="750"/>
      <c r="AE536" s="749"/>
      <c r="AF536" s="749"/>
      <c r="AG536" s="749"/>
      <c r="AH536" s="749"/>
      <c r="AI536" s="749"/>
      <c r="AJ536" s="749"/>
      <c r="AK536" s="749"/>
      <c r="AL536" s="749"/>
      <c r="AM536" s="749"/>
      <c r="AN536" s="749"/>
      <c r="AO536" s="749"/>
      <c r="AP536" s="749"/>
      <c r="AQ536" s="749"/>
      <c r="AR536" s="749"/>
      <c r="AS536" s="749"/>
      <c r="AT536" s="749"/>
      <c r="AU536" s="749"/>
      <c r="AV536" s="749"/>
      <c r="AW536" s="749"/>
      <c r="AX536" s="749"/>
      <c r="AY536" s="749"/>
      <c r="AZ536" s="749"/>
      <c r="BA536" s="749"/>
      <c r="BB536" s="749"/>
      <c r="BC536" s="749"/>
      <c r="BD536" s="749"/>
      <c r="BE536" s="749"/>
      <c r="BF536" s="749"/>
      <c r="BG536" s="749"/>
      <c r="BH536" s="749"/>
      <c r="BI536" s="749"/>
      <c r="BJ536" s="749"/>
      <c r="BK536" s="749"/>
      <c r="BL536" s="749"/>
    </row>
    <row r="537">
      <c r="A537" s="866"/>
      <c r="B537" s="867"/>
      <c r="C537" s="866"/>
      <c r="D537" s="866"/>
      <c r="E537" s="866"/>
      <c r="F537" s="866"/>
      <c r="G537" s="866"/>
      <c r="H537" s="866"/>
      <c r="I537" s="866"/>
      <c r="J537" s="868"/>
      <c r="K537" s="868"/>
      <c r="L537" s="799"/>
      <c r="M537" s="747"/>
      <c r="N537" s="744"/>
      <c r="O537" s="744"/>
      <c r="P537" s="744"/>
      <c r="Q537" s="744"/>
      <c r="R537" s="744"/>
      <c r="S537" s="744"/>
      <c r="T537" s="855"/>
      <c r="U537" s="746"/>
      <c r="V537" s="746"/>
      <c r="W537" s="746"/>
      <c r="X537" s="746"/>
      <c r="Y537" s="799"/>
      <c r="Z537" s="799"/>
      <c r="AA537" s="799"/>
      <c r="AB537" s="799"/>
      <c r="AC537" s="799"/>
      <c r="AD537" s="750"/>
      <c r="AE537" s="749"/>
      <c r="AF537" s="749"/>
      <c r="AG537" s="749"/>
      <c r="AH537" s="749"/>
      <c r="AI537" s="749"/>
      <c r="AJ537" s="749"/>
      <c r="AK537" s="749"/>
      <c r="AL537" s="749"/>
      <c r="AM537" s="749"/>
      <c r="AN537" s="749"/>
      <c r="AO537" s="749"/>
      <c r="AP537" s="749"/>
      <c r="AQ537" s="749"/>
      <c r="AR537" s="749"/>
      <c r="AS537" s="749"/>
      <c r="AT537" s="749"/>
      <c r="AU537" s="749"/>
      <c r="AV537" s="749"/>
      <c r="AW537" s="749"/>
      <c r="AX537" s="749"/>
      <c r="AY537" s="749"/>
      <c r="AZ537" s="749"/>
      <c r="BA537" s="749"/>
      <c r="BB537" s="749"/>
      <c r="BC537" s="749"/>
      <c r="BD537" s="749"/>
      <c r="BE537" s="749"/>
      <c r="BF537" s="749"/>
      <c r="BG537" s="749"/>
      <c r="BH537" s="749"/>
      <c r="BI537" s="749"/>
      <c r="BJ537" s="749"/>
      <c r="BK537" s="749"/>
      <c r="BL537" s="749"/>
    </row>
    <row r="538">
      <c r="A538" s="866"/>
      <c r="B538" s="867"/>
      <c r="C538" s="866"/>
      <c r="D538" s="866"/>
      <c r="E538" s="866"/>
      <c r="F538" s="866"/>
      <c r="G538" s="866"/>
      <c r="H538" s="866"/>
      <c r="I538" s="866"/>
      <c r="J538" s="868"/>
      <c r="K538" s="868"/>
      <c r="L538" s="799"/>
      <c r="M538" s="747"/>
      <c r="N538" s="744"/>
      <c r="O538" s="744"/>
      <c r="P538" s="744"/>
      <c r="Q538" s="744"/>
      <c r="R538" s="744"/>
      <c r="S538" s="744"/>
      <c r="T538" s="855"/>
      <c r="U538" s="746"/>
      <c r="V538" s="746"/>
      <c r="W538" s="746"/>
      <c r="X538" s="746"/>
      <c r="Y538" s="799"/>
      <c r="Z538" s="799"/>
      <c r="AA538" s="799"/>
      <c r="AB538" s="799"/>
      <c r="AC538" s="799"/>
      <c r="AD538" s="750"/>
      <c r="AE538" s="749"/>
      <c r="AF538" s="749"/>
      <c r="AG538" s="749"/>
      <c r="AH538" s="749"/>
      <c r="AI538" s="749"/>
      <c r="AJ538" s="749"/>
      <c r="AK538" s="749"/>
      <c r="AL538" s="749"/>
      <c r="AM538" s="749"/>
      <c r="AN538" s="749"/>
      <c r="AO538" s="749"/>
      <c r="AP538" s="749"/>
      <c r="AQ538" s="749"/>
      <c r="AR538" s="749"/>
      <c r="AS538" s="749"/>
      <c r="AT538" s="749"/>
      <c r="AU538" s="749"/>
      <c r="AV538" s="749"/>
      <c r="AW538" s="749"/>
      <c r="AX538" s="749"/>
      <c r="AY538" s="749"/>
      <c r="AZ538" s="749"/>
      <c r="BA538" s="749"/>
      <c r="BB538" s="749"/>
      <c r="BC538" s="749"/>
      <c r="BD538" s="749"/>
      <c r="BE538" s="749"/>
      <c r="BF538" s="749"/>
      <c r="BG538" s="749"/>
      <c r="BH538" s="749"/>
      <c r="BI538" s="749"/>
      <c r="BJ538" s="749"/>
      <c r="BK538" s="749"/>
      <c r="BL538" s="749"/>
    </row>
    <row r="539">
      <c r="A539" s="866"/>
      <c r="B539" s="867"/>
      <c r="C539" s="866"/>
      <c r="D539" s="866"/>
      <c r="E539" s="866"/>
      <c r="F539" s="866"/>
      <c r="G539" s="866"/>
      <c r="H539" s="866"/>
      <c r="I539" s="866"/>
      <c r="J539" s="868"/>
      <c r="K539" s="868"/>
      <c r="L539" s="799"/>
      <c r="M539" s="747"/>
      <c r="N539" s="744"/>
      <c r="O539" s="744"/>
      <c r="P539" s="744"/>
      <c r="Q539" s="744"/>
      <c r="R539" s="744"/>
      <c r="S539" s="744"/>
      <c r="T539" s="855"/>
      <c r="U539" s="746"/>
      <c r="V539" s="746"/>
      <c r="W539" s="746"/>
      <c r="X539" s="746"/>
      <c r="Y539" s="799"/>
      <c r="Z539" s="799"/>
      <c r="AA539" s="799"/>
      <c r="AB539" s="799"/>
      <c r="AC539" s="799"/>
      <c r="AD539" s="750"/>
      <c r="AE539" s="749"/>
      <c r="AF539" s="749"/>
      <c r="AG539" s="749"/>
      <c r="AH539" s="749"/>
      <c r="AI539" s="749"/>
      <c r="AJ539" s="749"/>
      <c r="AK539" s="749"/>
      <c r="AL539" s="749"/>
      <c r="AM539" s="749"/>
      <c r="AN539" s="749"/>
      <c r="AO539" s="749"/>
      <c r="AP539" s="749"/>
      <c r="AQ539" s="749"/>
      <c r="AR539" s="749"/>
      <c r="AS539" s="749"/>
      <c r="AT539" s="749"/>
      <c r="AU539" s="749"/>
      <c r="AV539" s="749"/>
      <c r="AW539" s="749"/>
      <c r="AX539" s="749"/>
      <c r="AY539" s="749"/>
      <c r="AZ539" s="749"/>
      <c r="BA539" s="749"/>
      <c r="BB539" s="749"/>
      <c r="BC539" s="749"/>
      <c r="BD539" s="749"/>
      <c r="BE539" s="749"/>
      <c r="BF539" s="749"/>
      <c r="BG539" s="749"/>
      <c r="BH539" s="749"/>
      <c r="BI539" s="749"/>
      <c r="BJ539" s="749"/>
      <c r="BK539" s="749"/>
      <c r="BL539" s="749"/>
    </row>
    <row r="540">
      <c r="A540" s="866"/>
      <c r="B540" s="867"/>
      <c r="C540" s="866"/>
      <c r="D540" s="866"/>
      <c r="E540" s="866"/>
      <c r="F540" s="866"/>
      <c r="G540" s="866"/>
      <c r="H540" s="866"/>
      <c r="I540" s="866"/>
      <c r="J540" s="868"/>
      <c r="K540" s="868"/>
      <c r="L540" s="799"/>
      <c r="M540" s="747"/>
      <c r="N540" s="744"/>
      <c r="O540" s="744"/>
      <c r="P540" s="744"/>
      <c r="Q540" s="744"/>
      <c r="R540" s="744"/>
      <c r="S540" s="744"/>
      <c r="T540" s="855"/>
      <c r="U540" s="746"/>
      <c r="V540" s="746"/>
      <c r="W540" s="746"/>
      <c r="X540" s="746"/>
      <c r="Y540" s="799"/>
      <c r="Z540" s="799"/>
      <c r="AA540" s="799"/>
      <c r="AB540" s="799"/>
      <c r="AC540" s="799"/>
      <c r="AD540" s="750"/>
      <c r="AE540" s="749"/>
      <c r="AF540" s="749"/>
      <c r="AG540" s="749"/>
      <c r="AH540" s="749"/>
      <c r="AI540" s="749"/>
      <c r="AJ540" s="749"/>
      <c r="AK540" s="749"/>
      <c r="AL540" s="749"/>
      <c r="AM540" s="749"/>
      <c r="AN540" s="749"/>
      <c r="AO540" s="749"/>
      <c r="AP540" s="749"/>
      <c r="AQ540" s="749"/>
      <c r="AR540" s="749"/>
      <c r="AS540" s="749"/>
      <c r="AT540" s="749"/>
      <c r="AU540" s="749"/>
      <c r="AV540" s="749"/>
      <c r="AW540" s="749"/>
      <c r="AX540" s="749"/>
      <c r="AY540" s="749"/>
      <c r="AZ540" s="749"/>
      <c r="BA540" s="749"/>
      <c r="BB540" s="749"/>
      <c r="BC540" s="749"/>
      <c r="BD540" s="749"/>
      <c r="BE540" s="749"/>
      <c r="BF540" s="749"/>
      <c r="BG540" s="749"/>
      <c r="BH540" s="749"/>
      <c r="BI540" s="749"/>
      <c r="BJ540" s="749"/>
      <c r="BK540" s="749"/>
      <c r="BL540" s="749"/>
    </row>
    <row r="541">
      <c r="A541" s="866"/>
      <c r="B541" s="867"/>
      <c r="C541" s="866"/>
      <c r="D541" s="866"/>
      <c r="E541" s="866"/>
      <c r="F541" s="866"/>
      <c r="G541" s="866"/>
      <c r="H541" s="866"/>
      <c r="I541" s="866"/>
      <c r="J541" s="868"/>
      <c r="K541" s="868"/>
      <c r="L541" s="799"/>
      <c r="M541" s="747"/>
      <c r="N541" s="744"/>
      <c r="O541" s="744"/>
      <c r="P541" s="744"/>
      <c r="Q541" s="744"/>
      <c r="R541" s="744"/>
      <c r="S541" s="744"/>
      <c r="T541" s="855"/>
      <c r="U541" s="746"/>
      <c r="V541" s="746"/>
      <c r="W541" s="746"/>
      <c r="X541" s="746"/>
      <c r="Y541" s="799"/>
      <c r="Z541" s="799"/>
      <c r="AA541" s="799"/>
      <c r="AB541" s="799"/>
      <c r="AC541" s="799"/>
      <c r="AD541" s="750"/>
      <c r="AE541" s="749"/>
      <c r="AF541" s="749"/>
      <c r="AG541" s="749"/>
      <c r="AH541" s="749"/>
      <c r="AI541" s="749"/>
      <c r="AJ541" s="749"/>
      <c r="AK541" s="749"/>
      <c r="AL541" s="749"/>
      <c r="AM541" s="749"/>
      <c r="AN541" s="749"/>
      <c r="AO541" s="749"/>
      <c r="AP541" s="749"/>
      <c r="AQ541" s="749"/>
      <c r="AR541" s="749"/>
      <c r="AS541" s="749"/>
      <c r="AT541" s="749"/>
      <c r="AU541" s="749"/>
      <c r="AV541" s="749"/>
      <c r="AW541" s="749"/>
      <c r="AX541" s="749"/>
      <c r="AY541" s="749"/>
      <c r="AZ541" s="749"/>
      <c r="BA541" s="749"/>
      <c r="BB541" s="749"/>
      <c r="BC541" s="749"/>
      <c r="BD541" s="749"/>
      <c r="BE541" s="749"/>
      <c r="BF541" s="749"/>
      <c r="BG541" s="749"/>
      <c r="BH541" s="749"/>
      <c r="BI541" s="749"/>
      <c r="BJ541" s="749"/>
      <c r="BK541" s="749"/>
      <c r="BL541" s="749"/>
    </row>
    <row r="542">
      <c r="A542" s="866"/>
      <c r="B542" s="867"/>
      <c r="C542" s="866"/>
      <c r="D542" s="866"/>
      <c r="E542" s="866"/>
      <c r="F542" s="866"/>
      <c r="G542" s="866"/>
      <c r="H542" s="866"/>
      <c r="I542" s="866"/>
      <c r="J542" s="868"/>
      <c r="K542" s="868"/>
      <c r="L542" s="799"/>
      <c r="M542" s="747"/>
      <c r="N542" s="744"/>
      <c r="O542" s="744"/>
      <c r="P542" s="744"/>
      <c r="Q542" s="744"/>
      <c r="R542" s="744"/>
      <c r="S542" s="744"/>
      <c r="T542" s="855"/>
      <c r="U542" s="746"/>
      <c r="V542" s="746"/>
      <c r="W542" s="746"/>
      <c r="X542" s="746"/>
      <c r="Y542" s="799"/>
      <c r="Z542" s="799"/>
      <c r="AA542" s="799"/>
      <c r="AB542" s="799"/>
      <c r="AC542" s="799"/>
      <c r="AD542" s="750"/>
      <c r="AE542" s="749"/>
      <c r="AF542" s="749"/>
      <c r="AG542" s="749"/>
      <c r="AH542" s="749"/>
      <c r="AI542" s="749"/>
      <c r="AJ542" s="749"/>
      <c r="AK542" s="749"/>
      <c r="AL542" s="749"/>
      <c r="AM542" s="749"/>
      <c r="AN542" s="749"/>
      <c r="AO542" s="749"/>
      <c r="AP542" s="749"/>
      <c r="AQ542" s="749"/>
      <c r="AR542" s="749"/>
      <c r="AS542" s="749"/>
      <c r="AT542" s="749"/>
      <c r="AU542" s="749"/>
      <c r="AV542" s="749"/>
      <c r="AW542" s="749"/>
      <c r="AX542" s="749"/>
      <c r="AY542" s="749"/>
      <c r="AZ542" s="749"/>
      <c r="BA542" s="749"/>
      <c r="BB542" s="749"/>
      <c r="BC542" s="749"/>
      <c r="BD542" s="749"/>
      <c r="BE542" s="749"/>
      <c r="BF542" s="749"/>
      <c r="BG542" s="749"/>
      <c r="BH542" s="749"/>
      <c r="BI542" s="749"/>
      <c r="BJ542" s="749"/>
      <c r="BK542" s="749"/>
      <c r="BL542" s="749"/>
    </row>
    <row r="543">
      <c r="A543" s="866"/>
      <c r="B543" s="867"/>
      <c r="C543" s="866"/>
      <c r="D543" s="866"/>
      <c r="E543" s="866"/>
      <c r="F543" s="866"/>
      <c r="G543" s="866"/>
      <c r="H543" s="866"/>
      <c r="I543" s="866"/>
      <c r="J543" s="868"/>
      <c r="K543" s="868"/>
      <c r="L543" s="799"/>
      <c r="M543" s="747"/>
      <c r="N543" s="744"/>
      <c r="O543" s="744"/>
      <c r="P543" s="744"/>
      <c r="Q543" s="744"/>
      <c r="R543" s="744"/>
      <c r="S543" s="744"/>
      <c r="T543" s="855"/>
      <c r="U543" s="746"/>
      <c r="V543" s="746"/>
      <c r="W543" s="746"/>
      <c r="X543" s="746"/>
      <c r="Y543" s="799"/>
      <c r="Z543" s="799"/>
      <c r="AA543" s="799"/>
      <c r="AB543" s="799"/>
      <c r="AC543" s="799"/>
      <c r="AD543" s="750"/>
      <c r="AE543" s="749"/>
      <c r="AF543" s="749"/>
      <c r="AG543" s="749"/>
      <c r="AH543" s="749"/>
      <c r="AI543" s="749"/>
      <c r="AJ543" s="749"/>
      <c r="AK543" s="749"/>
      <c r="AL543" s="749"/>
      <c r="AM543" s="749"/>
      <c r="AN543" s="749"/>
      <c r="AO543" s="749"/>
      <c r="AP543" s="749"/>
      <c r="AQ543" s="749"/>
      <c r="AR543" s="749"/>
      <c r="AS543" s="749"/>
      <c r="AT543" s="749"/>
      <c r="AU543" s="749"/>
      <c r="AV543" s="749"/>
      <c r="AW543" s="749"/>
      <c r="AX543" s="749"/>
      <c r="AY543" s="749"/>
      <c r="AZ543" s="749"/>
      <c r="BA543" s="749"/>
      <c r="BB543" s="749"/>
      <c r="BC543" s="749"/>
      <c r="BD543" s="749"/>
      <c r="BE543" s="749"/>
      <c r="BF543" s="749"/>
      <c r="BG543" s="749"/>
      <c r="BH543" s="749"/>
      <c r="BI543" s="749"/>
      <c r="BJ543" s="749"/>
      <c r="BK543" s="749"/>
      <c r="BL543" s="749"/>
    </row>
    <row r="544">
      <c r="A544" s="866"/>
      <c r="B544" s="867"/>
      <c r="C544" s="866"/>
      <c r="D544" s="866"/>
      <c r="E544" s="866"/>
      <c r="F544" s="866"/>
      <c r="G544" s="866"/>
      <c r="H544" s="866"/>
      <c r="I544" s="866"/>
      <c r="J544" s="868"/>
      <c r="K544" s="868"/>
      <c r="L544" s="799"/>
      <c r="M544" s="747"/>
      <c r="N544" s="744"/>
      <c r="O544" s="744"/>
      <c r="P544" s="744"/>
      <c r="Q544" s="744"/>
      <c r="R544" s="744"/>
      <c r="S544" s="744"/>
      <c r="T544" s="855"/>
      <c r="U544" s="746"/>
      <c r="V544" s="746"/>
      <c r="W544" s="746"/>
      <c r="X544" s="746"/>
      <c r="Y544" s="799"/>
      <c r="Z544" s="799"/>
      <c r="AA544" s="799"/>
      <c r="AB544" s="799"/>
      <c r="AC544" s="799"/>
      <c r="AD544" s="750"/>
      <c r="AE544" s="749"/>
      <c r="AF544" s="749"/>
      <c r="AG544" s="749"/>
      <c r="AH544" s="749"/>
      <c r="AI544" s="749"/>
      <c r="AJ544" s="749"/>
      <c r="AK544" s="749"/>
      <c r="AL544" s="749"/>
      <c r="AM544" s="749"/>
      <c r="AN544" s="749"/>
      <c r="AO544" s="749"/>
      <c r="AP544" s="749"/>
      <c r="AQ544" s="749"/>
      <c r="AR544" s="749"/>
      <c r="AS544" s="749"/>
      <c r="AT544" s="749"/>
      <c r="AU544" s="749"/>
      <c r="AV544" s="749"/>
      <c r="AW544" s="749"/>
      <c r="AX544" s="749"/>
      <c r="AY544" s="749"/>
      <c r="AZ544" s="749"/>
      <c r="BA544" s="749"/>
      <c r="BB544" s="749"/>
      <c r="BC544" s="749"/>
      <c r="BD544" s="749"/>
      <c r="BE544" s="749"/>
      <c r="BF544" s="749"/>
      <c r="BG544" s="749"/>
      <c r="BH544" s="749"/>
      <c r="BI544" s="749"/>
      <c r="BJ544" s="749"/>
      <c r="BK544" s="749"/>
      <c r="BL544" s="749"/>
    </row>
    <row r="545">
      <c r="A545" s="866"/>
      <c r="B545" s="867"/>
      <c r="C545" s="866"/>
      <c r="D545" s="866"/>
      <c r="E545" s="866"/>
      <c r="F545" s="866"/>
      <c r="G545" s="866"/>
      <c r="H545" s="866"/>
      <c r="I545" s="866"/>
      <c r="J545" s="868"/>
      <c r="K545" s="868"/>
      <c r="L545" s="799"/>
      <c r="M545" s="747"/>
      <c r="N545" s="744"/>
      <c r="O545" s="744"/>
      <c r="P545" s="744"/>
      <c r="Q545" s="744"/>
      <c r="R545" s="744"/>
      <c r="S545" s="744"/>
      <c r="T545" s="855"/>
      <c r="U545" s="746"/>
      <c r="V545" s="746"/>
      <c r="W545" s="746"/>
      <c r="X545" s="746"/>
      <c r="Y545" s="799"/>
      <c r="Z545" s="799"/>
      <c r="AA545" s="799"/>
      <c r="AB545" s="799"/>
      <c r="AC545" s="799"/>
      <c r="AD545" s="750"/>
      <c r="AE545" s="749"/>
      <c r="AF545" s="749"/>
      <c r="AG545" s="749"/>
      <c r="AH545" s="749"/>
      <c r="AI545" s="749"/>
      <c r="AJ545" s="749"/>
      <c r="AK545" s="749"/>
      <c r="AL545" s="749"/>
      <c r="AM545" s="749"/>
      <c r="AN545" s="749"/>
      <c r="AO545" s="749"/>
      <c r="AP545" s="749"/>
      <c r="AQ545" s="749"/>
      <c r="AR545" s="749"/>
      <c r="AS545" s="749"/>
      <c r="AT545" s="749"/>
      <c r="AU545" s="749"/>
      <c r="AV545" s="749"/>
      <c r="AW545" s="749"/>
      <c r="AX545" s="749"/>
      <c r="AY545" s="749"/>
      <c r="AZ545" s="749"/>
      <c r="BA545" s="749"/>
      <c r="BB545" s="749"/>
      <c r="BC545" s="749"/>
      <c r="BD545" s="749"/>
      <c r="BE545" s="749"/>
      <c r="BF545" s="749"/>
      <c r="BG545" s="749"/>
      <c r="BH545" s="749"/>
      <c r="BI545" s="749"/>
      <c r="BJ545" s="749"/>
      <c r="BK545" s="749"/>
      <c r="BL545" s="749"/>
    </row>
    <row r="546">
      <c r="A546" s="866"/>
      <c r="B546" s="867"/>
      <c r="C546" s="866"/>
      <c r="D546" s="866"/>
      <c r="E546" s="866"/>
      <c r="F546" s="866"/>
      <c r="G546" s="866"/>
      <c r="H546" s="866"/>
      <c r="I546" s="866"/>
      <c r="J546" s="868"/>
      <c r="K546" s="868"/>
      <c r="L546" s="799"/>
      <c r="M546" s="747"/>
      <c r="N546" s="744"/>
      <c r="O546" s="744"/>
      <c r="P546" s="744"/>
      <c r="Q546" s="744"/>
      <c r="R546" s="744"/>
      <c r="S546" s="744"/>
      <c r="T546" s="855"/>
      <c r="U546" s="746"/>
      <c r="V546" s="746"/>
      <c r="W546" s="746"/>
      <c r="X546" s="746"/>
      <c r="Y546" s="799"/>
      <c r="Z546" s="799"/>
      <c r="AA546" s="799"/>
      <c r="AB546" s="799"/>
      <c r="AC546" s="799"/>
      <c r="AD546" s="750"/>
      <c r="AE546" s="749"/>
      <c r="AF546" s="749"/>
      <c r="AG546" s="749"/>
      <c r="AH546" s="749"/>
      <c r="AI546" s="749"/>
      <c r="AJ546" s="749"/>
      <c r="AK546" s="749"/>
      <c r="AL546" s="749"/>
      <c r="AM546" s="749"/>
      <c r="AN546" s="749"/>
      <c r="AO546" s="749"/>
      <c r="AP546" s="749"/>
      <c r="AQ546" s="749"/>
      <c r="AR546" s="749"/>
      <c r="AS546" s="749"/>
      <c r="AT546" s="749"/>
      <c r="AU546" s="749"/>
      <c r="AV546" s="749"/>
      <c r="AW546" s="749"/>
      <c r="AX546" s="749"/>
      <c r="AY546" s="749"/>
      <c r="AZ546" s="749"/>
      <c r="BA546" s="749"/>
      <c r="BB546" s="749"/>
      <c r="BC546" s="749"/>
      <c r="BD546" s="749"/>
      <c r="BE546" s="749"/>
      <c r="BF546" s="749"/>
      <c r="BG546" s="749"/>
      <c r="BH546" s="749"/>
      <c r="BI546" s="749"/>
      <c r="BJ546" s="749"/>
      <c r="BK546" s="749"/>
      <c r="BL546" s="749"/>
    </row>
    <row r="547">
      <c r="A547" s="866"/>
      <c r="B547" s="867"/>
      <c r="C547" s="866"/>
      <c r="D547" s="866"/>
      <c r="E547" s="866"/>
      <c r="F547" s="866"/>
      <c r="G547" s="866"/>
      <c r="H547" s="866"/>
      <c r="I547" s="866"/>
      <c r="J547" s="868"/>
      <c r="K547" s="868"/>
      <c r="L547" s="799"/>
      <c r="M547" s="747"/>
      <c r="N547" s="744"/>
      <c r="O547" s="744"/>
      <c r="P547" s="744"/>
      <c r="Q547" s="744"/>
      <c r="R547" s="744"/>
      <c r="S547" s="744"/>
      <c r="T547" s="855"/>
      <c r="U547" s="746"/>
      <c r="V547" s="746"/>
      <c r="W547" s="746"/>
      <c r="X547" s="746"/>
      <c r="Y547" s="799"/>
      <c r="Z547" s="799"/>
      <c r="AA547" s="799"/>
      <c r="AB547" s="799"/>
      <c r="AC547" s="799"/>
      <c r="AD547" s="750"/>
      <c r="AE547" s="749"/>
      <c r="AF547" s="749"/>
      <c r="AG547" s="749"/>
      <c r="AH547" s="749"/>
      <c r="AI547" s="749"/>
      <c r="AJ547" s="749"/>
      <c r="AK547" s="749"/>
      <c r="AL547" s="749"/>
      <c r="AM547" s="749"/>
      <c r="AN547" s="749"/>
      <c r="AO547" s="749"/>
      <c r="AP547" s="749"/>
      <c r="AQ547" s="749"/>
      <c r="AR547" s="749"/>
      <c r="AS547" s="749"/>
      <c r="AT547" s="749"/>
      <c r="AU547" s="749"/>
      <c r="AV547" s="749"/>
      <c r="AW547" s="749"/>
      <c r="AX547" s="749"/>
      <c r="AY547" s="749"/>
      <c r="AZ547" s="749"/>
      <c r="BA547" s="749"/>
      <c r="BB547" s="749"/>
      <c r="BC547" s="749"/>
      <c r="BD547" s="749"/>
      <c r="BE547" s="749"/>
      <c r="BF547" s="749"/>
      <c r="BG547" s="749"/>
      <c r="BH547" s="749"/>
      <c r="BI547" s="749"/>
      <c r="BJ547" s="749"/>
      <c r="BK547" s="749"/>
      <c r="BL547" s="749"/>
    </row>
    <row r="548">
      <c r="A548" s="866"/>
      <c r="B548" s="867"/>
      <c r="C548" s="866"/>
      <c r="D548" s="866"/>
      <c r="E548" s="866"/>
      <c r="F548" s="866"/>
      <c r="G548" s="866"/>
      <c r="H548" s="866"/>
      <c r="I548" s="866"/>
      <c r="J548" s="868"/>
      <c r="K548" s="868"/>
      <c r="L548" s="799"/>
      <c r="M548" s="747"/>
      <c r="N548" s="744"/>
      <c r="O548" s="744"/>
      <c r="P548" s="744"/>
      <c r="Q548" s="744"/>
      <c r="R548" s="744"/>
      <c r="S548" s="744"/>
      <c r="T548" s="855"/>
      <c r="U548" s="746"/>
      <c r="V548" s="746"/>
      <c r="W548" s="746"/>
      <c r="X548" s="746"/>
      <c r="Y548" s="799"/>
      <c r="Z548" s="799"/>
      <c r="AA548" s="799"/>
      <c r="AB548" s="799"/>
      <c r="AC548" s="799"/>
      <c r="AD548" s="750"/>
      <c r="AE548" s="749"/>
      <c r="AF548" s="749"/>
      <c r="AG548" s="749"/>
      <c r="AH548" s="749"/>
      <c r="AI548" s="749"/>
      <c r="AJ548" s="749"/>
      <c r="AK548" s="749"/>
      <c r="AL548" s="749"/>
      <c r="AM548" s="749"/>
      <c r="AN548" s="749"/>
      <c r="AO548" s="749"/>
      <c r="AP548" s="749"/>
      <c r="AQ548" s="749"/>
      <c r="AR548" s="749"/>
      <c r="AS548" s="749"/>
      <c r="AT548" s="749"/>
      <c r="AU548" s="749"/>
      <c r="AV548" s="749"/>
      <c r="AW548" s="749"/>
      <c r="AX548" s="749"/>
      <c r="AY548" s="749"/>
      <c r="AZ548" s="749"/>
      <c r="BA548" s="749"/>
      <c r="BB548" s="749"/>
      <c r="BC548" s="749"/>
      <c r="BD548" s="749"/>
      <c r="BE548" s="749"/>
      <c r="BF548" s="749"/>
      <c r="BG548" s="749"/>
      <c r="BH548" s="749"/>
      <c r="BI548" s="749"/>
      <c r="BJ548" s="749"/>
      <c r="BK548" s="749"/>
      <c r="BL548" s="749"/>
    </row>
    <row r="549">
      <c r="A549" s="866"/>
      <c r="B549" s="867"/>
      <c r="C549" s="866"/>
      <c r="D549" s="866"/>
      <c r="E549" s="866"/>
      <c r="F549" s="866"/>
      <c r="G549" s="866"/>
      <c r="H549" s="866"/>
      <c r="I549" s="866"/>
      <c r="J549" s="868"/>
      <c r="K549" s="868"/>
      <c r="L549" s="799"/>
      <c r="M549" s="747"/>
      <c r="N549" s="744"/>
      <c r="O549" s="744"/>
      <c r="P549" s="744"/>
      <c r="Q549" s="744"/>
      <c r="R549" s="744"/>
      <c r="S549" s="744"/>
      <c r="T549" s="855"/>
      <c r="U549" s="746"/>
      <c r="V549" s="746"/>
      <c r="W549" s="746"/>
      <c r="X549" s="746"/>
      <c r="Y549" s="799"/>
      <c r="Z549" s="799"/>
      <c r="AA549" s="799"/>
      <c r="AB549" s="799"/>
      <c r="AC549" s="799"/>
      <c r="AD549" s="750"/>
      <c r="AE549" s="749"/>
      <c r="AF549" s="749"/>
      <c r="AG549" s="749"/>
      <c r="AH549" s="749"/>
      <c r="AI549" s="749"/>
      <c r="AJ549" s="749"/>
      <c r="AK549" s="749"/>
      <c r="AL549" s="749"/>
      <c r="AM549" s="749"/>
      <c r="AN549" s="749"/>
      <c r="AO549" s="749"/>
      <c r="AP549" s="749"/>
      <c r="AQ549" s="749"/>
      <c r="AR549" s="749"/>
      <c r="AS549" s="749"/>
      <c r="AT549" s="749"/>
      <c r="AU549" s="749"/>
      <c r="AV549" s="749"/>
      <c r="AW549" s="749"/>
      <c r="AX549" s="749"/>
      <c r="AY549" s="749"/>
      <c r="AZ549" s="749"/>
      <c r="BA549" s="749"/>
      <c r="BB549" s="749"/>
      <c r="BC549" s="749"/>
      <c r="BD549" s="749"/>
      <c r="BE549" s="749"/>
      <c r="BF549" s="749"/>
      <c r="BG549" s="749"/>
      <c r="BH549" s="749"/>
      <c r="BI549" s="749"/>
      <c r="BJ549" s="749"/>
      <c r="BK549" s="749"/>
      <c r="BL549" s="749"/>
    </row>
    <row r="550">
      <c r="A550" s="866"/>
      <c r="B550" s="867"/>
      <c r="C550" s="866"/>
      <c r="D550" s="866"/>
      <c r="E550" s="866"/>
      <c r="F550" s="866"/>
      <c r="G550" s="866"/>
      <c r="H550" s="866"/>
      <c r="I550" s="866"/>
      <c r="J550" s="868"/>
      <c r="K550" s="868"/>
      <c r="L550" s="799"/>
      <c r="M550" s="747"/>
      <c r="N550" s="744"/>
      <c r="O550" s="744"/>
      <c r="P550" s="744"/>
      <c r="Q550" s="744"/>
      <c r="R550" s="744"/>
      <c r="S550" s="744"/>
      <c r="T550" s="855"/>
      <c r="U550" s="746"/>
      <c r="V550" s="746"/>
      <c r="W550" s="746"/>
      <c r="X550" s="746"/>
      <c r="Y550" s="799"/>
      <c r="Z550" s="799"/>
      <c r="AA550" s="799"/>
      <c r="AB550" s="799"/>
      <c r="AC550" s="799"/>
      <c r="AD550" s="750"/>
      <c r="AE550" s="749"/>
      <c r="AF550" s="749"/>
      <c r="AG550" s="749"/>
      <c r="AH550" s="749"/>
      <c r="AI550" s="749"/>
      <c r="AJ550" s="749"/>
      <c r="AK550" s="749"/>
      <c r="AL550" s="749"/>
      <c r="AM550" s="749"/>
      <c r="AN550" s="749"/>
      <c r="AO550" s="749"/>
      <c r="AP550" s="749"/>
      <c r="AQ550" s="749"/>
      <c r="AR550" s="749"/>
      <c r="AS550" s="749"/>
      <c r="AT550" s="749"/>
      <c r="AU550" s="749"/>
      <c r="AV550" s="749"/>
      <c r="AW550" s="749"/>
      <c r="AX550" s="749"/>
      <c r="AY550" s="749"/>
      <c r="AZ550" s="749"/>
      <c r="BA550" s="749"/>
      <c r="BB550" s="749"/>
      <c r="BC550" s="749"/>
      <c r="BD550" s="749"/>
      <c r="BE550" s="749"/>
      <c r="BF550" s="749"/>
      <c r="BG550" s="749"/>
      <c r="BH550" s="749"/>
      <c r="BI550" s="749"/>
      <c r="BJ550" s="749"/>
      <c r="BK550" s="749"/>
      <c r="BL550" s="749"/>
    </row>
    <row r="551">
      <c r="A551" s="866"/>
      <c r="B551" s="867"/>
      <c r="C551" s="866"/>
      <c r="D551" s="866"/>
      <c r="E551" s="866"/>
      <c r="F551" s="866"/>
      <c r="G551" s="866"/>
      <c r="H551" s="866"/>
      <c r="I551" s="866"/>
      <c r="J551" s="868"/>
      <c r="K551" s="868"/>
      <c r="L551" s="799"/>
      <c r="M551" s="747"/>
      <c r="N551" s="744"/>
      <c r="O551" s="744"/>
      <c r="P551" s="744"/>
      <c r="Q551" s="744"/>
      <c r="R551" s="744"/>
      <c r="S551" s="744"/>
      <c r="T551" s="855"/>
      <c r="U551" s="746"/>
      <c r="V551" s="746"/>
      <c r="W551" s="746"/>
      <c r="X551" s="746"/>
      <c r="Y551" s="799"/>
      <c r="Z551" s="799"/>
      <c r="AA551" s="799"/>
      <c r="AB551" s="799"/>
      <c r="AC551" s="799"/>
      <c r="AD551" s="750"/>
      <c r="AE551" s="749"/>
      <c r="AF551" s="749"/>
      <c r="AG551" s="749"/>
      <c r="AH551" s="749"/>
      <c r="AI551" s="749"/>
      <c r="AJ551" s="749"/>
      <c r="AK551" s="749"/>
      <c r="AL551" s="749"/>
      <c r="AM551" s="749"/>
      <c r="AN551" s="749"/>
      <c r="AO551" s="749"/>
      <c r="AP551" s="749"/>
      <c r="AQ551" s="749"/>
      <c r="AR551" s="749"/>
      <c r="AS551" s="749"/>
      <c r="AT551" s="749"/>
      <c r="AU551" s="749"/>
      <c r="AV551" s="749"/>
      <c r="AW551" s="749"/>
      <c r="AX551" s="749"/>
      <c r="AY551" s="749"/>
      <c r="AZ551" s="749"/>
      <c r="BA551" s="749"/>
      <c r="BB551" s="749"/>
      <c r="BC551" s="749"/>
      <c r="BD551" s="749"/>
      <c r="BE551" s="749"/>
      <c r="BF551" s="749"/>
      <c r="BG551" s="749"/>
      <c r="BH551" s="749"/>
      <c r="BI551" s="749"/>
      <c r="BJ551" s="749"/>
      <c r="BK551" s="749"/>
      <c r="BL551" s="749"/>
    </row>
    <row r="552">
      <c r="A552" s="866"/>
      <c r="B552" s="867"/>
      <c r="C552" s="866"/>
      <c r="D552" s="866"/>
      <c r="E552" s="866"/>
      <c r="F552" s="866"/>
      <c r="G552" s="866"/>
      <c r="H552" s="866"/>
      <c r="I552" s="866"/>
      <c r="J552" s="868"/>
      <c r="K552" s="868"/>
      <c r="L552" s="799"/>
      <c r="M552" s="747"/>
      <c r="N552" s="744"/>
      <c r="O552" s="744"/>
      <c r="P552" s="744"/>
      <c r="Q552" s="744"/>
      <c r="R552" s="744"/>
      <c r="S552" s="744"/>
      <c r="T552" s="855"/>
      <c r="U552" s="746"/>
      <c r="V552" s="746"/>
      <c r="W552" s="746"/>
      <c r="X552" s="746"/>
      <c r="Y552" s="799"/>
      <c r="Z552" s="799"/>
      <c r="AA552" s="799"/>
      <c r="AB552" s="799"/>
      <c r="AC552" s="799"/>
      <c r="AD552" s="750"/>
      <c r="AE552" s="749"/>
      <c r="AF552" s="749"/>
      <c r="AG552" s="749"/>
      <c r="AH552" s="749"/>
      <c r="AI552" s="749"/>
      <c r="AJ552" s="749"/>
      <c r="AK552" s="749"/>
      <c r="AL552" s="749"/>
      <c r="AM552" s="749"/>
      <c r="AN552" s="749"/>
      <c r="AO552" s="749"/>
      <c r="AP552" s="749"/>
      <c r="AQ552" s="749"/>
      <c r="AR552" s="749"/>
      <c r="AS552" s="749"/>
      <c r="AT552" s="749"/>
      <c r="AU552" s="749"/>
      <c r="AV552" s="749"/>
      <c r="AW552" s="749"/>
      <c r="AX552" s="749"/>
      <c r="AY552" s="749"/>
      <c r="AZ552" s="749"/>
      <c r="BA552" s="749"/>
      <c r="BB552" s="749"/>
      <c r="BC552" s="749"/>
      <c r="BD552" s="749"/>
      <c r="BE552" s="749"/>
      <c r="BF552" s="749"/>
      <c r="BG552" s="749"/>
      <c r="BH552" s="749"/>
      <c r="BI552" s="749"/>
      <c r="BJ552" s="749"/>
      <c r="BK552" s="749"/>
      <c r="BL552" s="749"/>
    </row>
    <row r="553">
      <c r="A553" s="866"/>
      <c r="B553" s="867"/>
      <c r="C553" s="866"/>
      <c r="D553" s="866"/>
      <c r="E553" s="866"/>
      <c r="F553" s="866"/>
      <c r="G553" s="866"/>
      <c r="H553" s="866"/>
      <c r="I553" s="866"/>
      <c r="J553" s="868"/>
      <c r="K553" s="868"/>
      <c r="L553" s="799"/>
      <c r="M553" s="747"/>
      <c r="N553" s="744"/>
      <c r="O553" s="744"/>
      <c r="P553" s="744"/>
      <c r="Q553" s="744"/>
      <c r="R553" s="744"/>
      <c r="S553" s="744"/>
      <c r="T553" s="855"/>
      <c r="U553" s="746"/>
      <c r="V553" s="746"/>
      <c r="W553" s="746"/>
      <c r="X553" s="746"/>
      <c r="Y553" s="799"/>
      <c r="Z553" s="799"/>
      <c r="AA553" s="799"/>
      <c r="AB553" s="799"/>
      <c r="AC553" s="799"/>
      <c r="AD553" s="750"/>
      <c r="AE553" s="749"/>
      <c r="AF553" s="749"/>
      <c r="AG553" s="749"/>
      <c r="AH553" s="749"/>
      <c r="AI553" s="749"/>
      <c r="AJ553" s="749"/>
      <c r="AK553" s="749"/>
      <c r="AL553" s="749"/>
      <c r="AM553" s="749"/>
      <c r="AN553" s="749"/>
      <c r="AO553" s="749"/>
      <c r="AP553" s="749"/>
      <c r="AQ553" s="749"/>
      <c r="AR553" s="749"/>
      <c r="AS553" s="749"/>
      <c r="AT553" s="749"/>
      <c r="AU553" s="749"/>
      <c r="AV553" s="749"/>
      <c r="AW553" s="749"/>
      <c r="AX553" s="749"/>
      <c r="AY553" s="749"/>
      <c r="AZ553" s="749"/>
      <c r="BA553" s="749"/>
      <c r="BB553" s="749"/>
      <c r="BC553" s="749"/>
      <c r="BD553" s="749"/>
      <c r="BE553" s="749"/>
      <c r="BF553" s="749"/>
      <c r="BG553" s="749"/>
      <c r="BH553" s="749"/>
      <c r="BI553" s="749"/>
      <c r="BJ553" s="749"/>
      <c r="BK553" s="749"/>
      <c r="BL553" s="749"/>
    </row>
    <row r="554">
      <c r="A554" s="866"/>
      <c r="B554" s="867"/>
      <c r="C554" s="866"/>
      <c r="D554" s="866"/>
      <c r="E554" s="866"/>
      <c r="F554" s="866"/>
      <c r="G554" s="866"/>
      <c r="H554" s="866"/>
      <c r="I554" s="866"/>
      <c r="J554" s="868"/>
      <c r="K554" s="868"/>
      <c r="L554" s="799"/>
      <c r="M554" s="747"/>
      <c r="N554" s="744"/>
      <c r="O554" s="744"/>
      <c r="P554" s="744"/>
      <c r="Q554" s="744"/>
      <c r="R554" s="744"/>
      <c r="S554" s="744"/>
      <c r="T554" s="855"/>
      <c r="U554" s="746"/>
      <c r="V554" s="746"/>
      <c r="W554" s="746"/>
      <c r="X554" s="746"/>
      <c r="Y554" s="799"/>
      <c r="Z554" s="799"/>
      <c r="AA554" s="799"/>
      <c r="AB554" s="799"/>
      <c r="AC554" s="799"/>
      <c r="AD554" s="750"/>
      <c r="AE554" s="749"/>
      <c r="AF554" s="749"/>
      <c r="AG554" s="749"/>
      <c r="AH554" s="749"/>
      <c r="AI554" s="749"/>
      <c r="AJ554" s="749"/>
      <c r="AK554" s="749"/>
      <c r="AL554" s="749"/>
      <c r="AM554" s="749"/>
      <c r="AN554" s="749"/>
      <c r="AO554" s="749"/>
      <c r="AP554" s="749"/>
      <c r="AQ554" s="749"/>
      <c r="AR554" s="749"/>
      <c r="AS554" s="749"/>
      <c r="AT554" s="749"/>
      <c r="AU554" s="749"/>
      <c r="AV554" s="749"/>
      <c r="AW554" s="749"/>
      <c r="AX554" s="749"/>
      <c r="AY554" s="749"/>
      <c r="AZ554" s="749"/>
      <c r="BA554" s="749"/>
      <c r="BB554" s="749"/>
      <c r="BC554" s="749"/>
      <c r="BD554" s="749"/>
      <c r="BE554" s="749"/>
      <c r="BF554" s="749"/>
      <c r="BG554" s="749"/>
      <c r="BH554" s="749"/>
      <c r="BI554" s="749"/>
      <c r="BJ554" s="749"/>
      <c r="BK554" s="749"/>
      <c r="BL554" s="749"/>
    </row>
    <row r="555">
      <c r="A555" s="866"/>
      <c r="B555" s="867"/>
      <c r="C555" s="866"/>
      <c r="D555" s="866"/>
      <c r="E555" s="866"/>
      <c r="F555" s="866"/>
      <c r="G555" s="866"/>
      <c r="H555" s="866"/>
      <c r="I555" s="866"/>
      <c r="J555" s="868"/>
      <c r="K555" s="868"/>
      <c r="L555" s="799"/>
      <c r="M555" s="747"/>
      <c r="N555" s="744"/>
      <c r="O555" s="744"/>
      <c r="P555" s="744"/>
      <c r="Q555" s="744"/>
      <c r="R555" s="744"/>
      <c r="S555" s="744"/>
      <c r="T555" s="855"/>
      <c r="U555" s="746"/>
      <c r="V555" s="746"/>
      <c r="W555" s="746"/>
      <c r="X555" s="746"/>
      <c r="Y555" s="799"/>
      <c r="Z555" s="799"/>
      <c r="AA555" s="799"/>
      <c r="AB555" s="799"/>
      <c r="AC555" s="799"/>
      <c r="AD555" s="750"/>
      <c r="AE555" s="749"/>
      <c r="AF555" s="749"/>
      <c r="AG555" s="749"/>
      <c r="AH555" s="749"/>
      <c r="AI555" s="749"/>
      <c r="AJ555" s="749"/>
      <c r="AK555" s="749"/>
      <c r="AL555" s="749"/>
      <c r="AM555" s="749"/>
      <c r="AN555" s="749"/>
      <c r="AO555" s="749"/>
      <c r="AP555" s="749"/>
      <c r="AQ555" s="749"/>
      <c r="AR555" s="749"/>
      <c r="AS555" s="749"/>
      <c r="AT555" s="749"/>
      <c r="AU555" s="749"/>
      <c r="AV555" s="749"/>
      <c r="AW555" s="749"/>
      <c r="AX555" s="749"/>
      <c r="AY555" s="749"/>
      <c r="AZ555" s="749"/>
      <c r="BA555" s="749"/>
      <c r="BB555" s="749"/>
      <c r="BC555" s="749"/>
      <c r="BD555" s="749"/>
      <c r="BE555" s="749"/>
      <c r="BF555" s="749"/>
      <c r="BG555" s="749"/>
      <c r="BH555" s="749"/>
      <c r="BI555" s="749"/>
      <c r="BJ555" s="749"/>
      <c r="BK555" s="749"/>
      <c r="BL555" s="749"/>
    </row>
    <row r="556">
      <c r="A556" s="866"/>
      <c r="B556" s="867"/>
      <c r="C556" s="866"/>
      <c r="D556" s="866"/>
      <c r="E556" s="866"/>
      <c r="F556" s="866"/>
      <c r="G556" s="866"/>
      <c r="H556" s="866"/>
      <c r="I556" s="866"/>
      <c r="J556" s="868"/>
      <c r="K556" s="868"/>
      <c r="L556" s="799"/>
      <c r="M556" s="747"/>
      <c r="N556" s="744"/>
      <c r="O556" s="744"/>
      <c r="P556" s="744"/>
      <c r="Q556" s="744"/>
      <c r="R556" s="744"/>
      <c r="S556" s="744"/>
      <c r="T556" s="855"/>
      <c r="U556" s="746"/>
      <c r="V556" s="746"/>
      <c r="W556" s="746"/>
      <c r="X556" s="746"/>
      <c r="Y556" s="799"/>
      <c r="Z556" s="799"/>
      <c r="AA556" s="799"/>
      <c r="AB556" s="799"/>
      <c r="AC556" s="799"/>
      <c r="AD556" s="750"/>
      <c r="AE556" s="749"/>
      <c r="AF556" s="749"/>
      <c r="AG556" s="749"/>
      <c r="AH556" s="749"/>
      <c r="AI556" s="749"/>
      <c r="AJ556" s="749"/>
      <c r="AK556" s="749"/>
      <c r="AL556" s="749"/>
      <c r="AM556" s="749"/>
      <c r="AN556" s="749"/>
      <c r="AO556" s="749"/>
      <c r="AP556" s="749"/>
      <c r="AQ556" s="749"/>
      <c r="AR556" s="749"/>
      <c r="AS556" s="749"/>
      <c r="AT556" s="749"/>
      <c r="AU556" s="749"/>
      <c r="AV556" s="749"/>
      <c r="AW556" s="749"/>
      <c r="AX556" s="749"/>
      <c r="AY556" s="749"/>
      <c r="AZ556" s="749"/>
      <c r="BA556" s="749"/>
      <c r="BB556" s="749"/>
      <c r="BC556" s="749"/>
      <c r="BD556" s="749"/>
      <c r="BE556" s="749"/>
      <c r="BF556" s="749"/>
      <c r="BG556" s="749"/>
      <c r="BH556" s="749"/>
      <c r="BI556" s="749"/>
      <c r="BJ556" s="749"/>
      <c r="BK556" s="749"/>
      <c r="BL556" s="749"/>
    </row>
    <row r="557">
      <c r="A557" s="866"/>
      <c r="B557" s="867"/>
      <c r="C557" s="866"/>
      <c r="D557" s="866"/>
      <c r="E557" s="866"/>
      <c r="F557" s="866"/>
      <c r="G557" s="866"/>
      <c r="H557" s="866"/>
      <c r="I557" s="866"/>
      <c r="J557" s="868"/>
      <c r="K557" s="868"/>
      <c r="L557" s="799"/>
      <c r="M557" s="747"/>
      <c r="N557" s="744"/>
      <c r="O557" s="744"/>
      <c r="P557" s="744"/>
      <c r="Q557" s="744"/>
      <c r="R557" s="744"/>
      <c r="S557" s="744"/>
      <c r="T557" s="855"/>
      <c r="U557" s="746"/>
      <c r="V557" s="746"/>
      <c r="W557" s="746"/>
      <c r="X557" s="746"/>
      <c r="Y557" s="799"/>
      <c r="Z557" s="799"/>
      <c r="AA557" s="799"/>
      <c r="AB557" s="799"/>
      <c r="AC557" s="799"/>
      <c r="AD557" s="750"/>
      <c r="AE557" s="749"/>
      <c r="AF557" s="749"/>
      <c r="AG557" s="749"/>
      <c r="AH557" s="749"/>
      <c r="AI557" s="749"/>
      <c r="AJ557" s="749"/>
      <c r="AK557" s="749"/>
      <c r="AL557" s="749"/>
      <c r="AM557" s="749"/>
      <c r="AN557" s="749"/>
      <c r="AO557" s="749"/>
      <c r="AP557" s="749"/>
      <c r="AQ557" s="749"/>
      <c r="AR557" s="749"/>
      <c r="AS557" s="749"/>
      <c r="AT557" s="749"/>
      <c r="AU557" s="749"/>
      <c r="AV557" s="749"/>
      <c r="AW557" s="749"/>
      <c r="AX557" s="749"/>
      <c r="AY557" s="749"/>
      <c r="AZ557" s="749"/>
      <c r="BA557" s="749"/>
      <c r="BB557" s="749"/>
      <c r="BC557" s="749"/>
      <c r="BD557" s="749"/>
      <c r="BE557" s="749"/>
      <c r="BF557" s="749"/>
      <c r="BG557" s="749"/>
      <c r="BH557" s="749"/>
      <c r="BI557" s="749"/>
      <c r="BJ557" s="749"/>
      <c r="BK557" s="749"/>
      <c r="BL557" s="749"/>
    </row>
    <row r="558">
      <c r="A558" s="866"/>
      <c r="B558" s="867"/>
      <c r="C558" s="866"/>
      <c r="D558" s="866"/>
      <c r="E558" s="866"/>
      <c r="F558" s="866"/>
      <c r="G558" s="866"/>
      <c r="H558" s="866"/>
      <c r="I558" s="866"/>
      <c r="J558" s="868"/>
      <c r="K558" s="868"/>
      <c r="L558" s="799"/>
      <c r="M558" s="747"/>
      <c r="N558" s="744"/>
      <c r="O558" s="744"/>
      <c r="P558" s="744"/>
      <c r="Q558" s="744"/>
      <c r="R558" s="744"/>
      <c r="S558" s="744"/>
      <c r="T558" s="855"/>
      <c r="U558" s="746"/>
      <c r="V558" s="746"/>
      <c r="W558" s="746"/>
      <c r="X558" s="746"/>
      <c r="Y558" s="799"/>
      <c r="Z558" s="799"/>
      <c r="AA558" s="799"/>
      <c r="AB558" s="799"/>
      <c r="AC558" s="799"/>
      <c r="AD558" s="750"/>
      <c r="AE558" s="749"/>
      <c r="AF558" s="749"/>
      <c r="AG558" s="749"/>
      <c r="AH558" s="749"/>
      <c r="AI558" s="749"/>
      <c r="AJ558" s="749"/>
      <c r="AK558" s="749"/>
      <c r="AL558" s="749"/>
      <c r="AM558" s="749"/>
      <c r="AN558" s="749"/>
      <c r="AO558" s="749"/>
      <c r="AP558" s="749"/>
      <c r="AQ558" s="749"/>
      <c r="AR558" s="749"/>
      <c r="AS558" s="749"/>
      <c r="AT558" s="749"/>
      <c r="AU558" s="749"/>
      <c r="AV558" s="749"/>
      <c r="AW558" s="749"/>
      <c r="AX558" s="749"/>
      <c r="AY558" s="749"/>
      <c r="AZ558" s="749"/>
      <c r="BA558" s="749"/>
      <c r="BB558" s="749"/>
      <c r="BC558" s="749"/>
      <c r="BD558" s="749"/>
      <c r="BE558" s="749"/>
      <c r="BF558" s="749"/>
      <c r="BG558" s="749"/>
      <c r="BH558" s="749"/>
      <c r="BI558" s="749"/>
      <c r="BJ558" s="749"/>
      <c r="BK558" s="749"/>
      <c r="BL558" s="749"/>
    </row>
    <row r="559">
      <c r="A559" s="866"/>
      <c r="B559" s="867"/>
      <c r="C559" s="866"/>
      <c r="D559" s="866"/>
      <c r="E559" s="866"/>
      <c r="F559" s="866"/>
      <c r="G559" s="866"/>
      <c r="H559" s="866"/>
      <c r="I559" s="866"/>
      <c r="J559" s="868"/>
      <c r="K559" s="868"/>
      <c r="L559" s="799"/>
      <c r="M559" s="747"/>
      <c r="N559" s="744"/>
      <c r="O559" s="744"/>
      <c r="P559" s="744"/>
      <c r="Q559" s="744"/>
      <c r="R559" s="744"/>
      <c r="S559" s="744"/>
      <c r="T559" s="855"/>
      <c r="U559" s="746"/>
      <c r="V559" s="746"/>
      <c r="W559" s="746"/>
      <c r="X559" s="746"/>
      <c r="Y559" s="799"/>
      <c r="Z559" s="799"/>
      <c r="AA559" s="799"/>
      <c r="AB559" s="799"/>
      <c r="AC559" s="799"/>
      <c r="AD559" s="750"/>
      <c r="AE559" s="749"/>
      <c r="AF559" s="749"/>
      <c r="AG559" s="749"/>
      <c r="AH559" s="749"/>
      <c r="AI559" s="749"/>
      <c r="AJ559" s="749"/>
      <c r="AK559" s="749"/>
      <c r="AL559" s="749"/>
      <c r="AM559" s="749"/>
      <c r="AN559" s="749"/>
      <c r="AO559" s="749"/>
      <c r="AP559" s="749"/>
      <c r="AQ559" s="749"/>
      <c r="AR559" s="749"/>
      <c r="AS559" s="749"/>
      <c r="AT559" s="749"/>
      <c r="AU559" s="749"/>
      <c r="AV559" s="749"/>
      <c r="AW559" s="749"/>
      <c r="AX559" s="749"/>
      <c r="AY559" s="749"/>
      <c r="AZ559" s="749"/>
      <c r="BA559" s="749"/>
      <c r="BB559" s="749"/>
      <c r="BC559" s="749"/>
      <c r="BD559" s="749"/>
      <c r="BE559" s="749"/>
      <c r="BF559" s="749"/>
      <c r="BG559" s="749"/>
      <c r="BH559" s="749"/>
      <c r="BI559" s="749"/>
      <c r="BJ559" s="749"/>
      <c r="BK559" s="749"/>
      <c r="BL559" s="749"/>
    </row>
    <row r="560">
      <c r="A560" s="866"/>
      <c r="B560" s="867"/>
      <c r="C560" s="866"/>
      <c r="D560" s="866"/>
      <c r="E560" s="866"/>
      <c r="F560" s="866"/>
      <c r="G560" s="866"/>
      <c r="H560" s="866"/>
      <c r="I560" s="866"/>
      <c r="J560" s="868"/>
      <c r="K560" s="868"/>
      <c r="L560" s="799"/>
      <c r="M560" s="747"/>
      <c r="N560" s="744"/>
      <c r="O560" s="744"/>
      <c r="P560" s="744"/>
      <c r="Q560" s="744"/>
      <c r="R560" s="744"/>
      <c r="S560" s="744"/>
      <c r="T560" s="855"/>
      <c r="U560" s="746"/>
      <c r="V560" s="746"/>
      <c r="W560" s="746"/>
      <c r="X560" s="746"/>
      <c r="Y560" s="799"/>
      <c r="Z560" s="799"/>
      <c r="AA560" s="799"/>
      <c r="AB560" s="799"/>
      <c r="AC560" s="799"/>
      <c r="AD560" s="750"/>
      <c r="AE560" s="749"/>
      <c r="AF560" s="749"/>
      <c r="AG560" s="749"/>
      <c r="AH560" s="749"/>
      <c r="AI560" s="749"/>
      <c r="AJ560" s="749"/>
      <c r="AK560" s="749"/>
      <c r="AL560" s="749"/>
      <c r="AM560" s="749"/>
      <c r="AN560" s="749"/>
      <c r="AO560" s="749"/>
      <c r="AP560" s="749"/>
      <c r="AQ560" s="749"/>
      <c r="AR560" s="749"/>
      <c r="AS560" s="749"/>
      <c r="AT560" s="749"/>
      <c r="AU560" s="749"/>
      <c r="AV560" s="749"/>
      <c r="AW560" s="749"/>
      <c r="AX560" s="749"/>
      <c r="AY560" s="749"/>
      <c r="AZ560" s="749"/>
      <c r="BA560" s="749"/>
      <c r="BB560" s="749"/>
      <c r="BC560" s="749"/>
      <c r="BD560" s="749"/>
      <c r="BE560" s="749"/>
      <c r="BF560" s="749"/>
      <c r="BG560" s="749"/>
      <c r="BH560" s="749"/>
      <c r="BI560" s="749"/>
      <c r="BJ560" s="749"/>
      <c r="BK560" s="749"/>
      <c r="BL560" s="749"/>
    </row>
    <row r="561">
      <c r="A561" s="866"/>
      <c r="B561" s="867"/>
      <c r="C561" s="866"/>
      <c r="D561" s="866"/>
      <c r="E561" s="866"/>
      <c r="F561" s="866"/>
      <c r="G561" s="866"/>
      <c r="H561" s="866"/>
      <c r="I561" s="866"/>
      <c r="J561" s="868"/>
      <c r="K561" s="868"/>
      <c r="L561" s="799"/>
      <c r="M561" s="747"/>
      <c r="N561" s="744"/>
      <c r="O561" s="744"/>
      <c r="P561" s="744"/>
      <c r="Q561" s="744"/>
      <c r="R561" s="744"/>
      <c r="S561" s="744"/>
      <c r="T561" s="855"/>
      <c r="U561" s="746"/>
      <c r="V561" s="746"/>
      <c r="W561" s="746"/>
      <c r="X561" s="746"/>
      <c r="Y561" s="799"/>
      <c r="Z561" s="799"/>
      <c r="AA561" s="799"/>
      <c r="AB561" s="799"/>
      <c r="AC561" s="799"/>
      <c r="AD561" s="750"/>
      <c r="AE561" s="749"/>
      <c r="AF561" s="749"/>
      <c r="AG561" s="749"/>
      <c r="AH561" s="749"/>
      <c r="AI561" s="749"/>
      <c r="AJ561" s="749"/>
      <c r="AK561" s="749"/>
      <c r="AL561" s="749"/>
      <c r="AM561" s="749"/>
      <c r="AN561" s="749"/>
      <c r="AO561" s="749"/>
      <c r="AP561" s="749"/>
      <c r="AQ561" s="749"/>
      <c r="AR561" s="749"/>
      <c r="AS561" s="749"/>
      <c r="AT561" s="749"/>
      <c r="AU561" s="749"/>
      <c r="AV561" s="749"/>
      <c r="AW561" s="749"/>
      <c r="AX561" s="749"/>
      <c r="AY561" s="749"/>
      <c r="AZ561" s="749"/>
      <c r="BA561" s="749"/>
      <c r="BB561" s="749"/>
      <c r="BC561" s="749"/>
      <c r="BD561" s="749"/>
      <c r="BE561" s="749"/>
      <c r="BF561" s="749"/>
      <c r="BG561" s="749"/>
      <c r="BH561" s="749"/>
      <c r="BI561" s="749"/>
      <c r="BJ561" s="749"/>
      <c r="BK561" s="749"/>
      <c r="BL561" s="749"/>
    </row>
    <row r="562">
      <c r="A562" s="866"/>
      <c r="B562" s="867"/>
      <c r="C562" s="866"/>
      <c r="D562" s="866"/>
      <c r="E562" s="866"/>
      <c r="F562" s="866"/>
      <c r="G562" s="866"/>
      <c r="H562" s="866"/>
      <c r="I562" s="866"/>
      <c r="J562" s="868"/>
      <c r="K562" s="868"/>
      <c r="L562" s="799"/>
      <c r="M562" s="747"/>
      <c r="N562" s="744"/>
      <c r="O562" s="744"/>
      <c r="P562" s="744"/>
      <c r="Q562" s="744"/>
      <c r="R562" s="744"/>
      <c r="S562" s="744"/>
      <c r="T562" s="855"/>
      <c r="U562" s="746"/>
      <c r="V562" s="746"/>
      <c r="W562" s="746"/>
      <c r="X562" s="746"/>
      <c r="Y562" s="799"/>
      <c r="Z562" s="799"/>
      <c r="AA562" s="799"/>
      <c r="AB562" s="799"/>
      <c r="AC562" s="799"/>
      <c r="AD562" s="750"/>
      <c r="AE562" s="749"/>
      <c r="AF562" s="749"/>
      <c r="AG562" s="749"/>
      <c r="AH562" s="749"/>
      <c r="AI562" s="749"/>
      <c r="AJ562" s="749"/>
      <c r="AK562" s="749"/>
      <c r="AL562" s="749"/>
      <c r="AM562" s="749"/>
      <c r="AN562" s="749"/>
      <c r="AO562" s="749"/>
      <c r="AP562" s="749"/>
      <c r="AQ562" s="749"/>
      <c r="AR562" s="749"/>
      <c r="AS562" s="749"/>
      <c r="AT562" s="749"/>
      <c r="AU562" s="749"/>
      <c r="AV562" s="749"/>
      <c r="AW562" s="749"/>
      <c r="AX562" s="749"/>
      <c r="AY562" s="749"/>
      <c r="AZ562" s="749"/>
      <c r="BA562" s="749"/>
      <c r="BB562" s="749"/>
      <c r="BC562" s="749"/>
      <c r="BD562" s="749"/>
      <c r="BE562" s="749"/>
      <c r="BF562" s="749"/>
      <c r="BG562" s="749"/>
      <c r="BH562" s="749"/>
      <c r="BI562" s="749"/>
      <c r="BJ562" s="749"/>
      <c r="BK562" s="749"/>
      <c r="BL562" s="749"/>
    </row>
    <row r="563">
      <c r="A563" s="866"/>
      <c r="B563" s="867"/>
      <c r="C563" s="866"/>
      <c r="D563" s="866"/>
      <c r="E563" s="866"/>
      <c r="F563" s="866"/>
      <c r="G563" s="866"/>
      <c r="H563" s="866"/>
      <c r="I563" s="866"/>
      <c r="J563" s="868"/>
      <c r="K563" s="868"/>
      <c r="L563" s="799"/>
      <c r="M563" s="747"/>
      <c r="N563" s="744"/>
      <c r="O563" s="744"/>
      <c r="P563" s="744"/>
      <c r="Q563" s="744"/>
      <c r="R563" s="744"/>
      <c r="S563" s="744"/>
      <c r="T563" s="855"/>
      <c r="U563" s="746"/>
      <c r="V563" s="746"/>
      <c r="W563" s="746"/>
      <c r="X563" s="746"/>
      <c r="Y563" s="799"/>
      <c r="Z563" s="799"/>
      <c r="AA563" s="799"/>
      <c r="AB563" s="799"/>
      <c r="AC563" s="799"/>
      <c r="AD563" s="750"/>
      <c r="AE563" s="749"/>
      <c r="AF563" s="749"/>
      <c r="AG563" s="749"/>
      <c r="AH563" s="749"/>
      <c r="AI563" s="749"/>
      <c r="AJ563" s="749"/>
      <c r="AK563" s="749"/>
      <c r="AL563" s="749"/>
      <c r="AM563" s="749"/>
      <c r="AN563" s="749"/>
      <c r="AO563" s="749"/>
      <c r="AP563" s="749"/>
      <c r="AQ563" s="749"/>
      <c r="AR563" s="749"/>
      <c r="AS563" s="749"/>
      <c r="AT563" s="749"/>
      <c r="AU563" s="749"/>
      <c r="AV563" s="749"/>
      <c r="AW563" s="749"/>
      <c r="AX563" s="749"/>
      <c r="AY563" s="749"/>
      <c r="AZ563" s="749"/>
      <c r="BA563" s="749"/>
      <c r="BB563" s="749"/>
      <c r="BC563" s="749"/>
      <c r="BD563" s="749"/>
      <c r="BE563" s="749"/>
      <c r="BF563" s="749"/>
      <c r="BG563" s="749"/>
      <c r="BH563" s="749"/>
      <c r="BI563" s="749"/>
      <c r="BJ563" s="749"/>
      <c r="BK563" s="749"/>
      <c r="BL563" s="749"/>
    </row>
    <row r="564">
      <c r="A564" s="866"/>
      <c r="B564" s="867"/>
      <c r="C564" s="866"/>
      <c r="D564" s="866"/>
      <c r="E564" s="866"/>
      <c r="F564" s="866"/>
      <c r="G564" s="866"/>
      <c r="H564" s="866"/>
      <c r="I564" s="866"/>
      <c r="J564" s="868"/>
      <c r="K564" s="868"/>
      <c r="L564" s="799"/>
      <c r="M564" s="747"/>
      <c r="N564" s="744"/>
      <c r="O564" s="744"/>
      <c r="P564" s="744"/>
      <c r="Q564" s="744"/>
      <c r="R564" s="744"/>
      <c r="S564" s="744"/>
      <c r="T564" s="855"/>
      <c r="U564" s="746"/>
      <c r="V564" s="746"/>
      <c r="W564" s="746"/>
      <c r="X564" s="746"/>
      <c r="Y564" s="799"/>
      <c r="Z564" s="799"/>
      <c r="AA564" s="799"/>
      <c r="AB564" s="799"/>
      <c r="AC564" s="799"/>
      <c r="AD564" s="750"/>
      <c r="AE564" s="749"/>
      <c r="AF564" s="749"/>
      <c r="AG564" s="749"/>
      <c r="AH564" s="749"/>
      <c r="AI564" s="749"/>
      <c r="AJ564" s="749"/>
      <c r="AK564" s="749"/>
      <c r="AL564" s="749"/>
      <c r="AM564" s="749"/>
      <c r="AN564" s="749"/>
      <c r="AO564" s="749"/>
      <c r="AP564" s="749"/>
      <c r="AQ564" s="749"/>
      <c r="AR564" s="749"/>
      <c r="AS564" s="749"/>
      <c r="AT564" s="749"/>
      <c r="AU564" s="749"/>
      <c r="AV564" s="749"/>
      <c r="AW564" s="749"/>
      <c r="AX564" s="749"/>
      <c r="AY564" s="749"/>
      <c r="AZ564" s="749"/>
      <c r="BA564" s="749"/>
      <c r="BB564" s="749"/>
      <c r="BC564" s="749"/>
      <c r="BD564" s="749"/>
      <c r="BE564" s="749"/>
      <c r="BF564" s="749"/>
      <c r="BG564" s="749"/>
      <c r="BH564" s="749"/>
      <c r="BI564" s="749"/>
      <c r="BJ564" s="749"/>
      <c r="BK564" s="749"/>
      <c r="BL564" s="749"/>
    </row>
    <row r="565">
      <c r="A565" s="866"/>
      <c r="B565" s="867"/>
      <c r="C565" s="866"/>
      <c r="D565" s="866"/>
      <c r="E565" s="866"/>
      <c r="F565" s="866"/>
      <c r="G565" s="866"/>
      <c r="H565" s="866"/>
      <c r="I565" s="866"/>
      <c r="J565" s="868"/>
      <c r="K565" s="868"/>
      <c r="L565" s="799"/>
      <c r="M565" s="747"/>
      <c r="N565" s="744"/>
      <c r="O565" s="744"/>
      <c r="P565" s="744"/>
      <c r="Q565" s="744"/>
      <c r="R565" s="744"/>
      <c r="S565" s="744"/>
      <c r="T565" s="855"/>
      <c r="U565" s="746"/>
      <c r="V565" s="746"/>
      <c r="W565" s="746"/>
      <c r="X565" s="746"/>
      <c r="Y565" s="799"/>
      <c r="Z565" s="799"/>
      <c r="AA565" s="799"/>
      <c r="AB565" s="799"/>
      <c r="AC565" s="799"/>
      <c r="AD565" s="750"/>
      <c r="AE565" s="749"/>
      <c r="AF565" s="749"/>
      <c r="AG565" s="749"/>
      <c r="AH565" s="749"/>
      <c r="AI565" s="749"/>
      <c r="AJ565" s="749"/>
      <c r="AK565" s="749"/>
      <c r="AL565" s="749"/>
      <c r="AM565" s="749"/>
      <c r="AN565" s="749"/>
      <c r="AO565" s="749"/>
      <c r="AP565" s="749"/>
      <c r="AQ565" s="749"/>
      <c r="AR565" s="749"/>
      <c r="AS565" s="749"/>
      <c r="AT565" s="749"/>
      <c r="AU565" s="749"/>
      <c r="AV565" s="749"/>
      <c r="AW565" s="749"/>
      <c r="AX565" s="749"/>
      <c r="AY565" s="749"/>
      <c r="AZ565" s="749"/>
      <c r="BA565" s="749"/>
      <c r="BB565" s="749"/>
      <c r="BC565" s="749"/>
      <c r="BD565" s="749"/>
      <c r="BE565" s="749"/>
      <c r="BF565" s="749"/>
      <c r="BG565" s="749"/>
      <c r="BH565" s="749"/>
      <c r="BI565" s="749"/>
      <c r="BJ565" s="749"/>
      <c r="BK565" s="749"/>
      <c r="BL565" s="749"/>
    </row>
    <row r="566">
      <c r="A566" s="866"/>
      <c r="B566" s="867"/>
      <c r="C566" s="866"/>
      <c r="D566" s="866"/>
      <c r="E566" s="866"/>
      <c r="F566" s="866"/>
      <c r="G566" s="866"/>
      <c r="H566" s="866"/>
      <c r="I566" s="866"/>
      <c r="J566" s="868"/>
      <c r="K566" s="868"/>
      <c r="L566" s="799"/>
      <c r="M566" s="747"/>
      <c r="N566" s="744"/>
      <c r="O566" s="744"/>
      <c r="P566" s="744"/>
      <c r="Q566" s="744"/>
      <c r="R566" s="744"/>
      <c r="S566" s="744"/>
      <c r="T566" s="855"/>
      <c r="U566" s="746"/>
      <c r="V566" s="746"/>
      <c r="W566" s="746"/>
      <c r="X566" s="746"/>
      <c r="Y566" s="799"/>
      <c r="Z566" s="799"/>
      <c r="AA566" s="799"/>
      <c r="AB566" s="799"/>
      <c r="AC566" s="799"/>
      <c r="AD566" s="750"/>
      <c r="AE566" s="749"/>
      <c r="AF566" s="749"/>
      <c r="AG566" s="749"/>
      <c r="AH566" s="749"/>
      <c r="AI566" s="749"/>
      <c r="AJ566" s="749"/>
      <c r="AK566" s="749"/>
      <c r="AL566" s="749"/>
      <c r="AM566" s="749"/>
      <c r="AN566" s="749"/>
      <c r="AO566" s="749"/>
      <c r="AP566" s="749"/>
      <c r="AQ566" s="749"/>
      <c r="AR566" s="749"/>
      <c r="AS566" s="749"/>
      <c r="AT566" s="749"/>
      <c r="AU566" s="749"/>
      <c r="AV566" s="749"/>
      <c r="AW566" s="749"/>
      <c r="AX566" s="749"/>
      <c r="AY566" s="749"/>
      <c r="AZ566" s="749"/>
      <c r="BA566" s="749"/>
      <c r="BB566" s="749"/>
      <c r="BC566" s="749"/>
      <c r="BD566" s="749"/>
      <c r="BE566" s="749"/>
      <c r="BF566" s="749"/>
      <c r="BG566" s="749"/>
      <c r="BH566" s="749"/>
      <c r="BI566" s="749"/>
      <c r="BJ566" s="749"/>
      <c r="BK566" s="749"/>
      <c r="BL566" s="749"/>
    </row>
    <row r="567">
      <c r="A567" s="866"/>
      <c r="B567" s="867"/>
      <c r="C567" s="866"/>
      <c r="D567" s="866"/>
      <c r="E567" s="866"/>
      <c r="F567" s="866"/>
      <c r="G567" s="866"/>
      <c r="H567" s="866"/>
      <c r="I567" s="866"/>
      <c r="J567" s="868"/>
      <c r="K567" s="868"/>
      <c r="L567" s="799"/>
      <c r="M567" s="747"/>
      <c r="N567" s="744"/>
      <c r="O567" s="744"/>
      <c r="P567" s="744"/>
      <c r="Q567" s="744"/>
      <c r="R567" s="744"/>
      <c r="S567" s="744"/>
      <c r="T567" s="855"/>
      <c r="U567" s="746"/>
      <c r="V567" s="746"/>
      <c r="W567" s="746"/>
      <c r="X567" s="746"/>
      <c r="Y567" s="799"/>
      <c r="Z567" s="799"/>
      <c r="AA567" s="799"/>
      <c r="AB567" s="799"/>
      <c r="AC567" s="799"/>
      <c r="AD567" s="750"/>
      <c r="AE567" s="749"/>
      <c r="AF567" s="749"/>
      <c r="AG567" s="749"/>
      <c r="AH567" s="749"/>
      <c r="AI567" s="749"/>
      <c r="AJ567" s="749"/>
      <c r="AK567" s="749"/>
      <c r="AL567" s="749"/>
      <c r="AM567" s="749"/>
      <c r="AN567" s="749"/>
      <c r="AO567" s="749"/>
      <c r="AP567" s="749"/>
      <c r="AQ567" s="749"/>
      <c r="AR567" s="749"/>
      <c r="AS567" s="749"/>
      <c r="AT567" s="749"/>
      <c r="AU567" s="749"/>
      <c r="AV567" s="749"/>
      <c r="AW567" s="749"/>
      <c r="AX567" s="749"/>
      <c r="AY567" s="749"/>
      <c r="AZ567" s="749"/>
      <c r="BA567" s="749"/>
      <c r="BB567" s="749"/>
      <c r="BC567" s="749"/>
      <c r="BD567" s="749"/>
      <c r="BE567" s="749"/>
      <c r="BF567" s="749"/>
      <c r="BG567" s="749"/>
      <c r="BH567" s="749"/>
      <c r="BI567" s="749"/>
      <c r="BJ567" s="749"/>
      <c r="BK567" s="749"/>
      <c r="BL567" s="749"/>
    </row>
    <row r="568">
      <c r="A568" s="866"/>
      <c r="B568" s="867"/>
      <c r="C568" s="866"/>
      <c r="D568" s="866"/>
      <c r="E568" s="866"/>
      <c r="F568" s="866"/>
      <c r="G568" s="866"/>
      <c r="H568" s="866"/>
      <c r="I568" s="866"/>
      <c r="J568" s="868"/>
      <c r="K568" s="868"/>
      <c r="L568" s="799"/>
      <c r="M568" s="747"/>
      <c r="N568" s="744"/>
      <c r="O568" s="744"/>
      <c r="P568" s="744"/>
      <c r="Q568" s="744"/>
      <c r="R568" s="744"/>
      <c r="S568" s="744"/>
      <c r="T568" s="855"/>
      <c r="U568" s="746"/>
      <c r="V568" s="746"/>
      <c r="W568" s="746"/>
      <c r="X568" s="746"/>
      <c r="Y568" s="799"/>
      <c r="Z568" s="799"/>
      <c r="AA568" s="799"/>
      <c r="AB568" s="799"/>
      <c r="AC568" s="799"/>
      <c r="AD568" s="750"/>
      <c r="AE568" s="749"/>
      <c r="AF568" s="749"/>
      <c r="AG568" s="749"/>
      <c r="AH568" s="749"/>
      <c r="AI568" s="749"/>
      <c r="AJ568" s="749"/>
      <c r="AK568" s="749"/>
      <c r="AL568" s="749"/>
      <c r="AM568" s="749"/>
      <c r="AN568" s="749"/>
      <c r="AO568" s="749"/>
      <c r="AP568" s="749"/>
      <c r="AQ568" s="749"/>
      <c r="AR568" s="749"/>
      <c r="AS568" s="749"/>
      <c r="AT568" s="749"/>
      <c r="AU568" s="749"/>
      <c r="AV568" s="749"/>
      <c r="AW568" s="749"/>
      <c r="AX568" s="749"/>
      <c r="AY568" s="749"/>
      <c r="AZ568" s="749"/>
      <c r="BA568" s="749"/>
      <c r="BB568" s="749"/>
      <c r="BC568" s="749"/>
      <c r="BD568" s="749"/>
      <c r="BE568" s="749"/>
      <c r="BF568" s="749"/>
      <c r="BG568" s="749"/>
      <c r="BH568" s="749"/>
      <c r="BI568" s="749"/>
      <c r="BJ568" s="749"/>
      <c r="BK568" s="749"/>
      <c r="BL568" s="749"/>
    </row>
    <row r="569">
      <c r="A569" s="866"/>
      <c r="B569" s="867"/>
      <c r="C569" s="866"/>
      <c r="D569" s="866"/>
      <c r="E569" s="866"/>
      <c r="F569" s="866"/>
      <c r="G569" s="866"/>
      <c r="H569" s="866"/>
      <c r="I569" s="866"/>
      <c r="J569" s="868"/>
      <c r="K569" s="868"/>
      <c r="L569" s="799"/>
      <c r="M569" s="747"/>
      <c r="N569" s="744"/>
      <c r="O569" s="744"/>
      <c r="P569" s="744"/>
      <c r="Q569" s="744"/>
      <c r="R569" s="744"/>
      <c r="S569" s="744"/>
      <c r="T569" s="855"/>
      <c r="U569" s="746"/>
      <c r="V569" s="746"/>
      <c r="W569" s="746"/>
      <c r="X569" s="746"/>
      <c r="Y569" s="799"/>
      <c r="Z569" s="799"/>
      <c r="AA569" s="799"/>
      <c r="AB569" s="799"/>
      <c r="AC569" s="799"/>
      <c r="AD569" s="750"/>
      <c r="AE569" s="749"/>
      <c r="AF569" s="749"/>
      <c r="AG569" s="749"/>
      <c r="AH569" s="749"/>
      <c r="AI569" s="749"/>
      <c r="AJ569" s="749"/>
      <c r="AK569" s="749"/>
      <c r="AL569" s="749"/>
      <c r="AM569" s="749"/>
      <c r="AN569" s="749"/>
      <c r="AO569" s="749"/>
      <c r="AP569" s="749"/>
      <c r="AQ569" s="749"/>
      <c r="AR569" s="749"/>
      <c r="AS569" s="749"/>
      <c r="AT569" s="749"/>
      <c r="AU569" s="749"/>
      <c r="AV569" s="749"/>
      <c r="AW569" s="749"/>
      <c r="AX569" s="749"/>
      <c r="AY569" s="749"/>
      <c r="AZ569" s="749"/>
      <c r="BA569" s="749"/>
      <c r="BB569" s="749"/>
      <c r="BC569" s="749"/>
      <c r="BD569" s="749"/>
      <c r="BE569" s="749"/>
      <c r="BF569" s="749"/>
      <c r="BG569" s="749"/>
      <c r="BH569" s="749"/>
      <c r="BI569" s="749"/>
      <c r="BJ569" s="749"/>
      <c r="BK569" s="749"/>
      <c r="BL569" s="749"/>
    </row>
    <row r="570">
      <c r="A570" s="866"/>
      <c r="B570" s="867"/>
      <c r="C570" s="866"/>
      <c r="D570" s="866"/>
      <c r="E570" s="866"/>
      <c r="F570" s="866"/>
      <c r="G570" s="866"/>
      <c r="H570" s="866"/>
      <c r="I570" s="866"/>
      <c r="J570" s="868"/>
      <c r="K570" s="868"/>
      <c r="L570" s="799"/>
      <c r="M570" s="747"/>
      <c r="N570" s="744"/>
      <c r="O570" s="744"/>
      <c r="P570" s="744"/>
      <c r="Q570" s="744"/>
      <c r="R570" s="744"/>
      <c r="S570" s="744"/>
      <c r="T570" s="855"/>
      <c r="U570" s="746"/>
      <c r="V570" s="746"/>
      <c r="W570" s="746"/>
      <c r="X570" s="746"/>
      <c r="Y570" s="799"/>
      <c r="Z570" s="799"/>
      <c r="AA570" s="799"/>
      <c r="AB570" s="799"/>
      <c r="AC570" s="799"/>
      <c r="AD570" s="750"/>
      <c r="AE570" s="749"/>
      <c r="AF570" s="749"/>
      <c r="AG570" s="749"/>
      <c r="AH570" s="749"/>
      <c r="AI570" s="749"/>
      <c r="AJ570" s="749"/>
      <c r="AK570" s="749"/>
      <c r="AL570" s="749"/>
      <c r="AM570" s="749"/>
      <c r="AN570" s="749"/>
      <c r="AO570" s="749"/>
      <c r="AP570" s="749"/>
      <c r="AQ570" s="749"/>
      <c r="AR570" s="749"/>
      <c r="AS570" s="749"/>
      <c r="AT570" s="749"/>
      <c r="AU570" s="749"/>
      <c r="AV570" s="749"/>
      <c r="AW570" s="749"/>
      <c r="AX570" s="749"/>
      <c r="AY570" s="749"/>
      <c r="AZ570" s="749"/>
      <c r="BA570" s="749"/>
      <c r="BB570" s="749"/>
      <c r="BC570" s="749"/>
      <c r="BD570" s="749"/>
      <c r="BE570" s="749"/>
      <c r="BF570" s="749"/>
      <c r="BG570" s="749"/>
      <c r="BH570" s="749"/>
      <c r="BI570" s="749"/>
      <c r="BJ570" s="749"/>
      <c r="BK570" s="749"/>
      <c r="BL570" s="749"/>
    </row>
    <row r="571">
      <c r="A571" s="866"/>
      <c r="B571" s="867"/>
      <c r="C571" s="866"/>
      <c r="D571" s="866"/>
      <c r="E571" s="866"/>
      <c r="F571" s="866"/>
      <c r="G571" s="866"/>
      <c r="H571" s="866"/>
      <c r="I571" s="866"/>
      <c r="J571" s="868"/>
      <c r="K571" s="868"/>
      <c r="L571" s="799"/>
      <c r="M571" s="747"/>
      <c r="N571" s="744"/>
      <c r="O571" s="744"/>
      <c r="P571" s="744"/>
      <c r="Q571" s="744"/>
      <c r="R571" s="744"/>
      <c r="S571" s="744"/>
      <c r="T571" s="855"/>
      <c r="U571" s="746"/>
      <c r="V571" s="746"/>
      <c r="W571" s="746"/>
      <c r="X571" s="746"/>
      <c r="Y571" s="799"/>
      <c r="Z571" s="799"/>
      <c r="AA571" s="799"/>
      <c r="AB571" s="799"/>
      <c r="AC571" s="799"/>
      <c r="AD571" s="750"/>
      <c r="AE571" s="749"/>
      <c r="AF571" s="749"/>
      <c r="AG571" s="749"/>
      <c r="AH571" s="749"/>
      <c r="AI571" s="749"/>
      <c r="AJ571" s="749"/>
      <c r="AK571" s="749"/>
      <c r="AL571" s="749"/>
      <c r="AM571" s="749"/>
      <c r="AN571" s="749"/>
      <c r="AO571" s="749"/>
      <c r="AP571" s="749"/>
      <c r="AQ571" s="749"/>
      <c r="AR571" s="749"/>
      <c r="AS571" s="749"/>
      <c r="AT571" s="749"/>
      <c r="AU571" s="749"/>
      <c r="AV571" s="749"/>
      <c r="AW571" s="749"/>
      <c r="AX571" s="749"/>
      <c r="AY571" s="749"/>
      <c r="AZ571" s="749"/>
      <c r="BA571" s="749"/>
      <c r="BB571" s="749"/>
      <c r="BC571" s="749"/>
      <c r="BD571" s="749"/>
      <c r="BE571" s="749"/>
      <c r="BF571" s="749"/>
      <c r="BG571" s="749"/>
      <c r="BH571" s="749"/>
      <c r="BI571" s="749"/>
      <c r="BJ571" s="749"/>
      <c r="BK571" s="749"/>
      <c r="BL571" s="749"/>
    </row>
    <row r="572">
      <c r="A572" s="866"/>
      <c r="B572" s="867"/>
      <c r="C572" s="866"/>
      <c r="D572" s="866"/>
      <c r="E572" s="866"/>
      <c r="F572" s="866"/>
      <c r="G572" s="866"/>
      <c r="H572" s="866"/>
      <c r="I572" s="866"/>
      <c r="J572" s="868"/>
      <c r="K572" s="868"/>
      <c r="L572" s="799"/>
      <c r="M572" s="747"/>
      <c r="N572" s="744"/>
      <c r="O572" s="744"/>
      <c r="P572" s="744"/>
      <c r="Q572" s="744"/>
      <c r="R572" s="744"/>
      <c r="S572" s="744"/>
      <c r="T572" s="855"/>
      <c r="U572" s="746"/>
      <c r="V572" s="746"/>
      <c r="W572" s="746"/>
      <c r="X572" s="746"/>
      <c r="Y572" s="799"/>
      <c r="Z572" s="799"/>
      <c r="AA572" s="799"/>
      <c r="AB572" s="799"/>
      <c r="AC572" s="799"/>
      <c r="AD572" s="750"/>
      <c r="AE572" s="749"/>
      <c r="AF572" s="749"/>
      <c r="AG572" s="749"/>
      <c r="AH572" s="749"/>
      <c r="AI572" s="749"/>
      <c r="AJ572" s="749"/>
      <c r="AK572" s="749"/>
      <c r="AL572" s="749"/>
      <c r="AM572" s="749"/>
      <c r="AN572" s="749"/>
      <c r="AO572" s="749"/>
      <c r="AP572" s="749"/>
      <c r="AQ572" s="749"/>
      <c r="AR572" s="749"/>
      <c r="AS572" s="749"/>
      <c r="AT572" s="749"/>
      <c r="AU572" s="749"/>
      <c r="AV572" s="749"/>
      <c r="AW572" s="749"/>
      <c r="AX572" s="749"/>
      <c r="AY572" s="749"/>
      <c r="AZ572" s="749"/>
      <c r="BA572" s="749"/>
      <c r="BB572" s="749"/>
      <c r="BC572" s="749"/>
      <c r="BD572" s="749"/>
      <c r="BE572" s="749"/>
      <c r="BF572" s="749"/>
      <c r="BG572" s="749"/>
      <c r="BH572" s="749"/>
      <c r="BI572" s="749"/>
      <c r="BJ572" s="749"/>
      <c r="BK572" s="749"/>
      <c r="BL572" s="749"/>
    </row>
    <row r="573">
      <c r="A573" s="866"/>
      <c r="B573" s="867"/>
      <c r="C573" s="866"/>
      <c r="D573" s="866"/>
      <c r="E573" s="866"/>
      <c r="F573" s="866"/>
      <c r="G573" s="866"/>
      <c r="H573" s="866"/>
      <c r="I573" s="866"/>
      <c r="J573" s="868"/>
      <c r="K573" s="868"/>
      <c r="L573" s="799"/>
      <c r="M573" s="747"/>
      <c r="N573" s="744"/>
      <c r="O573" s="744"/>
      <c r="P573" s="744"/>
      <c r="Q573" s="744"/>
      <c r="R573" s="744"/>
      <c r="S573" s="744"/>
      <c r="T573" s="855"/>
      <c r="U573" s="746"/>
      <c r="V573" s="746"/>
      <c r="W573" s="746"/>
      <c r="X573" s="746"/>
      <c r="Y573" s="799"/>
      <c r="Z573" s="799"/>
      <c r="AA573" s="799"/>
      <c r="AB573" s="799"/>
      <c r="AC573" s="799"/>
      <c r="AD573" s="750"/>
      <c r="AE573" s="749"/>
      <c r="AF573" s="749"/>
      <c r="AG573" s="749"/>
      <c r="AH573" s="749"/>
      <c r="AI573" s="749"/>
      <c r="AJ573" s="749"/>
      <c r="AK573" s="749"/>
      <c r="AL573" s="749"/>
      <c r="AM573" s="749"/>
      <c r="AN573" s="749"/>
      <c r="AO573" s="749"/>
      <c r="AP573" s="749"/>
      <c r="AQ573" s="749"/>
      <c r="AR573" s="749"/>
      <c r="AS573" s="749"/>
      <c r="AT573" s="749"/>
      <c r="AU573" s="749"/>
      <c r="AV573" s="749"/>
      <c r="AW573" s="749"/>
      <c r="AX573" s="749"/>
      <c r="AY573" s="749"/>
      <c r="AZ573" s="749"/>
      <c r="BA573" s="749"/>
      <c r="BB573" s="749"/>
      <c r="BC573" s="749"/>
      <c r="BD573" s="749"/>
      <c r="BE573" s="749"/>
      <c r="BF573" s="749"/>
      <c r="BG573" s="749"/>
      <c r="BH573" s="749"/>
      <c r="BI573" s="749"/>
      <c r="BJ573" s="749"/>
      <c r="BK573" s="749"/>
      <c r="BL573" s="749"/>
    </row>
    <row r="574">
      <c r="A574" s="866"/>
      <c r="B574" s="867"/>
      <c r="C574" s="866"/>
      <c r="D574" s="866"/>
      <c r="E574" s="866"/>
      <c r="F574" s="866"/>
      <c r="G574" s="866"/>
      <c r="H574" s="866"/>
      <c r="I574" s="866"/>
      <c r="J574" s="868"/>
      <c r="K574" s="868"/>
      <c r="L574" s="799"/>
      <c r="M574" s="747"/>
      <c r="N574" s="744"/>
      <c r="O574" s="744"/>
      <c r="P574" s="744"/>
      <c r="Q574" s="744"/>
      <c r="R574" s="744"/>
      <c r="S574" s="744"/>
      <c r="T574" s="855"/>
      <c r="U574" s="746"/>
      <c r="V574" s="746"/>
      <c r="W574" s="746"/>
      <c r="X574" s="746"/>
      <c r="Y574" s="799"/>
      <c r="Z574" s="799"/>
      <c r="AA574" s="799"/>
      <c r="AB574" s="799"/>
      <c r="AC574" s="799"/>
      <c r="AD574" s="750"/>
      <c r="AE574" s="749"/>
      <c r="AF574" s="749"/>
      <c r="AG574" s="749"/>
      <c r="AH574" s="749"/>
      <c r="AI574" s="749"/>
      <c r="AJ574" s="749"/>
      <c r="AK574" s="749"/>
      <c r="AL574" s="749"/>
      <c r="AM574" s="749"/>
      <c r="AN574" s="749"/>
      <c r="AO574" s="749"/>
      <c r="AP574" s="749"/>
      <c r="AQ574" s="749"/>
      <c r="AR574" s="749"/>
      <c r="AS574" s="749"/>
      <c r="AT574" s="749"/>
      <c r="AU574" s="749"/>
      <c r="AV574" s="749"/>
      <c r="AW574" s="749"/>
      <c r="AX574" s="749"/>
      <c r="AY574" s="749"/>
      <c r="AZ574" s="749"/>
      <c r="BA574" s="749"/>
      <c r="BB574" s="749"/>
      <c r="BC574" s="749"/>
      <c r="BD574" s="749"/>
      <c r="BE574" s="749"/>
      <c r="BF574" s="749"/>
      <c r="BG574" s="749"/>
      <c r="BH574" s="749"/>
      <c r="BI574" s="749"/>
      <c r="BJ574" s="749"/>
      <c r="BK574" s="749"/>
      <c r="BL574" s="749"/>
    </row>
    <row r="575">
      <c r="A575" s="866"/>
      <c r="B575" s="867"/>
      <c r="C575" s="866"/>
      <c r="D575" s="866"/>
      <c r="E575" s="866"/>
      <c r="F575" s="866"/>
      <c r="G575" s="866"/>
      <c r="H575" s="866"/>
      <c r="I575" s="866"/>
      <c r="J575" s="868"/>
      <c r="K575" s="868"/>
      <c r="L575" s="799"/>
      <c r="M575" s="747"/>
      <c r="N575" s="744"/>
      <c r="O575" s="744"/>
      <c r="P575" s="744"/>
      <c r="Q575" s="744"/>
      <c r="R575" s="744"/>
      <c r="S575" s="744"/>
      <c r="T575" s="855"/>
      <c r="U575" s="746"/>
      <c r="V575" s="746"/>
      <c r="W575" s="746"/>
      <c r="X575" s="746"/>
      <c r="Y575" s="799"/>
      <c r="Z575" s="799"/>
      <c r="AA575" s="799"/>
      <c r="AB575" s="799"/>
      <c r="AC575" s="799"/>
      <c r="AD575" s="750"/>
      <c r="AE575" s="749"/>
      <c r="AF575" s="749"/>
      <c r="AG575" s="749"/>
      <c r="AH575" s="749"/>
      <c r="AI575" s="749"/>
      <c r="AJ575" s="749"/>
      <c r="AK575" s="749"/>
      <c r="AL575" s="749"/>
      <c r="AM575" s="749"/>
      <c r="AN575" s="749"/>
      <c r="AO575" s="749"/>
      <c r="AP575" s="749"/>
      <c r="AQ575" s="749"/>
      <c r="AR575" s="749"/>
      <c r="AS575" s="749"/>
      <c r="AT575" s="749"/>
      <c r="AU575" s="749"/>
      <c r="AV575" s="749"/>
      <c r="AW575" s="749"/>
      <c r="AX575" s="749"/>
      <c r="AY575" s="749"/>
      <c r="AZ575" s="749"/>
      <c r="BA575" s="749"/>
      <c r="BB575" s="749"/>
      <c r="BC575" s="749"/>
      <c r="BD575" s="749"/>
      <c r="BE575" s="749"/>
      <c r="BF575" s="749"/>
      <c r="BG575" s="749"/>
      <c r="BH575" s="749"/>
      <c r="BI575" s="749"/>
      <c r="BJ575" s="749"/>
      <c r="BK575" s="749"/>
      <c r="BL575" s="749"/>
    </row>
    <row r="576">
      <c r="A576" s="866"/>
      <c r="B576" s="867"/>
      <c r="C576" s="866"/>
      <c r="D576" s="866"/>
      <c r="E576" s="866"/>
      <c r="F576" s="866"/>
      <c r="G576" s="866"/>
      <c r="H576" s="866"/>
      <c r="I576" s="866"/>
      <c r="J576" s="868"/>
      <c r="K576" s="868"/>
      <c r="L576" s="799"/>
      <c r="M576" s="747"/>
      <c r="N576" s="744"/>
      <c r="O576" s="744"/>
      <c r="P576" s="744"/>
      <c r="Q576" s="744"/>
      <c r="R576" s="744"/>
      <c r="S576" s="744"/>
      <c r="T576" s="855"/>
      <c r="U576" s="746"/>
      <c r="V576" s="746"/>
      <c r="W576" s="746"/>
      <c r="X576" s="746"/>
      <c r="Y576" s="799"/>
      <c r="Z576" s="799"/>
      <c r="AA576" s="799"/>
      <c r="AB576" s="799"/>
      <c r="AC576" s="799"/>
      <c r="AD576" s="750"/>
      <c r="AE576" s="749"/>
      <c r="AF576" s="749"/>
      <c r="AG576" s="749"/>
      <c r="AH576" s="749"/>
      <c r="AI576" s="749"/>
      <c r="AJ576" s="749"/>
      <c r="AK576" s="749"/>
      <c r="AL576" s="749"/>
      <c r="AM576" s="749"/>
      <c r="AN576" s="749"/>
      <c r="AO576" s="749"/>
      <c r="AP576" s="749"/>
      <c r="AQ576" s="749"/>
      <c r="AR576" s="749"/>
      <c r="AS576" s="749"/>
      <c r="AT576" s="749"/>
      <c r="AU576" s="749"/>
      <c r="AV576" s="749"/>
      <c r="AW576" s="749"/>
      <c r="AX576" s="749"/>
      <c r="AY576" s="749"/>
      <c r="AZ576" s="749"/>
      <c r="BA576" s="749"/>
      <c r="BB576" s="749"/>
      <c r="BC576" s="749"/>
      <c r="BD576" s="749"/>
      <c r="BE576" s="749"/>
      <c r="BF576" s="749"/>
      <c r="BG576" s="749"/>
      <c r="BH576" s="749"/>
      <c r="BI576" s="749"/>
      <c r="BJ576" s="749"/>
      <c r="BK576" s="749"/>
      <c r="BL576" s="749"/>
    </row>
    <row r="577">
      <c r="A577" s="866"/>
      <c r="B577" s="867"/>
      <c r="C577" s="866"/>
      <c r="D577" s="866"/>
      <c r="E577" s="866"/>
      <c r="F577" s="866"/>
      <c r="G577" s="866"/>
      <c r="H577" s="866"/>
      <c r="I577" s="866"/>
      <c r="J577" s="868"/>
      <c r="K577" s="868"/>
      <c r="L577" s="799"/>
      <c r="M577" s="747"/>
      <c r="N577" s="744"/>
      <c r="O577" s="744"/>
      <c r="P577" s="744"/>
      <c r="Q577" s="744"/>
      <c r="R577" s="744"/>
      <c r="S577" s="744"/>
      <c r="T577" s="855"/>
      <c r="U577" s="746"/>
      <c r="V577" s="746"/>
      <c r="W577" s="746"/>
      <c r="X577" s="746"/>
      <c r="Y577" s="799"/>
      <c r="Z577" s="799"/>
      <c r="AA577" s="799"/>
      <c r="AB577" s="799"/>
      <c r="AC577" s="799"/>
      <c r="AD577" s="750"/>
      <c r="AE577" s="749"/>
      <c r="AF577" s="749"/>
      <c r="AG577" s="749"/>
      <c r="AH577" s="749"/>
      <c r="AI577" s="749"/>
      <c r="AJ577" s="749"/>
      <c r="AK577" s="749"/>
      <c r="AL577" s="749"/>
      <c r="AM577" s="749"/>
      <c r="AN577" s="749"/>
      <c r="AO577" s="749"/>
      <c r="AP577" s="749"/>
      <c r="AQ577" s="749"/>
      <c r="AR577" s="749"/>
      <c r="AS577" s="749"/>
      <c r="AT577" s="749"/>
      <c r="AU577" s="749"/>
      <c r="AV577" s="749"/>
      <c r="AW577" s="749"/>
      <c r="AX577" s="749"/>
      <c r="AY577" s="749"/>
      <c r="AZ577" s="749"/>
      <c r="BA577" s="749"/>
      <c r="BB577" s="749"/>
      <c r="BC577" s="749"/>
      <c r="BD577" s="749"/>
      <c r="BE577" s="749"/>
      <c r="BF577" s="749"/>
      <c r="BG577" s="749"/>
      <c r="BH577" s="749"/>
      <c r="BI577" s="749"/>
      <c r="BJ577" s="749"/>
      <c r="BK577" s="749"/>
      <c r="BL577" s="749"/>
    </row>
    <row r="578">
      <c r="A578" s="866"/>
      <c r="B578" s="867"/>
      <c r="C578" s="866"/>
      <c r="D578" s="866"/>
      <c r="E578" s="866"/>
      <c r="F578" s="866"/>
      <c r="G578" s="866"/>
      <c r="H578" s="866"/>
      <c r="I578" s="866"/>
      <c r="J578" s="868"/>
      <c r="K578" s="868"/>
      <c r="L578" s="799"/>
      <c r="M578" s="747"/>
      <c r="N578" s="744"/>
      <c r="O578" s="744"/>
      <c r="P578" s="744"/>
      <c r="Q578" s="744"/>
      <c r="R578" s="744"/>
      <c r="S578" s="744"/>
      <c r="T578" s="855"/>
      <c r="U578" s="746"/>
      <c r="V578" s="746"/>
      <c r="W578" s="746"/>
      <c r="X578" s="746"/>
      <c r="Y578" s="799"/>
      <c r="Z578" s="799"/>
      <c r="AA578" s="799"/>
      <c r="AB578" s="799"/>
      <c r="AC578" s="799"/>
      <c r="AD578" s="750"/>
      <c r="AE578" s="749"/>
      <c r="AF578" s="749"/>
      <c r="AG578" s="749"/>
      <c r="AH578" s="749"/>
      <c r="AI578" s="749"/>
      <c r="AJ578" s="749"/>
      <c r="AK578" s="749"/>
      <c r="AL578" s="749"/>
      <c r="AM578" s="749"/>
      <c r="AN578" s="749"/>
      <c r="AO578" s="749"/>
      <c r="AP578" s="749"/>
      <c r="AQ578" s="749"/>
      <c r="AR578" s="749"/>
      <c r="AS578" s="749"/>
      <c r="AT578" s="749"/>
      <c r="AU578" s="749"/>
      <c r="AV578" s="749"/>
      <c r="AW578" s="749"/>
      <c r="AX578" s="749"/>
      <c r="AY578" s="749"/>
      <c r="AZ578" s="749"/>
      <c r="BA578" s="749"/>
      <c r="BB578" s="749"/>
      <c r="BC578" s="749"/>
      <c r="BD578" s="749"/>
      <c r="BE578" s="749"/>
      <c r="BF578" s="749"/>
      <c r="BG578" s="749"/>
      <c r="BH578" s="749"/>
      <c r="BI578" s="749"/>
      <c r="BJ578" s="749"/>
      <c r="BK578" s="749"/>
      <c r="BL578" s="749"/>
    </row>
    <row r="579">
      <c r="A579" s="866"/>
      <c r="B579" s="867"/>
      <c r="C579" s="866"/>
      <c r="D579" s="866"/>
      <c r="E579" s="866"/>
      <c r="F579" s="866"/>
      <c r="G579" s="866"/>
      <c r="H579" s="866"/>
      <c r="I579" s="866"/>
      <c r="J579" s="868"/>
      <c r="K579" s="868"/>
      <c r="L579" s="799"/>
      <c r="M579" s="747"/>
      <c r="N579" s="744"/>
      <c r="O579" s="744"/>
      <c r="P579" s="744"/>
      <c r="Q579" s="744"/>
      <c r="R579" s="744"/>
      <c r="S579" s="744"/>
      <c r="T579" s="855"/>
      <c r="U579" s="746"/>
      <c r="V579" s="746"/>
      <c r="W579" s="746"/>
      <c r="X579" s="746"/>
      <c r="Y579" s="799"/>
      <c r="Z579" s="799"/>
      <c r="AA579" s="799"/>
      <c r="AB579" s="799"/>
      <c r="AC579" s="799"/>
      <c r="AD579" s="750"/>
      <c r="AE579" s="749"/>
      <c r="AF579" s="749"/>
      <c r="AG579" s="749"/>
      <c r="AH579" s="749"/>
      <c r="AI579" s="749"/>
      <c r="AJ579" s="749"/>
      <c r="AK579" s="749"/>
      <c r="AL579" s="749"/>
      <c r="AM579" s="749"/>
      <c r="AN579" s="749"/>
      <c r="AO579" s="749"/>
      <c r="AP579" s="749"/>
      <c r="AQ579" s="749"/>
      <c r="AR579" s="749"/>
      <c r="AS579" s="749"/>
      <c r="AT579" s="749"/>
      <c r="AU579" s="749"/>
      <c r="AV579" s="749"/>
      <c r="AW579" s="749"/>
      <c r="AX579" s="749"/>
      <c r="AY579" s="749"/>
      <c r="AZ579" s="749"/>
      <c r="BA579" s="749"/>
      <c r="BB579" s="749"/>
      <c r="BC579" s="749"/>
      <c r="BD579" s="749"/>
      <c r="BE579" s="749"/>
      <c r="BF579" s="749"/>
      <c r="BG579" s="749"/>
      <c r="BH579" s="749"/>
      <c r="BI579" s="749"/>
      <c r="BJ579" s="749"/>
      <c r="BK579" s="749"/>
      <c r="BL579" s="749"/>
    </row>
    <row r="580">
      <c r="A580" s="866"/>
      <c r="B580" s="867"/>
      <c r="C580" s="866"/>
      <c r="D580" s="866"/>
      <c r="E580" s="866"/>
      <c r="F580" s="866"/>
      <c r="G580" s="866"/>
      <c r="H580" s="866"/>
      <c r="I580" s="866"/>
      <c r="J580" s="868"/>
      <c r="K580" s="868"/>
      <c r="L580" s="799"/>
      <c r="M580" s="747"/>
      <c r="N580" s="744"/>
      <c r="O580" s="744"/>
      <c r="P580" s="744"/>
      <c r="Q580" s="744"/>
      <c r="R580" s="744"/>
      <c r="S580" s="744"/>
      <c r="T580" s="855"/>
      <c r="U580" s="746"/>
      <c r="V580" s="746"/>
      <c r="W580" s="746"/>
      <c r="X580" s="746"/>
      <c r="Y580" s="799"/>
      <c r="Z580" s="799"/>
      <c r="AA580" s="799"/>
      <c r="AB580" s="799"/>
      <c r="AC580" s="799"/>
      <c r="AD580" s="750"/>
      <c r="AE580" s="749"/>
      <c r="AF580" s="749"/>
      <c r="AG580" s="749"/>
      <c r="AH580" s="749"/>
      <c r="AI580" s="749"/>
      <c r="AJ580" s="749"/>
      <c r="AK580" s="749"/>
      <c r="AL580" s="749"/>
      <c r="AM580" s="749"/>
      <c r="AN580" s="749"/>
      <c r="AO580" s="749"/>
      <c r="AP580" s="749"/>
      <c r="AQ580" s="749"/>
      <c r="AR580" s="749"/>
      <c r="AS580" s="749"/>
      <c r="AT580" s="749"/>
      <c r="AU580" s="749"/>
      <c r="AV580" s="749"/>
      <c r="AW580" s="749"/>
      <c r="AX580" s="749"/>
      <c r="AY580" s="749"/>
      <c r="AZ580" s="749"/>
      <c r="BA580" s="749"/>
      <c r="BB580" s="749"/>
      <c r="BC580" s="749"/>
      <c r="BD580" s="749"/>
      <c r="BE580" s="749"/>
      <c r="BF580" s="749"/>
      <c r="BG580" s="749"/>
      <c r="BH580" s="749"/>
      <c r="BI580" s="749"/>
      <c r="BJ580" s="749"/>
      <c r="BK580" s="749"/>
      <c r="BL580" s="749"/>
    </row>
    <row r="581">
      <c r="A581" s="866"/>
      <c r="B581" s="867"/>
      <c r="C581" s="866"/>
      <c r="D581" s="866"/>
      <c r="E581" s="866"/>
      <c r="F581" s="866"/>
      <c r="G581" s="866"/>
      <c r="H581" s="866"/>
      <c r="I581" s="866"/>
      <c r="J581" s="868"/>
      <c r="K581" s="868"/>
      <c r="L581" s="799"/>
      <c r="M581" s="747"/>
      <c r="N581" s="744"/>
      <c r="O581" s="744"/>
      <c r="P581" s="744"/>
      <c r="Q581" s="744"/>
      <c r="R581" s="744"/>
      <c r="S581" s="744"/>
      <c r="T581" s="855"/>
      <c r="U581" s="746"/>
      <c r="V581" s="746"/>
      <c r="W581" s="746"/>
      <c r="X581" s="746"/>
      <c r="Y581" s="799"/>
      <c r="Z581" s="799"/>
      <c r="AA581" s="799"/>
      <c r="AB581" s="799"/>
      <c r="AC581" s="799"/>
      <c r="AD581" s="750"/>
      <c r="AE581" s="749"/>
      <c r="AF581" s="749"/>
      <c r="AG581" s="749"/>
      <c r="AH581" s="749"/>
      <c r="AI581" s="749"/>
      <c r="AJ581" s="749"/>
      <c r="AK581" s="749"/>
      <c r="AL581" s="749"/>
      <c r="AM581" s="749"/>
      <c r="AN581" s="749"/>
      <c r="AO581" s="749"/>
      <c r="AP581" s="749"/>
      <c r="AQ581" s="749"/>
      <c r="AR581" s="749"/>
      <c r="AS581" s="749"/>
      <c r="AT581" s="749"/>
      <c r="AU581" s="749"/>
      <c r="AV581" s="749"/>
      <c r="AW581" s="749"/>
      <c r="AX581" s="749"/>
      <c r="AY581" s="749"/>
      <c r="AZ581" s="749"/>
      <c r="BA581" s="749"/>
      <c r="BB581" s="749"/>
      <c r="BC581" s="749"/>
      <c r="BD581" s="749"/>
      <c r="BE581" s="749"/>
      <c r="BF581" s="749"/>
      <c r="BG581" s="749"/>
      <c r="BH581" s="749"/>
      <c r="BI581" s="749"/>
      <c r="BJ581" s="749"/>
      <c r="BK581" s="749"/>
      <c r="BL581" s="749"/>
    </row>
    <row r="582">
      <c r="A582" s="866"/>
      <c r="B582" s="867"/>
      <c r="C582" s="866"/>
      <c r="D582" s="866"/>
      <c r="E582" s="866"/>
      <c r="F582" s="866"/>
      <c r="G582" s="866"/>
      <c r="H582" s="866"/>
      <c r="I582" s="866"/>
      <c r="J582" s="868"/>
      <c r="K582" s="868"/>
      <c r="L582" s="799"/>
      <c r="M582" s="747"/>
      <c r="N582" s="744"/>
      <c r="O582" s="744"/>
      <c r="P582" s="744"/>
      <c r="Q582" s="744"/>
      <c r="R582" s="744"/>
      <c r="S582" s="744"/>
      <c r="T582" s="855"/>
      <c r="U582" s="746"/>
      <c r="V582" s="746"/>
      <c r="W582" s="746"/>
      <c r="X582" s="746"/>
      <c r="Y582" s="799"/>
      <c r="Z582" s="799"/>
      <c r="AA582" s="799"/>
      <c r="AB582" s="799"/>
      <c r="AC582" s="799"/>
      <c r="AD582" s="750"/>
      <c r="AE582" s="749"/>
      <c r="AF582" s="749"/>
      <c r="AG582" s="749"/>
      <c r="AH582" s="749"/>
      <c r="AI582" s="749"/>
      <c r="AJ582" s="749"/>
      <c r="AK582" s="749"/>
      <c r="AL582" s="749"/>
      <c r="AM582" s="749"/>
      <c r="AN582" s="749"/>
      <c r="AO582" s="749"/>
      <c r="AP582" s="749"/>
      <c r="AQ582" s="749"/>
      <c r="AR582" s="749"/>
      <c r="AS582" s="749"/>
      <c r="AT582" s="749"/>
      <c r="AU582" s="749"/>
      <c r="AV582" s="749"/>
      <c r="AW582" s="749"/>
      <c r="AX582" s="749"/>
      <c r="AY582" s="749"/>
      <c r="AZ582" s="749"/>
      <c r="BA582" s="749"/>
      <c r="BB582" s="749"/>
      <c r="BC582" s="749"/>
      <c r="BD582" s="749"/>
      <c r="BE582" s="749"/>
      <c r="BF582" s="749"/>
      <c r="BG582" s="749"/>
      <c r="BH582" s="749"/>
      <c r="BI582" s="749"/>
      <c r="BJ582" s="749"/>
      <c r="BK582" s="749"/>
      <c r="BL582" s="749"/>
    </row>
    <row r="583">
      <c r="A583" s="866"/>
      <c r="B583" s="867"/>
      <c r="C583" s="866"/>
      <c r="D583" s="866"/>
      <c r="E583" s="866"/>
      <c r="F583" s="866"/>
      <c r="G583" s="866"/>
      <c r="H583" s="866"/>
      <c r="I583" s="866"/>
      <c r="J583" s="868"/>
      <c r="K583" s="868"/>
      <c r="L583" s="799"/>
      <c r="M583" s="747"/>
      <c r="N583" s="744"/>
      <c r="O583" s="744"/>
      <c r="P583" s="744"/>
      <c r="Q583" s="744"/>
      <c r="R583" s="744"/>
      <c r="S583" s="744"/>
      <c r="T583" s="855"/>
      <c r="U583" s="746"/>
      <c r="V583" s="746"/>
      <c r="W583" s="746"/>
      <c r="X583" s="746"/>
      <c r="Y583" s="799"/>
      <c r="Z583" s="799"/>
      <c r="AA583" s="799"/>
      <c r="AB583" s="799"/>
      <c r="AC583" s="799"/>
      <c r="AD583" s="750"/>
      <c r="AE583" s="749"/>
      <c r="AF583" s="749"/>
      <c r="AG583" s="749"/>
      <c r="AH583" s="749"/>
      <c r="AI583" s="749"/>
      <c r="AJ583" s="749"/>
      <c r="AK583" s="749"/>
      <c r="AL583" s="749"/>
      <c r="AM583" s="749"/>
      <c r="AN583" s="749"/>
      <c r="AO583" s="749"/>
      <c r="AP583" s="749"/>
      <c r="AQ583" s="749"/>
      <c r="AR583" s="749"/>
      <c r="AS583" s="749"/>
      <c r="AT583" s="749"/>
      <c r="AU583" s="749"/>
      <c r="AV583" s="749"/>
      <c r="AW583" s="749"/>
      <c r="AX583" s="749"/>
      <c r="AY583" s="749"/>
      <c r="AZ583" s="749"/>
      <c r="BA583" s="749"/>
      <c r="BB583" s="749"/>
      <c r="BC583" s="749"/>
      <c r="BD583" s="749"/>
      <c r="BE583" s="749"/>
      <c r="BF583" s="749"/>
      <c r="BG583" s="749"/>
      <c r="BH583" s="749"/>
      <c r="BI583" s="749"/>
      <c r="BJ583" s="749"/>
      <c r="BK583" s="749"/>
      <c r="BL583" s="749"/>
    </row>
    <row r="584">
      <c r="A584" s="866"/>
      <c r="B584" s="867"/>
      <c r="C584" s="866"/>
      <c r="D584" s="866"/>
      <c r="E584" s="866"/>
      <c r="F584" s="866"/>
      <c r="G584" s="866"/>
      <c r="H584" s="866"/>
      <c r="I584" s="866"/>
      <c r="J584" s="868"/>
      <c r="K584" s="868"/>
      <c r="L584" s="799"/>
      <c r="M584" s="747"/>
      <c r="N584" s="744"/>
      <c r="O584" s="744"/>
      <c r="P584" s="744"/>
      <c r="Q584" s="744"/>
      <c r="R584" s="744"/>
      <c r="S584" s="744"/>
      <c r="T584" s="855"/>
      <c r="U584" s="746"/>
      <c r="V584" s="746"/>
      <c r="W584" s="746"/>
      <c r="X584" s="746"/>
      <c r="Y584" s="799"/>
      <c r="Z584" s="799"/>
      <c r="AA584" s="799"/>
      <c r="AB584" s="799"/>
      <c r="AC584" s="799"/>
      <c r="AD584" s="750"/>
      <c r="AE584" s="749"/>
      <c r="AF584" s="749"/>
      <c r="AG584" s="749"/>
      <c r="AH584" s="749"/>
      <c r="AI584" s="749"/>
      <c r="AJ584" s="749"/>
      <c r="AK584" s="749"/>
      <c r="AL584" s="749"/>
      <c r="AM584" s="749"/>
      <c r="AN584" s="749"/>
      <c r="AO584" s="749"/>
      <c r="AP584" s="749"/>
      <c r="AQ584" s="749"/>
      <c r="AR584" s="749"/>
      <c r="AS584" s="749"/>
      <c r="AT584" s="749"/>
      <c r="AU584" s="749"/>
      <c r="AV584" s="749"/>
      <c r="AW584" s="749"/>
      <c r="AX584" s="749"/>
      <c r="AY584" s="749"/>
      <c r="AZ584" s="749"/>
      <c r="BA584" s="749"/>
      <c r="BB584" s="749"/>
      <c r="BC584" s="749"/>
      <c r="BD584" s="749"/>
      <c r="BE584" s="749"/>
      <c r="BF584" s="749"/>
      <c r="BG584" s="749"/>
      <c r="BH584" s="749"/>
      <c r="BI584" s="749"/>
      <c r="BJ584" s="749"/>
      <c r="BK584" s="749"/>
      <c r="BL584" s="749"/>
    </row>
    <row r="585">
      <c r="A585" s="866"/>
      <c r="B585" s="867"/>
      <c r="C585" s="866"/>
      <c r="D585" s="866"/>
      <c r="E585" s="866"/>
      <c r="F585" s="866"/>
      <c r="G585" s="866"/>
      <c r="H585" s="866"/>
      <c r="I585" s="866"/>
      <c r="J585" s="868"/>
      <c r="K585" s="868"/>
      <c r="L585" s="799"/>
      <c r="M585" s="747"/>
      <c r="N585" s="744"/>
      <c r="O585" s="744"/>
      <c r="P585" s="744"/>
      <c r="Q585" s="744"/>
      <c r="R585" s="744"/>
      <c r="S585" s="744"/>
      <c r="T585" s="855"/>
      <c r="U585" s="746"/>
      <c r="V585" s="746"/>
      <c r="W585" s="746"/>
      <c r="X585" s="746"/>
      <c r="Y585" s="799"/>
      <c r="Z585" s="799"/>
      <c r="AA585" s="799"/>
      <c r="AB585" s="799"/>
      <c r="AC585" s="799"/>
      <c r="AD585" s="750"/>
      <c r="AE585" s="749"/>
      <c r="AF585" s="749"/>
      <c r="AG585" s="749"/>
      <c r="AH585" s="749"/>
      <c r="AI585" s="749"/>
      <c r="AJ585" s="749"/>
      <c r="AK585" s="749"/>
      <c r="AL585" s="749"/>
      <c r="AM585" s="749"/>
      <c r="AN585" s="749"/>
      <c r="AO585" s="749"/>
      <c r="AP585" s="749"/>
      <c r="AQ585" s="749"/>
      <c r="AR585" s="749"/>
      <c r="AS585" s="749"/>
      <c r="AT585" s="749"/>
      <c r="AU585" s="749"/>
      <c r="AV585" s="749"/>
      <c r="AW585" s="749"/>
      <c r="AX585" s="749"/>
      <c r="AY585" s="749"/>
      <c r="AZ585" s="749"/>
      <c r="BA585" s="749"/>
      <c r="BB585" s="749"/>
      <c r="BC585" s="749"/>
      <c r="BD585" s="749"/>
      <c r="BE585" s="749"/>
      <c r="BF585" s="749"/>
      <c r="BG585" s="749"/>
      <c r="BH585" s="749"/>
      <c r="BI585" s="749"/>
      <c r="BJ585" s="749"/>
      <c r="BK585" s="749"/>
      <c r="BL585" s="749"/>
    </row>
    <row r="586">
      <c r="A586" s="866"/>
      <c r="B586" s="867"/>
      <c r="C586" s="866"/>
      <c r="D586" s="866"/>
      <c r="E586" s="866"/>
      <c r="F586" s="866"/>
      <c r="G586" s="866"/>
      <c r="H586" s="866"/>
      <c r="I586" s="866"/>
      <c r="J586" s="868"/>
      <c r="K586" s="868"/>
      <c r="L586" s="799"/>
      <c r="M586" s="747"/>
      <c r="N586" s="744"/>
      <c r="O586" s="744"/>
      <c r="P586" s="744"/>
      <c r="Q586" s="744"/>
      <c r="R586" s="744"/>
      <c r="S586" s="744"/>
      <c r="T586" s="855"/>
      <c r="U586" s="746"/>
      <c r="V586" s="746"/>
      <c r="W586" s="746"/>
      <c r="X586" s="746"/>
      <c r="Y586" s="799"/>
      <c r="Z586" s="799"/>
      <c r="AA586" s="799"/>
      <c r="AB586" s="799"/>
      <c r="AC586" s="799"/>
      <c r="AD586" s="750"/>
      <c r="AE586" s="749"/>
      <c r="AF586" s="749"/>
      <c r="AG586" s="749"/>
      <c r="AH586" s="749"/>
      <c r="AI586" s="749"/>
      <c r="AJ586" s="749"/>
      <c r="AK586" s="749"/>
      <c r="AL586" s="749"/>
      <c r="AM586" s="749"/>
      <c r="AN586" s="749"/>
      <c r="AO586" s="749"/>
      <c r="AP586" s="749"/>
      <c r="AQ586" s="749"/>
      <c r="AR586" s="749"/>
      <c r="AS586" s="749"/>
      <c r="AT586" s="749"/>
      <c r="AU586" s="749"/>
      <c r="AV586" s="749"/>
      <c r="AW586" s="749"/>
      <c r="AX586" s="749"/>
      <c r="AY586" s="749"/>
      <c r="AZ586" s="749"/>
      <c r="BA586" s="749"/>
      <c r="BB586" s="749"/>
      <c r="BC586" s="749"/>
      <c r="BD586" s="749"/>
      <c r="BE586" s="749"/>
      <c r="BF586" s="749"/>
      <c r="BG586" s="749"/>
      <c r="BH586" s="749"/>
      <c r="BI586" s="749"/>
      <c r="BJ586" s="749"/>
      <c r="BK586" s="749"/>
      <c r="BL586" s="749"/>
    </row>
    <row r="587">
      <c r="A587" s="866"/>
      <c r="B587" s="867"/>
      <c r="C587" s="866"/>
      <c r="D587" s="866"/>
      <c r="E587" s="866"/>
      <c r="F587" s="866"/>
      <c r="G587" s="866"/>
      <c r="H587" s="866"/>
      <c r="I587" s="866"/>
      <c r="J587" s="868"/>
      <c r="K587" s="868"/>
      <c r="L587" s="799"/>
      <c r="M587" s="747"/>
      <c r="N587" s="744"/>
      <c r="O587" s="744"/>
      <c r="P587" s="744"/>
      <c r="Q587" s="744"/>
      <c r="R587" s="744"/>
      <c r="S587" s="744"/>
      <c r="T587" s="855"/>
      <c r="U587" s="746"/>
      <c r="V587" s="746"/>
      <c r="W587" s="746"/>
      <c r="X587" s="746"/>
      <c r="Y587" s="799"/>
      <c r="Z587" s="799"/>
      <c r="AA587" s="799"/>
      <c r="AB587" s="799"/>
      <c r="AC587" s="799"/>
      <c r="AD587" s="750"/>
      <c r="AE587" s="749"/>
      <c r="AF587" s="749"/>
      <c r="AG587" s="749"/>
      <c r="AH587" s="749"/>
      <c r="AI587" s="749"/>
      <c r="AJ587" s="749"/>
      <c r="AK587" s="749"/>
      <c r="AL587" s="749"/>
      <c r="AM587" s="749"/>
      <c r="AN587" s="749"/>
      <c r="AO587" s="749"/>
      <c r="AP587" s="749"/>
      <c r="AQ587" s="749"/>
      <c r="AR587" s="749"/>
      <c r="AS587" s="749"/>
      <c r="AT587" s="749"/>
      <c r="AU587" s="749"/>
      <c r="AV587" s="749"/>
      <c r="AW587" s="749"/>
      <c r="AX587" s="749"/>
      <c r="AY587" s="749"/>
      <c r="AZ587" s="749"/>
      <c r="BA587" s="749"/>
      <c r="BB587" s="749"/>
      <c r="BC587" s="749"/>
      <c r="BD587" s="749"/>
      <c r="BE587" s="749"/>
      <c r="BF587" s="749"/>
      <c r="BG587" s="749"/>
      <c r="BH587" s="749"/>
      <c r="BI587" s="749"/>
      <c r="BJ587" s="749"/>
      <c r="BK587" s="749"/>
      <c r="BL587" s="749"/>
    </row>
    <row r="588">
      <c r="A588" s="866"/>
      <c r="B588" s="867"/>
      <c r="C588" s="866"/>
      <c r="D588" s="866"/>
      <c r="E588" s="866"/>
      <c r="F588" s="866"/>
      <c r="G588" s="866"/>
      <c r="H588" s="866"/>
      <c r="I588" s="866"/>
      <c r="J588" s="868"/>
      <c r="K588" s="868"/>
      <c r="L588" s="799"/>
      <c r="M588" s="747"/>
      <c r="N588" s="744"/>
      <c r="O588" s="744"/>
      <c r="P588" s="744"/>
      <c r="Q588" s="744"/>
      <c r="R588" s="744"/>
      <c r="S588" s="744"/>
      <c r="T588" s="855"/>
      <c r="U588" s="746"/>
      <c r="V588" s="746"/>
      <c r="W588" s="746"/>
      <c r="X588" s="746"/>
      <c r="Y588" s="799"/>
      <c r="Z588" s="799"/>
      <c r="AA588" s="799"/>
      <c r="AB588" s="799"/>
      <c r="AC588" s="799"/>
      <c r="AD588" s="750"/>
      <c r="AE588" s="749"/>
      <c r="AF588" s="749"/>
      <c r="AG588" s="749"/>
      <c r="AH588" s="749"/>
      <c r="AI588" s="749"/>
      <c r="AJ588" s="749"/>
      <c r="AK588" s="749"/>
      <c r="AL588" s="749"/>
      <c r="AM588" s="749"/>
      <c r="AN588" s="749"/>
      <c r="AO588" s="749"/>
      <c r="AP588" s="749"/>
      <c r="AQ588" s="749"/>
      <c r="AR588" s="749"/>
      <c r="AS588" s="749"/>
      <c r="AT588" s="749"/>
      <c r="AU588" s="749"/>
      <c r="AV588" s="749"/>
      <c r="AW588" s="749"/>
      <c r="AX588" s="749"/>
      <c r="AY588" s="749"/>
      <c r="AZ588" s="749"/>
      <c r="BA588" s="749"/>
      <c r="BB588" s="749"/>
      <c r="BC588" s="749"/>
      <c r="BD588" s="749"/>
      <c r="BE588" s="749"/>
      <c r="BF588" s="749"/>
      <c r="BG588" s="749"/>
      <c r="BH588" s="749"/>
      <c r="BI588" s="749"/>
      <c r="BJ588" s="749"/>
      <c r="BK588" s="749"/>
      <c r="BL588" s="749"/>
    </row>
    <row r="589">
      <c r="A589" s="866"/>
      <c r="B589" s="867"/>
      <c r="C589" s="866"/>
      <c r="D589" s="866"/>
      <c r="E589" s="866"/>
      <c r="F589" s="866"/>
      <c r="G589" s="866"/>
      <c r="H589" s="866"/>
      <c r="I589" s="866"/>
      <c r="J589" s="868"/>
      <c r="K589" s="868"/>
      <c r="L589" s="799"/>
      <c r="M589" s="747"/>
      <c r="N589" s="744"/>
      <c r="O589" s="744"/>
      <c r="P589" s="744"/>
      <c r="Q589" s="744"/>
      <c r="R589" s="744"/>
      <c r="S589" s="744"/>
      <c r="T589" s="855"/>
      <c r="U589" s="746"/>
      <c r="V589" s="746"/>
      <c r="W589" s="746"/>
      <c r="X589" s="746"/>
      <c r="Y589" s="799"/>
      <c r="Z589" s="799"/>
      <c r="AA589" s="799"/>
      <c r="AB589" s="799"/>
      <c r="AC589" s="799"/>
      <c r="AD589" s="750"/>
      <c r="AE589" s="749"/>
      <c r="AF589" s="749"/>
      <c r="AG589" s="749"/>
      <c r="AH589" s="749"/>
      <c r="AI589" s="749"/>
      <c r="AJ589" s="749"/>
      <c r="AK589" s="749"/>
      <c r="AL589" s="749"/>
      <c r="AM589" s="749"/>
      <c r="AN589" s="749"/>
      <c r="AO589" s="749"/>
      <c r="AP589" s="749"/>
      <c r="AQ589" s="749"/>
      <c r="AR589" s="749"/>
      <c r="AS589" s="749"/>
      <c r="AT589" s="749"/>
      <c r="AU589" s="749"/>
      <c r="AV589" s="749"/>
      <c r="AW589" s="749"/>
      <c r="AX589" s="749"/>
      <c r="AY589" s="749"/>
      <c r="AZ589" s="749"/>
      <c r="BA589" s="749"/>
      <c r="BB589" s="749"/>
      <c r="BC589" s="749"/>
      <c r="BD589" s="749"/>
      <c r="BE589" s="749"/>
      <c r="BF589" s="749"/>
      <c r="BG589" s="749"/>
      <c r="BH589" s="749"/>
      <c r="BI589" s="749"/>
      <c r="BJ589" s="749"/>
      <c r="BK589" s="749"/>
      <c r="BL589" s="749"/>
    </row>
    <row r="590">
      <c r="A590" s="866"/>
      <c r="B590" s="867"/>
      <c r="C590" s="866"/>
      <c r="D590" s="866"/>
      <c r="E590" s="866"/>
      <c r="F590" s="866"/>
      <c r="G590" s="866"/>
      <c r="H590" s="866"/>
      <c r="I590" s="866"/>
      <c r="J590" s="868"/>
      <c r="K590" s="868"/>
      <c r="L590" s="799"/>
      <c r="M590" s="747"/>
      <c r="N590" s="744"/>
      <c r="O590" s="744"/>
      <c r="P590" s="744"/>
      <c r="Q590" s="744"/>
      <c r="R590" s="744"/>
      <c r="S590" s="744"/>
      <c r="T590" s="855"/>
      <c r="U590" s="746"/>
      <c r="V590" s="746"/>
      <c r="W590" s="746"/>
      <c r="X590" s="746"/>
      <c r="Y590" s="799"/>
      <c r="Z590" s="799"/>
      <c r="AA590" s="799"/>
      <c r="AB590" s="799"/>
      <c r="AC590" s="799"/>
      <c r="AD590" s="750"/>
      <c r="AE590" s="749"/>
      <c r="AF590" s="749"/>
      <c r="AG590" s="749"/>
      <c r="AH590" s="749"/>
      <c r="AI590" s="749"/>
      <c r="AJ590" s="749"/>
      <c r="AK590" s="749"/>
      <c r="AL590" s="749"/>
      <c r="AM590" s="749"/>
      <c r="AN590" s="749"/>
      <c r="AO590" s="749"/>
      <c r="AP590" s="749"/>
      <c r="AQ590" s="749"/>
      <c r="AR590" s="749"/>
      <c r="AS590" s="749"/>
      <c r="AT590" s="749"/>
      <c r="AU590" s="749"/>
      <c r="AV590" s="749"/>
      <c r="AW590" s="749"/>
      <c r="AX590" s="749"/>
      <c r="AY590" s="749"/>
      <c r="AZ590" s="749"/>
      <c r="BA590" s="749"/>
      <c r="BB590" s="749"/>
      <c r="BC590" s="749"/>
      <c r="BD590" s="749"/>
      <c r="BE590" s="749"/>
      <c r="BF590" s="749"/>
      <c r="BG590" s="749"/>
      <c r="BH590" s="749"/>
      <c r="BI590" s="749"/>
      <c r="BJ590" s="749"/>
      <c r="BK590" s="749"/>
      <c r="BL590" s="749"/>
    </row>
    <row r="591">
      <c r="A591" s="866"/>
      <c r="B591" s="867"/>
      <c r="C591" s="866"/>
      <c r="D591" s="866"/>
      <c r="E591" s="866"/>
      <c r="F591" s="866"/>
      <c r="G591" s="866"/>
      <c r="H591" s="866"/>
      <c r="I591" s="866"/>
      <c r="J591" s="868"/>
      <c r="K591" s="868"/>
      <c r="L591" s="799"/>
      <c r="M591" s="747"/>
      <c r="N591" s="744"/>
      <c r="O591" s="744"/>
      <c r="P591" s="744"/>
      <c r="Q591" s="744"/>
      <c r="R591" s="744"/>
      <c r="S591" s="744"/>
      <c r="T591" s="855"/>
      <c r="U591" s="746"/>
      <c r="V591" s="746"/>
      <c r="W591" s="746"/>
      <c r="X591" s="746"/>
      <c r="Y591" s="799"/>
      <c r="Z591" s="799"/>
      <c r="AA591" s="799"/>
      <c r="AB591" s="799"/>
      <c r="AC591" s="799"/>
      <c r="AD591" s="750"/>
      <c r="AE591" s="749"/>
      <c r="AF591" s="749"/>
      <c r="AG591" s="749"/>
      <c r="AH591" s="749"/>
      <c r="AI591" s="749"/>
      <c r="AJ591" s="749"/>
      <c r="AK591" s="749"/>
      <c r="AL591" s="749"/>
      <c r="AM591" s="749"/>
      <c r="AN591" s="749"/>
      <c r="AO591" s="749"/>
      <c r="AP591" s="749"/>
      <c r="AQ591" s="749"/>
      <c r="AR591" s="749"/>
      <c r="AS591" s="749"/>
      <c r="AT591" s="749"/>
      <c r="AU591" s="749"/>
      <c r="AV591" s="749"/>
      <c r="AW591" s="749"/>
      <c r="AX591" s="749"/>
      <c r="AY591" s="749"/>
      <c r="AZ591" s="749"/>
      <c r="BA591" s="749"/>
      <c r="BB591" s="749"/>
      <c r="BC591" s="749"/>
      <c r="BD591" s="749"/>
      <c r="BE591" s="749"/>
      <c r="BF591" s="749"/>
      <c r="BG591" s="749"/>
      <c r="BH591" s="749"/>
      <c r="BI591" s="749"/>
      <c r="BJ591" s="749"/>
      <c r="BK591" s="749"/>
      <c r="BL591" s="749"/>
    </row>
    <row r="592">
      <c r="A592" s="866"/>
      <c r="B592" s="867"/>
      <c r="C592" s="866"/>
      <c r="D592" s="866"/>
      <c r="E592" s="866"/>
      <c r="F592" s="866"/>
      <c r="G592" s="866"/>
      <c r="H592" s="866"/>
      <c r="I592" s="866"/>
      <c r="J592" s="868"/>
      <c r="K592" s="868"/>
      <c r="L592" s="799"/>
      <c r="M592" s="747"/>
      <c r="N592" s="744"/>
      <c r="O592" s="744"/>
      <c r="P592" s="744"/>
      <c r="Q592" s="744"/>
      <c r="R592" s="744"/>
      <c r="S592" s="744"/>
      <c r="T592" s="855"/>
      <c r="U592" s="746"/>
      <c r="V592" s="746"/>
      <c r="W592" s="746"/>
      <c r="X592" s="746"/>
      <c r="Y592" s="799"/>
      <c r="Z592" s="799"/>
      <c r="AA592" s="799"/>
      <c r="AB592" s="799"/>
      <c r="AC592" s="799"/>
      <c r="AD592" s="750"/>
      <c r="AE592" s="749"/>
      <c r="AF592" s="749"/>
      <c r="AG592" s="749"/>
      <c r="AH592" s="749"/>
      <c r="AI592" s="749"/>
      <c r="AJ592" s="749"/>
      <c r="AK592" s="749"/>
      <c r="AL592" s="749"/>
      <c r="AM592" s="749"/>
      <c r="AN592" s="749"/>
      <c r="AO592" s="749"/>
      <c r="AP592" s="749"/>
      <c r="AQ592" s="749"/>
      <c r="AR592" s="749"/>
      <c r="AS592" s="749"/>
      <c r="AT592" s="749"/>
      <c r="AU592" s="749"/>
      <c r="AV592" s="749"/>
      <c r="AW592" s="749"/>
      <c r="AX592" s="749"/>
      <c r="AY592" s="749"/>
      <c r="AZ592" s="749"/>
      <c r="BA592" s="749"/>
      <c r="BB592" s="749"/>
      <c r="BC592" s="749"/>
      <c r="BD592" s="749"/>
      <c r="BE592" s="749"/>
      <c r="BF592" s="749"/>
      <c r="BG592" s="749"/>
      <c r="BH592" s="749"/>
      <c r="BI592" s="749"/>
      <c r="BJ592" s="749"/>
      <c r="BK592" s="749"/>
      <c r="BL592" s="749"/>
    </row>
    <row r="593">
      <c r="A593" s="866"/>
      <c r="B593" s="867"/>
      <c r="C593" s="866"/>
      <c r="D593" s="866"/>
      <c r="E593" s="866"/>
      <c r="F593" s="866"/>
      <c r="G593" s="866"/>
      <c r="H593" s="866"/>
      <c r="I593" s="866"/>
      <c r="J593" s="868"/>
      <c r="K593" s="868"/>
      <c r="L593" s="799"/>
      <c r="M593" s="747"/>
      <c r="N593" s="744"/>
      <c r="O593" s="744"/>
      <c r="P593" s="744"/>
      <c r="Q593" s="744"/>
      <c r="R593" s="744"/>
      <c r="S593" s="744"/>
      <c r="T593" s="855"/>
      <c r="U593" s="746"/>
      <c r="V593" s="746"/>
      <c r="W593" s="746"/>
      <c r="X593" s="746"/>
      <c r="Y593" s="799"/>
      <c r="Z593" s="799"/>
      <c r="AA593" s="799"/>
      <c r="AB593" s="799"/>
      <c r="AC593" s="799"/>
      <c r="AD593" s="750"/>
      <c r="AE593" s="749"/>
      <c r="AF593" s="749"/>
      <c r="AG593" s="749"/>
      <c r="AH593" s="749"/>
      <c r="AI593" s="749"/>
      <c r="AJ593" s="749"/>
      <c r="AK593" s="749"/>
      <c r="AL593" s="749"/>
      <c r="AM593" s="749"/>
      <c r="AN593" s="749"/>
      <c r="AO593" s="749"/>
      <c r="AP593" s="749"/>
      <c r="AQ593" s="749"/>
      <c r="AR593" s="749"/>
      <c r="AS593" s="749"/>
      <c r="AT593" s="749"/>
      <c r="AU593" s="749"/>
      <c r="AV593" s="749"/>
      <c r="AW593" s="749"/>
      <c r="AX593" s="749"/>
      <c r="AY593" s="749"/>
      <c r="AZ593" s="749"/>
      <c r="BA593" s="749"/>
      <c r="BB593" s="749"/>
      <c r="BC593" s="749"/>
      <c r="BD593" s="749"/>
      <c r="BE593" s="749"/>
      <c r="BF593" s="749"/>
      <c r="BG593" s="749"/>
      <c r="BH593" s="749"/>
      <c r="BI593" s="749"/>
      <c r="BJ593" s="749"/>
      <c r="BK593" s="749"/>
      <c r="BL593" s="749"/>
    </row>
    <row r="594">
      <c r="A594" s="866"/>
      <c r="B594" s="867"/>
      <c r="C594" s="866"/>
      <c r="D594" s="866"/>
      <c r="E594" s="866"/>
      <c r="F594" s="866"/>
      <c r="G594" s="866"/>
      <c r="H594" s="866"/>
      <c r="I594" s="866"/>
      <c r="J594" s="868"/>
      <c r="K594" s="868"/>
      <c r="L594" s="799"/>
      <c r="M594" s="747"/>
      <c r="N594" s="744"/>
      <c r="O594" s="744"/>
      <c r="P594" s="744"/>
      <c r="Q594" s="744"/>
      <c r="R594" s="744"/>
      <c r="S594" s="744"/>
      <c r="T594" s="855"/>
      <c r="U594" s="746"/>
      <c r="V594" s="746"/>
      <c r="W594" s="746"/>
      <c r="X594" s="746"/>
      <c r="Y594" s="799"/>
      <c r="Z594" s="799"/>
      <c r="AA594" s="799"/>
      <c r="AB594" s="799"/>
      <c r="AC594" s="799"/>
      <c r="AD594" s="750"/>
      <c r="AE594" s="749"/>
      <c r="AF594" s="749"/>
      <c r="AG594" s="749"/>
      <c r="AH594" s="749"/>
      <c r="AI594" s="749"/>
      <c r="AJ594" s="749"/>
      <c r="AK594" s="749"/>
      <c r="AL594" s="749"/>
      <c r="AM594" s="749"/>
      <c r="AN594" s="749"/>
      <c r="AO594" s="749"/>
      <c r="AP594" s="749"/>
      <c r="AQ594" s="749"/>
      <c r="AR594" s="749"/>
      <c r="AS594" s="749"/>
      <c r="AT594" s="749"/>
      <c r="AU594" s="749"/>
      <c r="AV594" s="749"/>
      <c r="AW594" s="749"/>
      <c r="AX594" s="749"/>
      <c r="AY594" s="749"/>
      <c r="AZ594" s="749"/>
      <c r="BA594" s="749"/>
      <c r="BB594" s="749"/>
      <c r="BC594" s="749"/>
      <c r="BD594" s="749"/>
      <c r="BE594" s="749"/>
      <c r="BF594" s="749"/>
      <c r="BG594" s="749"/>
      <c r="BH594" s="749"/>
      <c r="BI594" s="749"/>
      <c r="BJ594" s="749"/>
      <c r="BK594" s="749"/>
      <c r="BL594" s="749"/>
    </row>
    <row r="595">
      <c r="A595" s="866"/>
      <c r="B595" s="867"/>
      <c r="C595" s="866"/>
      <c r="D595" s="866"/>
      <c r="E595" s="866"/>
      <c r="F595" s="866"/>
      <c r="G595" s="866"/>
      <c r="H595" s="866"/>
      <c r="I595" s="866"/>
      <c r="J595" s="868"/>
      <c r="K595" s="868"/>
      <c r="L595" s="799"/>
      <c r="M595" s="747"/>
      <c r="N595" s="744"/>
      <c r="O595" s="744"/>
      <c r="P595" s="744"/>
      <c r="Q595" s="744"/>
      <c r="R595" s="744"/>
      <c r="S595" s="744"/>
      <c r="T595" s="855"/>
      <c r="U595" s="746"/>
      <c r="V595" s="746"/>
      <c r="W595" s="746"/>
      <c r="X595" s="746"/>
      <c r="Y595" s="799"/>
      <c r="Z595" s="799"/>
      <c r="AA595" s="799"/>
      <c r="AB595" s="799"/>
      <c r="AC595" s="799"/>
      <c r="AD595" s="750"/>
      <c r="AE595" s="749"/>
      <c r="AF595" s="749"/>
      <c r="AG595" s="749"/>
      <c r="AH595" s="749"/>
      <c r="AI595" s="749"/>
      <c r="AJ595" s="749"/>
      <c r="AK595" s="749"/>
      <c r="AL595" s="749"/>
      <c r="AM595" s="749"/>
      <c r="AN595" s="749"/>
      <c r="AO595" s="749"/>
      <c r="AP595" s="749"/>
      <c r="AQ595" s="749"/>
      <c r="AR595" s="749"/>
      <c r="AS595" s="749"/>
      <c r="AT595" s="749"/>
      <c r="AU595" s="749"/>
      <c r="AV595" s="749"/>
      <c r="AW595" s="749"/>
      <c r="AX595" s="749"/>
      <c r="AY595" s="749"/>
      <c r="AZ595" s="749"/>
      <c r="BA595" s="749"/>
      <c r="BB595" s="749"/>
      <c r="BC595" s="749"/>
      <c r="BD595" s="749"/>
      <c r="BE595" s="749"/>
      <c r="BF595" s="749"/>
      <c r="BG595" s="749"/>
      <c r="BH595" s="749"/>
      <c r="BI595" s="749"/>
      <c r="BJ595" s="749"/>
      <c r="BK595" s="749"/>
      <c r="BL595" s="749"/>
    </row>
    <row r="596">
      <c r="A596" s="866"/>
      <c r="B596" s="867"/>
      <c r="C596" s="866"/>
      <c r="D596" s="866"/>
      <c r="E596" s="866"/>
      <c r="F596" s="866"/>
      <c r="G596" s="866"/>
      <c r="H596" s="866"/>
      <c r="I596" s="866"/>
      <c r="J596" s="868"/>
      <c r="K596" s="868"/>
      <c r="L596" s="799"/>
      <c r="M596" s="747"/>
      <c r="N596" s="744"/>
      <c r="O596" s="744"/>
      <c r="P596" s="744"/>
      <c r="Q596" s="744"/>
      <c r="R596" s="744"/>
      <c r="S596" s="744"/>
      <c r="T596" s="855"/>
      <c r="U596" s="746"/>
      <c r="V596" s="746"/>
      <c r="W596" s="746"/>
      <c r="X596" s="746"/>
      <c r="Y596" s="799"/>
      <c r="Z596" s="799"/>
      <c r="AA596" s="799"/>
      <c r="AB596" s="799"/>
      <c r="AC596" s="799"/>
      <c r="AD596" s="750"/>
      <c r="AE596" s="749"/>
      <c r="AF596" s="749"/>
      <c r="AG596" s="749"/>
      <c r="AH596" s="749"/>
      <c r="AI596" s="749"/>
      <c r="AJ596" s="749"/>
      <c r="AK596" s="749"/>
      <c r="AL596" s="749"/>
      <c r="AM596" s="749"/>
      <c r="AN596" s="749"/>
      <c r="AO596" s="749"/>
      <c r="AP596" s="749"/>
      <c r="AQ596" s="749"/>
      <c r="AR596" s="749"/>
      <c r="AS596" s="749"/>
      <c r="AT596" s="749"/>
      <c r="AU596" s="749"/>
      <c r="AV596" s="749"/>
      <c r="AW596" s="749"/>
      <c r="AX596" s="749"/>
      <c r="AY596" s="749"/>
      <c r="AZ596" s="749"/>
      <c r="BA596" s="749"/>
      <c r="BB596" s="749"/>
      <c r="BC596" s="749"/>
      <c r="BD596" s="749"/>
      <c r="BE596" s="749"/>
      <c r="BF596" s="749"/>
      <c r="BG596" s="749"/>
      <c r="BH596" s="749"/>
      <c r="BI596" s="749"/>
      <c r="BJ596" s="749"/>
      <c r="BK596" s="749"/>
      <c r="BL596" s="749"/>
    </row>
    <row r="597">
      <c r="A597" s="866"/>
      <c r="B597" s="867"/>
      <c r="C597" s="866"/>
      <c r="D597" s="866"/>
      <c r="E597" s="866"/>
      <c r="F597" s="866"/>
      <c r="G597" s="866"/>
      <c r="H597" s="866"/>
      <c r="I597" s="866"/>
      <c r="J597" s="868"/>
      <c r="K597" s="868"/>
      <c r="L597" s="799"/>
      <c r="M597" s="747"/>
      <c r="N597" s="744"/>
      <c r="O597" s="744"/>
      <c r="P597" s="744"/>
      <c r="Q597" s="744"/>
      <c r="R597" s="744"/>
      <c r="S597" s="744"/>
      <c r="T597" s="855"/>
      <c r="U597" s="746"/>
      <c r="V597" s="746"/>
      <c r="W597" s="746"/>
      <c r="X597" s="746"/>
      <c r="Y597" s="799"/>
      <c r="Z597" s="799"/>
      <c r="AA597" s="799"/>
      <c r="AB597" s="799"/>
      <c r="AC597" s="799"/>
      <c r="AD597" s="750"/>
      <c r="AE597" s="749"/>
      <c r="AF597" s="749"/>
      <c r="AG597" s="749"/>
      <c r="AH597" s="749"/>
      <c r="AI597" s="749"/>
      <c r="AJ597" s="749"/>
      <c r="AK597" s="749"/>
      <c r="AL597" s="749"/>
      <c r="AM597" s="749"/>
      <c r="AN597" s="749"/>
      <c r="AO597" s="749"/>
      <c r="AP597" s="749"/>
      <c r="AQ597" s="749"/>
      <c r="AR597" s="749"/>
      <c r="AS597" s="749"/>
      <c r="AT597" s="749"/>
      <c r="AU597" s="749"/>
      <c r="AV597" s="749"/>
      <c r="AW597" s="749"/>
      <c r="AX597" s="749"/>
      <c r="AY597" s="749"/>
      <c r="AZ597" s="749"/>
      <c r="BA597" s="749"/>
      <c r="BB597" s="749"/>
      <c r="BC597" s="749"/>
      <c r="BD597" s="749"/>
      <c r="BE597" s="749"/>
      <c r="BF597" s="749"/>
      <c r="BG597" s="749"/>
      <c r="BH597" s="749"/>
      <c r="BI597" s="749"/>
      <c r="BJ597" s="749"/>
      <c r="BK597" s="749"/>
      <c r="BL597" s="749"/>
    </row>
    <row r="598">
      <c r="A598" s="866"/>
      <c r="B598" s="867"/>
      <c r="C598" s="866"/>
      <c r="D598" s="866"/>
      <c r="E598" s="866"/>
      <c r="F598" s="866"/>
      <c r="G598" s="866"/>
      <c r="H598" s="866"/>
      <c r="I598" s="866"/>
      <c r="J598" s="868"/>
      <c r="K598" s="868"/>
      <c r="L598" s="799"/>
      <c r="M598" s="747"/>
      <c r="N598" s="744"/>
      <c r="O598" s="744"/>
      <c r="P598" s="744"/>
      <c r="Q598" s="744"/>
      <c r="R598" s="744"/>
      <c r="S598" s="744"/>
      <c r="T598" s="855"/>
      <c r="U598" s="746"/>
      <c r="V598" s="746"/>
      <c r="W598" s="746"/>
      <c r="X598" s="746"/>
      <c r="Y598" s="799"/>
      <c r="Z598" s="799"/>
      <c r="AA598" s="799"/>
      <c r="AB598" s="799"/>
      <c r="AC598" s="799"/>
      <c r="AD598" s="750"/>
      <c r="AE598" s="749"/>
      <c r="AF598" s="749"/>
      <c r="AG598" s="749"/>
      <c r="AH598" s="749"/>
      <c r="AI598" s="749"/>
      <c r="AJ598" s="749"/>
      <c r="AK598" s="749"/>
      <c r="AL598" s="749"/>
      <c r="AM598" s="749"/>
      <c r="AN598" s="749"/>
      <c r="AO598" s="749"/>
      <c r="AP598" s="749"/>
      <c r="AQ598" s="749"/>
      <c r="AR598" s="749"/>
      <c r="AS598" s="749"/>
      <c r="AT598" s="749"/>
      <c r="AU598" s="749"/>
      <c r="AV598" s="749"/>
      <c r="AW598" s="749"/>
      <c r="AX598" s="749"/>
      <c r="AY598" s="749"/>
      <c r="AZ598" s="749"/>
      <c r="BA598" s="749"/>
      <c r="BB598" s="749"/>
      <c r="BC598" s="749"/>
      <c r="BD598" s="749"/>
      <c r="BE598" s="749"/>
      <c r="BF598" s="749"/>
      <c r="BG598" s="749"/>
      <c r="BH598" s="749"/>
      <c r="BI598" s="749"/>
      <c r="BJ598" s="749"/>
      <c r="BK598" s="749"/>
      <c r="BL598" s="749"/>
    </row>
    <row r="599">
      <c r="A599" s="866"/>
      <c r="B599" s="867"/>
      <c r="C599" s="866"/>
      <c r="D599" s="866"/>
      <c r="E599" s="866"/>
      <c r="F599" s="866"/>
      <c r="G599" s="866"/>
      <c r="H599" s="866"/>
      <c r="I599" s="866"/>
      <c r="J599" s="868"/>
      <c r="K599" s="868"/>
      <c r="L599" s="799"/>
      <c r="M599" s="747"/>
      <c r="N599" s="744"/>
      <c r="O599" s="744"/>
      <c r="P599" s="744"/>
      <c r="Q599" s="744"/>
      <c r="R599" s="744"/>
      <c r="S599" s="744"/>
      <c r="T599" s="855"/>
      <c r="U599" s="746"/>
      <c r="V599" s="746"/>
      <c r="W599" s="746"/>
      <c r="X599" s="746"/>
      <c r="Y599" s="799"/>
      <c r="Z599" s="799"/>
      <c r="AA599" s="799"/>
      <c r="AB599" s="799"/>
      <c r="AC599" s="799"/>
      <c r="AD599" s="750"/>
      <c r="AE599" s="749"/>
      <c r="AF599" s="749"/>
      <c r="AG599" s="749"/>
      <c r="AH599" s="749"/>
      <c r="AI599" s="749"/>
      <c r="AJ599" s="749"/>
      <c r="AK599" s="749"/>
      <c r="AL599" s="749"/>
      <c r="AM599" s="749"/>
      <c r="AN599" s="749"/>
      <c r="AO599" s="749"/>
      <c r="AP599" s="749"/>
      <c r="AQ599" s="749"/>
      <c r="AR599" s="749"/>
      <c r="AS599" s="749"/>
      <c r="AT599" s="749"/>
      <c r="AU599" s="749"/>
      <c r="AV599" s="749"/>
      <c r="AW599" s="749"/>
      <c r="AX599" s="749"/>
      <c r="AY599" s="749"/>
      <c r="AZ599" s="749"/>
      <c r="BA599" s="749"/>
      <c r="BB599" s="749"/>
      <c r="BC599" s="749"/>
      <c r="BD599" s="749"/>
      <c r="BE599" s="749"/>
      <c r="BF599" s="749"/>
      <c r="BG599" s="749"/>
      <c r="BH599" s="749"/>
      <c r="BI599" s="749"/>
      <c r="BJ599" s="749"/>
      <c r="BK599" s="749"/>
      <c r="BL599" s="749"/>
    </row>
    <row r="600">
      <c r="A600" s="866"/>
      <c r="B600" s="867"/>
      <c r="C600" s="866"/>
      <c r="D600" s="866"/>
      <c r="E600" s="866"/>
      <c r="F600" s="866"/>
      <c r="G600" s="866"/>
      <c r="H600" s="866"/>
      <c r="I600" s="866"/>
      <c r="J600" s="868"/>
      <c r="K600" s="868"/>
      <c r="L600" s="799"/>
      <c r="M600" s="747"/>
      <c r="N600" s="744"/>
      <c r="O600" s="744"/>
      <c r="P600" s="744"/>
      <c r="Q600" s="744"/>
      <c r="R600" s="744"/>
      <c r="S600" s="744"/>
      <c r="T600" s="855"/>
      <c r="U600" s="746"/>
      <c r="V600" s="746"/>
      <c r="W600" s="746"/>
      <c r="X600" s="746"/>
      <c r="Y600" s="799"/>
      <c r="Z600" s="799"/>
      <c r="AA600" s="799"/>
      <c r="AB600" s="799"/>
      <c r="AC600" s="799"/>
      <c r="AD600" s="750"/>
      <c r="AE600" s="749"/>
      <c r="AF600" s="749"/>
      <c r="AG600" s="749"/>
      <c r="AH600" s="749"/>
      <c r="AI600" s="749"/>
      <c r="AJ600" s="749"/>
      <c r="AK600" s="749"/>
      <c r="AL600" s="749"/>
      <c r="AM600" s="749"/>
      <c r="AN600" s="749"/>
      <c r="AO600" s="749"/>
      <c r="AP600" s="749"/>
      <c r="AQ600" s="749"/>
      <c r="AR600" s="749"/>
      <c r="AS600" s="749"/>
      <c r="AT600" s="749"/>
      <c r="AU600" s="749"/>
      <c r="AV600" s="749"/>
      <c r="AW600" s="749"/>
      <c r="AX600" s="749"/>
      <c r="AY600" s="749"/>
      <c r="AZ600" s="749"/>
      <c r="BA600" s="749"/>
      <c r="BB600" s="749"/>
      <c r="BC600" s="749"/>
      <c r="BD600" s="749"/>
      <c r="BE600" s="749"/>
      <c r="BF600" s="749"/>
      <c r="BG600" s="749"/>
      <c r="BH600" s="749"/>
      <c r="BI600" s="749"/>
      <c r="BJ600" s="749"/>
      <c r="BK600" s="749"/>
      <c r="BL600" s="749"/>
    </row>
    <row r="601">
      <c r="A601" s="866"/>
      <c r="B601" s="867"/>
      <c r="C601" s="866"/>
      <c r="D601" s="866"/>
      <c r="E601" s="866"/>
      <c r="F601" s="866"/>
      <c r="G601" s="866"/>
      <c r="H601" s="866"/>
      <c r="I601" s="866"/>
      <c r="J601" s="868"/>
      <c r="K601" s="868"/>
      <c r="L601" s="799"/>
      <c r="M601" s="747"/>
      <c r="N601" s="744"/>
      <c r="O601" s="744"/>
      <c r="P601" s="744"/>
      <c r="Q601" s="744"/>
      <c r="R601" s="744"/>
      <c r="S601" s="744"/>
      <c r="T601" s="855"/>
      <c r="U601" s="746"/>
      <c r="V601" s="746"/>
      <c r="W601" s="746"/>
      <c r="X601" s="746"/>
      <c r="Y601" s="799"/>
      <c r="Z601" s="799"/>
      <c r="AA601" s="799"/>
      <c r="AB601" s="799"/>
      <c r="AC601" s="799"/>
      <c r="AD601" s="750"/>
      <c r="AE601" s="749"/>
      <c r="AF601" s="749"/>
      <c r="AG601" s="749"/>
      <c r="AH601" s="749"/>
      <c r="AI601" s="749"/>
      <c r="AJ601" s="749"/>
      <c r="AK601" s="749"/>
      <c r="AL601" s="749"/>
      <c r="AM601" s="749"/>
      <c r="AN601" s="749"/>
      <c r="AO601" s="749"/>
      <c r="AP601" s="749"/>
      <c r="AQ601" s="749"/>
      <c r="AR601" s="749"/>
      <c r="AS601" s="749"/>
      <c r="AT601" s="749"/>
      <c r="AU601" s="749"/>
      <c r="AV601" s="749"/>
      <c r="AW601" s="749"/>
      <c r="AX601" s="749"/>
      <c r="AY601" s="749"/>
      <c r="AZ601" s="749"/>
      <c r="BA601" s="749"/>
      <c r="BB601" s="749"/>
      <c r="BC601" s="749"/>
      <c r="BD601" s="749"/>
      <c r="BE601" s="749"/>
      <c r="BF601" s="749"/>
      <c r="BG601" s="749"/>
      <c r="BH601" s="749"/>
      <c r="BI601" s="749"/>
      <c r="BJ601" s="749"/>
      <c r="BK601" s="749"/>
      <c r="BL601" s="749"/>
    </row>
    <row r="602">
      <c r="A602" s="866"/>
      <c r="B602" s="867"/>
      <c r="C602" s="866"/>
      <c r="D602" s="866"/>
      <c r="E602" s="866"/>
      <c r="F602" s="866"/>
      <c r="G602" s="866"/>
      <c r="H602" s="866"/>
      <c r="I602" s="866"/>
      <c r="J602" s="868"/>
      <c r="K602" s="868"/>
      <c r="L602" s="799"/>
      <c r="M602" s="747"/>
      <c r="N602" s="744"/>
      <c r="O602" s="744"/>
      <c r="P602" s="744"/>
      <c r="Q602" s="744"/>
      <c r="R602" s="744"/>
      <c r="S602" s="744"/>
      <c r="T602" s="855"/>
      <c r="U602" s="746"/>
      <c r="V602" s="746"/>
      <c r="W602" s="746"/>
      <c r="X602" s="746"/>
      <c r="Y602" s="799"/>
      <c r="Z602" s="799"/>
      <c r="AA602" s="799"/>
      <c r="AB602" s="799"/>
      <c r="AC602" s="799"/>
      <c r="AD602" s="750"/>
      <c r="AE602" s="749"/>
      <c r="AF602" s="749"/>
      <c r="AG602" s="749"/>
      <c r="AH602" s="749"/>
      <c r="AI602" s="749"/>
      <c r="AJ602" s="749"/>
      <c r="AK602" s="749"/>
      <c r="AL602" s="749"/>
      <c r="AM602" s="749"/>
      <c r="AN602" s="749"/>
      <c r="AO602" s="749"/>
      <c r="AP602" s="749"/>
      <c r="AQ602" s="749"/>
      <c r="AR602" s="749"/>
      <c r="AS602" s="749"/>
      <c r="AT602" s="749"/>
      <c r="AU602" s="749"/>
      <c r="AV602" s="749"/>
      <c r="AW602" s="749"/>
      <c r="AX602" s="749"/>
      <c r="AY602" s="749"/>
      <c r="AZ602" s="749"/>
      <c r="BA602" s="749"/>
      <c r="BB602" s="749"/>
      <c r="BC602" s="749"/>
      <c r="BD602" s="749"/>
      <c r="BE602" s="749"/>
      <c r="BF602" s="749"/>
      <c r="BG602" s="749"/>
      <c r="BH602" s="749"/>
      <c r="BI602" s="749"/>
      <c r="BJ602" s="749"/>
      <c r="BK602" s="749"/>
      <c r="BL602" s="749"/>
    </row>
    <row r="603">
      <c r="A603" s="866"/>
      <c r="B603" s="867"/>
      <c r="C603" s="866"/>
      <c r="D603" s="866"/>
      <c r="E603" s="866"/>
      <c r="F603" s="866"/>
      <c r="G603" s="866"/>
      <c r="H603" s="866"/>
      <c r="I603" s="866"/>
      <c r="J603" s="868"/>
      <c r="K603" s="868"/>
      <c r="L603" s="799"/>
      <c r="M603" s="747"/>
      <c r="N603" s="744"/>
      <c r="O603" s="744"/>
      <c r="P603" s="744"/>
      <c r="Q603" s="744"/>
      <c r="R603" s="744"/>
      <c r="S603" s="744"/>
      <c r="T603" s="855"/>
      <c r="U603" s="746"/>
      <c r="V603" s="746"/>
      <c r="W603" s="746"/>
      <c r="X603" s="746"/>
      <c r="Y603" s="799"/>
      <c r="Z603" s="799"/>
      <c r="AA603" s="799"/>
      <c r="AB603" s="799"/>
      <c r="AC603" s="799"/>
      <c r="AD603" s="750"/>
      <c r="AE603" s="749"/>
      <c r="AF603" s="749"/>
      <c r="AG603" s="749"/>
      <c r="AH603" s="749"/>
      <c r="AI603" s="749"/>
      <c r="AJ603" s="749"/>
      <c r="AK603" s="749"/>
      <c r="AL603" s="749"/>
      <c r="AM603" s="749"/>
      <c r="AN603" s="749"/>
      <c r="AO603" s="749"/>
      <c r="AP603" s="749"/>
      <c r="AQ603" s="749"/>
      <c r="AR603" s="749"/>
      <c r="AS603" s="749"/>
      <c r="AT603" s="749"/>
      <c r="AU603" s="749"/>
      <c r="AV603" s="749"/>
      <c r="AW603" s="749"/>
      <c r="AX603" s="749"/>
      <c r="AY603" s="749"/>
      <c r="AZ603" s="749"/>
      <c r="BA603" s="749"/>
      <c r="BB603" s="749"/>
      <c r="BC603" s="749"/>
      <c r="BD603" s="749"/>
      <c r="BE603" s="749"/>
      <c r="BF603" s="749"/>
      <c r="BG603" s="749"/>
      <c r="BH603" s="749"/>
      <c r="BI603" s="749"/>
      <c r="BJ603" s="749"/>
      <c r="BK603" s="749"/>
      <c r="BL603" s="749"/>
    </row>
    <row r="604">
      <c r="A604" s="866"/>
      <c r="B604" s="867"/>
      <c r="C604" s="866"/>
      <c r="D604" s="866"/>
      <c r="E604" s="866"/>
      <c r="F604" s="866"/>
      <c r="G604" s="866"/>
      <c r="H604" s="866"/>
      <c r="I604" s="866"/>
      <c r="J604" s="868"/>
      <c r="K604" s="868"/>
      <c r="L604" s="799"/>
      <c r="M604" s="747"/>
      <c r="N604" s="744"/>
      <c r="O604" s="744"/>
      <c r="P604" s="744"/>
      <c r="Q604" s="744"/>
      <c r="R604" s="744"/>
      <c r="S604" s="744"/>
      <c r="T604" s="855"/>
      <c r="U604" s="746"/>
      <c r="V604" s="746"/>
      <c r="W604" s="746"/>
      <c r="X604" s="746"/>
      <c r="Y604" s="799"/>
      <c r="Z604" s="799"/>
      <c r="AA604" s="799"/>
      <c r="AB604" s="799"/>
      <c r="AC604" s="799"/>
      <c r="AD604" s="750"/>
      <c r="AE604" s="749"/>
      <c r="AF604" s="749"/>
      <c r="AG604" s="749"/>
      <c r="AH604" s="749"/>
      <c r="AI604" s="749"/>
      <c r="AJ604" s="749"/>
      <c r="AK604" s="749"/>
      <c r="AL604" s="749"/>
      <c r="AM604" s="749"/>
      <c r="AN604" s="749"/>
      <c r="AO604" s="749"/>
      <c r="AP604" s="749"/>
      <c r="AQ604" s="749"/>
      <c r="AR604" s="749"/>
      <c r="AS604" s="749"/>
      <c r="AT604" s="749"/>
      <c r="AU604" s="749"/>
      <c r="AV604" s="749"/>
      <c r="AW604" s="749"/>
      <c r="AX604" s="749"/>
      <c r="AY604" s="749"/>
      <c r="AZ604" s="749"/>
      <c r="BA604" s="749"/>
      <c r="BB604" s="749"/>
      <c r="BC604" s="749"/>
      <c r="BD604" s="749"/>
      <c r="BE604" s="749"/>
      <c r="BF604" s="749"/>
      <c r="BG604" s="749"/>
      <c r="BH604" s="749"/>
      <c r="BI604" s="749"/>
      <c r="BJ604" s="749"/>
      <c r="BK604" s="749"/>
      <c r="BL604" s="749"/>
    </row>
    <row r="605">
      <c r="A605" s="866"/>
      <c r="B605" s="867"/>
      <c r="C605" s="866"/>
      <c r="D605" s="866"/>
      <c r="E605" s="866"/>
      <c r="F605" s="866"/>
      <c r="G605" s="866"/>
      <c r="H605" s="866"/>
      <c r="I605" s="866"/>
      <c r="J605" s="868"/>
      <c r="K605" s="868"/>
      <c r="L605" s="799"/>
      <c r="M605" s="747"/>
      <c r="N605" s="744"/>
      <c r="O605" s="744"/>
      <c r="P605" s="744"/>
      <c r="Q605" s="744"/>
      <c r="R605" s="744"/>
      <c r="S605" s="744"/>
      <c r="T605" s="855"/>
      <c r="U605" s="746"/>
      <c r="V605" s="746"/>
      <c r="W605" s="746"/>
      <c r="X605" s="746"/>
      <c r="Y605" s="799"/>
      <c r="Z605" s="799"/>
      <c r="AA605" s="799"/>
      <c r="AB605" s="799"/>
      <c r="AC605" s="799"/>
      <c r="AD605" s="750"/>
      <c r="AE605" s="749"/>
      <c r="AF605" s="749"/>
      <c r="AG605" s="749"/>
      <c r="AH605" s="749"/>
      <c r="AI605" s="749"/>
      <c r="AJ605" s="749"/>
      <c r="AK605" s="749"/>
      <c r="AL605" s="749"/>
      <c r="AM605" s="749"/>
      <c r="AN605" s="749"/>
      <c r="AO605" s="749"/>
      <c r="AP605" s="749"/>
      <c r="AQ605" s="749"/>
      <c r="AR605" s="749"/>
      <c r="AS605" s="749"/>
      <c r="AT605" s="749"/>
      <c r="AU605" s="749"/>
      <c r="AV605" s="749"/>
      <c r="AW605" s="749"/>
      <c r="AX605" s="749"/>
      <c r="AY605" s="749"/>
      <c r="AZ605" s="749"/>
      <c r="BA605" s="749"/>
      <c r="BB605" s="749"/>
      <c r="BC605" s="749"/>
      <c r="BD605" s="749"/>
      <c r="BE605" s="749"/>
      <c r="BF605" s="749"/>
      <c r="BG605" s="749"/>
      <c r="BH605" s="749"/>
      <c r="BI605" s="749"/>
      <c r="BJ605" s="749"/>
      <c r="BK605" s="749"/>
      <c r="BL605" s="749"/>
    </row>
    <row r="606">
      <c r="A606" s="866"/>
      <c r="B606" s="867"/>
      <c r="C606" s="866"/>
      <c r="D606" s="866"/>
      <c r="E606" s="866"/>
      <c r="F606" s="866"/>
      <c r="G606" s="866"/>
      <c r="H606" s="866"/>
      <c r="I606" s="866"/>
      <c r="J606" s="868"/>
      <c r="K606" s="868"/>
      <c r="L606" s="799"/>
      <c r="M606" s="747"/>
      <c r="N606" s="744"/>
      <c r="O606" s="744"/>
      <c r="P606" s="744"/>
      <c r="Q606" s="744"/>
      <c r="R606" s="744"/>
      <c r="S606" s="744"/>
      <c r="T606" s="855"/>
      <c r="U606" s="746"/>
      <c r="V606" s="746"/>
      <c r="W606" s="746"/>
      <c r="X606" s="746"/>
      <c r="Y606" s="799"/>
      <c r="Z606" s="799"/>
      <c r="AA606" s="799"/>
      <c r="AB606" s="799"/>
      <c r="AC606" s="799"/>
      <c r="AD606" s="750"/>
      <c r="AE606" s="749"/>
      <c r="AF606" s="749"/>
      <c r="AG606" s="749"/>
      <c r="AH606" s="749"/>
      <c r="AI606" s="749"/>
      <c r="AJ606" s="749"/>
      <c r="AK606" s="749"/>
      <c r="AL606" s="749"/>
      <c r="AM606" s="749"/>
      <c r="AN606" s="749"/>
      <c r="AO606" s="749"/>
      <c r="AP606" s="749"/>
      <c r="AQ606" s="749"/>
      <c r="AR606" s="749"/>
      <c r="AS606" s="749"/>
      <c r="AT606" s="749"/>
      <c r="AU606" s="749"/>
      <c r="AV606" s="749"/>
      <c r="AW606" s="749"/>
      <c r="AX606" s="749"/>
      <c r="AY606" s="749"/>
      <c r="AZ606" s="749"/>
      <c r="BA606" s="749"/>
      <c r="BB606" s="749"/>
      <c r="BC606" s="749"/>
      <c r="BD606" s="749"/>
      <c r="BE606" s="749"/>
      <c r="BF606" s="749"/>
      <c r="BG606" s="749"/>
      <c r="BH606" s="749"/>
      <c r="BI606" s="749"/>
      <c r="BJ606" s="749"/>
      <c r="BK606" s="749"/>
      <c r="BL606" s="749"/>
    </row>
    <row r="607">
      <c r="A607" s="866"/>
      <c r="B607" s="867"/>
      <c r="C607" s="866"/>
      <c r="D607" s="866"/>
      <c r="E607" s="866"/>
      <c r="F607" s="866"/>
      <c r="G607" s="866"/>
      <c r="H607" s="866"/>
      <c r="I607" s="866"/>
      <c r="J607" s="868"/>
      <c r="K607" s="868"/>
      <c r="L607" s="799"/>
      <c r="M607" s="747"/>
      <c r="N607" s="744"/>
      <c r="O607" s="744"/>
      <c r="P607" s="744"/>
      <c r="Q607" s="744"/>
      <c r="R607" s="744"/>
      <c r="S607" s="744"/>
      <c r="T607" s="855"/>
      <c r="U607" s="746"/>
      <c r="V607" s="746"/>
      <c r="W607" s="746"/>
      <c r="X607" s="746"/>
      <c r="Y607" s="799"/>
      <c r="Z607" s="799"/>
      <c r="AA607" s="799"/>
      <c r="AB607" s="799"/>
      <c r="AC607" s="799"/>
      <c r="AD607" s="750"/>
      <c r="AE607" s="749"/>
      <c r="AF607" s="749"/>
      <c r="AG607" s="749"/>
      <c r="AH607" s="749"/>
      <c r="AI607" s="749"/>
      <c r="AJ607" s="749"/>
      <c r="AK607" s="749"/>
      <c r="AL607" s="749"/>
      <c r="AM607" s="749"/>
      <c r="AN607" s="749"/>
      <c r="AO607" s="749"/>
      <c r="AP607" s="749"/>
      <c r="AQ607" s="749"/>
      <c r="AR607" s="749"/>
      <c r="AS607" s="749"/>
      <c r="AT607" s="749"/>
      <c r="AU607" s="749"/>
      <c r="AV607" s="749"/>
      <c r="AW607" s="749"/>
      <c r="AX607" s="749"/>
      <c r="AY607" s="749"/>
      <c r="AZ607" s="749"/>
      <c r="BA607" s="749"/>
      <c r="BB607" s="749"/>
      <c r="BC607" s="749"/>
      <c r="BD607" s="749"/>
      <c r="BE607" s="749"/>
      <c r="BF607" s="749"/>
      <c r="BG607" s="749"/>
      <c r="BH607" s="749"/>
      <c r="BI607" s="749"/>
      <c r="BJ607" s="749"/>
      <c r="BK607" s="749"/>
      <c r="BL607" s="749"/>
    </row>
    <row r="608">
      <c r="A608" s="866"/>
      <c r="B608" s="867"/>
      <c r="C608" s="866"/>
      <c r="D608" s="866"/>
      <c r="E608" s="866"/>
      <c r="F608" s="866"/>
      <c r="G608" s="866"/>
      <c r="H608" s="866"/>
      <c r="I608" s="866"/>
      <c r="J608" s="868"/>
      <c r="K608" s="868"/>
      <c r="L608" s="799"/>
      <c r="M608" s="747"/>
      <c r="N608" s="744"/>
      <c r="O608" s="744"/>
      <c r="P608" s="744"/>
      <c r="Q608" s="744"/>
      <c r="R608" s="744"/>
      <c r="S608" s="744"/>
      <c r="T608" s="855"/>
      <c r="U608" s="746"/>
      <c r="V608" s="746"/>
      <c r="W608" s="746"/>
      <c r="X608" s="746"/>
      <c r="Y608" s="799"/>
      <c r="Z608" s="799"/>
      <c r="AA608" s="799"/>
      <c r="AB608" s="799"/>
      <c r="AC608" s="799"/>
      <c r="AD608" s="750"/>
      <c r="AE608" s="749"/>
      <c r="AF608" s="749"/>
      <c r="AG608" s="749"/>
      <c r="AH608" s="749"/>
      <c r="AI608" s="749"/>
      <c r="AJ608" s="749"/>
      <c r="AK608" s="749"/>
      <c r="AL608" s="749"/>
      <c r="AM608" s="749"/>
      <c r="AN608" s="749"/>
      <c r="AO608" s="749"/>
      <c r="AP608" s="749"/>
      <c r="AQ608" s="749"/>
      <c r="AR608" s="749"/>
      <c r="AS608" s="749"/>
      <c r="AT608" s="749"/>
      <c r="AU608" s="749"/>
      <c r="AV608" s="749"/>
      <c r="AW608" s="749"/>
      <c r="AX608" s="749"/>
      <c r="AY608" s="749"/>
      <c r="AZ608" s="749"/>
      <c r="BA608" s="749"/>
      <c r="BB608" s="749"/>
      <c r="BC608" s="749"/>
      <c r="BD608" s="749"/>
      <c r="BE608" s="749"/>
      <c r="BF608" s="749"/>
      <c r="BG608" s="749"/>
      <c r="BH608" s="749"/>
      <c r="BI608" s="749"/>
      <c r="BJ608" s="749"/>
      <c r="BK608" s="749"/>
      <c r="BL608" s="749"/>
    </row>
    <row r="609">
      <c r="A609" s="866"/>
      <c r="B609" s="867"/>
      <c r="C609" s="866"/>
      <c r="D609" s="866"/>
      <c r="E609" s="866"/>
      <c r="F609" s="866"/>
      <c r="G609" s="866"/>
      <c r="H609" s="866"/>
      <c r="I609" s="866"/>
      <c r="J609" s="868"/>
      <c r="K609" s="868"/>
      <c r="L609" s="799"/>
      <c r="M609" s="747"/>
      <c r="N609" s="744"/>
      <c r="O609" s="744"/>
      <c r="P609" s="744"/>
      <c r="Q609" s="744"/>
      <c r="R609" s="744"/>
      <c r="S609" s="744"/>
      <c r="T609" s="855"/>
      <c r="U609" s="746"/>
      <c r="V609" s="746"/>
      <c r="W609" s="746"/>
      <c r="X609" s="746"/>
      <c r="Y609" s="799"/>
      <c r="Z609" s="799"/>
      <c r="AA609" s="799"/>
      <c r="AB609" s="799"/>
      <c r="AC609" s="799"/>
      <c r="AD609" s="750"/>
      <c r="AE609" s="749"/>
      <c r="AF609" s="749"/>
      <c r="AG609" s="749"/>
      <c r="AH609" s="749"/>
      <c r="AI609" s="749"/>
      <c r="AJ609" s="749"/>
      <c r="AK609" s="749"/>
      <c r="AL609" s="749"/>
      <c r="AM609" s="749"/>
      <c r="AN609" s="749"/>
      <c r="AO609" s="749"/>
      <c r="AP609" s="749"/>
      <c r="AQ609" s="749"/>
      <c r="AR609" s="749"/>
      <c r="AS609" s="749"/>
      <c r="AT609" s="749"/>
      <c r="AU609" s="749"/>
      <c r="AV609" s="749"/>
      <c r="AW609" s="749"/>
      <c r="AX609" s="749"/>
      <c r="AY609" s="749"/>
      <c r="AZ609" s="749"/>
      <c r="BA609" s="749"/>
      <c r="BB609" s="749"/>
      <c r="BC609" s="749"/>
      <c r="BD609" s="749"/>
      <c r="BE609" s="749"/>
      <c r="BF609" s="749"/>
      <c r="BG609" s="749"/>
      <c r="BH609" s="749"/>
      <c r="BI609" s="749"/>
      <c r="BJ609" s="749"/>
      <c r="BK609" s="749"/>
      <c r="BL609" s="749"/>
    </row>
    <row r="610">
      <c r="A610" s="866"/>
      <c r="B610" s="867"/>
      <c r="C610" s="866"/>
      <c r="D610" s="866"/>
      <c r="E610" s="866"/>
      <c r="F610" s="866"/>
      <c r="G610" s="866"/>
      <c r="H610" s="866"/>
      <c r="I610" s="866"/>
      <c r="J610" s="868"/>
      <c r="K610" s="868"/>
      <c r="L610" s="799"/>
      <c r="M610" s="747"/>
      <c r="N610" s="744"/>
      <c r="O610" s="744"/>
      <c r="P610" s="744"/>
      <c r="Q610" s="744"/>
      <c r="R610" s="744"/>
      <c r="S610" s="744"/>
      <c r="T610" s="855"/>
      <c r="U610" s="746"/>
      <c r="V610" s="746"/>
      <c r="W610" s="746"/>
      <c r="X610" s="746"/>
      <c r="Y610" s="799"/>
      <c r="Z610" s="799"/>
      <c r="AA610" s="799"/>
      <c r="AB610" s="799"/>
      <c r="AC610" s="799"/>
      <c r="AD610" s="750"/>
      <c r="AE610" s="749"/>
      <c r="AF610" s="749"/>
      <c r="AG610" s="749"/>
      <c r="AH610" s="749"/>
      <c r="AI610" s="749"/>
      <c r="AJ610" s="749"/>
      <c r="AK610" s="749"/>
      <c r="AL610" s="749"/>
      <c r="AM610" s="749"/>
      <c r="AN610" s="749"/>
      <c r="AO610" s="749"/>
      <c r="AP610" s="749"/>
      <c r="AQ610" s="749"/>
      <c r="AR610" s="749"/>
      <c r="AS610" s="749"/>
      <c r="AT610" s="749"/>
      <c r="AU610" s="749"/>
      <c r="AV610" s="749"/>
      <c r="AW610" s="749"/>
      <c r="AX610" s="749"/>
      <c r="AY610" s="749"/>
      <c r="AZ610" s="749"/>
      <c r="BA610" s="749"/>
      <c r="BB610" s="749"/>
      <c r="BC610" s="749"/>
      <c r="BD610" s="749"/>
      <c r="BE610" s="749"/>
      <c r="BF610" s="749"/>
      <c r="BG610" s="749"/>
      <c r="BH610" s="749"/>
      <c r="BI610" s="749"/>
      <c r="BJ610" s="749"/>
      <c r="BK610" s="749"/>
      <c r="BL610" s="749"/>
    </row>
    <row r="611">
      <c r="A611" s="866"/>
      <c r="B611" s="867"/>
      <c r="C611" s="866"/>
      <c r="D611" s="866"/>
      <c r="E611" s="866"/>
      <c r="F611" s="866"/>
      <c r="G611" s="866"/>
      <c r="H611" s="866"/>
      <c r="I611" s="866"/>
      <c r="J611" s="868"/>
      <c r="K611" s="868"/>
      <c r="L611" s="799"/>
      <c r="M611" s="747"/>
      <c r="N611" s="744"/>
      <c r="O611" s="744"/>
      <c r="P611" s="744"/>
      <c r="Q611" s="744"/>
      <c r="R611" s="744"/>
      <c r="S611" s="744"/>
      <c r="T611" s="855"/>
      <c r="U611" s="746"/>
      <c r="V611" s="746"/>
      <c r="W611" s="746"/>
      <c r="X611" s="746"/>
      <c r="Y611" s="799"/>
      <c r="Z611" s="799"/>
      <c r="AA611" s="799"/>
      <c r="AB611" s="799"/>
      <c r="AC611" s="799"/>
      <c r="AD611" s="750"/>
      <c r="AE611" s="749"/>
      <c r="AF611" s="749"/>
      <c r="AG611" s="749"/>
      <c r="AH611" s="749"/>
      <c r="AI611" s="749"/>
      <c r="AJ611" s="749"/>
      <c r="AK611" s="749"/>
      <c r="AL611" s="749"/>
      <c r="AM611" s="749"/>
      <c r="AN611" s="749"/>
      <c r="AO611" s="749"/>
      <c r="AP611" s="749"/>
      <c r="AQ611" s="749"/>
      <c r="AR611" s="749"/>
      <c r="AS611" s="749"/>
      <c r="AT611" s="749"/>
      <c r="AU611" s="749"/>
      <c r="AV611" s="749"/>
      <c r="AW611" s="749"/>
      <c r="AX611" s="749"/>
      <c r="AY611" s="749"/>
      <c r="AZ611" s="749"/>
      <c r="BA611" s="749"/>
      <c r="BB611" s="749"/>
      <c r="BC611" s="749"/>
      <c r="BD611" s="749"/>
      <c r="BE611" s="749"/>
      <c r="BF611" s="749"/>
      <c r="BG611" s="749"/>
      <c r="BH611" s="749"/>
      <c r="BI611" s="749"/>
      <c r="BJ611" s="749"/>
      <c r="BK611" s="749"/>
      <c r="BL611" s="749"/>
    </row>
    <row r="612">
      <c r="A612" s="866"/>
      <c r="B612" s="867"/>
      <c r="C612" s="866"/>
      <c r="D612" s="866"/>
      <c r="E612" s="866"/>
      <c r="F612" s="866"/>
      <c r="G612" s="866"/>
      <c r="H612" s="866"/>
      <c r="I612" s="866"/>
      <c r="J612" s="868"/>
      <c r="K612" s="868"/>
      <c r="L612" s="799"/>
      <c r="M612" s="747"/>
      <c r="N612" s="744"/>
      <c r="O612" s="744"/>
      <c r="P612" s="744"/>
      <c r="Q612" s="744"/>
      <c r="R612" s="744"/>
      <c r="S612" s="744"/>
      <c r="T612" s="855"/>
      <c r="U612" s="746"/>
      <c r="V612" s="746"/>
      <c r="W612" s="746"/>
      <c r="X612" s="746"/>
      <c r="Y612" s="799"/>
      <c r="Z612" s="799"/>
      <c r="AA612" s="799"/>
      <c r="AB612" s="799"/>
      <c r="AC612" s="799"/>
      <c r="AD612" s="750"/>
      <c r="AE612" s="749"/>
      <c r="AF612" s="749"/>
      <c r="AG612" s="749"/>
      <c r="AH612" s="749"/>
      <c r="AI612" s="749"/>
      <c r="AJ612" s="749"/>
      <c r="AK612" s="749"/>
      <c r="AL612" s="749"/>
      <c r="AM612" s="749"/>
      <c r="AN612" s="749"/>
      <c r="AO612" s="749"/>
      <c r="AP612" s="749"/>
      <c r="AQ612" s="749"/>
      <c r="AR612" s="749"/>
      <c r="AS612" s="749"/>
      <c r="AT612" s="749"/>
      <c r="AU612" s="749"/>
      <c r="AV612" s="749"/>
      <c r="AW612" s="749"/>
      <c r="AX612" s="749"/>
      <c r="AY612" s="749"/>
      <c r="AZ612" s="749"/>
      <c r="BA612" s="749"/>
      <c r="BB612" s="749"/>
      <c r="BC612" s="749"/>
      <c r="BD612" s="749"/>
      <c r="BE612" s="749"/>
      <c r="BF612" s="749"/>
      <c r="BG612" s="749"/>
      <c r="BH612" s="749"/>
      <c r="BI612" s="749"/>
      <c r="BJ612" s="749"/>
      <c r="BK612" s="749"/>
      <c r="BL612" s="749"/>
    </row>
    <row r="613">
      <c r="A613" s="866"/>
      <c r="B613" s="867"/>
      <c r="C613" s="866"/>
      <c r="D613" s="866"/>
      <c r="E613" s="866"/>
      <c r="F613" s="866"/>
      <c r="G613" s="866"/>
      <c r="H613" s="866"/>
      <c r="I613" s="866"/>
      <c r="J613" s="868"/>
      <c r="K613" s="868"/>
      <c r="L613" s="799"/>
      <c r="M613" s="747"/>
      <c r="N613" s="744"/>
      <c r="O613" s="744"/>
      <c r="P613" s="744"/>
      <c r="Q613" s="744"/>
      <c r="R613" s="744"/>
      <c r="S613" s="744"/>
      <c r="T613" s="855"/>
      <c r="U613" s="746"/>
      <c r="V613" s="746"/>
      <c r="W613" s="746"/>
      <c r="X613" s="746"/>
      <c r="Y613" s="799"/>
      <c r="Z613" s="799"/>
      <c r="AA613" s="799"/>
      <c r="AB613" s="799"/>
      <c r="AC613" s="799"/>
      <c r="AD613" s="750"/>
      <c r="AE613" s="749"/>
      <c r="AF613" s="749"/>
      <c r="AG613" s="749"/>
      <c r="AH613" s="749"/>
      <c r="AI613" s="749"/>
      <c r="AJ613" s="749"/>
      <c r="AK613" s="749"/>
      <c r="AL613" s="749"/>
      <c r="AM613" s="749"/>
      <c r="AN613" s="749"/>
      <c r="AO613" s="749"/>
      <c r="AP613" s="749"/>
      <c r="AQ613" s="749"/>
      <c r="AR613" s="749"/>
      <c r="AS613" s="749"/>
      <c r="AT613" s="749"/>
      <c r="AU613" s="749"/>
      <c r="AV613" s="749"/>
      <c r="AW613" s="749"/>
      <c r="AX613" s="749"/>
      <c r="AY613" s="749"/>
      <c r="AZ613" s="749"/>
      <c r="BA613" s="749"/>
      <c r="BB613" s="749"/>
      <c r="BC613" s="749"/>
      <c r="BD613" s="749"/>
      <c r="BE613" s="749"/>
      <c r="BF613" s="749"/>
      <c r="BG613" s="749"/>
      <c r="BH613" s="749"/>
      <c r="BI613" s="749"/>
      <c r="BJ613" s="749"/>
      <c r="BK613" s="749"/>
      <c r="BL613" s="749"/>
    </row>
    <row r="614">
      <c r="A614" s="866"/>
      <c r="B614" s="867"/>
      <c r="C614" s="866"/>
      <c r="D614" s="866"/>
      <c r="E614" s="866"/>
      <c r="F614" s="866"/>
      <c r="G614" s="866"/>
      <c r="H614" s="866"/>
      <c r="I614" s="866"/>
      <c r="J614" s="868"/>
      <c r="K614" s="868"/>
      <c r="L614" s="799"/>
      <c r="M614" s="747"/>
      <c r="N614" s="744"/>
      <c r="O614" s="744"/>
      <c r="P614" s="744"/>
      <c r="Q614" s="744"/>
      <c r="R614" s="744"/>
      <c r="S614" s="744"/>
      <c r="T614" s="855"/>
      <c r="U614" s="746"/>
      <c r="V614" s="746"/>
      <c r="W614" s="746"/>
      <c r="X614" s="746"/>
      <c r="Y614" s="799"/>
      <c r="Z614" s="799"/>
      <c r="AA614" s="799"/>
      <c r="AB614" s="799"/>
      <c r="AC614" s="799"/>
      <c r="AD614" s="750"/>
      <c r="AE614" s="749"/>
      <c r="AF614" s="749"/>
      <c r="AG614" s="749"/>
      <c r="AH614" s="749"/>
      <c r="AI614" s="749"/>
      <c r="AJ614" s="749"/>
      <c r="AK614" s="749"/>
      <c r="AL614" s="749"/>
      <c r="AM614" s="749"/>
      <c r="AN614" s="749"/>
      <c r="AO614" s="749"/>
      <c r="AP614" s="749"/>
      <c r="AQ614" s="749"/>
      <c r="AR614" s="749"/>
      <c r="AS614" s="749"/>
      <c r="AT614" s="749"/>
      <c r="AU614" s="749"/>
      <c r="AV614" s="749"/>
      <c r="AW614" s="749"/>
      <c r="AX614" s="749"/>
      <c r="AY614" s="749"/>
      <c r="AZ614" s="749"/>
      <c r="BA614" s="749"/>
      <c r="BB614" s="749"/>
      <c r="BC614" s="749"/>
      <c r="BD614" s="749"/>
      <c r="BE614" s="749"/>
      <c r="BF614" s="749"/>
      <c r="BG614" s="749"/>
      <c r="BH614" s="749"/>
      <c r="BI614" s="749"/>
      <c r="BJ614" s="749"/>
      <c r="BK614" s="749"/>
      <c r="BL614" s="749"/>
    </row>
    <row r="615">
      <c r="A615" s="866"/>
      <c r="B615" s="867"/>
      <c r="C615" s="866"/>
      <c r="D615" s="866"/>
      <c r="E615" s="866"/>
      <c r="F615" s="866"/>
      <c r="G615" s="866"/>
      <c r="H615" s="866"/>
      <c r="I615" s="866"/>
      <c r="J615" s="868"/>
      <c r="K615" s="868"/>
      <c r="L615" s="799"/>
      <c r="M615" s="747"/>
      <c r="N615" s="744"/>
      <c r="O615" s="744"/>
      <c r="P615" s="744"/>
      <c r="Q615" s="744"/>
      <c r="R615" s="744"/>
      <c r="S615" s="744"/>
      <c r="T615" s="855"/>
      <c r="U615" s="746"/>
      <c r="V615" s="746"/>
      <c r="W615" s="746"/>
      <c r="X615" s="746"/>
      <c r="Y615" s="799"/>
      <c r="Z615" s="799"/>
      <c r="AA615" s="799"/>
      <c r="AB615" s="799"/>
      <c r="AC615" s="799"/>
      <c r="AD615" s="750"/>
      <c r="AE615" s="749"/>
      <c r="AF615" s="749"/>
      <c r="AG615" s="749"/>
      <c r="AH615" s="749"/>
      <c r="AI615" s="749"/>
      <c r="AJ615" s="749"/>
      <c r="AK615" s="749"/>
      <c r="AL615" s="749"/>
      <c r="AM615" s="749"/>
      <c r="AN615" s="749"/>
      <c r="AO615" s="749"/>
      <c r="AP615" s="749"/>
      <c r="AQ615" s="749"/>
      <c r="AR615" s="749"/>
      <c r="AS615" s="749"/>
      <c r="AT615" s="749"/>
      <c r="AU615" s="749"/>
      <c r="AV615" s="749"/>
      <c r="AW615" s="749"/>
      <c r="AX615" s="749"/>
      <c r="AY615" s="749"/>
      <c r="AZ615" s="749"/>
      <c r="BA615" s="749"/>
      <c r="BB615" s="749"/>
      <c r="BC615" s="749"/>
      <c r="BD615" s="749"/>
      <c r="BE615" s="749"/>
      <c r="BF615" s="749"/>
      <c r="BG615" s="749"/>
      <c r="BH615" s="749"/>
      <c r="BI615" s="749"/>
      <c r="BJ615" s="749"/>
      <c r="BK615" s="749"/>
      <c r="BL615" s="749"/>
    </row>
    <row r="616">
      <c r="A616" s="866"/>
      <c r="B616" s="867"/>
      <c r="C616" s="866"/>
      <c r="D616" s="866"/>
      <c r="E616" s="866"/>
      <c r="F616" s="866"/>
      <c r="G616" s="866"/>
      <c r="H616" s="866"/>
      <c r="I616" s="866"/>
      <c r="J616" s="868"/>
      <c r="K616" s="868"/>
      <c r="L616" s="799"/>
      <c r="M616" s="747"/>
      <c r="N616" s="744"/>
      <c r="O616" s="744"/>
      <c r="P616" s="744"/>
      <c r="Q616" s="744"/>
      <c r="R616" s="744"/>
      <c r="S616" s="744"/>
      <c r="T616" s="855"/>
      <c r="U616" s="746"/>
      <c r="V616" s="746"/>
      <c r="W616" s="746"/>
      <c r="X616" s="746"/>
      <c r="Y616" s="799"/>
      <c r="Z616" s="799"/>
      <c r="AA616" s="799"/>
      <c r="AB616" s="799"/>
      <c r="AC616" s="799"/>
      <c r="AD616" s="750"/>
      <c r="AE616" s="749"/>
      <c r="AF616" s="749"/>
      <c r="AG616" s="749"/>
      <c r="AH616" s="749"/>
      <c r="AI616" s="749"/>
      <c r="AJ616" s="749"/>
      <c r="AK616" s="749"/>
      <c r="AL616" s="749"/>
      <c r="AM616" s="749"/>
      <c r="AN616" s="749"/>
      <c r="AO616" s="749"/>
      <c r="AP616" s="749"/>
      <c r="AQ616" s="749"/>
      <c r="AR616" s="749"/>
      <c r="AS616" s="749"/>
      <c r="AT616" s="749"/>
      <c r="AU616" s="749"/>
      <c r="AV616" s="749"/>
      <c r="AW616" s="749"/>
      <c r="AX616" s="749"/>
      <c r="AY616" s="749"/>
      <c r="AZ616" s="749"/>
      <c r="BA616" s="749"/>
      <c r="BB616" s="749"/>
      <c r="BC616" s="749"/>
      <c r="BD616" s="749"/>
      <c r="BE616" s="749"/>
      <c r="BF616" s="749"/>
      <c r="BG616" s="749"/>
      <c r="BH616" s="749"/>
      <c r="BI616" s="749"/>
      <c r="BJ616" s="749"/>
      <c r="BK616" s="749"/>
      <c r="BL616" s="749"/>
    </row>
    <row r="617">
      <c r="A617" s="866"/>
      <c r="B617" s="867"/>
      <c r="C617" s="866"/>
      <c r="D617" s="866"/>
      <c r="E617" s="866"/>
      <c r="F617" s="866"/>
      <c r="G617" s="866"/>
      <c r="H617" s="866"/>
      <c r="I617" s="866"/>
      <c r="J617" s="868"/>
      <c r="K617" s="868"/>
      <c r="L617" s="799"/>
      <c r="M617" s="747"/>
      <c r="N617" s="744"/>
      <c r="O617" s="744"/>
      <c r="P617" s="744"/>
      <c r="Q617" s="744"/>
      <c r="R617" s="744"/>
      <c r="S617" s="744"/>
      <c r="T617" s="855"/>
      <c r="U617" s="746"/>
      <c r="V617" s="746"/>
      <c r="W617" s="746"/>
      <c r="X617" s="746"/>
      <c r="Y617" s="799"/>
      <c r="Z617" s="799"/>
      <c r="AA617" s="799"/>
      <c r="AB617" s="799"/>
      <c r="AC617" s="799"/>
      <c r="AD617" s="750"/>
      <c r="AE617" s="749"/>
      <c r="AF617" s="749"/>
      <c r="AG617" s="749"/>
      <c r="AH617" s="749"/>
      <c r="AI617" s="749"/>
      <c r="AJ617" s="749"/>
      <c r="AK617" s="749"/>
      <c r="AL617" s="749"/>
      <c r="AM617" s="749"/>
      <c r="AN617" s="749"/>
      <c r="AO617" s="749"/>
      <c r="AP617" s="749"/>
      <c r="AQ617" s="749"/>
      <c r="AR617" s="749"/>
      <c r="AS617" s="749"/>
      <c r="AT617" s="749"/>
      <c r="AU617" s="749"/>
      <c r="AV617" s="749"/>
      <c r="AW617" s="749"/>
      <c r="AX617" s="749"/>
      <c r="AY617" s="749"/>
      <c r="AZ617" s="749"/>
      <c r="BA617" s="749"/>
      <c r="BB617" s="749"/>
      <c r="BC617" s="749"/>
      <c r="BD617" s="749"/>
      <c r="BE617" s="749"/>
      <c r="BF617" s="749"/>
      <c r="BG617" s="749"/>
      <c r="BH617" s="749"/>
      <c r="BI617" s="749"/>
      <c r="BJ617" s="749"/>
      <c r="BK617" s="749"/>
      <c r="BL617" s="749"/>
    </row>
    <row r="618">
      <c r="A618" s="866"/>
      <c r="B618" s="867"/>
      <c r="C618" s="866"/>
      <c r="D618" s="866"/>
      <c r="E618" s="866"/>
      <c r="F618" s="866"/>
      <c r="G618" s="866"/>
      <c r="H618" s="866"/>
      <c r="I618" s="866"/>
      <c r="J618" s="868"/>
      <c r="K618" s="868"/>
      <c r="L618" s="799"/>
      <c r="M618" s="747"/>
      <c r="N618" s="744"/>
      <c r="O618" s="744"/>
      <c r="P618" s="744"/>
      <c r="Q618" s="744"/>
      <c r="R618" s="744"/>
      <c r="S618" s="744"/>
      <c r="T618" s="855"/>
      <c r="U618" s="746"/>
      <c r="V618" s="746"/>
      <c r="W618" s="746"/>
      <c r="X618" s="746"/>
      <c r="Y618" s="799"/>
      <c r="Z618" s="799"/>
      <c r="AA618" s="799"/>
      <c r="AB618" s="799"/>
      <c r="AC618" s="799"/>
      <c r="AD618" s="750"/>
      <c r="AE618" s="749"/>
      <c r="AF618" s="749"/>
      <c r="AG618" s="749"/>
      <c r="AH618" s="749"/>
      <c r="AI618" s="749"/>
      <c r="AJ618" s="749"/>
      <c r="AK618" s="749"/>
      <c r="AL618" s="749"/>
      <c r="AM618" s="749"/>
      <c r="AN618" s="749"/>
      <c r="AO618" s="749"/>
      <c r="AP618" s="749"/>
      <c r="AQ618" s="749"/>
      <c r="AR618" s="749"/>
      <c r="AS618" s="749"/>
      <c r="AT618" s="749"/>
      <c r="AU618" s="749"/>
      <c r="AV618" s="749"/>
      <c r="AW618" s="749"/>
      <c r="AX618" s="749"/>
      <c r="AY618" s="749"/>
      <c r="AZ618" s="749"/>
      <c r="BA618" s="749"/>
      <c r="BB618" s="749"/>
      <c r="BC618" s="749"/>
      <c r="BD618" s="749"/>
      <c r="BE618" s="749"/>
      <c r="BF618" s="749"/>
      <c r="BG618" s="749"/>
      <c r="BH618" s="749"/>
      <c r="BI618" s="749"/>
      <c r="BJ618" s="749"/>
      <c r="BK618" s="749"/>
      <c r="BL618" s="749"/>
    </row>
    <row r="619">
      <c r="A619" s="866"/>
      <c r="B619" s="867"/>
      <c r="C619" s="866"/>
      <c r="D619" s="866"/>
      <c r="E619" s="866"/>
      <c r="F619" s="866"/>
      <c r="G619" s="866"/>
      <c r="H619" s="866"/>
      <c r="I619" s="866"/>
      <c r="J619" s="868"/>
      <c r="K619" s="868"/>
      <c r="L619" s="799"/>
      <c r="M619" s="747"/>
      <c r="N619" s="744"/>
      <c r="O619" s="744"/>
      <c r="P619" s="744"/>
      <c r="Q619" s="744"/>
      <c r="R619" s="744"/>
      <c r="S619" s="744"/>
      <c r="T619" s="855"/>
      <c r="U619" s="746"/>
      <c r="V619" s="746"/>
      <c r="W619" s="746"/>
      <c r="X619" s="746"/>
      <c r="Y619" s="799"/>
      <c r="Z619" s="799"/>
      <c r="AA619" s="799"/>
      <c r="AB619" s="799"/>
      <c r="AC619" s="799"/>
      <c r="AD619" s="750"/>
      <c r="AE619" s="749"/>
      <c r="AF619" s="749"/>
      <c r="AG619" s="749"/>
      <c r="AH619" s="749"/>
      <c r="AI619" s="749"/>
      <c r="AJ619" s="749"/>
      <c r="AK619" s="749"/>
      <c r="AL619" s="749"/>
      <c r="AM619" s="749"/>
      <c r="AN619" s="749"/>
      <c r="AO619" s="749"/>
      <c r="AP619" s="749"/>
      <c r="AQ619" s="749"/>
      <c r="AR619" s="749"/>
      <c r="AS619" s="749"/>
      <c r="AT619" s="749"/>
      <c r="AU619" s="749"/>
      <c r="AV619" s="749"/>
      <c r="AW619" s="749"/>
      <c r="AX619" s="749"/>
      <c r="AY619" s="749"/>
      <c r="AZ619" s="749"/>
      <c r="BA619" s="749"/>
      <c r="BB619" s="749"/>
      <c r="BC619" s="749"/>
      <c r="BD619" s="749"/>
      <c r="BE619" s="749"/>
      <c r="BF619" s="749"/>
      <c r="BG619" s="749"/>
      <c r="BH619" s="749"/>
      <c r="BI619" s="749"/>
      <c r="BJ619" s="749"/>
      <c r="BK619" s="749"/>
      <c r="BL619" s="749"/>
    </row>
    <row r="620">
      <c r="A620" s="866"/>
      <c r="B620" s="867"/>
      <c r="C620" s="866"/>
      <c r="D620" s="866"/>
      <c r="E620" s="866"/>
      <c r="F620" s="866"/>
      <c r="G620" s="866"/>
      <c r="H620" s="866"/>
      <c r="I620" s="866"/>
      <c r="J620" s="868"/>
      <c r="K620" s="868"/>
      <c r="L620" s="799"/>
      <c r="M620" s="747"/>
      <c r="N620" s="744"/>
      <c r="O620" s="744"/>
      <c r="P620" s="744"/>
      <c r="Q620" s="744"/>
      <c r="R620" s="744"/>
      <c r="S620" s="744"/>
      <c r="T620" s="855"/>
      <c r="U620" s="746"/>
      <c r="V620" s="746"/>
      <c r="W620" s="746"/>
      <c r="X620" s="746"/>
      <c r="Y620" s="799"/>
      <c r="Z620" s="799"/>
      <c r="AA620" s="799"/>
      <c r="AB620" s="799"/>
      <c r="AC620" s="799"/>
      <c r="AD620" s="750"/>
      <c r="AE620" s="749"/>
      <c r="AF620" s="749"/>
      <c r="AG620" s="749"/>
      <c r="AH620" s="749"/>
      <c r="AI620" s="749"/>
      <c r="AJ620" s="749"/>
      <c r="AK620" s="749"/>
      <c r="AL620" s="749"/>
      <c r="AM620" s="749"/>
      <c r="AN620" s="749"/>
      <c r="AO620" s="749"/>
      <c r="AP620" s="749"/>
      <c r="AQ620" s="749"/>
      <c r="AR620" s="749"/>
      <c r="AS620" s="749"/>
      <c r="AT620" s="749"/>
      <c r="AU620" s="749"/>
      <c r="AV620" s="749"/>
      <c r="AW620" s="749"/>
      <c r="AX620" s="749"/>
      <c r="AY620" s="749"/>
      <c r="AZ620" s="749"/>
      <c r="BA620" s="749"/>
      <c r="BB620" s="749"/>
      <c r="BC620" s="749"/>
      <c r="BD620" s="749"/>
      <c r="BE620" s="749"/>
      <c r="BF620" s="749"/>
      <c r="BG620" s="749"/>
      <c r="BH620" s="749"/>
      <c r="BI620" s="749"/>
      <c r="BJ620" s="749"/>
      <c r="BK620" s="749"/>
      <c r="BL620" s="749"/>
    </row>
    <row r="621">
      <c r="A621" s="866"/>
      <c r="B621" s="867"/>
      <c r="C621" s="866"/>
      <c r="D621" s="866"/>
      <c r="E621" s="866"/>
      <c r="F621" s="866"/>
      <c r="G621" s="866"/>
      <c r="H621" s="866"/>
      <c r="I621" s="866"/>
      <c r="J621" s="868"/>
      <c r="K621" s="868"/>
      <c r="L621" s="799"/>
      <c r="M621" s="747"/>
      <c r="N621" s="744"/>
      <c r="O621" s="744"/>
      <c r="P621" s="744"/>
      <c r="Q621" s="744"/>
      <c r="R621" s="744"/>
      <c r="S621" s="744"/>
      <c r="T621" s="855"/>
      <c r="U621" s="746"/>
      <c r="V621" s="746"/>
      <c r="W621" s="746"/>
      <c r="X621" s="746"/>
      <c r="Y621" s="799"/>
      <c r="Z621" s="799"/>
      <c r="AA621" s="799"/>
      <c r="AB621" s="799"/>
      <c r="AC621" s="799"/>
      <c r="AD621" s="750"/>
      <c r="AE621" s="749"/>
      <c r="AF621" s="749"/>
      <c r="AG621" s="749"/>
      <c r="AH621" s="749"/>
      <c r="AI621" s="749"/>
      <c r="AJ621" s="749"/>
      <c r="AK621" s="749"/>
      <c r="AL621" s="749"/>
      <c r="AM621" s="749"/>
      <c r="AN621" s="749"/>
      <c r="AO621" s="749"/>
      <c r="AP621" s="749"/>
      <c r="AQ621" s="749"/>
      <c r="AR621" s="749"/>
      <c r="AS621" s="749"/>
      <c r="AT621" s="749"/>
      <c r="AU621" s="749"/>
      <c r="AV621" s="749"/>
      <c r="AW621" s="749"/>
      <c r="AX621" s="749"/>
      <c r="AY621" s="749"/>
      <c r="AZ621" s="749"/>
      <c r="BA621" s="749"/>
      <c r="BB621" s="749"/>
      <c r="BC621" s="749"/>
      <c r="BD621" s="749"/>
      <c r="BE621" s="749"/>
      <c r="BF621" s="749"/>
      <c r="BG621" s="749"/>
      <c r="BH621" s="749"/>
      <c r="BI621" s="749"/>
      <c r="BJ621" s="749"/>
      <c r="BK621" s="749"/>
      <c r="BL621" s="749"/>
    </row>
    <row r="622">
      <c r="A622" s="866"/>
      <c r="B622" s="867"/>
      <c r="C622" s="866"/>
      <c r="D622" s="866"/>
      <c r="E622" s="866"/>
      <c r="F622" s="866"/>
      <c r="G622" s="866"/>
      <c r="H622" s="866"/>
      <c r="I622" s="866"/>
      <c r="J622" s="868"/>
      <c r="K622" s="868"/>
      <c r="L622" s="799"/>
      <c r="M622" s="747"/>
      <c r="N622" s="744"/>
      <c r="O622" s="744"/>
      <c r="P622" s="744"/>
      <c r="Q622" s="744"/>
      <c r="R622" s="744"/>
      <c r="S622" s="744"/>
      <c r="T622" s="855"/>
      <c r="U622" s="746"/>
      <c r="V622" s="746"/>
      <c r="W622" s="746"/>
      <c r="X622" s="746"/>
      <c r="Y622" s="799"/>
      <c r="Z622" s="799"/>
      <c r="AA622" s="799"/>
      <c r="AB622" s="799"/>
      <c r="AC622" s="799"/>
      <c r="AD622" s="750"/>
      <c r="AE622" s="749"/>
      <c r="AF622" s="749"/>
      <c r="AG622" s="749"/>
      <c r="AH622" s="749"/>
      <c r="AI622" s="749"/>
      <c r="AJ622" s="749"/>
      <c r="AK622" s="749"/>
      <c r="AL622" s="749"/>
      <c r="AM622" s="749"/>
      <c r="AN622" s="749"/>
      <c r="AO622" s="749"/>
      <c r="AP622" s="749"/>
      <c r="AQ622" s="749"/>
      <c r="AR622" s="749"/>
      <c r="AS622" s="749"/>
      <c r="AT622" s="749"/>
      <c r="AU622" s="749"/>
      <c r="AV622" s="749"/>
      <c r="AW622" s="749"/>
      <c r="AX622" s="749"/>
      <c r="AY622" s="749"/>
      <c r="AZ622" s="749"/>
      <c r="BA622" s="749"/>
      <c r="BB622" s="749"/>
      <c r="BC622" s="749"/>
      <c r="BD622" s="749"/>
      <c r="BE622" s="749"/>
      <c r="BF622" s="749"/>
      <c r="BG622" s="749"/>
      <c r="BH622" s="749"/>
      <c r="BI622" s="749"/>
      <c r="BJ622" s="749"/>
      <c r="BK622" s="749"/>
      <c r="BL622" s="749"/>
    </row>
    <row r="623">
      <c r="A623" s="866"/>
      <c r="B623" s="867"/>
      <c r="C623" s="866"/>
      <c r="D623" s="866"/>
      <c r="E623" s="866"/>
      <c r="F623" s="866"/>
      <c r="G623" s="866"/>
      <c r="H623" s="866"/>
      <c r="I623" s="866"/>
      <c r="J623" s="868"/>
      <c r="K623" s="868"/>
      <c r="L623" s="799"/>
      <c r="M623" s="747"/>
      <c r="N623" s="744"/>
      <c r="O623" s="744"/>
      <c r="P623" s="744"/>
      <c r="Q623" s="744"/>
      <c r="R623" s="744"/>
      <c r="S623" s="744"/>
      <c r="T623" s="855"/>
      <c r="U623" s="746"/>
      <c r="V623" s="746"/>
      <c r="W623" s="746"/>
      <c r="X623" s="746"/>
      <c r="Y623" s="799"/>
      <c r="Z623" s="799"/>
      <c r="AA623" s="799"/>
      <c r="AB623" s="799"/>
      <c r="AC623" s="799"/>
      <c r="AD623" s="750"/>
      <c r="AE623" s="749"/>
      <c r="AF623" s="749"/>
      <c r="AG623" s="749"/>
      <c r="AH623" s="749"/>
      <c r="AI623" s="749"/>
      <c r="AJ623" s="749"/>
      <c r="AK623" s="749"/>
      <c r="AL623" s="749"/>
      <c r="AM623" s="749"/>
      <c r="AN623" s="749"/>
      <c r="AO623" s="749"/>
      <c r="AP623" s="749"/>
      <c r="AQ623" s="749"/>
      <c r="AR623" s="749"/>
      <c r="AS623" s="749"/>
      <c r="AT623" s="749"/>
      <c r="AU623" s="749"/>
      <c r="AV623" s="749"/>
      <c r="AW623" s="749"/>
      <c r="AX623" s="749"/>
      <c r="AY623" s="749"/>
      <c r="AZ623" s="749"/>
      <c r="BA623" s="749"/>
      <c r="BB623" s="749"/>
      <c r="BC623" s="749"/>
      <c r="BD623" s="749"/>
      <c r="BE623" s="749"/>
      <c r="BF623" s="749"/>
      <c r="BG623" s="749"/>
      <c r="BH623" s="749"/>
      <c r="BI623" s="749"/>
      <c r="BJ623" s="749"/>
      <c r="BK623" s="749"/>
      <c r="BL623" s="749"/>
    </row>
    <row r="624">
      <c r="A624" s="866"/>
      <c r="B624" s="867"/>
      <c r="C624" s="866"/>
      <c r="D624" s="866"/>
      <c r="E624" s="866"/>
      <c r="F624" s="866"/>
      <c r="G624" s="866"/>
      <c r="H624" s="866"/>
      <c r="I624" s="866"/>
      <c r="J624" s="868"/>
      <c r="K624" s="868"/>
      <c r="L624" s="799"/>
      <c r="M624" s="747"/>
      <c r="N624" s="744"/>
      <c r="O624" s="744"/>
      <c r="P624" s="744"/>
      <c r="Q624" s="744"/>
      <c r="R624" s="744"/>
      <c r="S624" s="744"/>
      <c r="T624" s="855"/>
      <c r="U624" s="746"/>
      <c r="V624" s="746"/>
      <c r="W624" s="746"/>
      <c r="X624" s="746"/>
      <c r="Y624" s="799"/>
      <c r="Z624" s="799"/>
      <c r="AA624" s="799"/>
      <c r="AB624" s="799"/>
      <c r="AC624" s="799"/>
      <c r="AD624" s="750"/>
      <c r="AE624" s="749"/>
      <c r="AF624" s="749"/>
      <c r="AG624" s="749"/>
      <c r="AH624" s="749"/>
      <c r="AI624" s="749"/>
      <c r="AJ624" s="749"/>
      <c r="AK624" s="749"/>
      <c r="AL624" s="749"/>
      <c r="AM624" s="749"/>
      <c r="AN624" s="749"/>
      <c r="AO624" s="749"/>
      <c r="AP624" s="749"/>
      <c r="AQ624" s="749"/>
      <c r="AR624" s="749"/>
      <c r="AS624" s="749"/>
      <c r="AT624" s="749"/>
      <c r="AU624" s="749"/>
      <c r="AV624" s="749"/>
      <c r="AW624" s="749"/>
      <c r="AX624" s="749"/>
      <c r="AY624" s="749"/>
      <c r="AZ624" s="749"/>
      <c r="BA624" s="749"/>
      <c r="BB624" s="749"/>
      <c r="BC624" s="749"/>
      <c r="BD624" s="749"/>
      <c r="BE624" s="749"/>
      <c r="BF624" s="749"/>
      <c r="BG624" s="749"/>
      <c r="BH624" s="749"/>
      <c r="BI624" s="749"/>
      <c r="BJ624" s="749"/>
      <c r="BK624" s="749"/>
      <c r="BL624" s="749"/>
    </row>
    <row r="625">
      <c r="A625" s="866"/>
      <c r="B625" s="867"/>
      <c r="C625" s="866"/>
      <c r="D625" s="866"/>
      <c r="E625" s="866"/>
      <c r="F625" s="866"/>
      <c r="G625" s="866"/>
      <c r="H625" s="866"/>
      <c r="I625" s="866"/>
      <c r="J625" s="868"/>
      <c r="K625" s="868"/>
      <c r="L625" s="799"/>
      <c r="M625" s="747"/>
      <c r="N625" s="744"/>
      <c r="O625" s="744"/>
      <c r="P625" s="744"/>
      <c r="Q625" s="744"/>
      <c r="R625" s="744"/>
      <c r="S625" s="744"/>
      <c r="T625" s="855"/>
      <c r="U625" s="746"/>
      <c r="V625" s="746"/>
      <c r="W625" s="746"/>
      <c r="X625" s="746"/>
      <c r="Y625" s="799"/>
      <c r="Z625" s="799"/>
      <c r="AA625" s="799"/>
      <c r="AB625" s="799"/>
      <c r="AC625" s="799"/>
      <c r="AD625" s="750"/>
      <c r="AE625" s="749"/>
      <c r="AF625" s="749"/>
      <c r="AG625" s="749"/>
      <c r="AH625" s="749"/>
      <c r="AI625" s="749"/>
      <c r="AJ625" s="749"/>
      <c r="AK625" s="749"/>
      <c r="AL625" s="749"/>
      <c r="AM625" s="749"/>
      <c r="AN625" s="749"/>
      <c r="AO625" s="749"/>
      <c r="AP625" s="749"/>
      <c r="AQ625" s="749"/>
      <c r="AR625" s="749"/>
      <c r="AS625" s="749"/>
      <c r="AT625" s="749"/>
      <c r="AU625" s="749"/>
      <c r="AV625" s="749"/>
      <c r="AW625" s="749"/>
      <c r="AX625" s="749"/>
      <c r="AY625" s="749"/>
      <c r="AZ625" s="749"/>
      <c r="BA625" s="749"/>
      <c r="BB625" s="749"/>
      <c r="BC625" s="749"/>
      <c r="BD625" s="749"/>
      <c r="BE625" s="749"/>
      <c r="BF625" s="749"/>
      <c r="BG625" s="749"/>
      <c r="BH625" s="749"/>
      <c r="BI625" s="749"/>
      <c r="BJ625" s="749"/>
      <c r="BK625" s="749"/>
      <c r="BL625" s="749"/>
    </row>
    <row r="626">
      <c r="A626" s="866"/>
      <c r="B626" s="867"/>
      <c r="C626" s="866"/>
      <c r="D626" s="866"/>
      <c r="E626" s="866"/>
      <c r="F626" s="866"/>
      <c r="G626" s="866"/>
      <c r="H626" s="866"/>
      <c r="I626" s="866"/>
      <c r="J626" s="868"/>
      <c r="K626" s="868"/>
      <c r="L626" s="799"/>
      <c r="M626" s="747"/>
      <c r="N626" s="744"/>
      <c r="O626" s="744"/>
      <c r="P626" s="744"/>
      <c r="Q626" s="744"/>
      <c r="R626" s="744"/>
      <c r="S626" s="744"/>
      <c r="T626" s="855"/>
      <c r="U626" s="746"/>
      <c r="V626" s="746"/>
      <c r="W626" s="746"/>
      <c r="X626" s="746"/>
      <c r="Y626" s="799"/>
      <c r="Z626" s="799"/>
      <c r="AA626" s="799"/>
      <c r="AB626" s="799"/>
      <c r="AC626" s="799"/>
      <c r="AD626" s="750"/>
      <c r="AE626" s="749"/>
      <c r="AF626" s="749"/>
      <c r="AG626" s="749"/>
      <c r="AH626" s="749"/>
      <c r="AI626" s="749"/>
      <c r="AJ626" s="749"/>
      <c r="AK626" s="749"/>
      <c r="AL626" s="749"/>
      <c r="AM626" s="749"/>
      <c r="AN626" s="749"/>
      <c r="AO626" s="749"/>
      <c r="AP626" s="749"/>
      <c r="AQ626" s="749"/>
      <c r="AR626" s="749"/>
      <c r="AS626" s="749"/>
      <c r="AT626" s="749"/>
      <c r="AU626" s="749"/>
      <c r="AV626" s="749"/>
      <c r="AW626" s="749"/>
      <c r="AX626" s="749"/>
      <c r="AY626" s="749"/>
      <c r="AZ626" s="749"/>
      <c r="BA626" s="749"/>
      <c r="BB626" s="749"/>
      <c r="BC626" s="749"/>
      <c r="BD626" s="749"/>
      <c r="BE626" s="749"/>
      <c r="BF626" s="749"/>
      <c r="BG626" s="749"/>
      <c r="BH626" s="749"/>
      <c r="BI626" s="749"/>
      <c r="BJ626" s="749"/>
      <c r="BK626" s="749"/>
      <c r="BL626" s="749"/>
    </row>
    <row r="627">
      <c r="A627" s="866"/>
      <c r="B627" s="867"/>
      <c r="C627" s="866"/>
      <c r="D627" s="866"/>
      <c r="E627" s="866"/>
      <c r="F627" s="866"/>
      <c r="G627" s="866"/>
      <c r="H627" s="866"/>
      <c r="I627" s="866"/>
      <c r="J627" s="868"/>
      <c r="K627" s="868"/>
      <c r="L627" s="799"/>
      <c r="M627" s="747"/>
      <c r="N627" s="744"/>
      <c r="O627" s="744"/>
      <c r="P627" s="744"/>
      <c r="Q627" s="744"/>
      <c r="R627" s="744"/>
      <c r="S627" s="744"/>
      <c r="T627" s="855"/>
      <c r="U627" s="746"/>
      <c r="V627" s="746"/>
      <c r="W627" s="746"/>
      <c r="X627" s="746"/>
      <c r="Y627" s="799"/>
      <c r="Z627" s="799"/>
      <c r="AA627" s="799"/>
      <c r="AB627" s="799"/>
      <c r="AC627" s="799"/>
      <c r="AD627" s="750"/>
      <c r="AE627" s="749"/>
      <c r="AF627" s="749"/>
      <c r="AG627" s="749"/>
      <c r="AH627" s="749"/>
      <c r="AI627" s="749"/>
      <c r="AJ627" s="749"/>
      <c r="AK627" s="749"/>
      <c r="AL627" s="749"/>
      <c r="AM627" s="749"/>
      <c r="AN627" s="749"/>
      <c r="AO627" s="749"/>
      <c r="AP627" s="749"/>
      <c r="AQ627" s="749"/>
      <c r="AR627" s="749"/>
      <c r="AS627" s="749"/>
      <c r="AT627" s="749"/>
      <c r="AU627" s="749"/>
      <c r="AV627" s="749"/>
      <c r="AW627" s="749"/>
      <c r="AX627" s="749"/>
      <c r="AY627" s="749"/>
      <c r="AZ627" s="749"/>
      <c r="BA627" s="749"/>
      <c r="BB627" s="749"/>
      <c r="BC627" s="749"/>
      <c r="BD627" s="749"/>
      <c r="BE627" s="749"/>
      <c r="BF627" s="749"/>
      <c r="BG627" s="749"/>
      <c r="BH627" s="749"/>
      <c r="BI627" s="749"/>
      <c r="BJ627" s="749"/>
      <c r="BK627" s="749"/>
      <c r="BL627" s="749"/>
    </row>
    <row r="628">
      <c r="A628" s="866"/>
      <c r="B628" s="867"/>
      <c r="C628" s="866"/>
      <c r="D628" s="866"/>
      <c r="E628" s="866"/>
      <c r="F628" s="866"/>
      <c r="G628" s="866"/>
      <c r="H628" s="866"/>
      <c r="I628" s="866"/>
      <c r="J628" s="868"/>
      <c r="K628" s="868"/>
      <c r="L628" s="799"/>
      <c r="M628" s="747"/>
      <c r="N628" s="744"/>
      <c r="O628" s="744"/>
      <c r="P628" s="744"/>
      <c r="Q628" s="744"/>
      <c r="R628" s="744"/>
      <c r="S628" s="744"/>
      <c r="T628" s="855"/>
      <c r="U628" s="746"/>
      <c r="V628" s="746"/>
      <c r="W628" s="746"/>
      <c r="X628" s="746"/>
      <c r="Y628" s="799"/>
      <c r="Z628" s="799"/>
      <c r="AA628" s="799"/>
      <c r="AB628" s="799"/>
      <c r="AC628" s="799"/>
      <c r="AD628" s="750"/>
      <c r="AE628" s="749"/>
      <c r="AF628" s="749"/>
      <c r="AG628" s="749"/>
      <c r="AH628" s="749"/>
      <c r="AI628" s="749"/>
      <c r="AJ628" s="749"/>
      <c r="AK628" s="749"/>
      <c r="AL628" s="749"/>
      <c r="AM628" s="749"/>
      <c r="AN628" s="749"/>
      <c r="AO628" s="749"/>
      <c r="AP628" s="749"/>
      <c r="AQ628" s="749"/>
      <c r="AR628" s="749"/>
      <c r="AS628" s="749"/>
      <c r="AT628" s="749"/>
      <c r="AU628" s="749"/>
      <c r="AV628" s="749"/>
      <c r="AW628" s="749"/>
      <c r="AX628" s="749"/>
      <c r="AY628" s="749"/>
      <c r="AZ628" s="749"/>
      <c r="BA628" s="749"/>
      <c r="BB628" s="749"/>
      <c r="BC628" s="749"/>
      <c r="BD628" s="749"/>
      <c r="BE628" s="749"/>
      <c r="BF628" s="749"/>
      <c r="BG628" s="749"/>
      <c r="BH628" s="749"/>
      <c r="BI628" s="749"/>
      <c r="BJ628" s="749"/>
      <c r="BK628" s="749"/>
      <c r="BL628" s="749"/>
    </row>
    <row r="629">
      <c r="A629" s="866"/>
      <c r="B629" s="867"/>
      <c r="C629" s="866"/>
      <c r="D629" s="866"/>
      <c r="E629" s="866"/>
      <c r="F629" s="866"/>
      <c r="G629" s="866"/>
      <c r="H629" s="866"/>
      <c r="I629" s="866"/>
      <c r="J629" s="868"/>
      <c r="K629" s="868"/>
      <c r="L629" s="799"/>
      <c r="M629" s="747"/>
      <c r="N629" s="744"/>
      <c r="O629" s="744"/>
      <c r="P629" s="744"/>
      <c r="Q629" s="744"/>
      <c r="R629" s="744"/>
      <c r="S629" s="744"/>
      <c r="T629" s="855"/>
      <c r="U629" s="746"/>
      <c r="V629" s="746"/>
      <c r="W629" s="746"/>
      <c r="X629" s="746"/>
      <c r="Y629" s="799"/>
      <c r="Z629" s="799"/>
      <c r="AA629" s="799"/>
      <c r="AB629" s="799"/>
      <c r="AC629" s="799"/>
      <c r="AD629" s="750"/>
      <c r="AE629" s="749"/>
      <c r="AF629" s="749"/>
      <c r="AG629" s="749"/>
      <c r="AH629" s="749"/>
      <c r="AI629" s="749"/>
      <c r="AJ629" s="749"/>
      <c r="AK629" s="749"/>
      <c r="AL629" s="749"/>
      <c r="AM629" s="749"/>
      <c r="AN629" s="749"/>
      <c r="AO629" s="749"/>
      <c r="AP629" s="749"/>
      <c r="AQ629" s="749"/>
      <c r="AR629" s="749"/>
      <c r="AS629" s="749"/>
      <c r="AT629" s="749"/>
      <c r="AU629" s="749"/>
      <c r="AV629" s="749"/>
      <c r="AW629" s="749"/>
      <c r="AX629" s="749"/>
      <c r="AY629" s="749"/>
      <c r="AZ629" s="749"/>
      <c r="BA629" s="749"/>
      <c r="BB629" s="749"/>
      <c r="BC629" s="749"/>
      <c r="BD629" s="749"/>
      <c r="BE629" s="749"/>
      <c r="BF629" s="749"/>
      <c r="BG629" s="749"/>
      <c r="BH629" s="749"/>
      <c r="BI629" s="749"/>
      <c r="BJ629" s="749"/>
      <c r="BK629" s="749"/>
      <c r="BL629" s="749"/>
    </row>
    <row r="630">
      <c r="A630" s="866"/>
      <c r="B630" s="867"/>
      <c r="C630" s="866"/>
      <c r="D630" s="866"/>
      <c r="E630" s="866"/>
      <c r="F630" s="866"/>
      <c r="G630" s="866"/>
      <c r="H630" s="866"/>
      <c r="I630" s="866"/>
      <c r="J630" s="868"/>
      <c r="K630" s="868"/>
      <c r="L630" s="799"/>
      <c r="M630" s="747"/>
      <c r="N630" s="744"/>
      <c r="O630" s="744"/>
      <c r="P630" s="744"/>
      <c r="Q630" s="744"/>
      <c r="R630" s="744"/>
      <c r="S630" s="744"/>
      <c r="T630" s="855"/>
      <c r="U630" s="746"/>
      <c r="V630" s="746"/>
      <c r="W630" s="746"/>
      <c r="X630" s="746"/>
      <c r="Y630" s="799"/>
      <c r="Z630" s="799"/>
      <c r="AA630" s="799"/>
      <c r="AB630" s="799"/>
      <c r="AC630" s="799"/>
      <c r="AD630" s="750"/>
      <c r="AE630" s="749"/>
      <c r="AF630" s="749"/>
      <c r="AG630" s="749"/>
      <c r="AH630" s="749"/>
      <c r="AI630" s="749"/>
      <c r="AJ630" s="749"/>
      <c r="AK630" s="749"/>
      <c r="AL630" s="749"/>
      <c r="AM630" s="749"/>
      <c r="AN630" s="749"/>
      <c r="AO630" s="749"/>
      <c r="AP630" s="749"/>
      <c r="AQ630" s="749"/>
      <c r="AR630" s="749"/>
      <c r="AS630" s="749"/>
      <c r="AT630" s="749"/>
      <c r="AU630" s="749"/>
      <c r="AV630" s="749"/>
      <c r="AW630" s="749"/>
      <c r="AX630" s="749"/>
      <c r="AY630" s="749"/>
      <c r="AZ630" s="749"/>
      <c r="BA630" s="749"/>
      <c r="BB630" s="749"/>
      <c r="BC630" s="749"/>
      <c r="BD630" s="749"/>
      <c r="BE630" s="749"/>
      <c r="BF630" s="749"/>
      <c r="BG630" s="749"/>
      <c r="BH630" s="749"/>
      <c r="BI630" s="749"/>
      <c r="BJ630" s="749"/>
      <c r="BK630" s="749"/>
      <c r="BL630" s="749"/>
    </row>
    <row r="631">
      <c r="A631" s="866"/>
      <c r="B631" s="867"/>
      <c r="C631" s="866"/>
      <c r="D631" s="866"/>
      <c r="E631" s="866"/>
      <c r="F631" s="866"/>
      <c r="G631" s="866"/>
      <c r="H631" s="866"/>
      <c r="I631" s="866"/>
      <c r="J631" s="868"/>
      <c r="K631" s="868"/>
      <c r="L631" s="799"/>
      <c r="M631" s="747"/>
      <c r="N631" s="744"/>
      <c r="O631" s="744"/>
      <c r="P631" s="744"/>
      <c r="Q631" s="744"/>
      <c r="R631" s="744"/>
      <c r="S631" s="744"/>
      <c r="T631" s="855"/>
      <c r="U631" s="746"/>
      <c r="V631" s="746"/>
      <c r="W631" s="746"/>
      <c r="X631" s="746"/>
      <c r="Y631" s="799"/>
      <c r="Z631" s="799"/>
      <c r="AA631" s="799"/>
      <c r="AB631" s="799"/>
      <c r="AC631" s="799"/>
      <c r="AD631" s="750"/>
      <c r="AE631" s="749"/>
      <c r="AF631" s="749"/>
      <c r="AG631" s="749"/>
      <c r="AH631" s="749"/>
      <c r="AI631" s="749"/>
      <c r="AJ631" s="749"/>
      <c r="AK631" s="749"/>
      <c r="AL631" s="749"/>
      <c r="AM631" s="749"/>
      <c r="AN631" s="749"/>
      <c r="AO631" s="749"/>
      <c r="AP631" s="749"/>
      <c r="AQ631" s="749"/>
      <c r="AR631" s="749"/>
      <c r="AS631" s="749"/>
      <c r="AT631" s="749"/>
      <c r="AU631" s="749"/>
      <c r="AV631" s="749"/>
      <c r="AW631" s="749"/>
      <c r="AX631" s="749"/>
      <c r="AY631" s="749"/>
      <c r="AZ631" s="749"/>
      <c r="BA631" s="749"/>
      <c r="BB631" s="749"/>
      <c r="BC631" s="749"/>
      <c r="BD631" s="749"/>
      <c r="BE631" s="749"/>
      <c r="BF631" s="749"/>
      <c r="BG631" s="749"/>
      <c r="BH631" s="749"/>
      <c r="BI631" s="749"/>
      <c r="BJ631" s="749"/>
      <c r="BK631" s="749"/>
      <c r="BL631" s="749"/>
    </row>
    <row r="632">
      <c r="A632" s="866"/>
      <c r="B632" s="867"/>
      <c r="C632" s="866"/>
      <c r="D632" s="866"/>
      <c r="E632" s="866"/>
      <c r="F632" s="866"/>
      <c r="G632" s="866"/>
      <c r="H632" s="866"/>
      <c r="I632" s="866"/>
      <c r="J632" s="868"/>
      <c r="K632" s="868"/>
      <c r="L632" s="799"/>
      <c r="M632" s="747"/>
      <c r="N632" s="744"/>
      <c r="O632" s="744"/>
      <c r="P632" s="744"/>
      <c r="Q632" s="744"/>
      <c r="R632" s="744"/>
      <c r="S632" s="744"/>
      <c r="T632" s="855"/>
      <c r="U632" s="746"/>
      <c r="V632" s="746"/>
      <c r="W632" s="746"/>
      <c r="X632" s="746"/>
      <c r="Y632" s="799"/>
      <c r="Z632" s="799"/>
      <c r="AA632" s="799"/>
      <c r="AB632" s="799"/>
      <c r="AC632" s="799"/>
      <c r="AD632" s="750"/>
      <c r="AE632" s="749"/>
      <c r="AF632" s="749"/>
      <c r="AG632" s="749"/>
      <c r="AH632" s="749"/>
      <c r="AI632" s="749"/>
      <c r="AJ632" s="749"/>
      <c r="AK632" s="749"/>
      <c r="AL632" s="749"/>
      <c r="AM632" s="749"/>
      <c r="AN632" s="749"/>
      <c r="AO632" s="749"/>
      <c r="AP632" s="749"/>
      <c r="AQ632" s="749"/>
      <c r="AR632" s="749"/>
      <c r="AS632" s="749"/>
      <c r="AT632" s="749"/>
      <c r="AU632" s="749"/>
      <c r="AV632" s="749"/>
      <c r="AW632" s="749"/>
      <c r="AX632" s="749"/>
      <c r="AY632" s="749"/>
      <c r="AZ632" s="749"/>
      <c r="BA632" s="749"/>
      <c r="BB632" s="749"/>
      <c r="BC632" s="749"/>
      <c r="BD632" s="749"/>
      <c r="BE632" s="749"/>
      <c r="BF632" s="749"/>
      <c r="BG632" s="749"/>
      <c r="BH632" s="749"/>
      <c r="BI632" s="749"/>
      <c r="BJ632" s="749"/>
      <c r="BK632" s="749"/>
      <c r="BL632" s="749"/>
    </row>
    <row r="633">
      <c r="A633" s="866"/>
      <c r="B633" s="867"/>
      <c r="C633" s="866"/>
      <c r="D633" s="866"/>
      <c r="E633" s="866"/>
      <c r="F633" s="866"/>
      <c r="G633" s="866"/>
      <c r="H633" s="866"/>
      <c r="I633" s="866"/>
      <c r="J633" s="868"/>
      <c r="K633" s="868"/>
      <c r="L633" s="799"/>
      <c r="M633" s="747"/>
      <c r="N633" s="744"/>
      <c r="O633" s="744"/>
      <c r="P633" s="744"/>
      <c r="Q633" s="744"/>
      <c r="R633" s="744"/>
      <c r="S633" s="744"/>
      <c r="T633" s="855"/>
      <c r="U633" s="746"/>
      <c r="V633" s="746"/>
      <c r="W633" s="746"/>
      <c r="X633" s="746"/>
      <c r="Y633" s="799"/>
      <c r="Z633" s="799"/>
      <c r="AA633" s="799"/>
      <c r="AB633" s="799"/>
      <c r="AC633" s="799"/>
      <c r="AD633" s="750"/>
      <c r="AE633" s="749"/>
      <c r="AF633" s="749"/>
      <c r="AG633" s="749"/>
      <c r="AH633" s="749"/>
      <c r="AI633" s="749"/>
      <c r="AJ633" s="749"/>
      <c r="AK633" s="749"/>
      <c r="AL633" s="749"/>
      <c r="AM633" s="749"/>
      <c r="AN633" s="749"/>
      <c r="AO633" s="749"/>
      <c r="AP633" s="749"/>
      <c r="AQ633" s="749"/>
      <c r="AR633" s="749"/>
      <c r="AS633" s="749"/>
      <c r="AT633" s="749"/>
      <c r="AU633" s="749"/>
      <c r="AV633" s="749"/>
      <c r="AW633" s="749"/>
      <c r="AX633" s="749"/>
      <c r="AY633" s="749"/>
      <c r="AZ633" s="749"/>
      <c r="BA633" s="749"/>
      <c r="BB633" s="749"/>
      <c r="BC633" s="749"/>
      <c r="BD633" s="749"/>
      <c r="BE633" s="749"/>
      <c r="BF633" s="749"/>
      <c r="BG633" s="749"/>
      <c r="BH633" s="749"/>
      <c r="BI633" s="749"/>
      <c r="BJ633" s="749"/>
      <c r="BK633" s="749"/>
      <c r="BL633" s="749"/>
    </row>
  </sheetData>
  <customSheetViews>
    <customSheetView guid="{F40789E8-4FAD-4723-AD63-EA79B6E74457}" filter="1" showAutoFilter="1">
      <autoFilter ref="$A$1:$BL$79"/>
    </customSheetView>
  </customSheetViews>
  <mergeCells count="1">
    <mergeCell ref="AD1:AN1"/>
  </mergeCells>
  <printOptions gridLines="1"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8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24" t="s">
        <v>2</v>
      </c>
      <c r="B1" s="869" t="s">
        <v>113</v>
      </c>
      <c r="C1" s="724" t="s">
        <v>974</v>
      </c>
      <c r="D1" s="870" t="s">
        <v>115</v>
      </c>
      <c r="E1" s="724" t="s">
        <v>116</v>
      </c>
      <c r="F1" s="724" t="s">
        <v>117</v>
      </c>
      <c r="G1" s="724" t="s">
        <v>118</v>
      </c>
      <c r="H1" s="727" t="s">
        <v>975</v>
      </c>
      <c r="I1" s="871" t="s">
        <v>1366</v>
      </c>
      <c r="J1" s="872" t="s">
        <v>1367</v>
      </c>
      <c r="K1" s="872" t="s">
        <v>1368</v>
      </c>
      <c r="L1" s="872" t="s">
        <v>1369</v>
      </c>
      <c r="M1" s="872" t="s">
        <v>1370</v>
      </c>
      <c r="N1" s="872" t="s">
        <v>1371</v>
      </c>
      <c r="O1" s="872" t="s">
        <v>1372</v>
      </c>
      <c r="P1" s="872" t="s">
        <v>1373</v>
      </c>
      <c r="Q1" s="873" t="s">
        <v>1374</v>
      </c>
      <c r="R1" s="727" t="s">
        <v>976</v>
      </c>
      <c r="S1" s="874" t="s">
        <v>121</v>
      </c>
      <c r="T1" s="875" t="s">
        <v>1375</v>
      </c>
      <c r="U1" s="876" t="s">
        <v>977</v>
      </c>
      <c r="V1" s="877" t="s">
        <v>124</v>
      </c>
      <c r="W1" s="235" t="s">
        <v>125</v>
      </c>
      <c r="X1" s="235" t="s">
        <v>126</v>
      </c>
      <c r="Y1" s="235" t="s">
        <v>127</v>
      </c>
      <c r="Z1" s="236" t="s">
        <v>1376</v>
      </c>
      <c r="AA1" s="235" t="s">
        <v>1377</v>
      </c>
      <c r="AB1" s="235" t="s">
        <v>1378</v>
      </c>
      <c r="AC1" s="235" t="s">
        <v>1379</v>
      </c>
      <c r="AD1" s="235" t="s">
        <v>1380</v>
      </c>
      <c r="AE1" s="235" t="s">
        <v>1381</v>
      </c>
      <c r="AF1" s="235" t="s">
        <v>1382</v>
      </c>
      <c r="AG1" s="235" t="s">
        <v>1383</v>
      </c>
      <c r="AH1" s="235" t="s">
        <v>1384</v>
      </c>
      <c r="AI1" s="878" t="s">
        <v>978</v>
      </c>
      <c r="AJ1" s="732" t="s">
        <v>131</v>
      </c>
      <c r="AK1" s="239" t="s">
        <v>132</v>
      </c>
      <c r="AL1" s="239" t="s">
        <v>133</v>
      </c>
      <c r="AM1" s="239" t="s">
        <v>134</v>
      </c>
      <c r="AN1" s="879" t="s">
        <v>1376</v>
      </c>
      <c r="AO1" s="880" t="s">
        <v>1377</v>
      </c>
      <c r="AP1" s="239" t="s">
        <v>1378</v>
      </c>
      <c r="AQ1" s="239" t="s">
        <v>1379</v>
      </c>
      <c r="AR1" s="239" t="s">
        <v>1380</v>
      </c>
      <c r="AS1" s="239" t="s">
        <v>1381</v>
      </c>
      <c r="AT1" s="239" t="s">
        <v>1382</v>
      </c>
      <c r="AU1" s="239" t="s">
        <v>1383</v>
      </c>
      <c r="AV1" s="239" t="s">
        <v>1384</v>
      </c>
      <c r="AW1" s="878" t="s">
        <v>108</v>
      </c>
      <c r="AX1" s="881" t="s">
        <v>1385</v>
      </c>
      <c r="AY1" s="752"/>
      <c r="AZ1" s="752"/>
      <c r="BA1" s="752"/>
      <c r="BB1" s="752"/>
      <c r="BC1" s="752"/>
      <c r="BD1" s="752"/>
      <c r="BE1" s="752"/>
      <c r="BF1" s="752"/>
      <c r="BG1" s="752"/>
      <c r="BH1" s="749"/>
      <c r="BI1" s="749"/>
      <c r="BJ1" s="749"/>
      <c r="BK1" s="749"/>
      <c r="BL1" s="749"/>
      <c r="BM1" s="749"/>
      <c r="BN1" s="749"/>
      <c r="BO1" s="749"/>
      <c r="BP1" s="749"/>
      <c r="BQ1" s="749"/>
      <c r="BR1" s="749"/>
      <c r="BS1" s="749"/>
      <c r="BT1" s="749"/>
      <c r="BU1" s="749"/>
      <c r="BV1" s="749"/>
      <c r="BW1" s="749"/>
      <c r="BX1" s="749"/>
      <c r="BY1" s="749"/>
      <c r="BZ1" s="749"/>
      <c r="CA1" s="749"/>
      <c r="CB1" s="749"/>
      <c r="CC1" s="749"/>
      <c r="CD1" s="749"/>
      <c r="CE1" s="749"/>
      <c r="CF1" s="749"/>
      <c r="CG1" s="749"/>
      <c r="CH1" s="749"/>
      <c r="CI1" s="749"/>
      <c r="CJ1" s="749"/>
      <c r="CK1" s="749"/>
      <c r="CL1" s="749"/>
      <c r="CM1" s="749"/>
      <c r="CN1" s="749"/>
      <c r="CO1" s="749"/>
      <c r="CP1" s="749"/>
      <c r="CQ1" s="749"/>
      <c r="CR1" s="749"/>
      <c r="CS1" s="749"/>
      <c r="CT1" s="749"/>
      <c r="CU1" s="749"/>
    </row>
    <row r="2" ht="16.5" customHeight="1">
      <c r="A2" s="882" t="s">
        <v>1386</v>
      </c>
      <c r="B2" s="882" t="s">
        <v>1387</v>
      </c>
      <c r="C2" s="856" t="s">
        <v>1388</v>
      </c>
      <c r="D2" s="883"/>
      <c r="E2" s="884" t="s">
        <v>170</v>
      </c>
      <c r="F2" s="884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884" t="s">
        <v>33</v>
      </c>
      <c r="H2" s="885">
        <v>87.0</v>
      </c>
      <c r="I2" s="886"/>
      <c r="J2" s="887"/>
      <c r="K2" s="887"/>
      <c r="L2" s="887"/>
      <c r="M2" s="887"/>
      <c r="N2" s="887"/>
      <c r="O2" s="887"/>
      <c r="P2" s="888"/>
      <c r="Q2" s="885"/>
      <c r="R2" s="889" t="s">
        <v>32</v>
      </c>
      <c r="S2" s="890"/>
      <c r="T2" s="891"/>
      <c r="U2" s="892"/>
      <c r="V2" s="893"/>
      <c r="W2" s="894"/>
      <c r="X2" s="894"/>
      <c r="Y2" s="894"/>
      <c r="Z2" s="895"/>
      <c r="AA2" s="894"/>
      <c r="AB2" s="894"/>
      <c r="AC2" s="894"/>
      <c r="AD2" s="894"/>
      <c r="AE2" s="894"/>
      <c r="AF2" s="894"/>
      <c r="AG2" s="894"/>
      <c r="AH2" s="894"/>
      <c r="AI2" s="896"/>
      <c r="AJ2" s="893"/>
      <c r="AK2" s="894"/>
      <c r="AL2" s="894"/>
      <c r="AM2" s="894"/>
      <c r="AN2" s="895"/>
      <c r="AO2" s="894"/>
      <c r="AP2" s="894"/>
      <c r="AQ2" s="894"/>
      <c r="AR2" s="894"/>
      <c r="AS2" s="894"/>
      <c r="AT2" s="894"/>
      <c r="AU2" s="894"/>
      <c r="AV2" s="894"/>
      <c r="AW2" s="897"/>
      <c r="AX2" s="898"/>
      <c r="AY2" s="899" t="s">
        <v>974</v>
      </c>
      <c r="AZ2" s="899" t="s">
        <v>1389</v>
      </c>
      <c r="BA2" s="899" t="s">
        <v>121</v>
      </c>
      <c r="BB2" s="899" t="s">
        <v>1375</v>
      </c>
      <c r="BC2" s="898"/>
      <c r="BD2" s="898"/>
      <c r="BE2" s="898"/>
      <c r="BF2" s="898"/>
      <c r="BG2" s="898"/>
      <c r="BH2" s="898"/>
      <c r="BI2" s="898"/>
      <c r="BJ2" s="898"/>
      <c r="BK2" s="898"/>
      <c r="BL2" s="898"/>
      <c r="BM2" s="898"/>
      <c r="BN2" s="898"/>
      <c r="BO2" s="898"/>
      <c r="BP2" s="898"/>
      <c r="BQ2" s="898"/>
      <c r="BR2" s="898"/>
      <c r="BS2" s="898"/>
      <c r="BT2" s="898"/>
      <c r="BU2" s="898"/>
      <c r="BV2" s="898"/>
      <c r="BW2" s="898"/>
      <c r="BX2" s="898"/>
      <c r="BY2" s="898"/>
      <c r="BZ2" s="898"/>
      <c r="CA2" s="898"/>
      <c r="CB2" s="898"/>
      <c r="CC2" s="898"/>
      <c r="CD2" s="898"/>
      <c r="CE2" s="898"/>
      <c r="CF2" s="898"/>
      <c r="CG2" s="898"/>
      <c r="CH2" s="898"/>
      <c r="CI2" s="898"/>
      <c r="CJ2" s="898"/>
      <c r="CK2" s="898"/>
      <c r="CL2" s="898"/>
      <c r="CM2" s="898"/>
      <c r="CN2" s="898"/>
      <c r="CO2" s="898"/>
      <c r="CP2" s="898"/>
      <c r="CQ2" s="898"/>
      <c r="CR2" s="898"/>
      <c r="CS2" s="898"/>
      <c r="CT2" s="898"/>
      <c r="CU2" s="898"/>
    </row>
    <row r="3" ht="16.5" customHeight="1">
      <c r="A3" s="900" t="s">
        <v>1386</v>
      </c>
      <c r="B3" s="900" t="s">
        <v>1387</v>
      </c>
      <c r="C3" s="901" t="s">
        <v>158</v>
      </c>
      <c r="D3" s="902"/>
      <c r="E3" s="903" t="s">
        <v>170</v>
      </c>
      <c r="F3" s="903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903" t="s">
        <v>33</v>
      </c>
      <c r="H3" s="904">
        <v>87.0</v>
      </c>
      <c r="I3" s="905"/>
      <c r="J3" s="906"/>
      <c r="K3" s="906"/>
      <c r="L3" s="906"/>
      <c r="M3" s="906"/>
      <c r="N3" s="906"/>
      <c r="O3" s="906"/>
      <c r="P3" s="907"/>
      <c r="Q3" s="904"/>
      <c r="R3" s="908" t="s">
        <v>32</v>
      </c>
      <c r="S3" s="909"/>
      <c r="T3" s="910"/>
      <c r="U3" s="911"/>
      <c r="V3" s="912"/>
      <c r="W3" s="913"/>
      <c r="X3" s="913"/>
      <c r="Y3" s="913"/>
      <c r="Z3" s="914"/>
      <c r="AA3" s="913"/>
      <c r="AB3" s="913"/>
      <c r="AC3" s="913"/>
      <c r="AD3" s="913"/>
      <c r="AE3" s="913"/>
      <c r="AF3" s="913"/>
      <c r="AG3" s="913"/>
      <c r="AH3" s="913"/>
      <c r="AI3" s="915"/>
      <c r="AJ3" s="912"/>
      <c r="AK3" s="913"/>
      <c r="AL3" s="913"/>
      <c r="AM3" s="913"/>
      <c r="AN3" s="914"/>
      <c r="AO3" s="913"/>
      <c r="AP3" s="913"/>
      <c r="AQ3" s="913"/>
      <c r="AR3" s="913"/>
      <c r="AS3" s="913"/>
      <c r="AT3" s="913"/>
      <c r="AU3" s="913"/>
      <c r="AV3" s="913"/>
      <c r="AW3" s="916"/>
      <c r="AX3" s="917"/>
      <c r="AY3" s="918" t="s">
        <v>1390</v>
      </c>
      <c r="AZ3" s="918">
        <v>2013.0</v>
      </c>
      <c r="BA3" s="919">
        <v>24.6216</v>
      </c>
      <c r="BB3" s="919">
        <v>81.36327</v>
      </c>
      <c r="BC3" s="917"/>
      <c r="BD3" s="917"/>
      <c r="BE3" s="917"/>
      <c r="BF3" s="917"/>
      <c r="BG3" s="917"/>
      <c r="BH3" s="917"/>
      <c r="BI3" s="917"/>
      <c r="BJ3" s="917"/>
      <c r="BK3" s="917"/>
      <c r="BL3" s="917"/>
      <c r="BM3" s="917"/>
      <c r="BN3" s="917"/>
      <c r="BO3" s="917"/>
      <c r="BP3" s="917"/>
      <c r="BQ3" s="917"/>
      <c r="BR3" s="917"/>
      <c r="BS3" s="917"/>
      <c r="BT3" s="917"/>
      <c r="BU3" s="917"/>
      <c r="BV3" s="917"/>
      <c r="BW3" s="917"/>
      <c r="BX3" s="917"/>
      <c r="BY3" s="917"/>
      <c r="BZ3" s="917"/>
      <c r="CA3" s="917"/>
      <c r="CB3" s="898"/>
      <c r="CC3" s="898"/>
      <c r="CD3" s="898"/>
      <c r="CE3" s="898"/>
      <c r="CF3" s="898"/>
      <c r="CG3" s="898"/>
      <c r="CH3" s="898"/>
      <c r="CI3" s="898"/>
      <c r="CJ3" s="898"/>
      <c r="CK3" s="898"/>
      <c r="CL3" s="898"/>
      <c r="CM3" s="898"/>
      <c r="CN3" s="898"/>
      <c r="CO3" s="898"/>
      <c r="CP3" s="898"/>
      <c r="CQ3" s="898"/>
      <c r="CR3" s="898"/>
      <c r="CS3" s="898"/>
      <c r="CT3" s="898"/>
      <c r="CU3" s="898"/>
    </row>
    <row r="4" ht="16.5" customHeight="1">
      <c r="A4" s="882" t="s">
        <v>1391</v>
      </c>
      <c r="B4" s="882" t="s">
        <v>1392</v>
      </c>
      <c r="C4" s="856" t="s">
        <v>1388</v>
      </c>
      <c r="D4" s="883"/>
      <c r="E4" s="884" t="s">
        <v>170</v>
      </c>
      <c r="F4" s="884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884" t="s">
        <v>33</v>
      </c>
      <c r="H4" s="920">
        <v>273.0</v>
      </c>
      <c r="I4" s="921">
        <v>126.0</v>
      </c>
      <c r="J4" s="922"/>
      <c r="K4" s="922">
        <v>126.0</v>
      </c>
      <c r="L4" s="922">
        <v>21.0</v>
      </c>
      <c r="M4" s="922"/>
      <c r="N4" s="887"/>
      <c r="O4" s="887"/>
      <c r="P4" s="888"/>
      <c r="Q4" s="885"/>
      <c r="R4" s="889" t="s">
        <v>32</v>
      </c>
      <c r="S4" s="890"/>
      <c r="T4" s="891"/>
      <c r="U4" s="892"/>
      <c r="V4" s="893"/>
      <c r="W4" s="894"/>
      <c r="X4" s="894"/>
      <c r="Y4" s="894"/>
      <c r="Z4" s="895"/>
      <c r="AA4" s="894"/>
      <c r="AB4" s="894"/>
      <c r="AC4" s="894"/>
      <c r="AD4" s="894"/>
      <c r="AE4" s="894"/>
      <c r="AF4" s="894"/>
      <c r="AG4" s="894"/>
      <c r="AH4" s="894"/>
      <c r="AI4" s="896"/>
      <c r="AJ4" s="893"/>
      <c r="AK4" s="894"/>
      <c r="AL4" s="894"/>
      <c r="AM4" s="894"/>
      <c r="AN4" s="895"/>
      <c r="AO4" s="894"/>
      <c r="AP4" s="894"/>
      <c r="AQ4" s="894"/>
      <c r="AR4" s="894"/>
      <c r="AS4" s="894"/>
      <c r="AT4" s="894"/>
      <c r="AU4" s="894"/>
      <c r="AV4" s="894"/>
      <c r="AW4" s="897"/>
      <c r="AX4" s="898"/>
      <c r="AY4" s="923" t="s">
        <v>1393</v>
      </c>
      <c r="AZ4" s="923">
        <v>2013.0</v>
      </c>
      <c r="BA4" s="924">
        <v>24.62165</v>
      </c>
      <c r="BB4" s="924">
        <v>81.36316</v>
      </c>
      <c r="BC4" s="898"/>
      <c r="BD4" s="898"/>
      <c r="BE4" s="898"/>
      <c r="BF4" s="898"/>
      <c r="BG4" s="898"/>
      <c r="BH4" s="898"/>
      <c r="BI4" s="898"/>
      <c r="BJ4" s="898"/>
      <c r="BK4" s="898"/>
      <c r="BL4" s="898"/>
      <c r="BM4" s="898"/>
      <c r="BN4" s="898"/>
      <c r="BO4" s="898"/>
      <c r="BP4" s="898"/>
      <c r="BQ4" s="898"/>
      <c r="BR4" s="898"/>
      <c r="BS4" s="898"/>
      <c r="BT4" s="898"/>
      <c r="BU4" s="898"/>
      <c r="BV4" s="898"/>
      <c r="BW4" s="898"/>
      <c r="BX4" s="898"/>
      <c r="BY4" s="898"/>
      <c r="BZ4" s="898"/>
      <c r="CA4" s="898"/>
      <c r="CB4" s="898"/>
      <c r="CC4" s="898"/>
      <c r="CD4" s="898"/>
      <c r="CE4" s="898"/>
      <c r="CF4" s="898"/>
      <c r="CG4" s="898"/>
      <c r="CH4" s="898"/>
      <c r="CI4" s="898"/>
      <c r="CJ4" s="898"/>
      <c r="CK4" s="898"/>
      <c r="CL4" s="898"/>
      <c r="CM4" s="898"/>
      <c r="CN4" s="898"/>
      <c r="CO4" s="898"/>
      <c r="CP4" s="898"/>
      <c r="CQ4" s="898"/>
      <c r="CR4" s="898"/>
      <c r="CS4" s="898"/>
      <c r="CT4" s="898"/>
      <c r="CU4" s="898"/>
    </row>
    <row r="5" ht="16.5" customHeight="1">
      <c r="A5" s="882" t="s">
        <v>1391</v>
      </c>
      <c r="B5" s="882" t="s">
        <v>1392</v>
      </c>
      <c r="C5" s="856" t="s">
        <v>158</v>
      </c>
      <c r="D5" s="883"/>
      <c r="E5" s="884" t="s">
        <v>170</v>
      </c>
      <c r="F5" s="884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884" t="s">
        <v>33</v>
      </c>
      <c r="I5" s="925"/>
      <c r="M5" s="922"/>
      <c r="P5" s="888"/>
      <c r="Q5" s="885"/>
      <c r="R5" s="889" t="s">
        <v>32</v>
      </c>
      <c r="S5" s="890"/>
      <c r="T5" s="891"/>
      <c r="U5" s="892"/>
      <c r="V5" s="893"/>
      <c r="W5" s="894"/>
      <c r="X5" s="894"/>
      <c r="Y5" s="894"/>
      <c r="Z5" s="895"/>
      <c r="AA5" s="894"/>
      <c r="AB5" s="894"/>
      <c r="AC5" s="894"/>
      <c r="AD5" s="894"/>
      <c r="AE5" s="894"/>
      <c r="AF5" s="894"/>
      <c r="AG5" s="894"/>
      <c r="AH5" s="894"/>
      <c r="AI5" s="896"/>
      <c r="AJ5" s="893"/>
      <c r="AK5" s="894"/>
      <c r="AL5" s="894"/>
      <c r="AM5" s="894"/>
      <c r="AN5" s="895"/>
      <c r="AO5" s="894"/>
      <c r="AP5" s="894"/>
      <c r="AQ5" s="894"/>
      <c r="AR5" s="894"/>
      <c r="AS5" s="894"/>
      <c r="AT5" s="894"/>
      <c r="AU5" s="894"/>
      <c r="AV5" s="894"/>
      <c r="AW5" s="897"/>
      <c r="AX5" s="898"/>
      <c r="AY5" s="923" t="s">
        <v>1394</v>
      </c>
      <c r="AZ5" s="923" t="s">
        <v>1395</v>
      </c>
      <c r="BA5" s="924">
        <v>24.62135</v>
      </c>
      <c r="BB5" s="924">
        <v>81.36292</v>
      </c>
      <c r="BC5" s="898"/>
      <c r="BD5" s="898"/>
      <c r="BE5" s="898"/>
      <c r="BF5" s="898"/>
      <c r="BG5" s="898"/>
      <c r="BH5" s="898"/>
      <c r="BI5" s="898"/>
      <c r="BJ5" s="898"/>
      <c r="BK5" s="898"/>
      <c r="BL5" s="898"/>
      <c r="BM5" s="898"/>
      <c r="BN5" s="898"/>
      <c r="BO5" s="898"/>
      <c r="BP5" s="898"/>
      <c r="BQ5" s="898"/>
      <c r="BR5" s="898"/>
      <c r="BS5" s="898"/>
      <c r="BT5" s="898"/>
      <c r="BU5" s="898"/>
      <c r="BV5" s="898"/>
      <c r="BW5" s="898"/>
      <c r="BX5" s="898"/>
      <c r="BY5" s="898"/>
      <c r="BZ5" s="898"/>
      <c r="CA5" s="898"/>
      <c r="CB5" s="898"/>
      <c r="CC5" s="898"/>
      <c r="CD5" s="898"/>
      <c r="CE5" s="898"/>
      <c r="CF5" s="898"/>
      <c r="CG5" s="898"/>
      <c r="CH5" s="898"/>
      <c r="CI5" s="898"/>
      <c r="CJ5" s="898"/>
      <c r="CK5" s="898"/>
      <c r="CL5" s="898"/>
      <c r="CM5" s="898"/>
      <c r="CN5" s="898"/>
      <c r="CO5" s="898"/>
      <c r="CP5" s="898"/>
      <c r="CQ5" s="898"/>
      <c r="CR5" s="898"/>
      <c r="CS5" s="898"/>
      <c r="CT5" s="898"/>
      <c r="CU5" s="898"/>
    </row>
    <row r="6" ht="16.5" customHeight="1">
      <c r="A6" s="882" t="s">
        <v>1391</v>
      </c>
      <c r="B6" s="882" t="s">
        <v>1396</v>
      </c>
      <c r="C6" s="856" t="s">
        <v>1388</v>
      </c>
      <c r="D6" s="883"/>
      <c r="E6" s="884" t="s">
        <v>170</v>
      </c>
      <c r="F6" s="884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884" t="s">
        <v>33</v>
      </c>
      <c r="H6" s="885">
        <v>150.0</v>
      </c>
      <c r="I6" s="886">
        <v>50.0</v>
      </c>
      <c r="J6" s="887"/>
      <c r="K6" s="887">
        <v>50.0</v>
      </c>
      <c r="L6" s="887">
        <v>50.0</v>
      </c>
      <c r="M6" s="887"/>
      <c r="N6" s="887"/>
      <c r="O6" s="887"/>
      <c r="P6" s="888"/>
      <c r="Q6" s="885"/>
      <c r="R6" s="889" t="s">
        <v>32</v>
      </c>
      <c r="S6" s="890"/>
      <c r="T6" s="891"/>
      <c r="U6" s="892"/>
      <c r="V6" s="893"/>
      <c r="W6" s="894"/>
      <c r="X6" s="894"/>
      <c r="Y6" s="894"/>
      <c r="Z6" s="895"/>
      <c r="AA6" s="894"/>
      <c r="AB6" s="894"/>
      <c r="AC6" s="894"/>
      <c r="AD6" s="894"/>
      <c r="AE6" s="894"/>
      <c r="AF6" s="894"/>
      <c r="AG6" s="894"/>
      <c r="AH6" s="894"/>
      <c r="AI6" s="896"/>
      <c r="AJ6" s="893"/>
      <c r="AK6" s="894"/>
      <c r="AL6" s="894"/>
      <c r="AM6" s="894"/>
      <c r="AN6" s="895"/>
      <c r="AO6" s="894"/>
      <c r="AP6" s="894"/>
      <c r="AQ6" s="894"/>
      <c r="AR6" s="894"/>
      <c r="AS6" s="894"/>
      <c r="AT6" s="894"/>
      <c r="AU6" s="894"/>
      <c r="AV6" s="894"/>
      <c r="AW6" s="897"/>
      <c r="AX6" s="898"/>
      <c r="AY6" s="923"/>
      <c r="AZ6" s="923"/>
      <c r="BA6" s="924"/>
      <c r="BB6" s="924"/>
      <c r="BC6" s="898"/>
      <c r="BD6" s="898"/>
      <c r="BE6" s="898"/>
      <c r="BF6" s="898"/>
      <c r="BG6" s="898"/>
      <c r="BH6" s="898"/>
      <c r="BI6" s="898"/>
      <c r="BJ6" s="898"/>
      <c r="BK6" s="898"/>
      <c r="BL6" s="898"/>
      <c r="BM6" s="898"/>
      <c r="BN6" s="898"/>
      <c r="BO6" s="898"/>
      <c r="BP6" s="898"/>
      <c r="BQ6" s="898"/>
      <c r="BR6" s="898"/>
      <c r="BS6" s="898"/>
      <c r="BT6" s="898"/>
      <c r="BU6" s="898"/>
      <c r="BV6" s="898"/>
      <c r="BW6" s="898"/>
      <c r="BX6" s="898"/>
      <c r="BY6" s="898"/>
      <c r="BZ6" s="898"/>
      <c r="CA6" s="898"/>
      <c r="CB6" s="898"/>
      <c r="CC6" s="898"/>
      <c r="CD6" s="898"/>
      <c r="CE6" s="898"/>
      <c r="CF6" s="898"/>
      <c r="CG6" s="898"/>
      <c r="CH6" s="898"/>
      <c r="CI6" s="898"/>
      <c r="CJ6" s="898"/>
      <c r="CK6" s="898"/>
      <c r="CL6" s="898"/>
      <c r="CM6" s="898"/>
      <c r="CN6" s="898"/>
      <c r="CO6" s="898"/>
      <c r="CP6" s="898"/>
      <c r="CQ6" s="898"/>
      <c r="CR6" s="898"/>
      <c r="CS6" s="898"/>
      <c r="CT6" s="898"/>
      <c r="CU6" s="898"/>
    </row>
    <row r="7" ht="16.5" customHeight="1">
      <c r="A7" s="926" t="s">
        <v>1391</v>
      </c>
      <c r="B7" s="926" t="s">
        <v>1396</v>
      </c>
      <c r="C7" s="927" t="s">
        <v>158</v>
      </c>
      <c r="D7" s="928"/>
      <c r="E7" s="929" t="s">
        <v>170</v>
      </c>
      <c r="F7" s="929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29" t="s">
        <v>33</v>
      </c>
      <c r="H7" s="930">
        <v>150.0</v>
      </c>
      <c r="I7" s="931">
        <v>50.0</v>
      </c>
      <c r="J7" s="932"/>
      <c r="K7" s="932">
        <v>50.0</v>
      </c>
      <c r="L7" s="932">
        <v>50.0</v>
      </c>
      <c r="M7" s="932"/>
      <c r="N7" s="932"/>
      <c r="O7" s="932"/>
      <c r="P7" s="933"/>
      <c r="Q7" s="930"/>
      <c r="R7" s="934" t="s">
        <v>32</v>
      </c>
      <c r="S7" s="935"/>
      <c r="T7" s="936"/>
      <c r="U7" s="937"/>
      <c r="V7" s="938"/>
      <c r="W7" s="939"/>
      <c r="X7" s="939"/>
      <c r="Y7" s="939"/>
      <c r="Z7" s="940"/>
      <c r="AA7" s="939"/>
      <c r="AB7" s="939"/>
      <c r="AC7" s="939"/>
      <c r="AD7" s="939"/>
      <c r="AE7" s="939"/>
      <c r="AF7" s="939"/>
      <c r="AG7" s="939"/>
      <c r="AH7" s="939"/>
      <c r="AI7" s="941"/>
      <c r="AJ7" s="938"/>
      <c r="AK7" s="939"/>
      <c r="AL7" s="939"/>
      <c r="AM7" s="939"/>
      <c r="AN7" s="940"/>
      <c r="AO7" s="939"/>
      <c r="AP7" s="939"/>
      <c r="AQ7" s="939"/>
      <c r="AR7" s="939"/>
      <c r="AS7" s="939"/>
      <c r="AT7" s="939"/>
      <c r="AU7" s="939"/>
      <c r="AV7" s="939"/>
      <c r="AW7" s="942"/>
      <c r="AX7" s="943"/>
      <c r="AY7" s="944"/>
      <c r="AZ7" s="944"/>
      <c r="BA7" s="945"/>
      <c r="BB7" s="945"/>
      <c r="BC7" s="943"/>
      <c r="BD7" s="943"/>
      <c r="BE7" s="943"/>
      <c r="BF7" s="943"/>
      <c r="BG7" s="943"/>
      <c r="BH7" s="943"/>
      <c r="BI7" s="943"/>
      <c r="BJ7" s="943"/>
      <c r="BK7" s="943"/>
      <c r="BL7" s="943"/>
      <c r="BM7" s="943"/>
      <c r="BN7" s="943"/>
      <c r="BO7" s="943"/>
      <c r="BP7" s="943"/>
      <c r="BQ7" s="943"/>
      <c r="BR7" s="943"/>
      <c r="BS7" s="943"/>
      <c r="BT7" s="943"/>
      <c r="BU7" s="943"/>
      <c r="BV7" s="943"/>
      <c r="BW7" s="943"/>
      <c r="BX7" s="943"/>
      <c r="BY7" s="943"/>
      <c r="BZ7" s="943"/>
      <c r="CA7" s="943"/>
      <c r="CB7" s="943"/>
      <c r="CC7" s="943"/>
      <c r="CD7" s="943"/>
      <c r="CE7" s="943"/>
      <c r="CF7" s="943"/>
      <c r="CG7" s="943"/>
      <c r="CH7" s="943"/>
      <c r="CI7" s="943"/>
      <c r="CJ7" s="943"/>
      <c r="CK7" s="943"/>
      <c r="CL7" s="943"/>
      <c r="CM7" s="943"/>
      <c r="CN7" s="943"/>
      <c r="CO7" s="943"/>
      <c r="CP7" s="943"/>
      <c r="CQ7" s="943"/>
      <c r="CR7" s="943"/>
      <c r="CS7" s="943"/>
      <c r="CT7" s="943"/>
      <c r="CU7" s="943"/>
    </row>
    <row r="8" ht="16.5" customHeight="1">
      <c r="A8" s="946" t="s">
        <v>1397</v>
      </c>
      <c r="B8" s="946" t="s">
        <v>1398</v>
      </c>
      <c r="C8" s="856" t="s">
        <v>1388</v>
      </c>
      <c r="D8" s="883"/>
      <c r="E8" s="884" t="s">
        <v>170</v>
      </c>
      <c r="F8" s="884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884" t="s">
        <v>33</v>
      </c>
      <c r="H8" s="885">
        <v>720.0</v>
      </c>
      <c r="I8" s="886"/>
      <c r="J8" s="887"/>
      <c r="K8" s="887"/>
      <c r="L8" s="887"/>
      <c r="M8" s="887"/>
      <c r="N8" s="887"/>
      <c r="O8" s="887"/>
      <c r="P8" s="888"/>
      <c r="Q8" s="885"/>
      <c r="R8" s="889" t="s">
        <v>32</v>
      </c>
      <c r="S8" s="890"/>
      <c r="T8" s="891"/>
      <c r="U8" s="892"/>
      <c r="V8" s="893"/>
      <c r="W8" s="894"/>
      <c r="X8" s="894"/>
      <c r="Y8" s="894"/>
      <c r="Z8" s="895"/>
      <c r="AA8" s="894"/>
      <c r="AB8" s="894"/>
      <c r="AC8" s="894"/>
      <c r="AD8" s="894"/>
      <c r="AE8" s="894"/>
      <c r="AF8" s="894"/>
      <c r="AG8" s="894"/>
      <c r="AH8" s="894"/>
      <c r="AI8" s="896"/>
      <c r="AJ8" s="893"/>
      <c r="AK8" s="894"/>
      <c r="AL8" s="894"/>
      <c r="AM8" s="894"/>
      <c r="AN8" s="895"/>
      <c r="AO8" s="894"/>
      <c r="AP8" s="894"/>
      <c r="AQ8" s="894"/>
      <c r="AR8" s="894"/>
      <c r="AS8" s="894"/>
      <c r="AT8" s="894"/>
      <c r="AU8" s="894"/>
      <c r="AV8" s="894"/>
      <c r="AW8" s="897"/>
      <c r="AX8" s="898"/>
      <c r="AY8" s="898"/>
      <c r="AZ8" s="898"/>
      <c r="BA8" s="898"/>
      <c r="BB8" s="898"/>
      <c r="BC8" s="898"/>
      <c r="BD8" s="898"/>
      <c r="BE8" s="898"/>
      <c r="BF8" s="898"/>
      <c r="BG8" s="898"/>
      <c r="BH8" s="898"/>
      <c r="BI8" s="898"/>
      <c r="BJ8" s="898"/>
      <c r="BK8" s="898"/>
      <c r="BL8" s="898"/>
      <c r="BM8" s="898"/>
      <c r="BN8" s="898"/>
      <c r="BO8" s="898"/>
      <c r="BP8" s="898"/>
      <c r="BQ8" s="898"/>
      <c r="BR8" s="898"/>
      <c r="BS8" s="898"/>
      <c r="BT8" s="898"/>
      <c r="BU8" s="898"/>
      <c r="BV8" s="898"/>
      <c r="BW8" s="898"/>
      <c r="BX8" s="898"/>
      <c r="BY8" s="898"/>
      <c r="BZ8" s="898"/>
      <c r="CA8" s="898"/>
      <c r="CB8" s="898"/>
      <c r="CC8" s="898"/>
      <c r="CD8" s="898"/>
      <c r="CE8" s="898"/>
      <c r="CF8" s="898"/>
      <c r="CG8" s="898"/>
      <c r="CH8" s="898"/>
      <c r="CI8" s="898"/>
      <c r="CJ8" s="898"/>
      <c r="CK8" s="898"/>
      <c r="CL8" s="898"/>
      <c r="CM8" s="898"/>
      <c r="CN8" s="898"/>
      <c r="CO8" s="898"/>
      <c r="CP8" s="898"/>
      <c r="CQ8" s="898"/>
      <c r="CR8" s="898"/>
      <c r="CS8" s="898"/>
      <c r="CT8" s="898"/>
      <c r="CU8" s="898"/>
    </row>
    <row r="9" ht="16.5" customHeight="1">
      <c r="A9" s="947" t="s">
        <v>1399</v>
      </c>
      <c r="B9" s="947" t="s">
        <v>1400</v>
      </c>
      <c r="C9" s="948" t="s">
        <v>1388</v>
      </c>
      <c r="D9" s="949"/>
      <c r="E9" s="950" t="s">
        <v>170</v>
      </c>
      <c r="F9" s="950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50" t="s">
        <v>33</v>
      </c>
      <c r="H9" s="951">
        <v>1570.0</v>
      </c>
      <c r="I9" s="952"/>
      <c r="J9" s="953"/>
      <c r="K9" s="953"/>
      <c r="L9" s="953"/>
      <c r="M9" s="953"/>
      <c r="N9" s="953"/>
      <c r="O9" s="953"/>
      <c r="P9" s="954"/>
      <c r="Q9" s="951"/>
      <c r="R9" s="955" t="s">
        <v>32</v>
      </c>
      <c r="S9" s="956"/>
      <c r="T9" s="957"/>
      <c r="U9" s="958"/>
      <c r="V9" s="959"/>
      <c r="W9" s="960"/>
      <c r="X9" s="960"/>
      <c r="Y9" s="960"/>
      <c r="Z9" s="961"/>
      <c r="AA9" s="960"/>
      <c r="AB9" s="960"/>
      <c r="AC9" s="960"/>
      <c r="AD9" s="960"/>
      <c r="AE9" s="960"/>
      <c r="AF9" s="960"/>
      <c r="AG9" s="960"/>
      <c r="AH9" s="960"/>
      <c r="AI9" s="962"/>
      <c r="AJ9" s="959"/>
      <c r="AK9" s="960"/>
      <c r="AL9" s="960"/>
      <c r="AM9" s="960"/>
      <c r="AN9" s="961"/>
      <c r="AO9" s="960"/>
      <c r="AP9" s="960"/>
      <c r="AQ9" s="960"/>
      <c r="AR9" s="960"/>
      <c r="AS9" s="960"/>
      <c r="AT9" s="960"/>
      <c r="AU9" s="960"/>
      <c r="AV9" s="960"/>
      <c r="AW9" s="963"/>
      <c r="AX9" s="964"/>
      <c r="AY9" s="964"/>
      <c r="AZ9" s="964"/>
      <c r="BA9" s="964"/>
      <c r="BB9" s="964"/>
      <c r="BC9" s="964"/>
      <c r="BD9" s="964"/>
      <c r="BE9" s="964"/>
      <c r="BF9" s="964"/>
      <c r="BG9" s="964"/>
      <c r="BH9" s="964"/>
      <c r="BI9" s="964"/>
      <c r="BJ9" s="964"/>
      <c r="BK9" s="964"/>
      <c r="BL9" s="964"/>
      <c r="BM9" s="964"/>
      <c r="BN9" s="964"/>
      <c r="BO9" s="964"/>
      <c r="BP9" s="964"/>
      <c r="BQ9" s="964"/>
      <c r="BR9" s="964"/>
      <c r="BS9" s="964"/>
      <c r="BT9" s="964"/>
      <c r="BU9" s="964"/>
      <c r="BV9" s="964"/>
      <c r="BW9" s="964"/>
      <c r="BX9" s="964"/>
      <c r="BY9" s="964"/>
      <c r="BZ9" s="964"/>
      <c r="CA9" s="964"/>
      <c r="CB9" s="964"/>
      <c r="CC9" s="964"/>
      <c r="CD9" s="964"/>
      <c r="CE9" s="964"/>
      <c r="CF9" s="964"/>
      <c r="CG9" s="964"/>
      <c r="CH9" s="964"/>
      <c r="CI9" s="964"/>
      <c r="CJ9" s="964"/>
      <c r="CK9" s="964"/>
      <c r="CL9" s="964"/>
      <c r="CM9" s="964"/>
      <c r="CN9" s="964"/>
      <c r="CO9" s="964"/>
      <c r="CP9" s="964"/>
      <c r="CQ9" s="964"/>
      <c r="CR9" s="964"/>
      <c r="CS9" s="964"/>
      <c r="CT9" s="964"/>
      <c r="CU9" s="964"/>
    </row>
    <row r="10" ht="16.5" customHeight="1">
      <c r="A10" s="882" t="s">
        <v>1401</v>
      </c>
      <c r="B10" s="882" t="s">
        <v>1402</v>
      </c>
      <c r="C10" s="856" t="s">
        <v>1388</v>
      </c>
      <c r="D10" s="883"/>
      <c r="E10" s="884" t="s">
        <v>170</v>
      </c>
      <c r="F10" s="884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884" t="s">
        <v>33</v>
      </c>
      <c r="H10" s="885">
        <v>855.0</v>
      </c>
      <c r="I10" s="886"/>
      <c r="J10" s="887"/>
      <c r="K10" s="887"/>
      <c r="L10" s="887"/>
      <c r="M10" s="887"/>
      <c r="N10" s="887"/>
      <c r="O10" s="887"/>
      <c r="P10" s="888"/>
      <c r="Q10" s="885"/>
      <c r="R10" s="889" t="s">
        <v>32</v>
      </c>
      <c r="S10" s="890"/>
      <c r="T10" s="891"/>
      <c r="U10" s="892"/>
      <c r="V10" s="893"/>
      <c r="W10" s="894"/>
      <c r="X10" s="894"/>
      <c r="Y10" s="894"/>
      <c r="Z10" s="895"/>
      <c r="AA10" s="894"/>
      <c r="AB10" s="894"/>
      <c r="AC10" s="894"/>
      <c r="AD10" s="894"/>
      <c r="AE10" s="894"/>
      <c r="AF10" s="894"/>
      <c r="AG10" s="894"/>
      <c r="AH10" s="894"/>
      <c r="AI10" s="896"/>
      <c r="AJ10" s="893"/>
      <c r="AK10" s="894"/>
      <c r="AL10" s="894"/>
      <c r="AM10" s="894"/>
      <c r="AN10" s="895"/>
      <c r="AO10" s="894"/>
      <c r="AP10" s="894"/>
      <c r="AQ10" s="894"/>
      <c r="AR10" s="894"/>
      <c r="AS10" s="894"/>
      <c r="AT10" s="894"/>
      <c r="AU10" s="894"/>
      <c r="AV10" s="894"/>
      <c r="AW10" s="897"/>
      <c r="AX10" s="898"/>
      <c r="AY10" s="898"/>
      <c r="AZ10" s="898"/>
      <c r="BA10" s="898"/>
      <c r="BB10" s="898"/>
      <c r="BC10" s="898"/>
      <c r="BD10" s="898"/>
      <c r="BE10" s="898"/>
      <c r="BF10" s="898"/>
      <c r="BG10" s="898"/>
      <c r="BH10" s="898"/>
      <c r="BI10" s="898"/>
      <c r="BJ10" s="898"/>
      <c r="BK10" s="898"/>
      <c r="BL10" s="898"/>
      <c r="BM10" s="898"/>
      <c r="BN10" s="898"/>
      <c r="BO10" s="898"/>
      <c r="BP10" s="898"/>
      <c r="BQ10" s="898"/>
      <c r="BR10" s="898"/>
      <c r="BS10" s="898"/>
      <c r="BT10" s="898"/>
      <c r="BU10" s="898"/>
      <c r="BV10" s="898"/>
      <c r="BW10" s="898"/>
      <c r="BX10" s="898"/>
      <c r="BY10" s="898"/>
      <c r="BZ10" s="898"/>
      <c r="CA10" s="898"/>
      <c r="CB10" s="898"/>
      <c r="CC10" s="898"/>
      <c r="CD10" s="898"/>
      <c r="CE10" s="898"/>
      <c r="CF10" s="898"/>
      <c r="CG10" s="898"/>
      <c r="CH10" s="898"/>
      <c r="CI10" s="898"/>
      <c r="CJ10" s="898"/>
      <c r="CK10" s="898"/>
      <c r="CL10" s="898"/>
      <c r="CM10" s="898"/>
      <c r="CN10" s="898"/>
      <c r="CO10" s="898"/>
      <c r="CP10" s="898"/>
      <c r="CQ10" s="898"/>
      <c r="CR10" s="898"/>
      <c r="CS10" s="898"/>
      <c r="CT10" s="898"/>
      <c r="CU10" s="898"/>
    </row>
    <row r="11" ht="16.5" customHeight="1">
      <c r="A11" s="882" t="s">
        <v>1401</v>
      </c>
      <c r="B11" s="882" t="s">
        <v>1402</v>
      </c>
      <c r="C11" s="856" t="s">
        <v>1403</v>
      </c>
      <c r="D11" s="883"/>
      <c r="E11" s="884" t="s">
        <v>170</v>
      </c>
      <c r="F11" s="884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884" t="s">
        <v>33</v>
      </c>
      <c r="H11" s="885">
        <v>1708.0</v>
      </c>
      <c r="I11" s="886"/>
      <c r="J11" s="887"/>
      <c r="K11" s="887"/>
      <c r="L11" s="887"/>
      <c r="M11" s="887"/>
      <c r="N11" s="887"/>
      <c r="O11" s="887"/>
      <c r="P11" s="888"/>
      <c r="Q11" s="885"/>
      <c r="R11" s="889" t="s">
        <v>32</v>
      </c>
      <c r="S11" s="890"/>
      <c r="T11" s="891"/>
      <c r="U11" s="892"/>
      <c r="V11" s="893"/>
      <c r="W11" s="894"/>
      <c r="X11" s="894"/>
      <c r="Y11" s="894"/>
      <c r="Z11" s="895"/>
      <c r="AA11" s="894"/>
      <c r="AB11" s="894"/>
      <c r="AC11" s="894"/>
      <c r="AD11" s="894"/>
      <c r="AE11" s="894"/>
      <c r="AF11" s="894"/>
      <c r="AG11" s="894"/>
      <c r="AH11" s="894"/>
      <c r="AI11" s="896"/>
      <c r="AJ11" s="893"/>
      <c r="AK11" s="894"/>
      <c r="AL11" s="894"/>
      <c r="AM11" s="894"/>
      <c r="AN11" s="895"/>
      <c r="AO11" s="894"/>
      <c r="AP11" s="894"/>
      <c r="AQ11" s="894"/>
      <c r="AR11" s="894"/>
      <c r="AS11" s="894"/>
      <c r="AT11" s="894"/>
      <c r="AU11" s="894"/>
      <c r="AV11" s="894"/>
      <c r="AW11" s="897"/>
      <c r="AX11" s="898"/>
      <c r="AY11" s="898"/>
      <c r="AZ11" s="898"/>
      <c r="BA11" s="898"/>
      <c r="BB11" s="898"/>
      <c r="BC11" s="898"/>
      <c r="BD11" s="898"/>
      <c r="BE11" s="898"/>
      <c r="BF11" s="898"/>
      <c r="BG11" s="898"/>
      <c r="BH11" s="898"/>
      <c r="BI11" s="898"/>
      <c r="BJ11" s="898"/>
      <c r="BK11" s="898"/>
      <c r="BL11" s="898"/>
      <c r="BM11" s="898"/>
      <c r="BN11" s="898"/>
      <c r="BO11" s="898"/>
      <c r="BP11" s="898"/>
      <c r="BQ11" s="898"/>
      <c r="BR11" s="898"/>
      <c r="BS11" s="898"/>
      <c r="BT11" s="898"/>
      <c r="BU11" s="898"/>
      <c r="BV11" s="898"/>
      <c r="BW11" s="898"/>
      <c r="BX11" s="898"/>
      <c r="BY11" s="898"/>
      <c r="BZ11" s="898"/>
      <c r="CA11" s="898"/>
      <c r="CB11" s="898"/>
      <c r="CC11" s="898"/>
      <c r="CD11" s="898"/>
      <c r="CE11" s="898"/>
      <c r="CF11" s="898"/>
      <c r="CG11" s="898"/>
      <c r="CH11" s="898"/>
      <c r="CI11" s="898"/>
      <c r="CJ11" s="898"/>
      <c r="CK11" s="898"/>
      <c r="CL11" s="898"/>
      <c r="CM11" s="898"/>
      <c r="CN11" s="898"/>
      <c r="CO11" s="898"/>
      <c r="CP11" s="898"/>
      <c r="CQ11" s="898"/>
      <c r="CR11" s="898"/>
      <c r="CS11" s="898"/>
      <c r="CT11" s="898"/>
      <c r="CU11" s="898"/>
    </row>
    <row r="12" ht="16.5" customHeight="1">
      <c r="A12" s="965" t="s">
        <v>1401</v>
      </c>
      <c r="B12" s="965" t="s">
        <v>1404</v>
      </c>
      <c r="C12" s="927" t="s">
        <v>1403</v>
      </c>
      <c r="D12" s="928"/>
      <c r="E12" s="929" t="s">
        <v>170</v>
      </c>
      <c r="F12" s="929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29" t="s">
        <v>33</v>
      </c>
      <c r="H12" s="930">
        <v>3638.0</v>
      </c>
      <c r="I12" s="931"/>
      <c r="J12" s="932"/>
      <c r="K12" s="932"/>
      <c r="L12" s="932"/>
      <c r="M12" s="932"/>
      <c r="N12" s="932"/>
      <c r="O12" s="932"/>
      <c r="P12" s="933"/>
      <c r="Q12" s="930"/>
      <c r="R12" s="934" t="s">
        <v>32</v>
      </c>
      <c r="S12" s="935"/>
      <c r="T12" s="936"/>
      <c r="U12" s="937"/>
      <c r="V12" s="938"/>
      <c r="W12" s="939"/>
      <c r="X12" s="939"/>
      <c r="Y12" s="939"/>
      <c r="Z12" s="940"/>
      <c r="AA12" s="939"/>
      <c r="AB12" s="939"/>
      <c r="AC12" s="939"/>
      <c r="AD12" s="939"/>
      <c r="AE12" s="939"/>
      <c r="AF12" s="939"/>
      <c r="AG12" s="939"/>
      <c r="AH12" s="939"/>
      <c r="AI12" s="941"/>
      <c r="AJ12" s="938"/>
      <c r="AK12" s="939"/>
      <c r="AL12" s="939"/>
      <c r="AM12" s="939"/>
      <c r="AN12" s="940"/>
      <c r="AO12" s="939"/>
      <c r="AP12" s="939"/>
      <c r="AQ12" s="939"/>
      <c r="AR12" s="939"/>
      <c r="AS12" s="939"/>
      <c r="AT12" s="939"/>
      <c r="AU12" s="939"/>
      <c r="AV12" s="939"/>
      <c r="AW12" s="942"/>
      <c r="AX12" s="943"/>
      <c r="AY12" s="943"/>
      <c r="AZ12" s="943"/>
      <c r="BA12" s="943"/>
      <c r="BB12" s="943"/>
      <c r="BC12" s="943"/>
      <c r="BD12" s="943"/>
      <c r="BE12" s="943"/>
      <c r="BF12" s="943"/>
      <c r="BG12" s="943"/>
      <c r="BH12" s="943"/>
      <c r="BI12" s="943"/>
      <c r="BJ12" s="943"/>
      <c r="BK12" s="943"/>
      <c r="BL12" s="943"/>
      <c r="BM12" s="943"/>
      <c r="BN12" s="943"/>
      <c r="BO12" s="943"/>
      <c r="BP12" s="943"/>
      <c r="BQ12" s="943"/>
      <c r="BR12" s="943"/>
      <c r="BS12" s="943"/>
      <c r="BT12" s="943"/>
      <c r="BU12" s="943"/>
      <c r="BV12" s="943"/>
      <c r="BW12" s="943"/>
      <c r="BX12" s="943"/>
      <c r="BY12" s="943"/>
      <c r="BZ12" s="943"/>
      <c r="CA12" s="943"/>
      <c r="CB12" s="943"/>
      <c r="CC12" s="943"/>
      <c r="CD12" s="943"/>
      <c r="CE12" s="943"/>
      <c r="CF12" s="943"/>
      <c r="CG12" s="943"/>
      <c r="CH12" s="943"/>
      <c r="CI12" s="943"/>
      <c r="CJ12" s="943"/>
      <c r="CK12" s="943"/>
      <c r="CL12" s="943"/>
      <c r="CM12" s="943"/>
      <c r="CN12" s="943"/>
      <c r="CO12" s="943"/>
      <c r="CP12" s="943"/>
      <c r="CQ12" s="943"/>
      <c r="CR12" s="943"/>
      <c r="CS12" s="943"/>
      <c r="CT12" s="943"/>
      <c r="CU12" s="943"/>
    </row>
    <row r="13" ht="16.5" customHeight="1">
      <c r="A13" s="882" t="s">
        <v>1405</v>
      </c>
      <c r="B13" s="882" t="s">
        <v>1406</v>
      </c>
      <c r="C13" s="856" t="s">
        <v>1388</v>
      </c>
      <c r="D13" s="883"/>
      <c r="E13" s="884" t="s">
        <v>170</v>
      </c>
      <c r="F13" s="884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884" t="s">
        <v>33</v>
      </c>
      <c r="H13" s="885">
        <v>474.0</v>
      </c>
      <c r="I13" s="886">
        <v>352.0</v>
      </c>
      <c r="J13" s="887">
        <v>122.0</v>
      </c>
      <c r="K13" s="887"/>
      <c r="L13" s="887"/>
      <c r="M13" s="887"/>
      <c r="N13" s="887"/>
      <c r="O13" s="887"/>
      <c r="P13" s="888"/>
      <c r="Q13" s="885"/>
      <c r="R13" s="889" t="s">
        <v>32</v>
      </c>
      <c r="S13" s="890"/>
      <c r="T13" s="891"/>
      <c r="U13" s="892"/>
      <c r="V13" s="893"/>
      <c r="W13" s="894"/>
      <c r="X13" s="894"/>
      <c r="Y13" s="894"/>
      <c r="Z13" s="895"/>
      <c r="AA13" s="894"/>
      <c r="AB13" s="894"/>
      <c r="AC13" s="894"/>
      <c r="AD13" s="894"/>
      <c r="AE13" s="894"/>
      <c r="AF13" s="894"/>
      <c r="AG13" s="894"/>
      <c r="AH13" s="894"/>
      <c r="AI13" s="896"/>
      <c r="AJ13" s="893"/>
      <c r="AK13" s="894"/>
      <c r="AL13" s="894"/>
      <c r="AM13" s="894"/>
      <c r="AN13" s="895"/>
      <c r="AO13" s="894"/>
      <c r="AP13" s="894"/>
      <c r="AQ13" s="894"/>
      <c r="AR13" s="894"/>
      <c r="AS13" s="894"/>
      <c r="AT13" s="894"/>
      <c r="AU13" s="894"/>
      <c r="AV13" s="894"/>
      <c r="AW13" s="897"/>
      <c r="AX13" s="898"/>
      <c r="AY13" s="898"/>
      <c r="AZ13" s="898"/>
      <c r="BA13" s="898"/>
      <c r="BB13" s="898"/>
      <c r="BC13" s="898"/>
      <c r="BD13" s="898"/>
      <c r="BE13" s="898"/>
      <c r="BF13" s="898"/>
      <c r="BG13" s="898"/>
      <c r="BH13" s="898"/>
      <c r="BI13" s="898"/>
      <c r="BJ13" s="898"/>
      <c r="BK13" s="898"/>
      <c r="BL13" s="898"/>
      <c r="BM13" s="898"/>
      <c r="BN13" s="898"/>
      <c r="BO13" s="898"/>
      <c r="BP13" s="898"/>
      <c r="BQ13" s="898"/>
      <c r="BR13" s="898"/>
      <c r="BS13" s="898"/>
      <c r="BT13" s="898"/>
      <c r="BU13" s="898"/>
      <c r="BV13" s="898"/>
      <c r="BW13" s="898"/>
      <c r="BX13" s="898"/>
      <c r="BY13" s="898"/>
      <c r="BZ13" s="898"/>
      <c r="CA13" s="898"/>
      <c r="CB13" s="898"/>
      <c r="CC13" s="898"/>
      <c r="CD13" s="898"/>
      <c r="CE13" s="898"/>
      <c r="CF13" s="898"/>
      <c r="CG13" s="898"/>
      <c r="CH13" s="898"/>
      <c r="CI13" s="898"/>
      <c r="CJ13" s="898"/>
      <c r="CK13" s="898"/>
      <c r="CL13" s="898"/>
      <c r="CM13" s="898"/>
      <c r="CN13" s="898"/>
      <c r="CO13" s="898"/>
      <c r="CP13" s="898"/>
      <c r="CQ13" s="898"/>
      <c r="CR13" s="898"/>
      <c r="CS13" s="898"/>
      <c r="CT13" s="898"/>
      <c r="CU13" s="898"/>
    </row>
    <row r="14" ht="16.5" customHeight="1">
      <c r="A14" s="882" t="s">
        <v>1405</v>
      </c>
      <c r="B14" s="882" t="s">
        <v>1406</v>
      </c>
      <c r="C14" s="856" t="s">
        <v>1388</v>
      </c>
      <c r="D14" s="966"/>
      <c r="E14" s="885" t="s">
        <v>1407</v>
      </c>
      <c r="F14" s="884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884" t="s">
        <v>33</v>
      </c>
      <c r="H14" s="885">
        <v>725.0</v>
      </c>
      <c r="I14" s="886">
        <v>276.0</v>
      </c>
      <c r="J14" s="887">
        <v>181.0</v>
      </c>
      <c r="K14" s="887">
        <v>268.0</v>
      </c>
      <c r="L14" s="887"/>
      <c r="M14" s="887"/>
      <c r="N14" s="887"/>
      <c r="O14" s="887"/>
      <c r="P14" s="888"/>
      <c r="Q14" s="885"/>
      <c r="R14" s="889" t="s">
        <v>32</v>
      </c>
      <c r="S14" s="890"/>
      <c r="T14" s="891"/>
      <c r="U14" s="892"/>
      <c r="V14" s="893"/>
      <c r="W14" s="894"/>
      <c r="X14" s="894"/>
      <c r="Y14" s="894"/>
      <c r="Z14" s="895"/>
      <c r="AA14" s="894"/>
      <c r="AB14" s="894"/>
      <c r="AC14" s="894"/>
      <c r="AD14" s="894"/>
      <c r="AE14" s="894"/>
      <c r="AF14" s="894"/>
      <c r="AG14" s="894"/>
      <c r="AH14" s="894"/>
      <c r="AI14" s="896"/>
      <c r="AJ14" s="893"/>
      <c r="AK14" s="894"/>
      <c r="AL14" s="894"/>
      <c r="AM14" s="894"/>
      <c r="AN14" s="895"/>
      <c r="AO14" s="894"/>
      <c r="AP14" s="894"/>
      <c r="AQ14" s="894"/>
      <c r="AR14" s="894"/>
      <c r="AS14" s="894"/>
      <c r="AT14" s="894"/>
      <c r="AU14" s="894"/>
      <c r="AV14" s="894"/>
      <c r="AW14" s="897"/>
      <c r="AX14" s="898"/>
      <c r="AY14" s="898"/>
      <c r="AZ14" s="898"/>
      <c r="BA14" s="898"/>
      <c r="BB14" s="898"/>
      <c r="BC14" s="898"/>
      <c r="BD14" s="898"/>
      <c r="BE14" s="898"/>
      <c r="BF14" s="898"/>
      <c r="BG14" s="898"/>
      <c r="BH14" s="898"/>
      <c r="BI14" s="898"/>
      <c r="BJ14" s="898"/>
      <c r="BK14" s="898"/>
      <c r="BL14" s="898"/>
      <c r="BM14" s="898"/>
      <c r="BN14" s="898"/>
      <c r="BO14" s="898"/>
      <c r="BP14" s="898"/>
      <c r="BQ14" s="898"/>
      <c r="BR14" s="898"/>
      <c r="BS14" s="898"/>
      <c r="BT14" s="898"/>
      <c r="BU14" s="898"/>
      <c r="BV14" s="898"/>
      <c r="BW14" s="898"/>
      <c r="BX14" s="898"/>
      <c r="BY14" s="898"/>
      <c r="BZ14" s="898"/>
      <c r="CA14" s="898"/>
      <c r="CB14" s="898"/>
      <c r="CC14" s="898"/>
      <c r="CD14" s="898"/>
      <c r="CE14" s="898"/>
      <c r="CF14" s="898"/>
      <c r="CG14" s="898"/>
      <c r="CH14" s="898"/>
      <c r="CI14" s="898"/>
      <c r="CJ14" s="898"/>
      <c r="CK14" s="898"/>
      <c r="CL14" s="898"/>
      <c r="CM14" s="898"/>
      <c r="CN14" s="898"/>
      <c r="CO14" s="898"/>
      <c r="CP14" s="898"/>
      <c r="CQ14" s="898"/>
      <c r="CR14" s="898"/>
      <c r="CS14" s="898"/>
      <c r="CT14" s="898"/>
      <c r="CU14" s="898"/>
    </row>
    <row r="15" ht="16.5" customHeight="1">
      <c r="A15" s="882" t="s">
        <v>1405</v>
      </c>
      <c r="B15" s="882" t="s">
        <v>1406</v>
      </c>
      <c r="C15" s="856" t="s">
        <v>1403</v>
      </c>
      <c r="D15" s="883">
        <f>SUM(H2:H17)</f>
        <v>16690</v>
      </c>
      <c r="E15" s="884" t="s">
        <v>170</v>
      </c>
      <c r="F15" s="884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884" t="s">
        <v>33</v>
      </c>
      <c r="H15" s="885">
        <v>931.0</v>
      </c>
      <c r="I15" s="886">
        <v>931.0</v>
      </c>
      <c r="J15" s="887"/>
      <c r="K15" s="887"/>
      <c r="L15" s="887"/>
      <c r="M15" s="887"/>
      <c r="N15" s="887"/>
      <c r="O15" s="887"/>
      <c r="P15" s="888"/>
      <c r="Q15" s="885"/>
      <c r="R15" s="889"/>
      <c r="S15" s="890"/>
      <c r="T15" s="891"/>
      <c r="U15" s="892"/>
      <c r="V15" s="893"/>
      <c r="W15" s="894"/>
      <c r="X15" s="894"/>
      <c r="Y15" s="894"/>
      <c r="Z15" s="895"/>
      <c r="AA15" s="894"/>
      <c r="AB15" s="894"/>
      <c r="AC15" s="894"/>
      <c r="AD15" s="894"/>
      <c r="AE15" s="894"/>
      <c r="AF15" s="894"/>
      <c r="AG15" s="894"/>
      <c r="AH15" s="894"/>
      <c r="AI15" s="896"/>
      <c r="AJ15" s="893"/>
      <c r="AK15" s="894"/>
      <c r="AL15" s="894"/>
      <c r="AM15" s="894"/>
      <c r="AN15" s="895"/>
      <c r="AO15" s="894"/>
      <c r="AP15" s="894"/>
      <c r="AQ15" s="894"/>
      <c r="AR15" s="894"/>
      <c r="AS15" s="894"/>
      <c r="AT15" s="894"/>
      <c r="AU15" s="894"/>
      <c r="AV15" s="894"/>
      <c r="AW15" s="897"/>
      <c r="AX15" s="898"/>
      <c r="AY15" s="898"/>
      <c r="AZ15" s="898"/>
      <c r="BA15" s="898"/>
      <c r="BB15" s="898"/>
      <c r="BC15" s="898"/>
      <c r="BD15" s="898"/>
      <c r="BE15" s="898"/>
      <c r="BF15" s="898"/>
      <c r="BG15" s="898"/>
      <c r="BH15" s="898"/>
      <c r="BI15" s="898"/>
      <c r="BJ15" s="898"/>
      <c r="BK15" s="898"/>
      <c r="BL15" s="898"/>
      <c r="BM15" s="898"/>
      <c r="BN15" s="898"/>
      <c r="BO15" s="898"/>
      <c r="BP15" s="898"/>
      <c r="BQ15" s="898"/>
      <c r="BR15" s="898"/>
      <c r="BS15" s="898"/>
      <c r="BT15" s="898"/>
      <c r="BU15" s="898"/>
      <c r="BV15" s="898"/>
      <c r="BW15" s="898"/>
      <c r="BX15" s="898"/>
      <c r="BY15" s="898"/>
      <c r="BZ15" s="898"/>
      <c r="CA15" s="898"/>
      <c r="CB15" s="898"/>
      <c r="CC15" s="898"/>
      <c r="CD15" s="898"/>
      <c r="CE15" s="898"/>
      <c r="CF15" s="898"/>
      <c r="CG15" s="898"/>
      <c r="CH15" s="898"/>
      <c r="CI15" s="898"/>
      <c r="CJ15" s="898"/>
      <c r="CK15" s="898"/>
      <c r="CL15" s="898"/>
      <c r="CM15" s="898"/>
      <c r="CN15" s="898"/>
      <c r="CO15" s="898"/>
      <c r="CP15" s="898"/>
      <c r="CQ15" s="898"/>
      <c r="CR15" s="898"/>
      <c r="CS15" s="898"/>
      <c r="CT15" s="898"/>
      <c r="CU15" s="898"/>
    </row>
    <row r="16" ht="16.5" customHeight="1">
      <c r="A16" s="946" t="s">
        <v>1405</v>
      </c>
      <c r="B16" s="946" t="s">
        <v>1408</v>
      </c>
      <c r="C16" s="856" t="s">
        <v>1403</v>
      </c>
      <c r="D16" s="883"/>
      <c r="E16" s="884" t="s">
        <v>170</v>
      </c>
      <c r="F16" s="884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884" t="s">
        <v>33</v>
      </c>
      <c r="H16" s="885">
        <v>3885.0</v>
      </c>
      <c r="I16" s="886">
        <v>1715.0</v>
      </c>
      <c r="J16" s="887">
        <v>1741.0</v>
      </c>
      <c r="K16" s="887">
        <v>224.0</v>
      </c>
      <c r="L16" s="887"/>
      <c r="M16" s="887"/>
      <c r="N16" s="887">
        <v>105.0</v>
      </c>
      <c r="O16" s="887">
        <v>100.0</v>
      </c>
      <c r="P16" s="888"/>
      <c r="Q16" s="885"/>
      <c r="R16" s="889" t="s">
        <v>32</v>
      </c>
      <c r="S16" s="890"/>
      <c r="T16" s="891"/>
      <c r="U16" s="892"/>
      <c r="V16" s="893"/>
      <c r="W16" s="894"/>
      <c r="X16" s="894"/>
      <c r="Y16" s="894"/>
      <c r="Z16" s="895"/>
      <c r="AA16" s="894"/>
      <c r="AB16" s="894"/>
      <c r="AC16" s="894"/>
      <c r="AD16" s="894"/>
      <c r="AE16" s="894"/>
      <c r="AF16" s="894"/>
      <c r="AG16" s="894"/>
      <c r="AH16" s="894"/>
      <c r="AI16" s="896"/>
      <c r="AJ16" s="893"/>
      <c r="AK16" s="894"/>
      <c r="AL16" s="894"/>
      <c r="AM16" s="894"/>
      <c r="AN16" s="895"/>
      <c r="AO16" s="894"/>
      <c r="AP16" s="894"/>
      <c r="AQ16" s="894"/>
      <c r="AR16" s="894"/>
      <c r="AS16" s="894"/>
      <c r="AT16" s="894"/>
      <c r="AU16" s="894"/>
      <c r="AV16" s="894"/>
      <c r="AW16" s="897"/>
      <c r="AX16" s="899"/>
      <c r="AY16" s="898"/>
      <c r="AZ16" s="898"/>
      <c r="BA16" s="898"/>
      <c r="BB16" s="898"/>
      <c r="BC16" s="898"/>
      <c r="BD16" s="898"/>
      <c r="BE16" s="898"/>
      <c r="BF16" s="898"/>
      <c r="BG16" s="898"/>
      <c r="BH16" s="898"/>
      <c r="BI16" s="898"/>
      <c r="BJ16" s="898"/>
      <c r="BK16" s="898"/>
      <c r="BL16" s="898"/>
      <c r="BM16" s="898"/>
      <c r="BN16" s="898"/>
      <c r="BO16" s="898"/>
      <c r="BP16" s="898"/>
      <c r="BQ16" s="898"/>
      <c r="BR16" s="898"/>
      <c r="BS16" s="898"/>
      <c r="BT16" s="898"/>
      <c r="BU16" s="898"/>
      <c r="BV16" s="898"/>
      <c r="BW16" s="898"/>
      <c r="BX16" s="898"/>
      <c r="BY16" s="898"/>
      <c r="BZ16" s="898"/>
      <c r="CA16" s="898"/>
      <c r="CB16" s="898"/>
      <c r="CC16" s="898"/>
      <c r="CD16" s="898"/>
      <c r="CE16" s="898"/>
      <c r="CF16" s="898"/>
      <c r="CG16" s="898"/>
      <c r="CH16" s="898"/>
      <c r="CI16" s="898"/>
      <c r="CJ16" s="898"/>
      <c r="CK16" s="898"/>
      <c r="CL16" s="898"/>
      <c r="CM16" s="898"/>
      <c r="CN16" s="898"/>
      <c r="CO16" s="898"/>
      <c r="CP16" s="898"/>
      <c r="CQ16" s="898"/>
      <c r="CR16" s="898"/>
      <c r="CS16" s="898"/>
      <c r="CT16" s="898"/>
      <c r="CU16" s="898"/>
    </row>
    <row r="17" ht="16.5" customHeight="1">
      <c r="A17" s="965" t="s">
        <v>1405</v>
      </c>
      <c r="B17" s="965" t="s">
        <v>1409</v>
      </c>
      <c r="C17" s="927" t="s">
        <v>1403</v>
      </c>
      <c r="D17" s="928"/>
      <c r="E17" s="929" t="s">
        <v>170</v>
      </c>
      <c r="F17" s="929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29" t="s">
        <v>33</v>
      </c>
      <c r="H17" s="930">
        <v>1437.0</v>
      </c>
      <c r="I17" s="931">
        <v>856.0</v>
      </c>
      <c r="J17" s="932">
        <v>219.0</v>
      </c>
      <c r="K17" s="932">
        <v>41.0</v>
      </c>
      <c r="L17" s="932"/>
      <c r="M17" s="932"/>
      <c r="N17" s="932"/>
      <c r="O17" s="932"/>
      <c r="P17" s="933"/>
      <c r="Q17" s="930"/>
      <c r="R17" s="934" t="s">
        <v>32</v>
      </c>
      <c r="S17" s="935"/>
      <c r="T17" s="936"/>
      <c r="U17" s="937"/>
      <c r="V17" s="938"/>
      <c r="W17" s="939"/>
      <c r="X17" s="939"/>
      <c r="Y17" s="939"/>
      <c r="Z17" s="940"/>
      <c r="AA17" s="939"/>
      <c r="AB17" s="939"/>
      <c r="AC17" s="939"/>
      <c r="AD17" s="939"/>
      <c r="AE17" s="939"/>
      <c r="AF17" s="939"/>
      <c r="AG17" s="939"/>
      <c r="AH17" s="939"/>
      <c r="AI17" s="941"/>
      <c r="AJ17" s="938"/>
      <c r="AK17" s="939"/>
      <c r="AL17" s="939"/>
      <c r="AM17" s="939"/>
      <c r="AN17" s="940"/>
      <c r="AO17" s="939"/>
      <c r="AP17" s="939"/>
      <c r="AQ17" s="939"/>
      <c r="AR17" s="939"/>
      <c r="AS17" s="939"/>
      <c r="AT17" s="939"/>
      <c r="AU17" s="939"/>
      <c r="AV17" s="939"/>
      <c r="AW17" s="942"/>
      <c r="AX17" s="943"/>
      <c r="AY17" s="943"/>
      <c r="AZ17" s="943"/>
      <c r="BA17" s="943"/>
      <c r="BB17" s="943"/>
      <c r="BC17" s="943"/>
      <c r="BD17" s="943"/>
      <c r="BE17" s="943"/>
      <c r="BF17" s="943"/>
      <c r="BG17" s="943"/>
      <c r="BH17" s="943"/>
      <c r="BI17" s="943"/>
      <c r="BJ17" s="943"/>
      <c r="BK17" s="943"/>
      <c r="BL17" s="943"/>
      <c r="BM17" s="943"/>
      <c r="BN17" s="943"/>
      <c r="BO17" s="943"/>
      <c r="BP17" s="943"/>
      <c r="BQ17" s="943"/>
      <c r="BR17" s="943"/>
      <c r="BS17" s="943"/>
      <c r="BT17" s="943"/>
      <c r="BU17" s="943"/>
      <c r="BV17" s="943"/>
      <c r="BW17" s="943"/>
      <c r="BX17" s="943"/>
      <c r="BY17" s="943"/>
      <c r="BZ17" s="943"/>
      <c r="CA17" s="943"/>
      <c r="CB17" s="898"/>
      <c r="CC17" s="898"/>
      <c r="CD17" s="898"/>
      <c r="CE17" s="898"/>
      <c r="CF17" s="898"/>
      <c r="CG17" s="898"/>
      <c r="CH17" s="898"/>
      <c r="CI17" s="898"/>
      <c r="CJ17" s="898"/>
      <c r="CK17" s="898"/>
      <c r="CL17" s="898"/>
      <c r="CM17" s="898"/>
      <c r="CN17" s="898"/>
      <c r="CO17" s="898"/>
      <c r="CP17" s="898"/>
      <c r="CQ17" s="898"/>
      <c r="CR17" s="898"/>
      <c r="CS17" s="898"/>
      <c r="CT17" s="898"/>
      <c r="CU17" s="898"/>
    </row>
    <row r="18" ht="16.5" customHeight="1">
      <c r="A18" s="718">
        <v>2018.0</v>
      </c>
      <c r="B18" s="967">
        <v>43293.0</v>
      </c>
      <c r="C18" s="866" t="s">
        <v>1388</v>
      </c>
      <c r="D18" s="968" t="s">
        <v>1410</v>
      </c>
      <c r="E18" s="359" t="s">
        <v>170</v>
      </c>
      <c r="F18" s="359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359" t="s">
        <v>43</v>
      </c>
      <c r="H18" s="718">
        <v>1100.0</v>
      </c>
      <c r="I18" s="969">
        <v>1100.0</v>
      </c>
      <c r="J18" s="359" t="s">
        <v>321</v>
      </c>
      <c r="K18" s="359" t="s">
        <v>321</v>
      </c>
      <c r="L18" s="359" t="s">
        <v>321</v>
      </c>
      <c r="M18" s="359"/>
      <c r="N18" s="359" t="s">
        <v>321</v>
      </c>
      <c r="O18" s="359" t="s">
        <v>321</v>
      </c>
      <c r="P18" s="359" t="s">
        <v>321</v>
      </c>
      <c r="Q18" s="718"/>
      <c r="R18" s="970" t="s">
        <v>1411</v>
      </c>
      <c r="S18" s="716">
        <v>24.62209</v>
      </c>
      <c r="T18" s="971">
        <v>-81.36282</v>
      </c>
      <c r="U18" s="967">
        <v>43326.0</v>
      </c>
      <c r="V18" s="972">
        <v>0.965</v>
      </c>
      <c r="W18" s="973">
        <v>0.0</v>
      </c>
      <c r="X18" s="974">
        <v>0.017272727272727273</v>
      </c>
      <c r="Y18" s="974" t="s">
        <v>149</v>
      </c>
      <c r="Z18" s="975" t="s">
        <v>1412</v>
      </c>
      <c r="AA18" s="974">
        <v>0.9827272727272727</v>
      </c>
      <c r="AB18" s="974" t="s">
        <v>1412</v>
      </c>
      <c r="AC18" s="974" t="s">
        <v>1412</v>
      </c>
      <c r="AD18" s="974" t="s">
        <v>1412</v>
      </c>
      <c r="AE18" s="974" t="s">
        <v>1412</v>
      </c>
      <c r="AF18" s="974" t="s">
        <v>1412</v>
      </c>
      <c r="AG18" s="974" t="s">
        <v>1412</v>
      </c>
      <c r="AH18" s="974" t="s">
        <v>1412</v>
      </c>
      <c r="AI18" s="976">
        <v>43653.0</v>
      </c>
      <c r="AJ18" s="972">
        <v>0.67</v>
      </c>
      <c r="AK18" s="973">
        <v>0.14727272727272728</v>
      </c>
      <c r="AL18" s="974">
        <v>0.017272727272727273</v>
      </c>
      <c r="AM18" s="974" t="s">
        <v>149</v>
      </c>
      <c r="AN18" s="975" t="s">
        <v>1412</v>
      </c>
      <c r="AO18" s="974">
        <v>0.8354545454545454</v>
      </c>
      <c r="AP18" s="974" t="s">
        <v>1412</v>
      </c>
      <c r="AQ18" s="974" t="s">
        <v>1412</v>
      </c>
      <c r="AR18" s="974" t="s">
        <v>1412</v>
      </c>
      <c r="AS18" s="974" t="s">
        <v>1412</v>
      </c>
      <c r="AT18" s="974" t="s">
        <v>1412</v>
      </c>
      <c r="AU18" s="974" t="s">
        <v>1412</v>
      </c>
      <c r="AV18" s="974" t="s">
        <v>1412</v>
      </c>
      <c r="AW18" s="977" t="s">
        <v>1413</v>
      </c>
      <c r="AX18" s="978" t="s">
        <v>1414</v>
      </c>
      <c r="AY18" s="898" t="s">
        <v>1415</v>
      </c>
      <c r="AZ18" s="898" t="s">
        <v>1416</v>
      </c>
      <c r="BA18" s="898"/>
      <c r="BB18" s="898"/>
      <c r="BC18" s="898"/>
      <c r="BD18" s="898"/>
      <c r="BE18" s="898"/>
      <c r="BF18" s="898"/>
      <c r="BG18" s="898"/>
      <c r="BH18" s="898"/>
      <c r="BI18" s="898"/>
      <c r="BJ18" s="898"/>
      <c r="BK18" s="898"/>
      <c r="BL18" s="898"/>
      <c r="BM18" s="898"/>
      <c r="BN18" s="898"/>
      <c r="BO18" s="898"/>
      <c r="BP18" s="898"/>
      <c r="BQ18" s="898"/>
      <c r="BR18" s="898"/>
      <c r="BS18" s="898"/>
      <c r="BT18" s="898"/>
      <c r="BU18" s="898"/>
      <c r="BV18" s="898"/>
      <c r="BW18" s="898"/>
      <c r="BX18" s="898"/>
      <c r="BY18" s="898"/>
      <c r="BZ18" s="898"/>
      <c r="CA18" s="898"/>
      <c r="CB18" s="898"/>
      <c r="CC18" s="898"/>
      <c r="CD18" s="898"/>
      <c r="CE18" s="898"/>
      <c r="CF18" s="898"/>
      <c r="CG18" s="898"/>
      <c r="CH18" s="898"/>
      <c r="CI18" s="898"/>
      <c r="CJ18" s="898"/>
      <c r="CK18" s="898"/>
      <c r="CL18" s="898"/>
      <c r="CM18" s="898"/>
      <c r="CN18" s="898"/>
      <c r="CO18" s="898"/>
      <c r="CP18" s="898"/>
      <c r="CQ18" s="898"/>
      <c r="CR18" s="898"/>
      <c r="CS18" s="898"/>
      <c r="CT18" s="898"/>
      <c r="CU18" s="898"/>
    </row>
    <row r="19" ht="16.5" customHeight="1">
      <c r="A19" s="359">
        <v>2018.0</v>
      </c>
      <c r="B19" s="979">
        <v>43312.0</v>
      </c>
      <c r="C19" s="980" t="s">
        <v>1417</v>
      </c>
      <c r="D19" s="968" t="s">
        <v>1418</v>
      </c>
      <c r="E19" s="359" t="s">
        <v>170</v>
      </c>
      <c r="F19" s="359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359" t="s">
        <v>45</v>
      </c>
      <c r="H19" s="359">
        <v>1475.0</v>
      </c>
      <c r="I19" s="969">
        <v>658.0</v>
      </c>
      <c r="J19" s="359">
        <v>817.0</v>
      </c>
      <c r="K19" s="359" t="s">
        <v>321</v>
      </c>
      <c r="L19" s="359" t="s">
        <v>321</v>
      </c>
      <c r="M19" s="359"/>
      <c r="N19" s="359" t="s">
        <v>321</v>
      </c>
      <c r="O19" s="359" t="s">
        <v>321</v>
      </c>
      <c r="P19" s="359" t="s">
        <v>321</v>
      </c>
      <c r="Q19" s="981"/>
      <c r="R19" s="982" t="s">
        <v>1419</v>
      </c>
      <c r="S19" s="983">
        <v>24.53919</v>
      </c>
      <c r="T19" s="984">
        <v>-81.7727</v>
      </c>
      <c r="U19" s="985">
        <v>43356.0</v>
      </c>
      <c r="V19" s="986">
        <v>0.9891525423728813</v>
      </c>
      <c r="W19" s="987">
        <v>0.0013559322033898306</v>
      </c>
      <c r="X19" s="988">
        <v>0.009491525423728813</v>
      </c>
      <c r="Y19" s="988" t="s">
        <v>149</v>
      </c>
      <c r="Z19" s="989" t="s">
        <v>1412</v>
      </c>
      <c r="AA19" s="988">
        <v>0.9893617021276596</v>
      </c>
      <c r="AB19" s="988">
        <v>0.988984088127295</v>
      </c>
      <c r="AC19" s="988" t="s">
        <v>1412</v>
      </c>
      <c r="AD19" s="974" t="s">
        <v>1412</v>
      </c>
      <c r="AE19" s="974" t="s">
        <v>1412</v>
      </c>
      <c r="AF19" s="974" t="s">
        <v>1412</v>
      </c>
      <c r="AG19" s="974" t="s">
        <v>1412</v>
      </c>
      <c r="AH19" s="974" t="s">
        <v>1412</v>
      </c>
      <c r="AI19" s="990">
        <v>43676.0</v>
      </c>
      <c r="AJ19" s="986">
        <v>0.78</v>
      </c>
      <c r="AK19" s="987">
        <v>0.1369491525423729</v>
      </c>
      <c r="AL19" s="988">
        <v>0.005423728813559322</v>
      </c>
      <c r="AM19" s="988"/>
      <c r="AN19" s="989" t="s">
        <v>1412</v>
      </c>
      <c r="AO19" s="988">
        <v>0.9787234042553191</v>
      </c>
      <c r="AP19" s="988">
        <v>0.7600979192166463</v>
      </c>
      <c r="AQ19" s="988" t="s">
        <v>1412</v>
      </c>
      <c r="AR19" s="974" t="s">
        <v>1412</v>
      </c>
      <c r="AS19" s="974" t="s">
        <v>1412</v>
      </c>
      <c r="AT19" s="974" t="s">
        <v>1412</v>
      </c>
      <c r="AU19" s="974" t="s">
        <v>1412</v>
      </c>
      <c r="AV19" s="974" t="s">
        <v>1412</v>
      </c>
      <c r="AW19" s="977" t="s">
        <v>1420</v>
      </c>
      <c r="AX19" s="978" t="s">
        <v>1421</v>
      </c>
      <c r="AY19" s="898" t="s">
        <v>1415</v>
      </c>
      <c r="AZ19" s="898" t="s">
        <v>1422</v>
      </c>
      <c r="BA19" s="898" t="s">
        <v>1416</v>
      </c>
      <c r="BB19" s="898" t="s">
        <v>1423</v>
      </c>
      <c r="BC19" s="898" t="s">
        <v>1424</v>
      </c>
      <c r="BD19" s="898" t="s">
        <v>1425</v>
      </c>
      <c r="BE19" s="898" t="s">
        <v>1426</v>
      </c>
      <c r="BF19" s="898" t="s">
        <v>1427</v>
      </c>
      <c r="BG19" s="898" t="s">
        <v>1428</v>
      </c>
      <c r="BH19" s="898" t="s">
        <v>1429</v>
      </c>
      <c r="BI19" s="898" t="s">
        <v>1430</v>
      </c>
      <c r="BJ19" s="898"/>
      <c r="BK19" s="898"/>
      <c r="BL19" s="898"/>
      <c r="BM19" s="898"/>
      <c r="BN19" s="898"/>
      <c r="BO19" s="898"/>
      <c r="BP19" s="898"/>
      <c r="BQ19" s="898"/>
      <c r="BR19" s="898"/>
      <c r="BS19" s="898"/>
      <c r="BT19" s="898"/>
      <c r="BU19" s="898"/>
      <c r="BV19" s="898"/>
      <c r="BW19" s="898"/>
      <c r="BX19" s="898"/>
      <c r="BY19" s="898"/>
      <c r="BZ19" s="898"/>
      <c r="CA19" s="898"/>
      <c r="CB19" s="898"/>
      <c r="CC19" s="898"/>
      <c r="CD19" s="898"/>
      <c r="CE19" s="898"/>
      <c r="CF19" s="898"/>
      <c r="CG19" s="898"/>
      <c r="CH19" s="898"/>
      <c r="CI19" s="898"/>
      <c r="CJ19" s="898"/>
      <c r="CK19" s="898"/>
      <c r="CL19" s="898"/>
      <c r="CM19" s="898"/>
      <c r="CN19" s="898"/>
      <c r="CO19" s="898"/>
      <c r="CP19" s="898"/>
      <c r="CQ19" s="898"/>
      <c r="CR19" s="898"/>
      <c r="CS19" s="898"/>
      <c r="CT19" s="898"/>
      <c r="CU19" s="898"/>
    </row>
    <row r="20" ht="16.5" customHeight="1">
      <c r="A20" s="991">
        <v>2018.0</v>
      </c>
      <c r="B20" s="992">
        <v>43371.0</v>
      </c>
      <c r="C20" s="993" t="s">
        <v>1431</v>
      </c>
      <c r="D20" s="994" t="s">
        <v>1432</v>
      </c>
      <c r="E20" s="991" t="s">
        <v>170</v>
      </c>
      <c r="F20" s="991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991" t="s">
        <v>41</v>
      </c>
      <c r="H20" s="991">
        <v>440.0</v>
      </c>
      <c r="I20" s="995">
        <v>245.0</v>
      </c>
      <c r="J20" s="991">
        <v>105.0</v>
      </c>
      <c r="K20" s="991">
        <v>90.0</v>
      </c>
      <c r="L20" s="991" t="s">
        <v>321</v>
      </c>
      <c r="M20" s="991"/>
      <c r="N20" s="991" t="s">
        <v>321</v>
      </c>
      <c r="O20" s="991" t="s">
        <v>321</v>
      </c>
      <c r="P20" s="991" t="s">
        <v>321</v>
      </c>
      <c r="Q20" s="996"/>
      <c r="R20" s="997" t="s">
        <v>1433</v>
      </c>
      <c r="S20" s="998">
        <v>24.55178</v>
      </c>
      <c r="T20" s="999">
        <v>-81.38648</v>
      </c>
      <c r="U20" s="1000">
        <v>43407.0</v>
      </c>
      <c r="V20" s="1001">
        <v>0.9636363636363636</v>
      </c>
      <c r="W20" s="1002">
        <v>0.025</v>
      </c>
      <c r="X20" s="1003">
        <v>0.011363636363636364</v>
      </c>
      <c r="Y20" s="1003" t="s">
        <v>149</v>
      </c>
      <c r="Z20" s="1004">
        <v>1.0</v>
      </c>
      <c r="AA20" s="1003">
        <v>0.9959183673469387</v>
      </c>
      <c r="AB20" s="1003">
        <v>0.8571428571428572</v>
      </c>
      <c r="AC20" s="1003" t="s">
        <v>1412</v>
      </c>
      <c r="AD20" s="1005" t="s">
        <v>1412</v>
      </c>
      <c r="AE20" s="1005" t="s">
        <v>1412</v>
      </c>
      <c r="AF20" s="1005" t="s">
        <v>1412</v>
      </c>
      <c r="AG20" s="1005" t="s">
        <v>1412</v>
      </c>
      <c r="AH20" s="1005" t="s">
        <v>1412</v>
      </c>
      <c r="AI20" s="1006">
        <v>43749.0</v>
      </c>
      <c r="AJ20" s="1001">
        <v>0.3909090909090909</v>
      </c>
      <c r="AK20" s="1002">
        <v>0.5954545454545455</v>
      </c>
      <c r="AL20" s="1003">
        <v>0.013636363636363636</v>
      </c>
      <c r="AM20" s="1003" t="s">
        <v>149</v>
      </c>
      <c r="AN20" s="1004">
        <v>0.7777777777777778</v>
      </c>
      <c r="AO20" s="1003">
        <v>0.24081632653061225</v>
      </c>
      <c r="AP20" s="1003">
        <v>0.4095238095238095</v>
      </c>
      <c r="AQ20" s="1003" t="s">
        <v>1412</v>
      </c>
      <c r="AR20" s="1005" t="s">
        <v>1412</v>
      </c>
      <c r="AS20" s="1005" t="s">
        <v>1412</v>
      </c>
      <c r="AT20" s="1005" t="s">
        <v>1412</v>
      </c>
      <c r="AU20" s="1005" t="s">
        <v>1412</v>
      </c>
      <c r="AV20" s="1005" t="s">
        <v>1412</v>
      </c>
      <c r="AW20" s="977" t="s">
        <v>1434</v>
      </c>
      <c r="AX20" s="978" t="s">
        <v>1435</v>
      </c>
      <c r="AY20" s="898" t="s">
        <v>1428</v>
      </c>
      <c r="AZ20" s="898" t="s">
        <v>1436</v>
      </c>
      <c r="BA20" s="898" t="s">
        <v>1423</v>
      </c>
      <c r="BB20" s="898" t="s">
        <v>1437</v>
      </c>
      <c r="BC20" s="898" t="s">
        <v>1416</v>
      </c>
      <c r="BD20" s="898" t="s">
        <v>1438</v>
      </c>
      <c r="BE20" s="898" t="s">
        <v>1439</v>
      </c>
      <c r="BF20" s="898" t="s">
        <v>1414</v>
      </c>
      <c r="BG20" s="898" t="s">
        <v>1430</v>
      </c>
      <c r="BH20" s="898" t="s">
        <v>1424</v>
      </c>
      <c r="BI20" s="898" t="s">
        <v>1421</v>
      </c>
      <c r="BJ20" s="898" t="s">
        <v>1415</v>
      </c>
      <c r="BK20" s="898" t="s">
        <v>1440</v>
      </c>
      <c r="BL20" s="898" t="s">
        <v>1441</v>
      </c>
      <c r="BM20" s="898" t="s">
        <v>1422</v>
      </c>
      <c r="BN20" s="898" t="s">
        <v>1442</v>
      </c>
      <c r="BO20" s="898"/>
      <c r="BP20" s="898"/>
      <c r="BQ20" s="898"/>
      <c r="BR20" s="898"/>
      <c r="BS20" s="898"/>
      <c r="BT20" s="898"/>
      <c r="BU20" s="898"/>
      <c r="BV20" s="898"/>
      <c r="BW20" s="898"/>
      <c r="BX20" s="898"/>
      <c r="BY20" s="898"/>
      <c r="BZ20" s="898"/>
      <c r="CA20" s="898"/>
      <c r="CB20" s="898"/>
      <c r="CC20" s="898"/>
      <c r="CD20" s="898"/>
      <c r="CE20" s="898"/>
      <c r="CF20" s="898"/>
      <c r="CG20" s="898"/>
      <c r="CH20" s="898"/>
      <c r="CI20" s="898"/>
      <c r="CJ20" s="898"/>
      <c r="CK20" s="898"/>
      <c r="CL20" s="898"/>
      <c r="CM20" s="898"/>
      <c r="CN20" s="898"/>
      <c r="CO20" s="898"/>
      <c r="CP20" s="898"/>
      <c r="CQ20" s="898"/>
      <c r="CR20" s="898"/>
      <c r="CS20" s="898"/>
      <c r="CT20" s="898"/>
      <c r="CU20" s="898"/>
    </row>
    <row r="21" ht="16.5" customHeight="1">
      <c r="A21" s="991">
        <v>2018.0</v>
      </c>
      <c r="B21" s="992">
        <v>43375.0</v>
      </c>
      <c r="C21" s="993" t="s">
        <v>463</v>
      </c>
      <c r="D21" s="994" t="s">
        <v>1443</v>
      </c>
      <c r="E21" s="991" t="s">
        <v>170</v>
      </c>
      <c r="F21" s="991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991" t="s">
        <v>41</v>
      </c>
      <c r="H21" s="991">
        <v>315.0</v>
      </c>
      <c r="I21" s="995">
        <v>150.0</v>
      </c>
      <c r="J21" s="991">
        <v>90.0</v>
      </c>
      <c r="K21" s="991">
        <v>75.0</v>
      </c>
      <c r="L21" s="991" t="s">
        <v>321</v>
      </c>
      <c r="M21" s="991"/>
      <c r="N21" s="991" t="s">
        <v>321</v>
      </c>
      <c r="O21" s="991" t="s">
        <v>321</v>
      </c>
      <c r="P21" s="991" t="s">
        <v>321</v>
      </c>
      <c r="Q21" s="996"/>
      <c r="R21" s="997" t="s">
        <v>1444</v>
      </c>
      <c r="S21" s="998">
        <v>24.59536</v>
      </c>
      <c r="T21" s="999">
        <v>-81.37193</v>
      </c>
      <c r="U21" s="1000">
        <v>43407.0</v>
      </c>
      <c r="V21" s="1001">
        <v>0.9873015873015873</v>
      </c>
      <c r="W21" s="1002">
        <v>0.0</v>
      </c>
      <c r="X21" s="1003">
        <v>0.012698412698412698</v>
      </c>
      <c r="Y21" s="1003" t="s">
        <v>149</v>
      </c>
      <c r="Z21" s="1004">
        <v>0.9733333333333334</v>
      </c>
      <c r="AA21" s="1003">
        <v>1.0</v>
      </c>
      <c r="AB21" s="1003">
        <v>0.9777777777777777</v>
      </c>
      <c r="AC21" s="1003" t="s">
        <v>1412</v>
      </c>
      <c r="AD21" s="1005" t="s">
        <v>1412</v>
      </c>
      <c r="AE21" s="1005" t="s">
        <v>1412</v>
      </c>
      <c r="AF21" s="1005" t="s">
        <v>1412</v>
      </c>
      <c r="AG21" s="1005" t="s">
        <v>1412</v>
      </c>
      <c r="AH21" s="1005" t="s">
        <v>1412</v>
      </c>
      <c r="AI21" s="1006">
        <v>43749.0</v>
      </c>
      <c r="AJ21" s="1001">
        <v>0.44126984126984126</v>
      </c>
      <c r="AK21" s="1002">
        <v>0.5396825396825397</v>
      </c>
      <c r="AL21" s="1003">
        <v>0.01904761904761905</v>
      </c>
      <c r="AM21" s="1003" t="s">
        <v>149</v>
      </c>
      <c r="AN21" s="1004">
        <v>0.41333333333333333</v>
      </c>
      <c r="AO21" s="1003">
        <v>0.31999999999999995</v>
      </c>
      <c r="AP21" s="1003">
        <v>0.6666666666666667</v>
      </c>
      <c r="AQ21" s="1003" t="s">
        <v>1412</v>
      </c>
      <c r="AR21" s="1005" t="s">
        <v>1412</v>
      </c>
      <c r="AS21" s="1005" t="s">
        <v>1412</v>
      </c>
      <c r="AT21" s="1005" t="s">
        <v>1412</v>
      </c>
      <c r="AU21" s="1005" t="s">
        <v>1412</v>
      </c>
      <c r="AV21" s="1005" t="s">
        <v>1412</v>
      </c>
      <c r="AW21" s="977" t="s">
        <v>1445</v>
      </c>
      <c r="AX21" s="978" t="s">
        <v>1414</v>
      </c>
      <c r="AY21" s="898" t="s">
        <v>1435</v>
      </c>
      <c r="AZ21" s="898" t="s">
        <v>1430</v>
      </c>
      <c r="BA21" s="898" t="s">
        <v>1421</v>
      </c>
      <c r="BB21" s="898" t="s">
        <v>1437</v>
      </c>
      <c r="BC21" s="898" t="s">
        <v>1438</v>
      </c>
      <c r="BD21" s="898" t="s">
        <v>1424</v>
      </c>
      <c r="BE21" s="898" t="s">
        <v>1423</v>
      </c>
      <c r="BF21" s="898" t="s">
        <v>1416</v>
      </c>
      <c r="BG21" s="898"/>
      <c r="BH21" s="898"/>
      <c r="BI21" s="898"/>
      <c r="BJ21" s="898"/>
      <c r="BK21" s="898"/>
      <c r="BL21" s="898"/>
      <c r="BM21" s="898"/>
      <c r="BN21" s="898"/>
      <c r="BO21" s="898"/>
      <c r="BP21" s="898"/>
      <c r="BQ21" s="898"/>
      <c r="BR21" s="898"/>
      <c r="BS21" s="898"/>
      <c r="BT21" s="898"/>
      <c r="BU21" s="898"/>
      <c r="BV21" s="898"/>
      <c r="BW21" s="898"/>
      <c r="BX21" s="898"/>
      <c r="BY21" s="898"/>
      <c r="BZ21" s="898"/>
      <c r="CA21" s="898"/>
      <c r="CB21" s="898"/>
      <c r="CC21" s="898"/>
      <c r="CD21" s="898"/>
      <c r="CE21" s="898"/>
      <c r="CF21" s="898"/>
      <c r="CG21" s="898"/>
      <c r="CH21" s="898"/>
      <c r="CI21" s="898"/>
      <c r="CJ21" s="898"/>
      <c r="CK21" s="898"/>
      <c r="CL21" s="898"/>
      <c r="CM21" s="898"/>
      <c r="CN21" s="898"/>
      <c r="CO21" s="898"/>
      <c r="CP21" s="898"/>
      <c r="CQ21" s="898"/>
      <c r="CR21" s="898"/>
      <c r="CS21" s="898"/>
      <c r="CT21" s="898"/>
      <c r="CU21" s="898"/>
    </row>
    <row r="22" ht="16.5" customHeight="1">
      <c r="A22" s="1007">
        <v>2018.0</v>
      </c>
      <c r="B22" s="1008">
        <v>43375.0</v>
      </c>
      <c r="C22" s="1009" t="s">
        <v>1388</v>
      </c>
      <c r="D22" s="994" t="s">
        <v>1446</v>
      </c>
      <c r="E22" s="991" t="s">
        <v>170</v>
      </c>
      <c r="F22" s="991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991" t="s">
        <v>41</v>
      </c>
      <c r="H22" s="1007">
        <v>255.0</v>
      </c>
      <c r="I22" s="995">
        <v>135.0</v>
      </c>
      <c r="J22" s="991">
        <v>60.0</v>
      </c>
      <c r="K22" s="991">
        <v>60.0</v>
      </c>
      <c r="L22" s="991" t="s">
        <v>321</v>
      </c>
      <c r="M22" s="991"/>
      <c r="N22" s="991" t="s">
        <v>321</v>
      </c>
      <c r="O22" s="991" t="s">
        <v>321</v>
      </c>
      <c r="P22" s="991" t="s">
        <v>321</v>
      </c>
      <c r="Q22" s="1007"/>
      <c r="R22" s="1010" t="s">
        <v>1447</v>
      </c>
      <c r="S22" s="1011">
        <v>24.62165</v>
      </c>
      <c r="T22" s="1012">
        <v>-81.36316</v>
      </c>
      <c r="U22" s="1008">
        <v>43407.0</v>
      </c>
      <c r="V22" s="1013">
        <v>0.996078431372549</v>
      </c>
      <c r="W22" s="1014">
        <v>0.0</v>
      </c>
      <c r="X22" s="1005">
        <v>0.00392156862745098</v>
      </c>
      <c r="Y22" s="1005">
        <v>1.0</v>
      </c>
      <c r="Z22" s="1015">
        <v>1.0</v>
      </c>
      <c r="AA22" s="1005">
        <v>0.9925925925925926</v>
      </c>
      <c r="AB22" s="1005">
        <v>1.0</v>
      </c>
      <c r="AC22" s="1005" t="s">
        <v>1412</v>
      </c>
      <c r="AD22" s="1005" t="s">
        <v>1412</v>
      </c>
      <c r="AE22" s="1005" t="s">
        <v>1412</v>
      </c>
      <c r="AF22" s="1005" t="s">
        <v>1412</v>
      </c>
      <c r="AG22" s="1005" t="s">
        <v>1412</v>
      </c>
      <c r="AH22" s="1005" t="s">
        <v>1412</v>
      </c>
      <c r="AI22" s="1016">
        <v>43749.0</v>
      </c>
      <c r="AJ22" s="1013">
        <v>0.8549019607843137</v>
      </c>
      <c r="AK22" s="1014">
        <v>0.13333333333333333</v>
      </c>
      <c r="AL22" s="1005">
        <v>0.011764705882352941</v>
      </c>
      <c r="AM22" s="1005" t="s">
        <v>149</v>
      </c>
      <c r="AN22" s="1015">
        <v>0.9333333333333333</v>
      </c>
      <c r="AO22" s="1005">
        <v>0.9555555555555556</v>
      </c>
      <c r="AP22" s="1005">
        <v>0.55</v>
      </c>
      <c r="AQ22" s="1005" t="s">
        <v>1412</v>
      </c>
      <c r="AR22" s="1005" t="s">
        <v>1412</v>
      </c>
      <c r="AS22" s="1005" t="s">
        <v>1412</v>
      </c>
      <c r="AT22" s="1005" t="s">
        <v>1412</v>
      </c>
      <c r="AU22" s="1005" t="s">
        <v>1412</v>
      </c>
      <c r="AV22" s="1005" t="s">
        <v>1412</v>
      </c>
      <c r="AW22" s="977" t="s">
        <v>1448</v>
      </c>
      <c r="AX22" s="978" t="s">
        <v>1414</v>
      </c>
      <c r="AY22" s="898" t="s">
        <v>1430</v>
      </c>
      <c r="AZ22" s="898" t="s">
        <v>1421</v>
      </c>
      <c r="BA22" s="898" t="s">
        <v>1416</v>
      </c>
      <c r="BB22" s="898" t="s">
        <v>1424</v>
      </c>
      <c r="BC22" s="898" t="s">
        <v>1423</v>
      </c>
      <c r="BD22" s="898" t="s">
        <v>1435</v>
      </c>
      <c r="BE22" s="898"/>
      <c r="BF22" s="898"/>
      <c r="BG22" s="898"/>
      <c r="BH22" s="898"/>
      <c r="BI22" s="898"/>
      <c r="BJ22" s="898"/>
      <c r="BK22" s="898"/>
      <c r="BL22" s="898"/>
      <c r="BM22" s="898"/>
      <c r="BN22" s="898"/>
      <c r="BO22" s="898"/>
      <c r="BP22" s="898"/>
      <c r="BQ22" s="898"/>
      <c r="BR22" s="898"/>
      <c r="BS22" s="898"/>
      <c r="BT22" s="898"/>
      <c r="BU22" s="898"/>
      <c r="BV22" s="898"/>
      <c r="BW22" s="898"/>
      <c r="BX22" s="898"/>
      <c r="BY22" s="898"/>
      <c r="BZ22" s="898"/>
      <c r="CA22" s="898"/>
      <c r="CB22" s="898"/>
      <c r="CC22" s="898"/>
      <c r="CD22" s="898"/>
      <c r="CE22" s="898"/>
      <c r="CF22" s="898"/>
      <c r="CG22" s="898"/>
      <c r="CH22" s="898"/>
      <c r="CI22" s="898"/>
      <c r="CJ22" s="898"/>
      <c r="CK22" s="898"/>
      <c r="CL22" s="898"/>
      <c r="CM22" s="898"/>
      <c r="CN22" s="898"/>
      <c r="CO22" s="898"/>
      <c r="CP22" s="898"/>
      <c r="CQ22" s="898"/>
      <c r="CR22" s="898"/>
      <c r="CS22" s="898"/>
      <c r="CT22" s="898"/>
      <c r="CU22" s="898"/>
    </row>
    <row r="23" ht="16.5" customHeight="1">
      <c r="A23" s="991">
        <v>2018.0</v>
      </c>
      <c r="B23" s="992">
        <v>43402.0</v>
      </c>
      <c r="C23" s="993" t="s">
        <v>1449</v>
      </c>
      <c r="D23" s="994" t="s">
        <v>1450</v>
      </c>
      <c r="E23" s="991" t="s">
        <v>170</v>
      </c>
      <c r="F23" s="991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991" t="s">
        <v>41</v>
      </c>
      <c r="H23" s="991">
        <v>240.0</v>
      </c>
      <c r="I23" s="995">
        <v>120.0</v>
      </c>
      <c r="J23" s="991">
        <v>60.0</v>
      </c>
      <c r="K23" s="991">
        <v>60.0</v>
      </c>
      <c r="L23" s="991" t="s">
        <v>321</v>
      </c>
      <c r="M23" s="991"/>
      <c r="N23" s="991" t="s">
        <v>321</v>
      </c>
      <c r="O23" s="991" t="s">
        <v>321</v>
      </c>
      <c r="P23" s="991" t="s">
        <v>321</v>
      </c>
      <c r="Q23" s="996"/>
      <c r="R23" s="997" t="s">
        <v>1135</v>
      </c>
      <c r="S23" s="998">
        <v>24.54074</v>
      </c>
      <c r="T23" s="999">
        <v>-81.78618</v>
      </c>
      <c r="U23" s="1000">
        <v>43424.0</v>
      </c>
      <c r="V23" s="1001">
        <v>1.0</v>
      </c>
      <c r="W23" s="1002">
        <v>0.0</v>
      </c>
      <c r="X23" s="1003">
        <v>0.0</v>
      </c>
      <c r="Y23" s="1003" t="s">
        <v>149</v>
      </c>
      <c r="Z23" s="1004">
        <v>1.0</v>
      </c>
      <c r="AA23" s="1003">
        <v>1.0</v>
      </c>
      <c r="AB23" s="1003">
        <v>1.0</v>
      </c>
      <c r="AC23" s="1003" t="s">
        <v>1412</v>
      </c>
      <c r="AD23" s="1005" t="s">
        <v>1412</v>
      </c>
      <c r="AE23" s="1005" t="s">
        <v>1412</v>
      </c>
      <c r="AF23" s="1005" t="s">
        <v>1412</v>
      </c>
      <c r="AG23" s="1005" t="s">
        <v>1412</v>
      </c>
      <c r="AH23" s="1005" t="s">
        <v>1412</v>
      </c>
      <c r="AI23" s="1006">
        <v>43754.0</v>
      </c>
      <c r="AJ23" s="1001">
        <v>0.9958333333333333</v>
      </c>
      <c r="AK23" s="1002">
        <v>0.0</v>
      </c>
      <c r="AL23" s="1003">
        <v>0.004166666666666667</v>
      </c>
      <c r="AM23" s="1003" t="s">
        <v>149</v>
      </c>
      <c r="AN23" s="1004">
        <v>1.0</v>
      </c>
      <c r="AO23" s="1003">
        <v>1.0</v>
      </c>
      <c r="AP23" s="1003">
        <v>0.9833333333333333</v>
      </c>
      <c r="AQ23" s="1003" t="s">
        <v>1412</v>
      </c>
      <c r="AR23" s="1005" t="s">
        <v>1412</v>
      </c>
      <c r="AS23" s="1005" t="s">
        <v>1412</v>
      </c>
      <c r="AT23" s="1005" t="s">
        <v>1412</v>
      </c>
      <c r="AU23" s="1005" t="s">
        <v>1412</v>
      </c>
      <c r="AV23" s="1005" t="s">
        <v>1412</v>
      </c>
      <c r="AW23" s="977" t="s">
        <v>1420</v>
      </c>
      <c r="AX23" s="978" t="s">
        <v>1414</v>
      </c>
      <c r="AY23" s="898" t="s">
        <v>1416</v>
      </c>
      <c r="AZ23" s="898" t="s">
        <v>1423</v>
      </c>
      <c r="BA23" s="898" t="s">
        <v>1424</v>
      </c>
      <c r="BB23" s="898" t="s">
        <v>1421</v>
      </c>
      <c r="BC23" s="898" t="s">
        <v>1435</v>
      </c>
      <c r="BD23" s="898"/>
      <c r="BE23" s="898"/>
      <c r="BF23" s="898"/>
      <c r="BG23" s="898"/>
      <c r="BH23" s="898"/>
      <c r="BI23" s="898"/>
      <c r="BJ23" s="898"/>
      <c r="BK23" s="898"/>
      <c r="BL23" s="898"/>
      <c r="BM23" s="898"/>
      <c r="BN23" s="898"/>
      <c r="BO23" s="898"/>
      <c r="BP23" s="898"/>
      <c r="BQ23" s="898"/>
      <c r="BR23" s="898"/>
      <c r="BS23" s="898"/>
      <c r="BT23" s="898"/>
      <c r="BU23" s="898"/>
      <c r="BV23" s="898"/>
      <c r="BW23" s="898"/>
      <c r="BX23" s="898"/>
      <c r="BY23" s="898"/>
      <c r="BZ23" s="898"/>
      <c r="CA23" s="898"/>
      <c r="CB23" s="898"/>
      <c r="CC23" s="898"/>
      <c r="CD23" s="898"/>
      <c r="CE23" s="898"/>
      <c r="CF23" s="898"/>
      <c r="CG23" s="898"/>
      <c r="CH23" s="898"/>
      <c r="CI23" s="898"/>
      <c r="CJ23" s="898"/>
      <c r="CK23" s="898"/>
      <c r="CL23" s="898"/>
      <c r="CM23" s="898"/>
      <c r="CN23" s="898"/>
      <c r="CO23" s="898"/>
      <c r="CP23" s="898"/>
      <c r="CQ23" s="898"/>
      <c r="CR23" s="898"/>
      <c r="CS23" s="898"/>
      <c r="CT23" s="898"/>
      <c r="CU23" s="898"/>
    </row>
    <row r="24" ht="16.5" customHeight="1">
      <c r="A24" s="991">
        <v>2018.0</v>
      </c>
      <c r="B24" s="992">
        <v>43403.0</v>
      </c>
      <c r="C24" s="993" t="s">
        <v>292</v>
      </c>
      <c r="D24" s="994" t="s">
        <v>1451</v>
      </c>
      <c r="E24" s="991" t="s">
        <v>170</v>
      </c>
      <c r="F24" s="991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991" t="s">
        <v>41</v>
      </c>
      <c r="H24" s="991">
        <v>380.0</v>
      </c>
      <c r="I24" s="995">
        <v>200.0</v>
      </c>
      <c r="J24" s="991">
        <v>105.0</v>
      </c>
      <c r="K24" s="991">
        <v>75.0</v>
      </c>
      <c r="L24" s="991" t="s">
        <v>321</v>
      </c>
      <c r="M24" s="991"/>
      <c r="N24" s="991" t="s">
        <v>321</v>
      </c>
      <c r="O24" s="991" t="s">
        <v>321</v>
      </c>
      <c r="P24" s="991" t="s">
        <v>321</v>
      </c>
      <c r="Q24" s="996"/>
      <c r="R24" s="997" t="s">
        <v>1452</v>
      </c>
      <c r="S24" s="998">
        <v>24.45924</v>
      </c>
      <c r="T24" s="999">
        <v>-81.84463</v>
      </c>
      <c r="U24" s="1000">
        <v>43424.0</v>
      </c>
      <c r="V24" s="1001">
        <v>0.8184210526315789</v>
      </c>
      <c r="W24" s="1002">
        <v>0.07631578947368421</v>
      </c>
      <c r="X24" s="1003">
        <v>0.10526315789473684</v>
      </c>
      <c r="Y24" s="1003" t="s">
        <v>149</v>
      </c>
      <c r="Z24" s="1004">
        <v>1.0</v>
      </c>
      <c r="AA24" s="1003">
        <v>0.9</v>
      </c>
      <c r="AB24" s="1003">
        <v>0.5333333333333333</v>
      </c>
      <c r="AC24" s="1003" t="s">
        <v>1412</v>
      </c>
      <c r="AD24" s="1005" t="s">
        <v>1412</v>
      </c>
      <c r="AE24" s="1005" t="s">
        <v>1412</v>
      </c>
      <c r="AF24" s="1005" t="s">
        <v>1412</v>
      </c>
      <c r="AG24" s="1005" t="s">
        <v>1412</v>
      </c>
      <c r="AH24" s="1005" t="s">
        <v>1412</v>
      </c>
      <c r="AI24" s="1006">
        <v>43754.0</v>
      </c>
      <c r="AJ24" s="1001">
        <v>0.2973684210526316</v>
      </c>
      <c r="AK24" s="1002">
        <v>0.6026315789473684</v>
      </c>
      <c r="AL24" s="1003">
        <v>0.1</v>
      </c>
      <c r="AM24" s="1003" t="s">
        <v>149</v>
      </c>
      <c r="AN24" s="1004">
        <v>0.6666666666666667</v>
      </c>
      <c r="AO24" s="1003">
        <v>0.265</v>
      </c>
      <c r="AP24" s="1003">
        <v>0.09523809523809523</v>
      </c>
      <c r="AQ24" s="1003" t="s">
        <v>1412</v>
      </c>
      <c r="AR24" s="1005" t="s">
        <v>1412</v>
      </c>
      <c r="AS24" s="1005" t="s">
        <v>1412</v>
      </c>
      <c r="AT24" s="1005" t="s">
        <v>1412</v>
      </c>
      <c r="AU24" s="1005" t="s">
        <v>1412</v>
      </c>
      <c r="AV24" s="1005" t="s">
        <v>1412</v>
      </c>
      <c r="AW24" s="897"/>
      <c r="AX24" s="978" t="s">
        <v>1438</v>
      </c>
      <c r="AY24" s="898" t="s">
        <v>1437</v>
      </c>
      <c r="AZ24" s="898" t="s">
        <v>1424</v>
      </c>
      <c r="BA24" s="898" t="s">
        <v>1421</v>
      </c>
      <c r="BB24" s="898" t="s">
        <v>1414</v>
      </c>
      <c r="BC24" s="898" t="s">
        <v>1423</v>
      </c>
      <c r="BD24" s="898" t="s">
        <v>1439</v>
      </c>
      <c r="BE24" s="898" t="s">
        <v>1415</v>
      </c>
      <c r="BF24" s="898" t="s">
        <v>1430</v>
      </c>
      <c r="BG24" s="898" t="s">
        <v>1416</v>
      </c>
      <c r="BH24" s="898" t="s">
        <v>1435</v>
      </c>
      <c r="BI24" s="898" t="s">
        <v>1436</v>
      </c>
      <c r="BJ24" s="898" t="s">
        <v>1441</v>
      </c>
      <c r="BK24" s="898"/>
      <c r="BL24" s="898"/>
      <c r="BM24" s="898"/>
      <c r="BN24" s="898"/>
      <c r="BO24" s="898"/>
      <c r="BP24" s="898"/>
      <c r="BQ24" s="898"/>
      <c r="BR24" s="898"/>
      <c r="BS24" s="898"/>
      <c r="BT24" s="898"/>
      <c r="BU24" s="898"/>
      <c r="BV24" s="898"/>
      <c r="BW24" s="898"/>
      <c r="BX24" s="898"/>
      <c r="BY24" s="898"/>
      <c r="BZ24" s="898"/>
      <c r="CA24" s="898"/>
      <c r="CB24" s="898"/>
      <c r="CC24" s="898"/>
      <c r="CD24" s="898"/>
      <c r="CE24" s="898"/>
      <c r="CF24" s="898"/>
      <c r="CG24" s="898"/>
      <c r="CH24" s="898"/>
      <c r="CI24" s="898"/>
      <c r="CJ24" s="898"/>
      <c r="CK24" s="898"/>
      <c r="CL24" s="898"/>
      <c r="CM24" s="898"/>
      <c r="CN24" s="898"/>
      <c r="CO24" s="898"/>
      <c r="CP24" s="898"/>
      <c r="CQ24" s="898"/>
      <c r="CR24" s="898"/>
      <c r="CS24" s="898"/>
      <c r="CT24" s="898"/>
      <c r="CU24" s="898"/>
    </row>
    <row r="25" ht="16.5" customHeight="1">
      <c r="A25" s="1017">
        <v>2018.0</v>
      </c>
      <c r="B25" s="1018">
        <v>43406.0</v>
      </c>
      <c r="C25" s="1019" t="s">
        <v>1453</v>
      </c>
      <c r="D25" s="1020" t="s">
        <v>1454</v>
      </c>
      <c r="E25" s="1017" t="s">
        <v>170</v>
      </c>
      <c r="F25" s="1017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17" t="s">
        <v>41</v>
      </c>
      <c r="H25" s="1017">
        <v>300.0</v>
      </c>
      <c r="I25" s="1021">
        <v>150.0</v>
      </c>
      <c r="J25" s="1017">
        <v>75.0</v>
      </c>
      <c r="K25" s="1017">
        <v>75.0</v>
      </c>
      <c r="L25" s="1017" t="s">
        <v>321</v>
      </c>
      <c r="M25" s="1017"/>
      <c r="N25" s="1017" t="s">
        <v>321</v>
      </c>
      <c r="O25" s="1017" t="s">
        <v>321</v>
      </c>
      <c r="P25" s="1017" t="s">
        <v>321</v>
      </c>
      <c r="Q25" s="1022"/>
      <c r="R25" s="1023" t="s">
        <v>235</v>
      </c>
      <c r="S25" s="1024">
        <v>24.50195</v>
      </c>
      <c r="T25" s="1025">
        <v>-81.74524</v>
      </c>
      <c r="U25" s="1026">
        <v>43424.0</v>
      </c>
      <c r="V25" s="1027">
        <v>0.99</v>
      </c>
      <c r="W25" s="1028">
        <v>0.01</v>
      </c>
      <c r="X25" s="1029">
        <v>0.0</v>
      </c>
      <c r="Y25" s="1029" t="s">
        <v>149</v>
      </c>
      <c r="Z25" s="1030">
        <v>1.0</v>
      </c>
      <c r="AA25" s="1029">
        <v>1.0</v>
      </c>
      <c r="AB25" s="1029">
        <v>0.96</v>
      </c>
      <c r="AC25" s="1029" t="s">
        <v>1412</v>
      </c>
      <c r="AD25" s="1031" t="s">
        <v>1412</v>
      </c>
      <c r="AE25" s="1031" t="s">
        <v>1412</v>
      </c>
      <c r="AF25" s="1031" t="s">
        <v>1412</v>
      </c>
      <c r="AG25" s="1031" t="s">
        <v>1412</v>
      </c>
      <c r="AH25" s="1031" t="s">
        <v>1412</v>
      </c>
      <c r="AI25" s="1032">
        <v>43755.0</v>
      </c>
      <c r="AJ25" s="1027">
        <v>0.32666666666666666</v>
      </c>
      <c r="AK25" s="1028">
        <v>0.6566666666666666</v>
      </c>
      <c r="AL25" s="1029">
        <v>0.016666666666666666</v>
      </c>
      <c r="AM25" s="1029" t="s">
        <v>149</v>
      </c>
      <c r="AN25" s="1030">
        <v>0.22666666666666668</v>
      </c>
      <c r="AO25" s="1029">
        <v>0.42000000000000004</v>
      </c>
      <c r="AP25" s="1029">
        <v>0.24</v>
      </c>
      <c r="AQ25" s="1029" t="s">
        <v>1412</v>
      </c>
      <c r="AR25" s="1031" t="s">
        <v>1412</v>
      </c>
      <c r="AS25" s="1031" t="s">
        <v>1412</v>
      </c>
      <c r="AT25" s="1031" t="s">
        <v>1412</v>
      </c>
      <c r="AU25" s="1031" t="s">
        <v>1412</v>
      </c>
      <c r="AV25" s="1031" t="s">
        <v>1412</v>
      </c>
      <c r="AW25" s="942"/>
      <c r="AX25" s="1033" t="s">
        <v>1414</v>
      </c>
      <c r="AY25" s="943" t="s">
        <v>1423</v>
      </c>
      <c r="AZ25" s="943" t="s">
        <v>1435</v>
      </c>
      <c r="BA25" s="943" t="s">
        <v>1416</v>
      </c>
      <c r="BB25" s="943" t="s">
        <v>1430</v>
      </c>
      <c r="BC25" s="943" t="s">
        <v>1421</v>
      </c>
      <c r="BD25" s="943" t="s">
        <v>1438</v>
      </c>
      <c r="BE25" s="943" t="s">
        <v>1424</v>
      </c>
      <c r="BF25" s="943"/>
      <c r="BG25" s="943"/>
      <c r="BH25" s="943"/>
      <c r="BI25" s="943"/>
      <c r="BJ25" s="943"/>
      <c r="BK25" s="943"/>
      <c r="BL25" s="943"/>
      <c r="BM25" s="943"/>
      <c r="BN25" s="943"/>
      <c r="BO25" s="943"/>
      <c r="BP25" s="943"/>
      <c r="BQ25" s="943"/>
      <c r="BR25" s="943"/>
      <c r="BS25" s="943"/>
      <c r="BT25" s="943"/>
      <c r="BU25" s="943"/>
      <c r="BV25" s="943"/>
      <c r="BW25" s="943"/>
      <c r="BX25" s="943"/>
      <c r="BY25" s="943"/>
      <c r="BZ25" s="943"/>
      <c r="CA25" s="943"/>
      <c r="CB25" s="943"/>
      <c r="CC25" s="943"/>
      <c r="CD25" s="943"/>
      <c r="CE25" s="943"/>
      <c r="CF25" s="943"/>
      <c r="CG25" s="943"/>
      <c r="CH25" s="943"/>
      <c r="CI25" s="943"/>
      <c r="CJ25" s="943"/>
      <c r="CK25" s="943"/>
      <c r="CL25" s="943"/>
      <c r="CM25" s="943"/>
      <c r="CN25" s="943"/>
      <c r="CO25" s="943"/>
      <c r="CP25" s="943"/>
      <c r="CQ25" s="943"/>
      <c r="CR25" s="943"/>
      <c r="CS25" s="943"/>
      <c r="CT25" s="943"/>
      <c r="CU25" s="943"/>
    </row>
    <row r="26" ht="16.5" customHeight="1">
      <c r="A26" s="1007">
        <v>2019.0</v>
      </c>
      <c r="B26" s="1008">
        <v>43620.0</v>
      </c>
      <c r="C26" s="1009" t="s">
        <v>1455</v>
      </c>
      <c r="D26" s="994" t="s">
        <v>435</v>
      </c>
      <c r="E26" s="1007" t="s">
        <v>277</v>
      </c>
      <c r="F26" s="991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991" t="s">
        <v>41</v>
      </c>
      <c r="H26" s="1007">
        <v>177.0</v>
      </c>
      <c r="I26" s="995">
        <v>57.0</v>
      </c>
      <c r="J26" s="991">
        <v>60.0</v>
      </c>
      <c r="K26" s="991">
        <v>60.0</v>
      </c>
      <c r="L26" s="991" t="s">
        <v>321</v>
      </c>
      <c r="M26" s="991"/>
      <c r="N26" s="991" t="s">
        <v>321</v>
      </c>
      <c r="O26" s="991" t="s">
        <v>321</v>
      </c>
      <c r="P26" s="991" t="s">
        <v>321</v>
      </c>
      <c r="Q26" s="1007"/>
      <c r="R26" s="1010" t="s">
        <v>32</v>
      </c>
      <c r="S26" s="1011">
        <v>24.53819</v>
      </c>
      <c r="T26" s="1012">
        <v>-81.45444</v>
      </c>
      <c r="U26" s="1008">
        <v>43664.0</v>
      </c>
      <c r="V26" s="1013">
        <v>0.6923076923076923</v>
      </c>
      <c r="W26" s="1014">
        <v>0.025641025641025644</v>
      </c>
      <c r="X26" s="1005">
        <v>0.28205128205128205</v>
      </c>
      <c r="Y26" s="1005">
        <v>0.0</v>
      </c>
      <c r="Z26" s="1015">
        <v>1.0</v>
      </c>
      <c r="AA26" s="1005">
        <v>0.9649122807017544</v>
      </c>
      <c r="AB26" s="1005">
        <v>0.43333333333333335</v>
      </c>
      <c r="AC26" s="1005" t="s">
        <v>1412</v>
      </c>
      <c r="AD26" s="1005" t="s">
        <v>1412</v>
      </c>
      <c r="AE26" s="1005" t="s">
        <v>1412</v>
      </c>
      <c r="AF26" s="1005" t="s">
        <v>1412</v>
      </c>
      <c r="AG26" s="1005" t="s">
        <v>1412</v>
      </c>
      <c r="AH26" s="1005" t="s">
        <v>1412</v>
      </c>
      <c r="AI26" s="1016">
        <v>43951.0</v>
      </c>
      <c r="AJ26" s="1013">
        <v>0.32478632478632474</v>
      </c>
      <c r="AK26" s="1014">
        <v>0.3076923076923077</v>
      </c>
      <c r="AL26" s="1005">
        <v>0.36752136752136755</v>
      </c>
      <c r="AM26" s="1005">
        <v>0.5480225988700564</v>
      </c>
      <c r="AN26" s="1015">
        <v>0.85</v>
      </c>
      <c r="AO26" s="1005">
        <v>0.5087719298245614</v>
      </c>
      <c r="AP26" s="1005">
        <v>0.30000000000000004</v>
      </c>
      <c r="AQ26" s="1005" t="s">
        <v>1412</v>
      </c>
      <c r="AR26" s="1005" t="s">
        <v>1412</v>
      </c>
      <c r="AS26" s="1005" t="s">
        <v>1412</v>
      </c>
      <c r="AT26" s="1005" t="s">
        <v>1412</v>
      </c>
      <c r="AU26" s="1005" t="s">
        <v>1412</v>
      </c>
      <c r="AV26" s="1005" t="s">
        <v>1412</v>
      </c>
      <c r="AW26" s="897"/>
      <c r="AX26" s="978">
        <v>50.0</v>
      </c>
      <c r="AY26" s="898" t="s">
        <v>1435</v>
      </c>
      <c r="AZ26" s="898" t="s">
        <v>1424</v>
      </c>
      <c r="BA26" s="898" t="s">
        <v>1415</v>
      </c>
      <c r="BB26" s="898" t="s">
        <v>1414</v>
      </c>
      <c r="BC26" s="898">
        <v>75.0</v>
      </c>
      <c r="BD26" s="898" t="s">
        <v>1423</v>
      </c>
      <c r="BE26" s="898">
        <v>7.0</v>
      </c>
      <c r="BF26" s="898"/>
      <c r="BG26" s="898"/>
      <c r="BH26" s="898"/>
      <c r="BI26" s="898"/>
      <c r="BJ26" s="898"/>
      <c r="BK26" s="898"/>
      <c r="BL26" s="898"/>
      <c r="BM26" s="898"/>
      <c r="BN26" s="898"/>
      <c r="BO26" s="898"/>
      <c r="BP26" s="898"/>
      <c r="BQ26" s="898"/>
      <c r="BR26" s="898"/>
      <c r="BS26" s="898"/>
      <c r="BT26" s="898"/>
      <c r="BU26" s="898"/>
      <c r="BV26" s="898"/>
      <c r="BW26" s="898"/>
      <c r="BX26" s="898"/>
      <c r="BY26" s="898"/>
      <c r="BZ26" s="898"/>
      <c r="CA26" s="898"/>
      <c r="CB26" s="898"/>
      <c r="CC26" s="898"/>
      <c r="CD26" s="898"/>
      <c r="CE26" s="898"/>
      <c r="CF26" s="898"/>
      <c r="CG26" s="898"/>
      <c r="CH26" s="898"/>
      <c r="CI26" s="898"/>
      <c r="CJ26" s="898"/>
      <c r="CK26" s="898"/>
      <c r="CL26" s="898"/>
      <c r="CM26" s="898"/>
      <c r="CN26" s="898"/>
      <c r="CO26" s="898"/>
      <c r="CP26" s="898"/>
      <c r="CQ26" s="898"/>
      <c r="CR26" s="898"/>
      <c r="CS26" s="898"/>
      <c r="CT26" s="898"/>
      <c r="CU26" s="898"/>
    </row>
    <row r="27" ht="16.5" customHeight="1">
      <c r="A27" s="1007">
        <v>2019.0</v>
      </c>
      <c r="B27" s="1008">
        <v>43622.0</v>
      </c>
      <c r="C27" s="1009" t="s">
        <v>1456</v>
      </c>
      <c r="D27" s="1034"/>
      <c r="E27" s="1007" t="s">
        <v>1457</v>
      </c>
      <c r="F27" s="991" t="s">
        <v>146</v>
      </c>
      <c r="G27" s="991" t="s">
        <v>41</v>
      </c>
      <c r="H27" s="1007">
        <v>178.0</v>
      </c>
      <c r="I27" s="995">
        <v>58.0</v>
      </c>
      <c r="J27" s="991">
        <v>60.0</v>
      </c>
      <c r="K27" s="991">
        <v>60.0</v>
      </c>
      <c r="L27" s="991" t="s">
        <v>321</v>
      </c>
      <c r="M27" s="991"/>
      <c r="N27" s="991" t="s">
        <v>321</v>
      </c>
      <c r="O27" s="991" t="s">
        <v>321</v>
      </c>
      <c r="P27" s="991" t="s">
        <v>321</v>
      </c>
      <c r="Q27" s="1007"/>
      <c r="R27" s="1010" t="s">
        <v>32</v>
      </c>
      <c r="S27" s="1011">
        <v>24.656272</v>
      </c>
      <c r="T27" s="1012">
        <v>-81.011982</v>
      </c>
      <c r="U27" s="1008"/>
      <c r="V27" s="1013" t="s">
        <v>321</v>
      </c>
      <c r="W27" s="1014" t="e">
        <v>#N/A</v>
      </c>
      <c r="X27" s="1005" t="e">
        <v>#N/A</v>
      </c>
      <c r="Y27" s="1005" t="e">
        <v>#N/A</v>
      </c>
      <c r="Z27" s="1015" t="s">
        <v>321</v>
      </c>
      <c r="AA27" s="1005" t="s">
        <v>321</v>
      </c>
      <c r="AB27" s="1005" t="s">
        <v>321</v>
      </c>
      <c r="AC27" s="1005" t="s">
        <v>321</v>
      </c>
      <c r="AD27" s="1005" t="s">
        <v>321</v>
      </c>
      <c r="AE27" s="1005" t="s">
        <v>321</v>
      </c>
      <c r="AF27" s="1005" t="s">
        <v>321</v>
      </c>
      <c r="AG27" s="1005" t="s">
        <v>321</v>
      </c>
      <c r="AH27" s="1005" t="s">
        <v>321</v>
      </c>
      <c r="AI27" s="1016"/>
      <c r="AJ27" s="1013" t="s">
        <v>321</v>
      </c>
      <c r="AK27" s="1014" t="e">
        <v>#N/A</v>
      </c>
      <c r="AL27" s="1005" t="e">
        <v>#N/A</v>
      </c>
      <c r="AM27" s="1005" t="e">
        <v>#N/A</v>
      </c>
      <c r="AN27" s="1015" t="s">
        <v>321</v>
      </c>
      <c r="AO27" s="1005" t="s">
        <v>321</v>
      </c>
      <c r="AP27" s="1005" t="s">
        <v>321</v>
      </c>
      <c r="AQ27" s="1005" t="s">
        <v>321</v>
      </c>
      <c r="AR27" s="1005" t="s">
        <v>321</v>
      </c>
      <c r="AS27" s="1005" t="s">
        <v>321</v>
      </c>
      <c r="AT27" s="1005" t="s">
        <v>321</v>
      </c>
      <c r="AU27" s="1005" t="s">
        <v>321</v>
      </c>
      <c r="AV27" s="1005" t="s">
        <v>321</v>
      </c>
      <c r="AW27" s="897"/>
      <c r="AX27" s="1035" t="s">
        <v>1458</v>
      </c>
      <c r="AY27" s="899" t="s">
        <v>1459</v>
      </c>
      <c r="AZ27" s="899" t="s">
        <v>1460</v>
      </c>
      <c r="BA27" s="899" t="s">
        <v>1461</v>
      </c>
      <c r="BB27" s="899" t="s">
        <v>1462</v>
      </c>
      <c r="BC27" s="898"/>
      <c r="BD27" s="898"/>
      <c r="BE27" s="898"/>
      <c r="BF27" s="898"/>
      <c r="BG27" s="898"/>
      <c r="BH27" s="898"/>
      <c r="BI27" s="898"/>
      <c r="BJ27" s="898"/>
      <c r="BK27" s="898"/>
      <c r="BL27" s="898"/>
      <c r="BM27" s="898"/>
      <c r="BN27" s="898"/>
      <c r="BO27" s="898"/>
      <c r="BP27" s="898"/>
      <c r="BQ27" s="898"/>
      <c r="BR27" s="898"/>
      <c r="BS27" s="898"/>
      <c r="BT27" s="898"/>
      <c r="BU27" s="898"/>
      <c r="BV27" s="898"/>
      <c r="BW27" s="898"/>
      <c r="BX27" s="898"/>
      <c r="BY27" s="898"/>
      <c r="BZ27" s="898"/>
      <c r="CA27" s="898"/>
      <c r="CB27" s="898"/>
      <c r="CC27" s="898"/>
      <c r="CD27" s="898"/>
      <c r="CE27" s="898"/>
      <c r="CF27" s="898"/>
      <c r="CG27" s="898"/>
      <c r="CH27" s="898"/>
      <c r="CI27" s="898"/>
      <c r="CJ27" s="898"/>
      <c r="CK27" s="898"/>
      <c r="CL27" s="898"/>
      <c r="CM27" s="898"/>
      <c r="CN27" s="898"/>
      <c r="CO27" s="898"/>
      <c r="CP27" s="898"/>
      <c r="CQ27" s="898"/>
      <c r="CR27" s="898"/>
      <c r="CS27" s="898"/>
      <c r="CT27" s="898"/>
      <c r="CU27" s="898"/>
    </row>
    <row r="28" ht="16.5" customHeight="1">
      <c r="A28" s="1036">
        <v>2019.0</v>
      </c>
      <c r="B28" s="1036" t="s">
        <v>1463</v>
      </c>
      <c r="C28" s="863" t="s">
        <v>1464</v>
      </c>
      <c r="D28" s="1037"/>
      <c r="E28" s="1036" t="s">
        <v>445</v>
      </c>
      <c r="F28" s="1036" t="s">
        <v>146</v>
      </c>
      <c r="G28" s="1036" t="s">
        <v>47</v>
      </c>
      <c r="H28" s="1036">
        <v>588.0</v>
      </c>
      <c r="I28" s="1038"/>
      <c r="J28" s="1039">
        <v>294.0</v>
      </c>
      <c r="K28" s="1039">
        <v>294.0</v>
      </c>
      <c r="L28" s="1039" t="s">
        <v>321</v>
      </c>
      <c r="M28" s="1039"/>
      <c r="N28" s="1039" t="s">
        <v>321</v>
      </c>
      <c r="O28" s="1039" t="s">
        <v>321</v>
      </c>
      <c r="P28" s="1039" t="s">
        <v>321</v>
      </c>
      <c r="Q28" s="1036"/>
      <c r="R28" s="1040" t="s">
        <v>32</v>
      </c>
      <c r="S28" s="1041" t="s">
        <v>440</v>
      </c>
      <c r="T28" s="1042" t="s">
        <v>441</v>
      </c>
      <c r="U28" s="1043"/>
      <c r="V28" s="1044" t="s">
        <v>321</v>
      </c>
      <c r="W28" s="1045" t="e">
        <v>#N/A</v>
      </c>
      <c r="X28" s="1046" t="e">
        <v>#N/A</v>
      </c>
      <c r="Y28" s="1046" t="e">
        <v>#N/A</v>
      </c>
      <c r="Z28" s="1047" t="s">
        <v>321</v>
      </c>
      <c r="AA28" s="1046" t="s">
        <v>321</v>
      </c>
      <c r="AB28" s="1046" t="s">
        <v>321</v>
      </c>
      <c r="AC28" s="1046" t="s">
        <v>321</v>
      </c>
      <c r="AD28" s="1046" t="s">
        <v>321</v>
      </c>
      <c r="AE28" s="1046" t="s">
        <v>321</v>
      </c>
      <c r="AF28" s="1046" t="s">
        <v>321</v>
      </c>
      <c r="AG28" s="1046" t="s">
        <v>321</v>
      </c>
      <c r="AH28" s="1046" t="s">
        <v>321</v>
      </c>
      <c r="AI28" s="1048"/>
      <c r="AJ28" s="1044" t="s">
        <v>321</v>
      </c>
      <c r="AK28" s="1045" t="e">
        <v>#N/A</v>
      </c>
      <c r="AL28" s="1046" t="e">
        <v>#N/A</v>
      </c>
      <c r="AM28" s="1046" t="e">
        <v>#N/A</v>
      </c>
      <c r="AN28" s="1047" t="s">
        <v>321</v>
      </c>
      <c r="AO28" s="1046" t="s">
        <v>321</v>
      </c>
      <c r="AP28" s="1046" t="s">
        <v>321</v>
      </c>
      <c r="AQ28" s="1046" t="s">
        <v>321</v>
      </c>
      <c r="AR28" s="1046" t="s">
        <v>321</v>
      </c>
      <c r="AS28" s="1046" t="s">
        <v>321</v>
      </c>
      <c r="AT28" s="1046" t="s">
        <v>321</v>
      </c>
      <c r="AU28" s="1046" t="s">
        <v>321</v>
      </c>
      <c r="AV28" s="1046" t="s">
        <v>321</v>
      </c>
      <c r="AW28" s="897"/>
      <c r="AX28" s="1035" t="s">
        <v>1462</v>
      </c>
      <c r="AY28" s="899" t="s">
        <v>1465</v>
      </c>
      <c r="AZ28" s="899" t="s">
        <v>1459</v>
      </c>
      <c r="BA28" s="899" t="s">
        <v>1466</v>
      </c>
      <c r="BB28" s="898"/>
      <c r="BC28" s="898"/>
      <c r="BD28" s="898"/>
      <c r="BE28" s="898"/>
      <c r="BF28" s="898"/>
      <c r="BG28" s="898"/>
      <c r="BH28" s="898"/>
      <c r="BI28" s="898"/>
      <c r="BJ28" s="898"/>
      <c r="BK28" s="898"/>
      <c r="BL28" s="898"/>
      <c r="BM28" s="898"/>
      <c r="BN28" s="898"/>
      <c r="BO28" s="898"/>
      <c r="BP28" s="898"/>
      <c r="BQ28" s="898"/>
      <c r="BR28" s="898"/>
      <c r="BS28" s="898"/>
      <c r="BT28" s="898"/>
      <c r="BU28" s="898"/>
      <c r="BV28" s="898"/>
      <c r="BW28" s="898"/>
      <c r="BX28" s="898"/>
      <c r="BY28" s="898"/>
      <c r="BZ28" s="898"/>
      <c r="CA28" s="898"/>
      <c r="CB28" s="898"/>
      <c r="CC28" s="898"/>
      <c r="CD28" s="898"/>
      <c r="CE28" s="898"/>
      <c r="CF28" s="898"/>
      <c r="CG28" s="898"/>
      <c r="CH28" s="898"/>
      <c r="CI28" s="898"/>
      <c r="CJ28" s="898"/>
      <c r="CK28" s="898"/>
      <c r="CL28" s="898"/>
      <c r="CM28" s="898"/>
      <c r="CN28" s="898"/>
      <c r="CO28" s="898"/>
      <c r="CP28" s="898"/>
      <c r="CQ28" s="898"/>
      <c r="CR28" s="898"/>
      <c r="CS28" s="898"/>
      <c r="CT28" s="898"/>
      <c r="CU28" s="898"/>
    </row>
    <row r="29" ht="16.5" customHeight="1">
      <c r="A29" s="1049">
        <v>2019.0</v>
      </c>
      <c r="B29" s="1050">
        <v>43788.0</v>
      </c>
      <c r="C29" s="1051" t="s">
        <v>1467</v>
      </c>
      <c r="D29" s="1052"/>
      <c r="E29" s="1049" t="s">
        <v>1468</v>
      </c>
      <c r="F29" s="1049" t="s">
        <v>146</v>
      </c>
      <c r="G29" s="1049" t="s">
        <v>49</v>
      </c>
      <c r="H29" s="1049">
        <v>180.0</v>
      </c>
      <c r="I29" s="1053">
        <v>60.0</v>
      </c>
      <c r="J29" s="1054">
        <v>60.0</v>
      </c>
      <c r="K29" s="1054">
        <v>60.0</v>
      </c>
      <c r="L29" s="1054" t="s">
        <v>321</v>
      </c>
      <c r="M29" s="1054"/>
      <c r="N29" s="1054" t="s">
        <v>321</v>
      </c>
      <c r="O29" s="1054" t="s">
        <v>321</v>
      </c>
      <c r="P29" s="1054" t="s">
        <v>321</v>
      </c>
      <c r="Q29" s="1049"/>
      <c r="R29" s="1055" t="s">
        <v>32</v>
      </c>
      <c r="S29" s="1056" t="s">
        <v>440</v>
      </c>
      <c r="T29" s="1057" t="s">
        <v>441</v>
      </c>
      <c r="U29" s="1050"/>
      <c r="V29" s="1058" t="s">
        <v>321</v>
      </c>
      <c r="W29" s="1059" t="e">
        <v>#N/A</v>
      </c>
      <c r="X29" s="1060" t="e">
        <v>#N/A</v>
      </c>
      <c r="Y29" s="1060" t="e">
        <v>#N/A</v>
      </c>
      <c r="Z29" s="1061" t="s">
        <v>321</v>
      </c>
      <c r="AA29" s="1060" t="s">
        <v>321</v>
      </c>
      <c r="AB29" s="1060" t="s">
        <v>321</v>
      </c>
      <c r="AC29" s="1060" t="s">
        <v>321</v>
      </c>
      <c r="AD29" s="1060" t="s">
        <v>321</v>
      </c>
      <c r="AE29" s="1060" t="s">
        <v>321</v>
      </c>
      <c r="AF29" s="1060" t="s">
        <v>321</v>
      </c>
      <c r="AG29" s="1060" t="s">
        <v>321</v>
      </c>
      <c r="AH29" s="1060" t="s">
        <v>321</v>
      </c>
      <c r="AI29" s="1062"/>
      <c r="AJ29" s="1058" t="s">
        <v>321</v>
      </c>
      <c r="AK29" s="1059" t="e">
        <v>#N/A</v>
      </c>
      <c r="AL29" s="1060" t="e">
        <v>#N/A</v>
      </c>
      <c r="AM29" s="1060" t="e">
        <v>#N/A</v>
      </c>
      <c r="AN29" s="1061" t="s">
        <v>321</v>
      </c>
      <c r="AO29" s="1060" t="s">
        <v>321</v>
      </c>
      <c r="AP29" s="1060" t="s">
        <v>321</v>
      </c>
      <c r="AQ29" s="1060" t="s">
        <v>321</v>
      </c>
      <c r="AR29" s="1060" t="s">
        <v>321</v>
      </c>
      <c r="AS29" s="1060" t="s">
        <v>321</v>
      </c>
      <c r="AT29" s="1060" t="s">
        <v>321</v>
      </c>
      <c r="AU29" s="1060" t="s">
        <v>321</v>
      </c>
      <c r="AV29" s="1060" t="s">
        <v>321</v>
      </c>
      <c r="AW29" s="897"/>
      <c r="AX29" s="1035" t="s">
        <v>1469</v>
      </c>
      <c r="AY29" s="899" t="s">
        <v>1465</v>
      </c>
      <c r="AZ29" s="899" t="s">
        <v>1459</v>
      </c>
      <c r="BA29" s="898"/>
      <c r="BB29" s="898"/>
      <c r="BC29" s="898"/>
      <c r="BD29" s="898"/>
      <c r="BE29" s="898"/>
      <c r="BF29" s="898"/>
      <c r="BG29" s="898"/>
      <c r="BH29" s="898"/>
      <c r="BI29" s="898"/>
      <c r="BJ29" s="898"/>
      <c r="BK29" s="898"/>
      <c r="BL29" s="898"/>
      <c r="BM29" s="898"/>
      <c r="BN29" s="898"/>
      <c r="BO29" s="898"/>
      <c r="BP29" s="898"/>
      <c r="BQ29" s="898"/>
      <c r="BR29" s="898"/>
      <c r="BS29" s="898"/>
      <c r="BT29" s="898"/>
      <c r="BU29" s="898"/>
      <c r="BV29" s="898"/>
      <c r="BW29" s="898"/>
      <c r="BX29" s="898"/>
      <c r="BY29" s="898"/>
      <c r="BZ29" s="898"/>
      <c r="CA29" s="898"/>
      <c r="CB29" s="898"/>
      <c r="CC29" s="898"/>
      <c r="CD29" s="898"/>
      <c r="CE29" s="898"/>
      <c r="CF29" s="898"/>
      <c r="CG29" s="898"/>
      <c r="CH29" s="898"/>
      <c r="CI29" s="898"/>
      <c r="CJ29" s="898"/>
      <c r="CK29" s="898"/>
      <c r="CL29" s="898"/>
      <c r="CM29" s="898"/>
      <c r="CN29" s="898"/>
      <c r="CO29" s="898"/>
      <c r="CP29" s="898"/>
      <c r="CQ29" s="898"/>
      <c r="CR29" s="898"/>
      <c r="CS29" s="898"/>
      <c r="CT29" s="898"/>
      <c r="CU29" s="898"/>
    </row>
    <row r="30" ht="16.5" customHeight="1">
      <c r="A30" s="1049">
        <v>2019.0</v>
      </c>
      <c r="B30" s="1050">
        <v>43794.0</v>
      </c>
      <c r="C30" s="1051" t="s">
        <v>1470</v>
      </c>
      <c r="D30" s="1063" t="s">
        <v>1471</v>
      </c>
      <c r="E30" s="1049" t="s">
        <v>170</v>
      </c>
      <c r="F30" s="1049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49" t="s">
        <v>49</v>
      </c>
      <c r="H30" s="1049">
        <v>345.0</v>
      </c>
      <c r="I30" s="1053">
        <v>115.0</v>
      </c>
      <c r="J30" s="1054">
        <v>135.0</v>
      </c>
      <c r="K30" s="1054">
        <v>95.0</v>
      </c>
      <c r="L30" s="1054" t="s">
        <v>321</v>
      </c>
      <c r="M30" s="1054"/>
      <c r="N30" s="1054" t="s">
        <v>321</v>
      </c>
      <c r="O30" s="1054" t="s">
        <v>321</v>
      </c>
      <c r="P30" s="1054" t="s">
        <v>321</v>
      </c>
      <c r="Q30" s="1064"/>
      <c r="R30" s="1065">
        <v>43489.0</v>
      </c>
      <c r="S30" s="1056">
        <v>24.61461</v>
      </c>
      <c r="T30" s="1057">
        <v>-81.379778</v>
      </c>
      <c r="U30" s="1050">
        <v>43829.0</v>
      </c>
      <c r="V30" s="1058">
        <v>0.8985507246376812</v>
      </c>
      <c r="W30" s="1059">
        <v>0.10144927536231885</v>
      </c>
      <c r="X30" s="1060">
        <v>0.0</v>
      </c>
      <c r="Y30" s="1060">
        <v>0.9583333333333334</v>
      </c>
      <c r="Z30" s="1061">
        <v>1.0</v>
      </c>
      <c r="AA30" s="1060">
        <v>0.8608695652173913</v>
      </c>
      <c r="AB30" s="1060">
        <v>0.8592592592592593</v>
      </c>
      <c r="AC30" s="1060" t="s">
        <v>1412</v>
      </c>
      <c r="AD30" s="1060" t="s">
        <v>1412</v>
      </c>
      <c r="AE30" s="1060" t="s">
        <v>1412</v>
      </c>
      <c r="AF30" s="1060" t="s">
        <v>1412</v>
      </c>
      <c r="AG30" s="1060" t="s">
        <v>1412</v>
      </c>
      <c r="AH30" s="1060" t="s">
        <v>1412</v>
      </c>
      <c r="AI30" s="1062">
        <v>44158.0</v>
      </c>
      <c r="AJ30" s="1058">
        <v>0.7797101449275362</v>
      </c>
      <c r="AK30" s="1059">
        <v>0.22028985507246376</v>
      </c>
      <c r="AL30" s="1060">
        <v>0.0</v>
      </c>
      <c r="AM30" s="1060">
        <v>0.9166666666666666</v>
      </c>
      <c r="AN30" s="1061">
        <v>0.9052631578947369</v>
      </c>
      <c r="AO30" s="1060">
        <v>0.7565217391304347</v>
      </c>
      <c r="AP30" s="1060">
        <v>0.7111111111111111</v>
      </c>
      <c r="AQ30" s="1060" t="s">
        <v>1412</v>
      </c>
      <c r="AR30" s="1060" t="s">
        <v>1412</v>
      </c>
      <c r="AS30" s="1060" t="s">
        <v>1412</v>
      </c>
      <c r="AT30" s="1060" t="s">
        <v>1412</v>
      </c>
      <c r="AU30" s="1060" t="s">
        <v>1412</v>
      </c>
      <c r="AV30" s="1060" t="s">
        <v>1412</v>
      </c>
      <c r="AW30" s="897"/>
      <c r="AX30" s="978" t="s">
        <v>1423</v>
      </c>
      <c r="AY30" s="898" t="s">
        <v>1424</v>
      </c>
      <c r="AZ30" s="898" t="s">
        <v>1416</v>
      </c>
      <c r="BA30" s="898" t="s">
        <v>1472</v>
      </c>
      <c r="BB30" s="898" t="s">
        <v>1473</v>
      </c>
      <c r="BC30" s="898" t="s">
        <v>1415</v>
      </c>
      <c r="BD30" s="898" t="s">
        <v>1438</v>
      </c>
      <c r="BE30" s="898" t="s">
        <v>1435</v>
      </c>
      <c r="BF30" s="898"/>
      <c r="BG30" s="898"/>
      <c r="BH30" s="898"/>
      <c r="BI30" s="898"/>
      <c r="BJ30" s="898"/>
      <c r="BK30" s="898"/>
      <c r="BL30" s="898"/>
      <c r="BM30" s="898"/>
      <c r="BN30" s="898"/>
      <c r="BO30" s="898"/>
      <c r="BP30" s="898"/>
      <c r="BQ30" s="898"/>
      <c r="BR30" s="898"/>
      <c r="BS30" s="898"/>
      <c r="BT30" s="898"/>
      <c r="BU30" s="898"/>
      <c r="BV30" s="898"/>
      <c r="BW30" s="898"/>
      <c r="BX30" s="898"/>
      <c r="BY30" s="898"/>
      <c r="BZ30" s="898"/>
      <c r="CA30" s="898"/>
      <c r="CB30" s="898"/>
      <c r="CC30" s="898"/>
      <c r="CD30" s="898"/>
      <c r="CE30" s="898"/>
      <c r="CF30" s="898"/>
      <c r="CG30" s="898"/>
      <c r="CH30" s="898"/>
      <c r="CI30" s="898"/>
      <c r="CJ30" s="898"/>
      <c r="CK30" s="898"/>
      <c r="CL30" s="898"/>
      <c r="CM30" s="898"/>
      <c r="CN30" s="898"/>
      <c r="CO30" s="898"/>
      <c r="CP30" s="898"/>
      <c r="CQ30" s="898"/>
      <c r="CR30" s="898"/>
      <c r="CS30" s="898"/>
      <c r="CT30" s="898"/>
      <c r="CU30" s="898"/>
    </row>
    <row r="31" ht="16.5" customHeight="1">
      <c r="A31" s="1066">
        <v>2019.0</v>
      </c>
      <c r="B31" s="1067">
        <v>43804.0</v>
      </c>
      <c r="C31" s="1068" t="s">
        <v>318</v>
      </c>
      <c r="D31" s="1069" t="s">
        <v>1474</v>
      </c>
      <c r="E31" s="1066" t="s">
        <v>170</v>
      </c>
      <c r="F31" s="1066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66" t="s">
        <v>49</v>
      </c>
      <c r="H31" s="1066">
        <v>105.0</v>
      </c>
      <c r="I31" s="1070">
        <v>35.0</v>
      </c>
      <c r="J31" s="1071">
        <v>15.0</v>
      </c>
      <c r="K31" s="1071">
        <v>55.0</v>
      </c>
      <c r="L31" s="1071" t="s">
        <v>321</v>
      </c>
      <c r="M31" s="1071"/>
      <c r="N31" s="1071" t="s">
        <v>321</v>
      </c>
      <c r="O31" s="1071" t="s">
        <v>321</v>
      </c>
      <c r="P31" s="1071" t="s">
        <v>321</v>
      </c>
      <c r="Q31" s="1072"/>
      <c r="R31" s="1073">
        <v>43473.0</v>
      </c>
      <c r="S31" s="1074">
        <v>24.52646</v>
      </c>
      <c r="T31" s="1075">
        <v>-81.50442</v>
      </c>
      <c r="U31" s="1076">
        <v>43837.0</v>
      </c>
      <c r="V31" s="1077">
        <v>1.0</v>
      </c>
      <c r="W31" s="1078">
        <v>0.0</v>
      </c>
      <c r="X31" s="1079">
        <v>0.0</v>
      </c>
      <c r="Y31" s="1079">
        <v>1.0</v>
      </c>
      <c r="Z31" s="1080">
        <v>1.0</v>
      </c>
      <c r="AA31" s="1079">
        <v>1.0</v>
      </c>
      <c r="AB31" s="1079">
        <v>1.0</v>
      </c>
      <c r="AC31" s="1079" t="s">
        <v>1412</v>
      </c>
      <c r="AD31" s="1081" t="s">
        <v>1412</v>
      </c>
      <c r="AE31" s="1081" t="s">
        <v>1412</v>
      </c>
      <c r="AF31" s="1081" t="s">
        <v>1412</v>
      </c>
      <c r="AG31" s="1081" t="s">
        <v>1412</v>
      </c>
      <c r="AH31" s="1081" t="s">
        <v>1412</v>
      </c>
      <c r="AI31" s="1082">
        <v>44217.0</v>
      </c>
      <c r="AJ31" s="1077">
        <v>0.9809523809523809</v>
      </c>
      <c r="AK31" s="1078">
        <v>0.01904761904761905</v>
      </c>
      <c r="AL31" s="1079">
        <v>0.0</v>
      </c>
      <c r="AM31" s="1079">
        <v>1.0</v>
      </c>
      <c r="AN31" s="1080">
        <v>0.9636363636363636</v>
      </c>
      <c r="AO31" s="1079">
        <v>1.0</v>
      </c>
      <c r="AP31" s="1079">
        <v>1.0</v>
      </c>
      <c r="AQ31" s="1079" t="s">
        <v>1412</v>
      </c>
      <c r="AR31" s="1081" t="s">
        <v>1412</v>
      </c>
      <c r="AS31" s="1081" t="s">
        <v>1412</v>
      </c>
      <c r="AT31" s="1081" t="s">
        <v>1412</v>
      </c>
      <c r="AU31" s="1081" t="s">
        <v>1412</v>
      </c>
      <c r="AV31" s="1081" t="s">
        <v>1412</v>
      </c>
      <c r="AW31" s="1083" t="s">
        <v>1475</v>
      </c>
      <c r="AX31" s="1033" t="s">
        <v>1460</v>
      </c>
      <c r="AY31" s="943" t="s">
        <v>1458</v>
      </c>
      <c r="AZ31" s="943" t="s">
        <v>1462</v>
      </c>
      <c r="BA31" s="943"/>
      <c r="BB31" s="943"/>
      <c r="BC31" s="943"/>
      <c r="BD31" s="943"/>
      <c r="BE31" s="943"/>
      <c r="BF31" s="943"/>
      <c r="BG31" s="943"/>
      <c r="BH31" s="943"/>
      <c r="BI31" s="943"/>
      <c r="BJ31" s="943"/>
      <c r="BK31" s="943"/>
      <c r="BL31" s="943"/>
      <c r="BM31" s="943"/>
      <c r="BN31" s="943"/>
      <c r="BO31" s="943"/>
      <c r="BP31" s="943"/>
      <c r="BQ31" s="943"/>
      <c r="BR31" s="943"/>
      <c r="BS31" s="943"/>
      <c r="BT31" s="943"/>
      <c r="BU31" s="943"/>
      <c r="BV31" s="943"/>
      <c r="BW31" s="943"/>
      <c r="BX31" s="943"/>
      <c r="BY31" s="943"/>
      <c r="BZ31" s="943"/>
      <c r="CA31" s="943"/>
      <c r="CB31" s="943"/>
      <c r="CC31" s="943"/>
      <c r="CD31" s="943"/>
      <c r="CE31" s="943"/>
      <c r="CF31" s="943"/>
      <c r="CG31" s="943"/>
      <c r="CH31" s="943"/>
      <c r="CI31" s="943"/>
      <c r="CJ31" s="943"/>
      <c r="CK31" s="943"/>
      <c r="CL31" s="943"/>
      <c r="CM31" s="943"/>
      <c r="CN31" s="943"/>
      <c r="CO31" s="943"/>
      <c r="CP31" s="943"/>
      <c r="CQ31" s="943"/>
      <c r="CR31" s="943"/>
      <c r="CS31" s="943"/>
      <c r="CT31" s="943"/>
      <c r="CU31" s="943"/>
    </row>
    <row r="32" ht="16.5" customHeight="1">
      <c r="A32" s="712">
        <v>2020.0</v>
      </c>
      <c r="B32" s="1084">
        <v>43858.0</v>
      </c>
      <c r="C32" s="1085" t="s">
        <v>1476</v>
      </c>
      <c r="D32" s="1086" t="s">
        <v>1477</v>
      </c>
      <c r="E32" s="712" t="s">
        <v>170</v>
      </c>
      <c r="F32" s="712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712" t="s">
        <v>65</v>
      </c>
      <c r="H32" s="712">
        <v>370.0</v>
      </c>
      <c r="I32" s="1087">
        <v>370.0</v>
      </c>
      <c r="J32" s="710" t="s">
        <v>321</v>
      </c>
      <c r="K32" s="710" t="s">
        <v>321</v>
      </c>
      <c r="L32" s="710" t="s">
        <v>321</v>
      </c>
      <c r="M32" s="710"/>
      <c r="N32" s="710" t="s">
        <v>321</v>
      </c>
      <c r="O32" s="710" t="s">
        <v>321</v>
      </c>
      <c r="P32" s="710" t="s">
        <v>321</v>
      </c>
      <c r="Q32" s="712"/>
      <c r="R32" s="1088" t="s">
        <v>1478</v>
      </c>
      <c r="S32" s="713">
        <v>24.61468</v>
      </c>
      <c r="T32" s="1089">
        <v>-81.39362</v>
      </c>
      <c r="U32" s="1084">
        <v>43894.0</v>
      </c>
      <c r="V32" s="1090">
        <v>0.7432432432432432</v>
      </c>
      <c r="W32" s="1091">
        <v>0.24594594594594596</v>
      </c>
      <c r="X32" s="1092">
        <v>0.010810810810810811</v>
      </c>
      <c r="Y32" s="1092">
        <v>1.0</v>
      </c>
      <c r="Z32" s="1093" t="s">
        <v>1412</v>
      </c>
      <c r="AA32" s="1092">
        <v>0.7432432432432432</v>
      </c>
      <c r="AB32" s="1092" t="s">
        <v>1412</v>
      </c>
      <c r="AC32" s="1092" t="s">
        <v>1412</v>
      </c>
      <c r="AD32" s="1092" t="s">
        <v>1412</v>
      </c>
      <c r="AE32" s="1092" t="s">
        <v>1412</v>
      </c>
      <c r="AF32" s="1092" t="s">
        <v>1412</v>
      </c>
      <c r="AG32" s="1092" t="s">
        <v>1412</v>
      </c>
      <c r="AH32" s="1092" t="s">
        <v>1412</v>
      </c>
      <c r="AI32" s="1094">
        <v>44217.0</v>
      </c>
      <c r="AJ32" s="1090">
        <v>0.6135135135135135</v>
      </c>
      <c r="AK32" s="1091">
        <v>0.3756756756756757</v>
      </c>
      <c r="AL32" s="1092">
        <v>0.010810810810810811</v>
      </c>
      <c r="AM32" s="1092">
        <v>1.0</v>
      </c>
      <c r="AN32" s="1093" t="s">
        <v>1412</v>
      </c>
      <c r="AO32" s="1092">
        <v>0.6135135135135135</v>
      </c>
      <c r="AP32" s="1092" t="s">
        <v>1412</v>
      </c>
      <c r="AQ32" s="1092" t="s">
        <v>1412</v>
      </c>
      <c r="AR32" s="1092" t="s">
        <v>1412</v>
      </c>
      <c r="AS32" s="1092" t="s">
        <v>1412</v>
      </c>
      <c r="AT32" s="1092" t="s">
        <v>1412</v>
      </c>
      <c r="AU32" s="1092" t="s">
        <v>1412</v>
      </c>
      <c r="AV32" s="1092" t="s">
        <v>1412</v>
      </c>
      <c r="AW32" s="897"/>
      <c r="AX32" s="978" t="s">
        <v>1479</v>
      </c>
      <c r="AY32" s="898" t="s">
        <v>1480</v>
      </c>
      <c r="AZ32" s="898" t="s">
        <v>1481</v>
      </c>
      <c r="BA32" s="898" t="s">
        <v>1482</v>
      </c>
      <c r="BB32" s="898" t="s">
        <v>1483</v>
      </c>
      <c r="BC32" s="898" t="s">
        <v>1484</v>
      </c>
      <c r="BD32" s="898" t="s">
        <v>1485</v>
      </c>
      <c r="BE32" s="898" t="s">
        <v>1486</v>
      </c>
      <c r="BF32" s="898" t="s">
        <v>1487</v>
      </c>
      <c r="BG32" s="898" t="s">
        <v>1488</v>
      </c>
      <c r="BH32" s="898" t="s">
        <v>1489</v>
      </c>
      <c r="BI32" s="898" t="s">
        <v>1490</v>
      </c>
      <c r="BJ32" s="898"/>
      <c r="BK32" s="898"/>
      <c r="BL32" s="898"/>
      <c r="BM32" s="898"/>
      <c r="BN32" s="898"/>
      <c r="BO32" s="898"/>
      <c r="BP32" s="898"/>
      <c r="BQ32" s="898"/>
      <c r="BR32" s="898"/>
      <c r="BS32" s="898"/>
      <c r="BT32" s="898"/>
      <c r="BU32" s="898"/>
      <c r="BV32" s="898"/>
      <c r="BW32" s="898"/>
      <c r="BX32" s="898"/>
      <c r="BY32" s="898"/>
      <c r="BZ32" s="898"/>
      <c r="CA32" s="898"/>
      <c r="CB32" s="898"/>
      <c r="CC32" s="898"/>
      <c r="CD32" s="898"/>
      <c r="CE32" s="898"/>
      <c r="CF32" s="898"/>
      <c r="CG32" s="898"/>
      <c r="CH32" s="898"/>
      <c r="CI32" s="898"/>
      <c r="CJ32" s="898"/>
      <c r="CK32" s="898"/>
      <c r="CL32" s="898"/>
      <c r="CM32" s="898"/>
      <c r="CN32" s="898"/>
      <c r="CO32" s="898"/>
      <c r="CP32" s="898"/>
      <c r="CQ32" s="898"/>
      <c r="CR32" s="898"/>
      <c r="CS32" s="898"/>
      <c r="CT32" s="898"/>
      <c r="CU32" s="898"/>
    </row>
    <row r="33" ht="16.5" customHeight="1">
      <c r="A33" s="712">
        <v>2020.0</v>
      </c>
      <c r="B33" s="1095">
        <v>43865.0</v>
      </c>
      <c r="C33" s="1085" t="s">
        <v>1388</v>
      </c>
      <c r="D33" s="1086" t="s">
        <v>1491</v>
      </c>
      <c r="E33" s="712" t="s">
        <v>170</v>
      </c>
      <c r="F33" s="712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712" t="s">
        <v>65</v>
      </c>
      <c r="H33" s="712">
        <v>393.0</v>
      </c>
      <c r="I33" s="1087">
        <v>393.0</v>
      </c>
      <c r="J33" s="710" t="s">
        <v>321</v>
      </c>
      <c r="K33" s="710" t="s">
        <v>321</v>
      </c>
      <c r="L33" s="710" t="s">
        <v>321</v>
      </c>
      <c r="M33" s="710"/>
      <c r="N33" s="710" t="s">
        <v>321</v>
      </c>
      <c r="O33" s="710" t="s">
        <v>321</v>
      </c>
      <c r="P33" s="710" t="s">
        <v>321</v>
      </c>
      <c r="Q33" s="712"/>
      <c r="R33" s="1088" t="s">
        <v>1492</v>
      </c>
      <c r="S33" s="1096">
        <v>24.62209</v>
      </c>
      <c r="T33" s="1097">
        <v>-81.36282</v>
      </c>
      <c r="U33" s="1098">
        <v>43895.0</v>
      </c>
      <c r="V33" s="1091">
        <v>0.989821882951654</v>
      </c>
      <c r="W33" s="1091">
        <v>0.0</v>
      </c>
      <c r="X33" s="1099">
        <v>0.010178117048346057</v>
      </c>
      <c r="Y33" s="1099">
        <v>1.0</v>
      </c>
      <c r="Z33" s="1100" t="s">
        <v>1412</v>
      </c>
      <c r="AA33" s="1099">
        <v>0.989821882951654</v>
      </c>
      <c r="AB33" s="1099" t="s">
        <v>1412</v>
      </c>
      <c r="AC33" s="1099" t="s">
        <v>1412</v>
      </c>
      <c r="AD33" s="1092" t="s">
        <v>1412</v>
      </c>
      <c r="AE33" s="1092" t="s">
        <v>1412</v>
      </c>
      <c r="AF33" s="1092" t="s">
        <v>1412</v>
      </c>
      <c r="AG33" s="1092" t="s">
        <v>1412</v>
      </c>
      <c r="AH33" s="1092" t="s">
        <v>1412</v>
      </c>
      <c r="AI33" s="1101">
        <v>44239.0</v>
      </c>
      <c r="AJ33" s="1091">
        <v>0.7684478371501272</v>
      </c>
      <c r="AK33" s="1091">
        <v>0.21374045801526717</v>
      </c>
      <c r="AL33" s="1099">
        <v>0.017811704834605598</v>
      </c>
      <c r="AM33" s="1099">
        <v>0.9130434782608695</v>
      </c>
      <c r="AN33" s="1100" t="s">
        <v>1412</v>
      </c>
      <c r="AO33" s="1099">
        <v>0.7684478371501272</v>
      </c>
      <c r="AP33" s="1099" t="s">
        <v>1412</v>
      </c>
      <c r="AQ33" s="1099" t="s">
        <v>1412</v>
      </c>
      <c r="AR33" s="1092" t="s">
        <v>1412</v>
      </c>
      <c r="AS33" s="1092" t="s">
        <v>1412</v>
      </c>
      <c r="AT33" s="1092" t="s">
        <v>1412</v>
      </c>
      <c r="AU33" s="1092" t="s">
        <v>1412</v>
      </c>
      <c r="AV33" s="1092" t="s">
        <v>1412</v>
      </c>
      <c r="AW33" s="977" t="s">
        <v>1493</v>
      </c>
      <c r="AX33" s="978" t="s">
        <v>1469</v>
      </c>
      <c r="AY33" s="898" t="s">
        <v>1494</v>
      </c>
      <c r="AZ33" s="898" t="s">
        <v>1495</v>
      </c>
      <c r="BA33" s="898" t="s">
        <v>1496</v>
      </c>
      <c r="BB33" s="898" t="s">
        <v>1497</v>
      </c>
      <c r="BC33" s="898"/>
      <c r="BD33" s="898"/>
      <c r="BE33" s="898"/>
      <c r="BF33" s="898"/>
      <c r="BG33" s="898"/>
      <c r="BH33" s="898"/>
      <c r="BI33" s="898"/>
      <c r="BJ33" s="898"/>
      <c r="BK33" s="898"/>
      <c r="BL33" s="898"/>
      <c r="BM33" s="898"/>
      <c r="BN33" s="898"/>
      <c r="BO33" s="898"/>
      <c r="BP33" s="898"/>
      <c r="BQ33" s="898"/>
      <c r="BR33" s="898"/>
      <c r="BS33" s="898"/>
      <c r="BT33" s="898"/>
      <c r="BU33" s="898"/>
      <c r="BV33" s="898"/>
      <c r="BW33" s="898"/>
      <c r="BX33" s="898"/>
      <c r="BY33" s="898"/>
      <c r="BZ33" s="898"/>
      <c r="CA33" s="898"/>
      <c r="CB33" s="898"/>
      <c r="CC33" s="898"/>
      <c r="CD33" s="898"/>
      <c r="CE33" s="898"/>
      <c r="CF33" s="898"/>
      <c r="CG33" s="898"/>
      <c r="CH33" s="898"/>
      <c r="CI33" s="898"/>
      <c r="CJ33" s="898"/>
      <c r="CK33" s="898"/>
      <c r="CL33" s="898"/>
      <c r="CM33" s="898"/>
      <c r="CN33" s="898"/>
      <c r="CO33" s="898"/>
      <c r="CP33" s="898"/>
      <c r="CQ33" s="898"/>
      <c r="CR33" s="898"/>
      <c r="CS33" s="898"/>
      <c r="CT33" s="898"/>
      <c r="CU33" s="898"/>
    </row>
    <row r="34" ht="16.5" customHeight="1">
      <c r="A34" s="1049">
        <v>2020.0</v>
      </c>
      <c r="B34" s="1102">
        <v>43913.0</v>
      </c>
      <c r="C34" s="1051" t="s">
        <v>1470</v>
      </c>
      <c r="D34" s="1063" t="s">
        <v>1498</v>
      </c>
      <c r="E34" s="1049" t="s">
        <v>170</v>
      </c>
      <c r="F34" s="1049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49" t="s">
        <v>49</v>
      </c>
      <c r="H34" s="1049">
        <v>150.0</v>
      </c>
      <c r="I34" s="1053">
        <v>150.0</v>
      </c>
      <c r="J34" s="1054" t="s">
        <v>321</v>
      </c>
      <c r="K34" s="1054" t="s">
        <v>321</v>
      </c>
      <c r="L34" s="1054" t="s">
        <v>321</v>
      </c>
      <c r="M34" s="1054"/>
      <c r="N34" s="1054" t="s">
        <v>321</v>
      </c>
      <c r="O34" s="1054" t="s">
        <v>321</v>
      </c>
      <c r="P34" s="1054" t="s">
        <v>321</v>
      </c>
      <c r="Q34" s="1049"/>
      <c r="R34" s="1055" t="s">
        <v>1499</v>
      </c>
      <c r="S34" s="1056">
        <v>24.61459</v>
      </c>
      <c r="T34" s="1057">
        <v>-81.37973</v>
      </c>
      <c r="U34" s="1050">
        <v>43950.0</v>
      </c>
      <c r="V34" s="1058">
        <v>0.9866666666666667</v>
      </c>
      <c r="W34" s="1059">
        <v>0.013333333333333334</v>
      </c>
      <c r="X34" s="1060">
        <v>0.0</v>
      </c>
      <c r="Y34" s="1060">
        <v>1.0</v>
      </c>
      <c r="Z34" s="1061" t="s">
        <v>1412</v>
      </c>
      <c r="AA34" s="1060">
        <v>0.9866666666666667</v>
      </c>
      <c r="AB34" s="1060" t="s">
        <v>1412</v>
      </c>
      <c r="AC34" s="1060" t="s">
        <v>1412</v>
      </c>
      <c r="AD34" s="1060" t="s">
        <v>1412</v>
      </c>
      <c r="AE34" s="1060" t="s">
        <v>1412</v>
      </c>
      <c r="AF34" s="1060" t="s">
        <v>1412</v>
      </c>
      <c r="AG34" s="1060" t="s">
        <v>1412</v>
      </c>
      <c r="AH34" s="1060" t="s">
        <v>1412</v>
      </c>
      <c r="AI34" s="1062">
        <v>44287.0</v>
      </c>
      <c r="AJ34" s="1058">
        <v>0.8933333333333333</v>
      </c>
      <c r="AK34" s="1059">
        <v>0.10666666666666667</v>
      </c>
      <c r="AL34" s="1060">
        <v>0.0</v>
      </c>
      <c r="AM34" s="1060">
        <v>0.9565217391304348</v>
      </c>
      <c r="AN34" s="1061" t="s">
        <v>1412</v>
      </c>
      <c r="AO34" s="1060">
        <v>0.8933333333333333</v>
      </c>
      <c r="AP34" s="1060" t="s">
        <v>1412</v>
      </c>
      <c r="AQ34" s="1060" t="s">
        <v>1412</v>
      </c>
      <c r="AR34" s="1060" t="s">
        <v>1412</v>
      </c>
      <c r="AS34" s="1060" t="s">
        <v>1412</v>
      </c>
      <c r="AT34" s="1060" t="s">
        <v>1412</v>
      </c>
      <c r="AU34" s="1060" t="s">
        <v>1412</v>
      </c>
      <c r="AV34" s="1060" t="s">
        <v>1412</v>
      </c>
      <c r="AW34" s="897"/>
      <c r="AX34" s="978" t="s">
        <v>1500</v>
      </c>
      <c r="AY34" s="898" t="s">
        <v>1501</v>
      </c>
      <c r="AZ34" s="898" t="s">
        <v>1502</v>
      </c>
      <c r="BA34" s="898" t="s">
        <v>1503</v>
      </c>
      <c r="BB34" s="898" t="s">
        <v>1504</v>
      </c>
      <c r="BC34" s="898" t="s">
        <v>1505</v>
      </c>
      <c r="BD34" s="898" t="s">
        <v>1506</v>
      </c>
      <c r="BE34" s="898" t="s">
        <v>1507</v>
      </c>
      <c r="BF34" s="898" t="s">
        <v>1508</v>
      </c>
      <c r="BG34" s="898" t="s">
        <v>1509</v>
      </c>
      <c r="BH34" s="898" t="s">
        <v>1510</v>
      </c>
      <c r="BI34" s="898" t="s">
        <v>1511</v>
      </c>
      <c r="BJ34" s="898" t="s">
        <v>1512</v>
      </c>
      <c r="BK34" s="898" t="s">
        <v>1513</v>
      </c>
      <c r="BL34" s="898" t="s">
        <v>1514</v>
      </c>
      <c r="BM34" s="898" t="s">
        <v>1515</v>
      </c>
      <c r="BN34" s="898" t="s">
        <v>1479</v>
      </c>
      <c r="BO34" s="898" t="s">
        <v>1516</v>
      </c>
      <c r="BP34" s="898" t="s">
        <v>1486</v>
      </c>
      <c r="BQ34" s="898" t="s">
        <v>1517</v>
      </c>
      <c r="BR34" s="898" t="s">
        <v>1518</v>
      </c>
      <c r="BS34" s="898" t="s">
        <v>1519</v>
      </c>
      <c r="BT34" s="898" t="s">
        <v>1520</v>
      </c>
      <c r="BU34" s="898"/>
      <c r="BV34" s="898"/>
      <c r="BW34" s="898"/>
      <c r="BX34" s="898"/>
      <c r="BY34" s="898"/>
      <c r="BZ34" s="898"/>
      <c r="CA34" s="898"/>
      <c r="CB34" s="898"/>
      <c r="CC34" s="898"/>
      <c r="CD34" s="898"/>
      <c r="CE34" s="898"/>
      <c r="CF34" s="898"/>
      <c r="CG34" s="898"/>
      <c r="CH34" s="898"/>
      <c r="CI34" s="898"/>
      <c r="CJ34" s="898"/>
      <c r="CK34" s="898"/>
      <c r="CL34" s="898"/>
      <c r="CM34" s="898"/>
      <c r="CN34" s="898"/>
      <c r="CO34" s="898"/>
      <c r="CP34" s="898"/>
      <c r="CQ34" s="898"/>
      <c r="CR34" s="898"/>
      <c r="CS34" s="898"/>
      <c r="CT34" s="898"/>
      <c r="CU34" s="898"/>
    </row>
    <row r="35" ht="16.5" customHeight="1">
      <c r="A35" s="1103">
        <v>2020.0</v>
      </c>
      <c r="B35" s="1104">
        <v>43914.0</v>
      </c>
      <c r="C35" s="805" t="s">
        <v>1521</v>
      </c>
      <c r="D35" s="1105" t="s">
        <v>1522</v>
      </c>
      <c r="E35" s="1103" t="s">
        <v>170</v>
      </c>
      <c r="F35" s="1103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103" t="s">
        <v>51</v>
      </c>
      <c r="H35" s="1103">
        <v>500.0</v>
      </c>
      <c r="I35" s="1106">
        <v>200.0</v>
      </c>
      <c r="J35" s="1107">
        <v>100.0</v>
      </c>
      <c r="K35" s="1107">
        <v>200.0</v>
      </c>
      <c r="L35" s="1107" t="s">
        <v>321</v>
      </c>
      <c r="M35" s="1107"/>
      <c r="N35" s="1107" t="s">
        <v>321</v>
      </c>
      <c r="O35" s="1107" t="s">
        <v>321</v>
      </c>
      <c r="P35" s="1107" t="s">
        <v>321</v>
      </c>
      <c r="Q35" s="1103"/>
      <c r="R35" s="1108" t="s">
        <v>1523</v>
      </c>
      <c r="S35" s="1109">
        <v>24.61517</v>
      </c>
      <c r="T35" s="1110">
        <v>-81.38369</v>
      </c>
      <c r="U35" s="1111">
        <v>43950.0</v>
      </c>
      <c r="V35" s="1112">
        <v>0.928</v>
      </c>
      <c r="W35" s="1113">
        <v>0.072</v>
      </c>
      <c r="X35" s="1114">
        <v>0.0</v>
      </c>
      <c r="Y35" s="1114">
        <v>1.0</v>
      </c>
      <c r="Z35" s="1115">
        <v>0.99</v>
      </c>
      <c r="AA35" s="1114">
        <v>0.84</v>
      </c>
      <c r="AB35" s="1114">
        <v>0.98</v>
      </c>
      <c r="AC35" s="1114" t="s">
        <v>1412</v>
      </c>
      <c r="AD35" s="1114" t="s">
        <v>1412</v>
      </c>
      <c r="AE35" s="1114" t="s">
        <v>1412</v>
      </c>
      <c r="AF35" s="1114" t="s">
        <v>1412</v>
      </c>
      <c r="AG35" s="1114" t="s">
        <v>1412</v>
      </c>
      <c r="AH35" s="1114" t="s">
        <v>1412</v>
      </c>
      <c r="AI35" s="1116">
        <v>44287.0</v>
      </c>
      <c r="AJ35" s="1112">
        <v>0.744</v>
      </c>
      <c r="AK35" s="1113">
        <v>0.256</v>
      </c>
      <c r="AL35" s="1114">
        <v>0.0</v>
      </c>
      <c r="AM35" s="1114">
        <v>0.9772727272727273</v>
      </c>
      <c r="AN35" s="1115">
        <v>0.905</v>
      </c>
      <c r="AO35" s="1114">
        <v>0.65</v>
      </c>
      <c r="AP35" s="1114">
        <v>0.61</v>
      </c>
      <c r="AQ35" s="1114" t="s">
        <v>1412</v>
      </c>
      <c r="AR35" s="1114" t="s">
        <v>1412</v>
      </c>
      <c r="AS35" s="1114" t="s">
        <v>1412</v>
      </c>
      <c r="AT35" s="1114" t="s">
        <v>1412</v>
      </c>
      <c r="AU35" s="1114" t="s">
        <v>1412</v>
      </c>
      <c r="AV35" s="1114" t="s">
        <v>1412</v>
      </c>
      <c r="AW35" s="897"/>
      <c r="AX35" s="978" t="s">
        <v>1524</v>
      </c>
      <c r="AY35" s="898" t="s">
        <v>1525</v>
      </c>
      <c r="AZ35" s="898" t="s">
        <v>1465</v>
      </c>
      <c r="BA35" s="898" t="s">
        <v>1462</v>
      </c>
      <c r="BB35" s="898" t="s">
        <v>1466</v>
      </c>
      <c r="BC35" s="898" t="s">
        <v>1459</v>
      </c>
      <c r="BD35" s="898" t="s">
        <v>1458</v>
      </c>
      <c r="BE35" s="898" t="s">
        <v>1526</v>
      </c>
      <c r="BF35" s="898" t="s">
        <v>1527</v>
      </c>
      <c r="BG35" s="898" t="s">
        <v>1528</v>
      </c>
      <c r="BH35" s="898" t="s">
        <v>1529</v>
      </c>
      <c r="BI35" s="898" t="s">
        <v>1530</v>
      </c>
      <c r="BJ35" s="898" t="s">
        <v>1531</v>
      </c>
      <c r="BK35" s="898" t="s">
        <v>1532</v>
      </c>
      <c r="BL35" s="898" t="s">
        <v>1505</v>
      </c>
      <c r="BM35" s="898" t="s">
        <v>1533</v>
      </c>
      <c r="BN35" s="898" t="s">
        <v>1483</v>
      </c>
      <c r="BO35" s="898" t="s">
        <v>1507</v>
      </c>
      <c r="BP35" s="898" t="s">
        <v>1534</v>
      </c>
      <c r="BQ35" s="898" t="s">
        <v>1535</v>
      </c>
      <c r="BR35" s="898" t="s">
        <v>1536</v>
      </c>
      <c r="BS35" s="898" t="s">
        <v>1537</v>
      </c>
      <c r="BT35" s="898" t="s">
        <v>1538</v>
      </c>
      <c r="BU35" s="898" t="s">
        <v>1539</v>
      </c>
      <c r="BV35" s="898" t="s">
        <v>1540</v>
      </c>
      <c r="BW35" s="898" t="s">
        <v>1541</v>
      </c>
      <c r="BX35" s="898" t="s">
        <v>1542</v>
      </c>
      <c r="BY35" s="898" t="s">
        <v>1543</v>
      </c>
      <c r="BZ35" s="898" t="s">
        <v>1544</v>
      </c>
      <c r="CA35" s="898" t="s">
        <v>1484</v>
      </c>
      <c r="CB35" s="898"/>
      <c r="CC35" s="898"/>
      <c r="CD35" s="898"/>
      <c r="CE35" s="898"/>
      <c r="CF35" s="898"/>
      <c r="CG35" s="898"/>
      <c r="CH35" s="898"/>
      <c r="CI35" s="898"/>
      <c r="CJ35" s="898"/>
      <c r="CK35" s="898"/>
      <c r="CL35" s="898"/>
      <c r="CM35" s="898"/>
      <c r="CN35" s="898"/>
      <c r="CO35" s="898"/>
      <c r="CP35" s="898"/>
      <c r="CQ35" s="898"/>
      <c r="CR35" s="898"/>
      <c r="CS35" s="898"/>
      <c r="CT35" s="898"/>
      <c r="CU35" s="898"/>
    </row>
    <row r="36" ht="17.25" customHeight="1">
      <c r="A36" s="712">
        <v>2020.0</v>
      </c>
      <c r="B36" s="1117">
        <v>43930.0</v>
      </c>
      <c r="C36" s="1085" t="s">
        <v>1476</v>
      </c>
      <c r="D36" s="1086" t="s">
        <v>1545</v>
      </c>
      <c r="E36" s="712" t="s">
        <v>170</v>
      </c>
      <c r="F36" s="712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712" t="s">
        <v>65</v>
      </c>
      <c r="H36" s="712">
        <v>300.0</v>
      </c>
      <c r="I36" s="1087" t="s">
        <v>321</v>
      </c>
      <c r="J36" s="710">
        <v>150.0</v>
      </c>
      <c r="K36" s="710">
        <v>150.0</v>
      </c>
      <c r="L36" s="710" t="s">
        <v>321</v>
      </c>
      <c r="M36" s="710"/>
      <c r="N36" s="710" t="s">
        <v>321</v>
      </c>
      <c r="O36" s="710" t="s">
        <v>321</v>
      </c>
      <c r="P36" s="710" t="s">
        <v>321</v>
      </c>
      <c r="Q36" s="712"/>
      <c r="R36" s="1088" t="s">
        <v>1546</v>
      </c>
      <c r="S36" s="713">
        <v>24.6144</v>
      </c>
      <c r="T36" s="1089">
        <v>-81.39333</v>
      </c>
      <c r="U36" s="1084">
        <v>43961.0</v>
      </c>
      <c r="V36" s="1090">
        <v>0.9866666666666667</v>
      </c>
      <c r="W36" s="1091">
        <v>0.013333333333333334</v>
      </c>
      <c r="X36" s="1092">
        <v>0.0</v>
      </c>
      <c r="Y36" s="1092">
        <v>1.0</v>
      </c>
      <c r="Z36" s="1093">
        <v>0.9866666666666667</v>
      </c>
      <c r="AA36" s="1092" t="s">
        <v>1412</v>
      </c>
      <c r="AB36" s="1092">
        <v>0.9866666666666667</v>
      </c>
      <c r="AC36" s="1092" t="s">
        <v>1412</v>
      </c>
      <c r="AD36" s="1092" t="s">
        <v>1412</v>
      </c>
      <c r="AE36" s="1092" t="s">
        <v>1412</v>
      </c>
      <c r="AF36" s="1092" t="s">
        <v>1412</v>
      </c>
      <c r="AG36" s="1092" t="s">
        <v>1412</v>
      </c>
      <c r="AH36" s="1092" t="s">
        <v>1412</v>
      </c>
      <c r="AI36" s="1094">
        <v>44299.0</v>
      </c>
      <c r="AJ36" s="1090">
        <v>0.7</v>
      </c>
      <c r="AK36" s="1091">
        <v>0.3</v>
      </c>
      <c r="AL36" s="1092">
        <v>0.0</v>
      </c>
      <c r="AM36" s="1092">
        <v>0.8947368421052632</v>
      </c>
      <c r="AN36" s="1093">
        <v>0.9533333333333334</v>
      </c>
      <c r="AO36" s="1092" t="s">
        <v>1412</v>
      </c>
      <c r="AP36" s="1092">
        <v>0.44666666666666666</v>
      </c>
      <c r="AQ36" s="1092" t="s">
        <v>1412</v>
      </c>
      <c r="AR36" s="1092" t="s">
        <v>1412</v>
      </c>
      <c r="AS36" s="1092" t="s">
        <v>1412</v>
      </c>
      <c r="AT36" s="1092" t="s">
        <v>1412</v>
      </c>
      <c r="AU36" s="1092" t="s">
        <v>1412</v>
      </c>
      <c r="AV36" s="1092" t="s">
        <v>1412</v>
      </c>
      <c r="AW36" s="897"/>
      <c r="AX36" s="978" t="s">
        <v>1462</v>
      </c>
      <c r="AY36" s="898" t="s">
        <v>1547</v>
      </c>
      <c r="AZ36" s="898" t="s">
        <v>1548</v>
      </c>
      <c r="BA36" s="898" t="s">
        <v>1549</v>
      </c>
      <c r="BB36" s="898" t="s">
        <v>1465</v>
      </c>
      <c r="BC36" s="898" t="s">
        <v>1550</v>
      </c>
      <c r="BD36" s="898" t="s">
        <v>1551</v>
      </c>
      <c r="BE36" s="898" t="s">
        <v>1552</v>
      </c>
      <c r="BF36" s="898" t="s">
        <v>1466</v>
      </c>
      <c r="BG36" s="898" t="s">
        <v>1553</v>
      </c>
      <c r="BH36" s="898" t="s">
        <v>1458</v>
      </c>
      <c r="BI36" s="898" t="s">
        <v>1459</v>
      </c>
      <c r="BJ36" s="898"/>
      <c r="BK36" s="898"/>
      <c r="BL36" s="898"/>
      <c r="BM36" s="898"/>
      <c r="BN36" s="898"/>
      <c r="BO36" s="898"/>
      <c r="BP36" s="898"/>
      <c r="BQ36" s="898"/>
      <c r="BR36" s="898"/>
      <c r="BS36" s="898"/>
      <c r="BT36" s="898"/>
      <c r="BU36" s="898"/>
      <c r="BV36" s="898"/>
      <c r="BW36" s="898"/>
      <c r="BX36" s="898"/>
      <c r="BY36" s="898"/>
      <c r="BZ36" s="898"/>
      <c r="CA36" s="898"/>
      <c r="CB36" s="898"/>
      <c r="CC36" s="898"/>
      <c r="CD36" s="898"/>
      <c r="CE36" s="898"/>
      <c r="CF36" s="898"/>
      <c r="CG36" s="898"/>
      <c r="CH36" s="898"/>
      <c r="CI36" s="898"/>
      <c r="CJ36" s="898"/>
      <c r="CK36" s="898"/>
      <c r="CL36" s="898"/>
      <c r="CM36" s="898"/>
      <c r="CN36" s="898"/>
      <c r="CO36" s="898"/>
      <c r="CP36" s="898"/>
      <c r="CQ36" s="898"/>
      <c r="CR36" s="898"/>
      <c r="CS36" s="898"/>
      <c r="CT36" s="898"/>
      <c r="CU36" s="898"/>
    </row>
    <row r="37" ht="16.5" customHeight="1">
      <c r="A37" s="1036">
        <v>2020.0</v>
      </c>
      <c r="B37" s="1118">
        <v>43991.0</v>
      </c>
      <c r="C37" s="863" t="s">
        <v>1476</v>
      </c>
      <c r="D37" s="1119" t="s">
        <v>1554</v>
      </c>
      <c r="E37" s="1036" t="s">
        <v>170</v>
      </c>
      <c r="F37" s="1036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36" t="s">
        <v>47</v>
      </c>
      <c r="H37" s="1036">
        <v>379.0</v>
      </c>
      <c r="I37" s="1038">
        <v>100.0</v>
      </c>
      <c r="J37" s="1039">
        <v>279.0</v>
      </c>
      <c r="K37" s="1039" t="s">
        <v>321</v>
      </c>
      <c r="L37" s="1039" t="s">
        <v>321</v>
      </c>
      <c r="M37" s="1039"/>
      <c r="N37" s="1039" t="s">
        <v>321</v>
      </c>
      <c r="O37" s="1039" t="s">
        <v>321</v>
      </c>
      <c r="P37" s="1039" t="s">
        <v>321</v>
      </c>
      <c r="Q37" s="1036"/>
      <c r="R37" s="1040" t="s">
        <v>1555</v>
      </c>
      <c r="S37" s="1041">
        <v>24.6144</v>
      </c>
      <c r="T37" s="1042">
        <v>-81.39333</v>
      </c>
      <c r="U37" s="1043">
        <v>44019.0</v>
      </c>
      <c r="V37" s="1044">
        <v>0.978891820580475</v>
      </c>
      <c r="W37" s="1045">
        <v>0.013192612137203167</v>
      </c>
      <c r="X37" s="1046">
        <v>0.0079155672823219</v>
      </c>
      <c r="Y37" s="1046">
        <v>1.0</v>
      </c>
      <c r="Z37" s="1047" t="s">
        <v>1412</v>
      </c>
      <c r="AA37" s="1046">
        <v>1.0</v>
      </c>
      <c r="AB37" s="1046">
        <v>0.9713261648745519</v>
      </c>
      <c r="AC37" s="1046" t="s">
        <v>1412</v>
      </c>
      <c r="AD37" s="1046" t="s">
        <v>1412</v>
      </c>
      <c r="AE37" s="1046" t="s">
        <v>1412</v>
      </c>
      <c r="AF37" s="1046" t="s">
        <v>1412</v>
      </c>
      <c r="AG37" s="1046" t="s">
        <v>1412</v>
      </c>
      <c r="AH37" s="1046" t="s">
        <v>1412</v>
      </c>
      <c r="AI37" s="1048">
        <v>44330.0</v>
      </c>
      <c r="AJ37" s="1044">
        <v>0.34564643799472294</v>
      </c>
      <c r="AK37" s="1045">
        <v>0.6543535620052771</v>
      </c>
      <c r="AL37" s="1046">
        <v>0.0</v>
      </c>
      <c r="AM37" s="1046">
        <v>0.6190476190476191</v>
      </c>
      <c r="AN37" s="1047" t="s">
        <v>1412</v>
      </c>
      <c r="AO37" s="1046">
        <v>1.0</v>
      </c>
      <c r="AP37" s="1046">
        <v>0.11111111111111116</v>
      </c>
      <c r="AQ37" s="1046" t="s">
        <v>1412</v>
      </c>
      <c r="AR37" s="1046" t="s">
        <v>1412</v>
      </c>
      <c r="AS37" s="1046" t="s">
        <v>1412</v>
      </c>
      <c r="AT37" s="1046" t="s">
        <v>1412</v>
      </c>
      <c r="AU37" s="1046" t="s">
        <v>1412</v>
      </c>
      <c r="AV37" s="1046" t="s">
        <v>1412</v>
      </c>
      <c r="AW37" s="897"/>
      <c r="AX37" s="978" t="s">
        <v>1466</v>
      </c>
      <c r="AY37" s="898" t="s">
        <v>1459</v>
      </c>
      <c r="AZ37" s="898" t="s">
        <v>1458</v>
      </c>
      <c r="BA37" s="898" t="s">
        <v>1553</v>
      </c>
      <c r="BB37" s="898" t="s">
        <v>1556</v>
      </c>
      <c r="BC37" s="898" t="s">
        <v>1486</v>
      </c>
      <c r="BD37" s="898" t="s">
        <v>1460</v>
      </c>
      <c r="BE37" s="898" t="s">
        <v>1544</v>
      </c>
      <c r="BF37" s="898"/>
      <c r="BG37" s="898"/>
      <c r="BH37" s="898"/>
      <c r="BI37" s="898"/>
      <c r="BJ37" s="898"/>
      <c r="BK37" s="898"/>
      <c r="BL37" s="898"/>
      <c r="BM37" s="898"/>
      <c r="BN37" s="898"/>
      <c r="BO37" s="898"/>
      <c r="BP37" s="898"/>
      <c r="BQ37" s="898"/>
      <c r="BR37" s="898"/>
      <c r="BS37" s="898"/>
      <c r="BT37" s="898"/>
      <c r="BU37" s="898"/>
      <c r="BV37" s="898"/>
      <c r="BW37" s="898"/>
      <c r="BX37" s="898"/>
      <c r="BY37" s="898"/>
      <c r="BZ37" s="898"/>
      <c r="CA37" s="898"/>
      <c r="CB37" s="898"/>
      <c r="CC37" s="898"/>
      <c r="CD37" s="898"/>
      <c r="CE37" s="898"/>
      <c r="CF37" s="898"/>
      <c r="CG37" s="898"/>
      <c r="CH37" s="898"/>
      <c r="CI37" s="898"/>
      <c r="CJ37" s="898"/>
      <c r="CK37" s="898"/>
      <c r="CL37" s="898"/>
      <c r="CM37" s="898"/>
      <c r="CN37" s="898"/>
      <c r="CO37" s="898"/>
      <c r="CP37" s="898"/>
      <c r="CQ37" s="898"/>
      <c r="CR37" s="898"/>
      <c r="CS37" s="898"/>
      <c r="CT37" s="898"/>
      <c r="CU37" s="898"/>
    </row>
    <row r="38" ht="16.5" customHeight="1">
      <c r="A38" s="1103">
        <v>2020.0</v>
      </c>
      <c r="B38" s="1104">
        <v>44005.0</v>
      </c>
      <c r="C38" s="805" t="s">
        <v>1476</v>
      </c>
      <c r="D38" s="1105" t="s">
        <v>1557</v>
      </c>
      <c r="E38" s="1103" t="s">
        <v>170</v>
      </c>
      <c r="F38" s="1103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103" t="s">
        <v>51</v>
      </c>
      <c r="H38" s="1103">
        <v>300.0</v>
      </c>
      <c r="I38" s="1106">
        <v>180.0</v>
      </c>
      <c r="J38" s="1107">
        <v>120.0</v>
      </c>
      <c r="K38" s="1107" t="s">
        <v>321</v>
      </c>
      <c r="L38" s="1107" t="s">
        <v>321</v>
      </c>
      <c r="M38" s="1107"/>
      <c r="N38" s="1107" t="s">
        <v>321</v>
      </c>
      <c r="O38" s="1107" t="s">
        <v>321</v>
      </c>
      <c r="P38" s="1107" t="s">
        <v>321</v>
      </c>
      <c r="Q38" s="1103"/>
      <c r="R38" s="1108" t="s">
        <v>1558</v>
      </c>
      <c r="S38" s="1109">
        <v>24.6144</v>
      </c>
      <c r="T38" s="1110">
        <v>-81.39333</v>
      </c>
      <c r="U38" s="1111">
        <v>44027.0</v>
      </c>
      <c r="V38" s="1112">
        <v>0.9533333333333334</v>
      </c>
      <c r="W38" s="1113">
        <v>0.04666666666666667</v>
      </c>
      <c r="X38" s="1114">
        <v>0.0</v>
      </c>
      <c r="Y38" s="1114">
        <v>1.0</v>
      </c>
      <c r="Z38" s="1115" t="s">
        <v>1412</v>
      </c>
      <c r="AA38" s="1114">
        <v>0.9722222222222222</v>
      </c>
      <c r="AB38" s="1114">
        <v>0.925</v>
      </c>
      <c r="AC38" s="1114" t="s">
        <v>1412</v>
      </c>
      <c r="AD38" s="1114" t="s">
        <v>1412</v>
      </c>
      <c r="AE38" s="1114" t="s">
        <v>1412</v>
      </c>
      <c r="AF38" s="1114" t="s">
        <v>1412</v>
      </c>
      <c r="AG38" s="1114" t="s">
        <v>1412</v>
      </c>
      <c r="AH38" s="1114" t="s">
        <v>1412</v>
      </c>
      <c r="AI38" s="1116">
        <v>44351.0</v>
      </c>
      <c r="AJ38" s="1112">
        <v>0.5133333333333333</v>
      </c>
      <c r="AK38" s="1113">
        <v>0.4866666666666667</v>
      </c>
      <c r="AL38" s="1114">
        <v>0.0</v>
      </c>
      <c r="AM38" s="1114">
        <v>0.7647058823529411</v>
      </c>
      <c r="AN38" s="1115" t="s">
        <v>1412</v>
      </c>
      <c r="AO38" s="1114">
        <v>0.8333333333333334</v>
      </c>
      <c r="AP38" s="1114">
        <v>0.033333333333333326</v>
      </c>
      <c r="AQ38" s="1114" t="s">
        <v>1412</v>
      </c>
      <c r="AR38" s="1114" t="s">
        <v>1412</v>
      </c>
      <c r="AS38" s="1114" t="s">
        <v>1412</v>
      </c>
      <c r="AT38" s="1114" t="s">
        <v>1412</v>
      </c>
      <c r="AU38" s="1114" t="s">
        <v>1412</v>
      </c>
      <c r="AV38" s="1114" t="s">
        <v>1412</v>
      </c>
      <c r="AW38" s="897"/>
      <c r="AX38" s="978" t="s">
        <v>1559</v>
      </c>
      <c r="AY38" s="898" t="s">
        <v>1460</v>
      </c>
      <c r="AZ38" s="898" t="s">
        <v>1560</v>
      </c>
      <c r="BA38" s="898" t="s">
        <v>1469</v>
      </c>
      <c r="BB38" s="898" t="s">
        <v>1489</v>
      </c>
      <c r="BC38" s="898" t="s">
        <v>1556</v>
      </c>
      <c r="BD38" s="898" t="s">
        <v>1490</v>
      </c>
      <c r="BE38" s="898" t="s">
        <v>1505</v>
      </c>
      <c r="BF38" s="898" t="s">
        <v>1561</v>
      </c>
      <c r="BG38" s="898" t="s">
        <v>1459</v>
      </c>
      <c r="BH38" s="898"/>
      <c r="BI38" s="898"/>
      <c r="BJ38" s="898"/>
      <c r="BK38" s="898"/>
      <c r="BL38" s="898"/>
      <c r="BM38" s="898"/>
      <c r="BN38" s="898"/>
      <c r="BO38" s="898"/>
      <c r="BP38" s="898"/>
      <c r="BQ38" s="898"/>
      <c r="BR38" s="898"/>
      <c r="BS38" s="898"/>
      <c r="BT38" s="898"/>
      <c r="BU38" s="898"/>
      <c r="BV38" s="898"/>
      <c r="BW38" s="898"/>
      <c r="BX38" s="898"/>
      <c r="BY38" s="898"/>
      <c r="BZ38" s="898"/>
      <c r="CA38" s="898"/>
      <c r="CB38" s="898"/>
      <c r="CC38" s="898"/>
      <c r="CD38" s="898"/>
      <c r="CE38" s="898"/>
      <c r="CF38" s="898"/>
      <c r="CG38" s="898"/>
      <c r="CH38" s="898"/>
      <c r="CI38" s="898"/>
      <c r="CJ38" s="898"/>
      <c r="CK38" s="898"/>
      <c r="CL38" s="898"/>
      <c r="CM38" s="898"/>
      <c r="CN38" s="898"/>
      <c r="CO38" s="898"/>
      <c r="CP38" s="898"/>
      <c r="CQ38" s="898"/>
      <c r="CR38" s="898"/>
      <c r="CS38" s="898"/>
      <c r="CT38" s="898"/>
      <c r="CU38" s="898"/>
    </row>
    <row r="39" ht="16.5" customHeight="1">
      <c r="A39" s="712">
        <v>2020.0</v>
      </c>
      <c r="B39" s="1117">
        <v>44019.0</v>
      </c>
      <c r="C39" s="1085" t="s">
        <v>1476</v>
      </c>
      <c r="D39" s="1086" t="s">
        <v>1562</v>
      </c>
      <c r="E39" s="712" t="s">
        <v>170</v>
      </c>
      <c r="F39" s="712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712" t="s">
        <v>65</v>
      </c>
      <c r="H39" s="712">
        <v>300.0</v>
      </c>
      <c r="I39" s="1087">
        <v>50.0</v>
      </c>
      <c r="J39" s="710">
        <v>250.0</v>
      </c>
      <c r="K39" s="710" t="s">
        <v>321</v>
      </c>
      <c r="L39" s="710" t="s">
        <v>321</v>
      </c>
      <c r="M39" s="710"/>
      <c r="N39" s="710" t="s">
        <v>321</v>
      </c>
      <c r="O39" s="710" t="s">
        <v>321</v>
      </c>
      <c r="P39" s="710" t="s">
        <v>321</v>
      </c>
      <c r="Q39" s="712"/>
      <c r="R39" s="1088" t="s">
        <v>1563</v>
      </c>
      <c r="S39" s="713">
        <v>24.61376</v>
      </c>
      <c r="T39" s="1089">
        <v>-81.39434</v>
      </c>
      <c r="U39" s="1084">
        <v>44052.0</v>
      </c>
      <c r="V39" s="1090">
        <v>0.9566666666666667</v>
      </c>
      <c r="W39" s="1091">
        <v>0.03666666666666667</v>
      </c>
      <c r="X39" s="1092">
        <v>0.006666666666666667</v>
      </c>
      <c r="Y39" s="1092">
        <v>0.9444444444444444</v>
      </c>
      <c r="Z39" s="1093" t="s">
        <v>1412</v>
      </c>
      <c r="AA39" s="1092">
        <v>1.0</v>
      </c>
      <c r="AB39" s="1092">
        <v>0.948</v>
      </c>
      <c r="AC39" s="1092" t="s">
        <v>1412</v>
      </c>
      <c r="AD39" s="1092" t="s">
        <v>1412</v>
      </c>
      <c r="AE39" s="1092" t="s">
        <v>1412</v>
      </c>
      <c r="AF39" s="1092" t="s">
        <v>1412</v>
      </c>
      <c r="AG39" s="1092" t="s">
        <v>1412</v>
      </c>
      <c r="AH39" s="1092" t="s">
        <v>1412</v>
      </c>
      <c r="AI39" s="1094">
        <v>44467.0</v>
      </c>
      <c r="AJ39" s="1090">
        <v>0.10999999999999999</v>
      </c>
      <c r="AK39" s="1091">
        <v>0.8833333333333333</v>
      </c>
      <c r="AL39" s="1092">
        <v>0.006666666666666667</v>
      </c>
      <c r="AM39" s="1092">
        <v>0.6111111111111112</v>
      </c>
      <c r="AN39" s="1093" t="s">
        <v>1412</v>
      </c>
      <c r="AO39" s="1092">
        <v>0.36</v>
      </c>
      <c r="AP39" s="1092">
        <v>0.06000000000000005</v>
      </c>
      <c r="AQ39" s="1092" t="s">
        <v>1412</v>
      </c>
      <c r="AR39" s="1092" t="s">
        <v>1412</v>
      </c>
      <c r="AS39" s="1092" t="s">
        <v>1412</v>
      </c>
      <c r="AT39" s="1092" t="s">
        <v>1412</v>
      </c>
      <c r="AU39" s="1092" t="s">
        <v>1412</v>
      </c>
      <c r="AV39" s="1092" t="s">
        <v>1412</v>
      </c>
      <c r="AW39" s="897"/>
      <c r="AX39" s="978" t="s">
        <v>1564</v>
      </c>
      <c r="AY39" s="898" t="s">
        <v>1565</v>
      </c>
      <c r="AZ39" s="898" t="s">
        <v>1553</v>
      </c>
      <c r="BA39" s="898" t="s">
        <v>1458</v>
      </c>
      <c r="BB39" s="898" t="s">
        <v>1459</v>
      </c>
      <c r="BC39" s="898" t="s">
        <v>1566</v>
      </c>
      <c r="BD39" s="898" t="s">
        <v>1567</v>
      </c>
      <c r="BE39" s="898" t="s">
        <v>1552</v>
      </c>
      <c r="BF39" s="898"/>
      <c r="BG39" s="898"/>
      <c r="BH39" s="898"/>
      <c r="BI39" s="898"/>
      <c r="BJ39" s="898"/>
      <c r="BK39" s="898"/>
      <c r="BL39" s="898"/>
      <c r="BM39" s="898"/>
      <c r="BN39" s="898"/>
      <c r="BO39" s="898"/>
      <c r="BP39" s="898"/>
      <c r="BQ39" s="898"/>
      <c r="BR39" s="898"/>
      <c r="BS39" s="898"/>
      <c r="BT39" s="898"/>
      <c r="BU39" s="898"/>
      <c r="BV39" s="898"/>
      <c r="BW39" s="898"/>
      <c r="BX39" s="898"/>
      <c r="BY39" s="898"/>
      <c r="BZ39" s="898"/>
      <c r="CA39" s="898"/>
      <c r="CB39" s="898"/>
      <c r="CC39" s="898"/>
      <c r="CD39" s="898"/>
      <c r="CE39" s="898"/>
      <c r="CF39" s="898"/>
      <c r="CG39" s="898"/>
      <c r="CH39" s="898"/>
      <c r="CI39" s="898"/>
      <c r="CJ39" s="898"/>
      <c r="CK39" s="898"/>
      <c r="CL39" s="898"/>
      <c r="CM39" s="898"/>
      <c r="CN39" s="898"/>
      <c r="CO39" s="898"/>
      <c r="CP39" s="898"/>
      <c r="CQ39" s="898"/>
      <c r="CR39" s="898"/>
      <c r="CS39" s="898"/>
      <c r="CT39" s="898"/>
      <c r="CU39" s="898"/>
    </row>
    <row r="40" ht="16.5" customHeight="1">
      <c r="A40" s="712">
        <v>2020.0</v>
      </c>
      <c r="B40" s="1117">
        <v>44060.0</v>
      </c>
      <c r="C40" s="1085" t="s">
        <v>318</v>
      </c>
      <c r="D40" s="1086" t="s">
        <v>1568</v>
      </c>
      <c r="E40" s="712" t="s">
        <v>170</v>
      </c>
      <c r="F40" s="712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712" t="s">
        <v>65</v>
      </c>
      <c r="H40" s="712">
        <v>130.0</v>
      </c>
      <c r="I40" s="1087" t="s">
        <v>321</v>
      </c>
      <c r="J40" s="710" t="s">
        <v>321</v>
      </c>
      <c r="K40" s="710" t="s">
        <v>321</v>
      </c>
      <c r="L40" s="710">
        <v>130.0</v>
      </c>
      <c r="M40" s="710"/>
      <c r="N40" s="710" t="s">
        <v>321</v>
      </c>
      <c r="O40" s="710" t="s">
        <v>321</v>
      </c>
      <c r="P40" s="710" t="s">
        <v>321</v>
      </c>
      <c r="Q40" s="712"/>
      <c r="R40" s="1088" t="s">
        <v>1569</v>
      </c>
      <c r="S40" s="713">
        <v>24.5262</v>
      </c>
      <c r="T40" s="1089">
        <v>-81.50444</v>
      </c>
      <c r="U40" s="1084">
        <v>44091.0</v>
      </c>
      <c r="V40" s="1090">
        <v>1.0</v>
      </c>
      <c r="W40" s="1091">
        <v>0.0</v>
      </c>
      <c r="X40" s="1092">
        <v>0.0</v>
      </c>
      <c r="Y40" s="1092">
        <v>1.0</v>
      </c>
      <c r="Z40" s="1093" t="s">
        <v>1412</v>
      </c>
      <c r="AA40" s="1092" t="s">
        <v>1412</v>
      </c>
      <c r="AB40" s="1092" t="s">
        <v>1412</v>
      </c>
      <c r="AC40" s="1092">
        <v>1.0</v>
      </c>
      <c r="AD40" s="1092" t="s">
        <v>1412</v>
      </c>
      <c r="AE40" s="1092" t="s">
        <v>1412</v>
      </c>
      <c r="AF40" s="1092" t="s">
        <v>1412</v>
      </c>
      <c r="AG40" s="1092" t="s">
        <v>1412</v>
      </c>
      <c r="AH40" s="1092" t="s">
        <v>1412</v>
      </c>
      <c r="AI40" s="1094">
        <v>44467.0</v>
      </c>
      <c r="AJ40" s="1090">
        <v>0.5692307692307692</v>
      </c>
      <c r="AK40" s="1091">
        <v>0.4307692307692308</v>
      </c>
      <c r="AL40" s="1092">
        <v>0.0</v>
      </c>
      <c r="AM40" s="1092">
        <v>0.875</v>
      </c>
      <c r="AN40" s="1093" t="s">
        <v>1412</v>
      </c>
      <c r="AO40" s="1092" t="s">
        <v>1412</v>
      </c>
      <c r="AP40" s="1092" t="s">
        <v>1412</v>
      </c>
      <c r="AQ40" s="1092">
        <v>0.5692307692307692</v>
      </c>
      <c r="AR40" s="1092" t="s">
        <v>1412</v>
      </c>
      <c r="AS40" s="1092" t="s">
        <v>1412</v>
      </c>
      <c r="AT40" s="1092" t="s">
        <v>1412</v>
      </c>
      <c r="AU40" s="1092" t="s">
        <v>1412</v>
      </c>
      <c r="AV40" s="1092" t="s">
        <v>1412</v>
      </c>
      <c r="AW40" s="897"/>
      <c r="AX40" s="978" t="s">
        <v>1570</v>
      </c>
      <c r="AY40" s="898" t="s">
        <v>1571</v>
      </c>
      <c r="AZ40" s="898" t="s">
        <v>1572</v>
      </c>
      <c r="BA40" s="898"/>
      <c r="BB40" s="898"/>
      <c r="BC40" s="898"/>
      <c r="BD40" s="898"/>
      <c r="BE40" s="898"/>
      <c r="BF40" s="898"/>
      <c r="BG40" s="898"/>
      <c r="BH40" s="898"/>
      <c r="BI40" s="898"/>
      <c r="BJ40" s="898"/>
      <c r="BK40" s="898"/>
      <c r="BL40" s="898"/>
      <c r="BM40" s="898"/>
      <c r="BN40" s="898"/>
      <c r="BO40" s="898"/>
      <c r="BP40" s="898"/>
      <c r="BQ40" s="898"/>
      <c r="BR40" s="898"/>
      <c r="BS40" s="898"/>
      <c r="BT40" s="898"/>
      <c r="BU40" s="898"/>
      <c r="BV40" s="898"/>
      <c r="BW40" s="898"/>
      <c r="BX40" s="898"/>
      <c r="BY40" s="898"/>
      <c r="BZ40" s="898"/>
      <c r="CA40" s="898"/>
      <c r="CB40" s="898"/>
      <c r="CC40" s="898"/>
      <c r="CD40" s="898"/>
      <c r="CE40" s="898"/>
      <c r="CF40" s="898"/>
      <c r="CG40" s="898"/>
      <c r="CH40" s="898"/>
      <c r="CI40" s="898"/>
      <c r="CJ40" s="898"/>
      <c r="CK40" s="898"/>
      <c r="CL40" s="898"/>
      <c r="CM40" s="898"/>
      <c r="CN40" s="898"/>
      <c r="CO40" s="898"/>
      <c r="CP40" s="898"/>
      <c r="CQ40" s="898"/>
      <c r="CR40" s="898"/>
      <c r="CS40" s="898"/>
      <c r="CT40" s="898"/>
      <c r="CU40" s="898"/>
    </row>
    <row r="41" ht="16.5" customHeight="1">
      <c r="A41" s="1103">
        <v>2020.0</v>
      </c>
      <c r="B41" s="1104">
        <v>44103.0</v>
      </c>
      <c r="C41" s="805" t="s">
        <v>1470</v>
      </c>
      <c r="D41" s="1105" t="s">
        <v>1573</v>
      </c>
      <c r="E41" s="1103" t="s">
        <v>170</v>
      </c>
      <c r="F41" s="1103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103" t="s">
        <v>51</v>
      </c>
      <c r="H41" s="1103">
        <v>220.0</v>
      </c>
      <c r="I41" s="1106">
        <v>20.0</v>
      </c>
      <c r="J41" s="1107" t="s">
        <v>321</v>
      </c>
      <c r="K41" s="1107">
        <v>200.0</v>
      </c>
      <c r="L41" s="1107" t="s">
        <v>321</v>
      </c>
      <c r="M41" s="1107"/>
      <c r="N41" s="1107" t="s">
        <v>321</v>
      </c>
      <c r="O41" s="1107" t="s">
        <v>321</v>
      </c>
      <c r="P41" s="1107" t="s">
        <v>321</v>
      </c>
      <c r="Q41" s="1103"/>
      <c r="R41" s="1108" t="s">
        <v>1574</v>
      </c>
      <c r="S41" s="1109">
        <v>24.6146</v>
      </c>
      <c r="T41" s="1110">
        <v>-81.37961</v>
      </c>
      <c r="U41" s="1111">
        <v>44135.0</v>
      </c>
      <c r="V41" s="1112">
        <v>0.9954545454545455</v>
      </c>
      <c r="W41" s="1113">
        <v>0.004545454545454545</v>
      </c>
      <c r="X41" s="1114">
        <v>0.0</v>
      </c>
      <c r="Y41" s="1114">
        <v>1.0</v>
      </c>
      <c r="Z41" s="1115">
        <v>0.995</v>
      </c>
      <c r="AA41" s="1114">
        <v>1.0</v>
      </c>
      <c r="AB41" s="1114" t="s">
        <v>1412</v>
      </c>
      <c r="AC41" s="1114" t="s">
        <v>1412</v>
      </c>
      <c r="AD41" s="1114" t="s">
        <v>1412</v>
      </c>
      <c r="AE41" s="1114" t="s">
        <v>1412</v>
      </c>
      <c r="AF41" s="1114" t="s">
        <v>1412</v>
      </c>
      <c r="AG41" s="1114" t="s">
        <v>1412</v>
      </c>
      <c r="AH41" s="1114" t="s">
        <v>1412</v>
      </c>
      <c r="AI41" s="1116">
        <v>44473.0</v>
      </c>
      <c r="AJ41" s="1112">
        <v>0.9590909090909091</v>
      </c>
      <c r="AK41" s="1113">
        <v>0.04090909090909091</v>
      </c>
      <c r="AL41" s="1114">
        <v>0.0</v>
      </c>
      <c r="AM41" s="1114">
        <v>1.0</v>
      </c>
      <c r="AN41" s="1115">
        <v>0.955</v>
      </c>
      <c r="AO41" s="1114">
        <v>1.0</v>
      </c>
      <c r="AP41" s="1114" t="s">
        <v>1412</v>
      </c>
      <c r="AQ41" s="1114" t="s">
        <v>1412</v>
      </c>
      <c r="AR41" s="1114" t="s">
        <v>1412</v>
      </c>
      <c r="AS41" s="1114" t="s">
        <v>1412</v>
      </c>
      <c r="AT41" s="1114" t="s">
        <v>1412</v>
      </c>
      <c r="AU41" s="1114" t="s">
        <v>1412</v>
      </c>
      <c r="AV41" s="1114" t="s">
        <v>1412</v>
      </c>
      <c r="AW41" s="897"/>
      <c r="AX41" s="978" t="s">
        <v>1575</v>
      </c>
      <c r="AY41" s="898" t="s">
        <v>1576</v>
      </c>
      <c r="AZ41" s="898" t="s">
        <v>1462</v>
      </c>
      <c r="BA41" s="898" t="s">
        <v>1577</v>
      </c>
      <c r="BB41" s="898" t="s">
        <v>1548</v>
      </c>
      <c r="BC41" s="898"/>
      <c r="BD41" s="898"/>
      <c r="BE41" s="898"/>
      <c r="BF41" s="898"/>
      <c r="BG41" s="898"/>
      <c r="BH41" s="898"/>
      <c r="BI41" s="898"/>
      <c r="BJ41" s="898"/>
      <c r="BK41" s="898"/>
      <c r="BL41" s="898"/>
      <c r="BM41" s="898"/>
      <c r="BN41" s="898"/>
      <c r="BO41" s="898"/>
      <c r="BP41" s="898"/>
      <c r="BQ41" s="898"/>
      <c r="BR41" s="898"/>
      <c r="BS41" s="898"/>
      <c r="BT41" s="898"/>
      <c r="BU41" s="898"/>
      <c r="BV41" s="898"/>
      <c r="BW41" s="898"/>
      <c r="BX41" s="898"/>
      <c r="BY41" s="898"/>
      <c r="BZ41" s="898"/>
      <c r="CA41" s="898"/>
      <c r="CB41" s="898"/>
      <c r="CC41" s="898"/>
      <c r="CD41" s="898"/>
      <c r="CE41" s="898"/>
      <c r="CF41" s="898"/>
      <c r="CG41" s="898"/>
      <c r="CH41" s="898"/>
      <c r="CI41" s="898"/>
      <c r="CJ41" s="898"/>
      <c r="CK41" s="898"/>
      <c r="CL41" s="898"/>
      <c r="CM41" s="898"/>
      <c r="CN41" s="898"/>
      <c r="CO41" s="898"/>
      <c r="CP41" s="898"/>
      <c r="CQ41" s="898"/>
      <c r="CR41" s="898"/>
      <c r="CS41" s="898"/>
      <c r="CT41" s="898"/>
      <c r="CU41" s="898"/>
    </row>
    <row r="42" ht="16.5" customHeight="1">
      <c r="A42" s="1103">
        <v>2020.0</v>
      </c>
      <c r="B42" s="1120">
        <v>44174.0</v>
      </c>
      <c r="C42" s="805" t="s">
        <v>1470</v>
      </c>
      <c r="D42" s="1105" t="s">
        <v>1578</v>
      </c>
      <c r="E42" s="1103" t="s">
        <v>170</v>
      </c>
      <c r="F42" s="1103" t="s">
        <v>161</v>
      </c>
      <c r="G42" s="1103" t="s">
        <v>51</v>
      </c>
      <c r="H42" s="1103">
        <v>220.0</v>
      </c>
      <c r="I42" s="1106" t="s">
        <v>321</v>
      </c>
      <c r="J42" s="1107" t="s">
        <v>321</v>
      </c>
      <c r="K42" s="1107" t="s">
        <v>321</v>
      </c>
      <c r="L42" s="1107" t="s">
        <v>321</v>
      </c>
      <c r="M42" s="1107"/>
      <c r="N42" s="1107" t="s">
        <v>321</v>
      </c>
      <c r="O42" s="1107">
        <v>150.0</v>
      </c>
      <c r="P42" s="1107">
        <v>70.0</v>
      </c>
      <c r="Q42" s="1103"/>
      <c r="R42" s="1108" t="s">
        <v>1579</v>
      </c>
      <c r="S42" s="1109">
        <v>24.61454</v>
      </c>
      <c r="T42" s="1110">
        <v>-81.37945</v>
      </c>
      <c r="U42" s="1111">
        <v>44208.0</v>
      </c>
      <c r="V42" s="1112">
        <v>0.9954545454545455</v>
      </c>
      <c r="W42" s="1113">
        <v>0.004545454545454545</v>
      </c>
      <c r="X42" s="1114">
        <v>0.0</v>
      </c>
      <c r="Y42" s="1114">
        <v>1.0</v>
      </c>
      <c r="Z42" s="1115" t="s">
        <v>1412</v>
      </c>
      <c r="AA42" s="1114" t="s">
        <v>1412</v>
      </c>
      <c r="AB42" s="1114" t="s">
        <v>1412</v>
      </c>
      <c r="AC42" s="1114" t="s">
        <v>1412</v>
      </c>
      <c r="AD42" s="1114">
        <v>0.9933333333333333</v>
      </c>
      <c r="AE42" s="1114">
        <v>1.0</v>
      </c>
      <c r="AF42" s="1114" t="s">
        <v>1412</v>
      </c>
      <c r="AG42" s="1114" t="s">
        <v>1412</v>
      </c>
      <c r="AH42" s="1114" t="s">
        <v>1412</v>
      </c>
      <c r="AI42" s="1116">
        <v>44533.0</v>
      </c>
      <c r="AJ42" s="1112">
        <v>0.990909090909091</v>
      </c>
      <c r="AK42" s="1113">
        <v>0.00909090909090909</v>
      </c>
      <c r="AL42" s="1114">
        <v>0.0</v>
      </c>
      <c r="AM42" s="1114">
        <v>1.0</v>
      </c>
      <c r="AN42" s="1115" t="s">
        <v>1412</v>
      </c>
      <c r="AO42" s="1114" t="s">
        <v>1412</v>
      </c>
      <c r="AP42" s="1114" t="s">
        <v>1412</v>
      </c>
      <c r="AQ42" s="1114" t="s">
        <v>1412</v>
      </c>
      <c r="AR42" s="1114">
        <v>0.9866666666666667</v>
      </c>
      <c r="AS42" s="1114">
        <v>1.0</v>
      </c>
      <c r="AT42" s="1114" t="s">
        <v>1412</v>
      </c>
      <c r="AU42" s="1114" t="s">
        <v>1412</v>
      </c>
      <c r="AV42" s="1114" t="s">
        <v>1412</v>
      </c>
      <c r="AW42" s="897"/>
      <c r="AX42" s="1121" t="s">
        <v>1580</v>
      </c>
      <c r="AY42" s="898" t="s">
        <v>1581</v>
      </c>
      <c r="AZ42" s="898" t="s">
        <v>1582</v>
      </c>
      <c r="BA42" s="898" t="s">
        <v>1583</v>
      </c>
      <c r="BB42" s="898" t="s">
        <v>1584</v>
      </c>
      <c r="BC42" s="898" t="s">
        <v>1585</v>
      </c>
      <c r="BD42" s="898" t="s">
        <v>1586</v>
      </c>
      <c r="BE42" s="898" t="s">
        <v>1587</v>
      </c>
      <c r="BF42" s="898" t="s">
        <v>1588</v>
      </c>
      <c r="BG42" s="898" t="s">
        <v>1589</v>
      </c>
      <c r="BH42" s="898" t="s">
        <v>1590</v>
      </c>
      <c r="BI42" s="898" t="s">
        <v>1591</v>
      </c>
      <c r="BJ42" s="898" t="s">
        <v>1592</v>
      </c>
      <c r="BK42" s="898"/>
      <c r="BL42" s="898"/>
      <c r="BM42" s="898"/>
      <c r="BN42" s="898"/>
      <c r="BO42" s="898"/>
      <c r="BP42" s="898"/>
      <c r="BQ42" s="898"/>
      <c r="BR42" s="898"/>
      <c r="BS42" s="898"/>
      <c r="BT42" s="898"/>
      <c r="BU42" s="898"/>
      <c r="BV42" s="898"/>
      <c r="BW42" s="898"/>
      <c r="BX42" s="898"/>
      <c r="BY42" s="898"/>
      <c r="BZ42" s="898"/>
      <c r="CA42" s="898"/>
      <c r="CB42" s="898"/>
      <c r="CC42" s="898"/>
      <c r="CD42" s="898"/>
      <c r="CE42" s="898"/>
      <c r="CF42" s="898"/>
      <c r="CG42" s="898"/>
      <c r="CH42" s="898"/>
      <c r="CI42" s="898"/>
      <c r="CJ42" s="898"/>
      <c r="CK42" s="898"/>
      <c r="CL42" s="898"/>
      <c r="CM42" s="898"/>
      <c r="CN42" s="898"/>
      <c r="CO42" s="898"/>
      <c r="CP42" s="898"/>
      <c r="CQ42" s="898"/>
      <c r="CR42" s="898"/>
      <c r="CS42" s="898"/>
      <c r="CT42" s="898"/>
      <c r="CU42" s="898"/>
    </row>
    <row r="43" ht="16.5" customHeight="1">
      <c r="A43" s="1103">
        <v>2020.0</v>
      </c>
      <c r="B43" s="1120">
        <v>44175.0</v>
      </c>
      <c r="C43" s="805" t="s">
        <v>577</v>
      </c>
      <c r="D43" s="1105" t="s">
        <v>1593</v>
      </c>
      <c r="E43" s="1103" t="s">
        <v>170</v>
      </c>
      <c r="F43" s="1103" t="s">
        <v>146</v>
      </c>
      <c r="G43" s="1103" t="s">
        <v>51</v>
      </c>
      <c r="H43" s="1103">
        <v>40.0</v>
      </c>
      <c r="I43" s="1106">
        <v>40.0</v>
      </c>
      <c r="J43" s="1107" t="s">
        <v>321</v>
      </c>
      <c r="K43" s="1107" t="s">
        <v>321</v>
      </c>
      <c r="L43" s="1107" t="s">
        <v>321</v>
      </c>
      <c r="M43" s="1107"/>
      <c r="N43" s="1107" t="s">
        <v>321</v>
      </c>
      <c r="O43" s="1107" t="s">
        <v>321</v>
      </c>
      <c r="P43" s="1107" t="s">
        <v>321</v>
      </c>
      <c r="Q43" s="1103"/>
      <c r="R43" s="1108" t="s">
        <v>1594</v>
      </c>
      <c r="S43" s="1122">
        <v>24.5274</v>
      </c>
      <c r="T43" s="1123">
        <v>-81.499</v>
      </c>
      <c r="U43" s="1111">
        <v>44214.0</v>
      </c>
      <c r="V43" s="1112">
        <v>0.925</v>
      </c>
      <c r="W43" s="1113">
        <v>0.075</v>
      </c>
      <c r="X43" s="1114">
        <v>0.0</v>
      </c>
      <c r="Y43" s="1114">
        <v>1.0</v>
      </c>
      <c r="Z43" s="1115" t="s">
        <v>1412</v>
      </c>
      <c r="AA43" s="1114">
        <v>0.925</v>
      </c>
      <c r="AB43" s="1114" t="s">
        <v>1412</v>
      </c>
      <c r="AC43" s="1114" t="s">
        <v>1412</v>
      </c>
      <c r="AD43" s="1114" t="s">
        <v>1412</v>
      </c>
      <c r="AE43" s="1114" t="s">
        <v>1412</v>
      </c>
      <c r="AF43" s="1114" t="s">
        <v>1412</v>
      </c>
      <c r="AG43" s="1114" t="s">
        <v>1412</v>
      </c>
      <c r="AH43" s="1114" t="s">
        <v>1412</v>
      </c>
      <c r="AI43" s="1116">
        <v>44530.0</v>
      </c>
      <c r="AJ43" s="1112">
        <v>0.875</v>
      </c>
      <c r="AK43" s="1113">
        <v>0.125</v>
      </c>
      <c r="AL43" s="1114">
        <v>0.0</v>
      </c>
      <c r="AM43" s="1114">
        <v>1.0</v>
      </c>
      <c r="AN43" s="1115" t="s">
        <v>1412</v>
      </c>
      <c r="AO43" s="1114">
        <v>0.875</v>
      </c>
      <c r="AP43" s="1114" t="s">
        <v>1412</v>
      </c>
      <c r="AQ43" s="1114" t="s">
        <v>1412</v>
      </c>
      <c r="AR43" s="1114" t="s">
        <v>1412</v>
      </c>
      <c r="AS43" s="1114" t="s">
        <v>1412</v>
      </c>
      <c r="AT43" s="1114" t="s">
        <v>1412</v>
      </c>
      <c r="AU43" s="1114" t="s">
        <v>1412</v>
      </c>
      <c r="AV43" s="1114" t="s">
        <v>1412</v>
      </c>
      <c r="AW43" s="1124"/>
      <c r="AX43" s="1121" t="s">
        <v>1595</v>
      </c>
      <c r="AY43" s="898"/>
      <c r="AZ43" s="898"/>
      <c r="BA43" s="898"/>
      <c r="BB43" s="898"/>
      <c r="BC43" s="898"/>
      <c r="BD43" s="898"/>
      <c r="BE43" s="898"/>
      <c r="BF43" s="898"/>
      <c r="BG43" s="898"/>
      <c r="BH43" s="898"/>
      <c r="BI43" s="898"/>
      <c r="BJ43" s="898"/>
      <c r="BK43" s="898"/>
      <c r="BL43" s="898"/>
      <c r="BM43" s="898"/>
      <c r="BN43" s="898"/>
      <c r="BO43" s="898"/>
      <c r="BP43" s="898"/>
      <c r="BQ43" s="898"/>
      <c r="BR43" s="898"/>
      <c r="BS43" s="898"/>
      <c r="BT43" s="898"/>
      <c r="BU43" s="898"/>
      <c r="BV43" s="898"/>
      <c r="BW43" s="898"/>
      <c r="BX43" s="898"/>
      <c r="BY43" s="898"/>
      <c r="BZ43" s="898"/>
      <c r="CA43" s="898"/>
      <c r="CB43" s="898"/>
      <c r="CC43" s="898"/>
      <c r="CD43" s="898"/>
      <c r="CE43" s="898"/>
      <c r="CF43" s="898"/>
      <c r="CG43" s="898"/>
      <c r="CH43" s="898"/>
      <c r="CI43" s="898"/>
      <c r="CJ43" s="898"/>
      <c r="CK43" s="898"/>
      <c r="CL43" s="898"/>
      <c r="CM43" s="898"/>
      <c r="CN43" s="898"/>
      <c r="CO43" s="898"/>
      <c r="CP43" s="898"/>
      <c r="CQ43" s="898"/>
      <c r="CR43" s="898"/>
      <c r="CS43" s="898"/>
      <c r="CT43" s="898"/>
      <c r="CU43" s="898"/>
    </row>
    <row r="44" ht="16.5" customHeight="1">
      <c r="A44" s="1103">
        <v>2020.0</v>
      </c>
      <c r="B44" s="1120">
        <v>44175.0</v>
      </c>
      <c r="C44" s="805" t="s">
        <v>428</v>
      </c>
      <c r="D44" s="1105" t="s">
        <v>1596</v>
      </c>
      <c r="E44" s="1103" t="s">
        <v>170</v>
      </c>
      <c r="F44" s="1103" t="s">
        <v>146</v>
      </c>
      <c r="G44" s="1103" t="s">
        <v>51</v>
      </c>
      <c r="H44" s="1103">
        <v>40.0</v>
      </c>
      <c r="I44" s="1106">
        <v>40.0</v>
      </c>
      <c r="J44" s="1107" t="s">
        <v>321</v>
      </c>
      <c r="K44" s="1107" t="s">
        <v>321</v>
      </c>
      <c r="L44" s="1107" t="s">
        <v>321</v>
      </c>
      <c r="M44" s="1107"/>
      <c r="N44" s="1107" t="s">
        <v>321</v>
      </c>
      <c r="O44" s="1107" t="s">
        <v>321</v>
      </c>
      <c r="P44" s="1107" t="s">
        <v>321</v>
      </c>
      <c r="Q44" s="1103"/>
      <c r="R44" s="1108" t="s">
        <v>1594</v>
      </c>
      <c r="S44" s="1122">
        <v>24.53116</v>
      </c>
      <c r="T44" s="1123">
        <v>-81.4846</v>
      </c>
      <c r="U44" s="1111">
        <v>44207.0</v>
      </c>
      <c r="V44" s="1112">
        <v>0.975</v>
      </c>
      <c r="W44" s="1113">
        <v>0.025</v>
      </c>
      <c r="X44" s="1114">
        <v>0.0</v>
      </c>
      <c r="Y44" s="1114">
        <v>1.0</v>
      </c>
      <c r="Z44" s="1115" t="s">
        <v>1412</v>
      </c>
      <c r="AA44" s="1114">
        <v>0.975</v>
      </c>
      <c r="AB44" s="1114" t="s">
        <v>1412</v>
      </c>
      <c r="AC44" s="1114" t="s">
        <v>1412</v>
      </c>
      <c r="AD44" s="1114" t="s">
        <v>1412</v>
      </c>
      <c r="AE44" s="1114" t="s">
        <v>1412</v>
      </c>
      <c r="AF44" s="1114" t="s">
        <v>1412</v>
      </c>
      <c r="AG44" s="1114" t="s">
        <v>1412</v>
      </c>
      <c r="AH44" s="1114" t="s">
        <v>1412</v>
      </c>
      <c r="AI44" s="1116">
        <v>44530.0</v>
      </c>
      <c r="AJ44" s="1112">
        <v>0.975</v>
      </c>
      <c r="AK44" s="1113">
        <v>0.025</v>
      </c>
      <c r="AL44" s="1114">
        <v>0.0</v>
      </c>
      <c r="AM44" s="1114">
        <v>1.0</v>
      </c>
      <c r="AN44" s="1115" t="s">
        <v>1412</v>
      </c>
      <c r="AO44" s="1114">
        <v>0.975</v>
      </c>
      <c r="AP44" s="1114" t="s">
        <v>1412</v>
      </c>
      <c r="AQ44" s="1114" t="s">
        <v>1412</v>
      </c>
      <c r="AR44" s="1114" t="s">
        <v>1412</v>
      </c>
      <c r="AS44" s="1114" t="s">
        <v>1412</v>
      </c>
      <c r="AT44" s="1114" t="s">
        <v>1412</v>
      </c>
      <c r="AU44" s="1114" t="s">
        <v>1412</v>
      </c>
      <c r="AV44" s="1114" t="s">
        <v>1412</v>
      </c>
      <c r="AW44" s="1124"/>
      <c r="AX44" s="1121" t="s">
        <v>1461</v>
      </c>
      <c r="AY44" s="898"/>
      <c r="AZ44" s="898"/>
      <c r="BA44" s="898"/>
      <c r="BB44" s="898"/>
      <c r="BC44" s="898"/>
      <c r="BD44" s="898"/>
      <c r="BE44" s="898"/>
      <c r="BF44" s="898"/>
      <c r="BG44" s="898"/>
      <c r="BH44" s="898"/>
      <c r="BI44" s="898"/>
      <c r="BJ44" s="898"/>
      <c r="BK44" s="898"/>
      <c r="BL44" s="898"/>
      <c r="BM44" s="898"/>
      <c r="BN44" s="898"/>
      <c r="BO44" s="898"/>
      <c r="BP44" s="898"/>
      <c r="BQ44" s="898"/>
      <c r="BR44" s="898"/>
      <c r="BS44" s="898"/>
      <c r="BT44" s="898"/>
      <c r="BU44" s="898"/>
      <c r="BV44" s="898"/>
      <c r="BW44" s="898"/>
      <c r="BX44" s="898"/>
      <c r="BY44" s="898"/>
      <c r="BZ44" s="898"/>
      <c r="CA44" s="898"/>
      <c r="CB44" s="898"/>
      <c r="CC44" s="898"/>
      <c r="CD44" s="898"/>
      <c r="CE44" s="898"/>
      <c r="CF44" s="898"/>
      <c r="CG44" s="898"/>
      <c r="CH44" s="898"/>
      <c r="CI44" s="898"/>
      <c r="CJ44" s="898"/>
      <c r="CK44" s="898"/>
      <c r="CL44" s="898"/>
      <c r="CM44" s="898"/>
      <c r="CN44" s="898"/>
      <c r="CO44" s="898"/>
      <c r="CP44" s="898"/>
      <c r="CQ44" s="898"/>
      <c r="CR44" s="898"/>
      <c r="CS44" s="898"/>
      <c r="CT44" s="898"/>
      <c r="CU44" s="898"/>
    </row>
    <row r="45" ht="16.5" customHeight="1">
      <c r="A45" s="1125">
        <v>2020.0</v>
      </c>
      <c r="B45" s="1126">
        <v>44175.0</v>
      </c>
      <c r="C45" s="825" t="s">
        <v>275</v>
      </c>
      <c r="D45" s="1127" t="s">
        <v>1597</v>
      </c>
      <c r="E45" s="1125" t="s">
        <v>170</v>
      </c>
      <c r="F45" s="1125" t="s">
        <v>146</v>
      </c>
      <c r="G45" s="1125" t="s">
        <v>51</v>
      </c>
      <c r="H45" s="1125">
        <v>40.0</v>
      </c>
      <c r="I45" s="1128">
        <v>40.0</v>
      </c>
      <c r="J45" s="1129" t="s">
        <v>321</v>
      </c>
      <c r="K45" s="1129" t="s">
        <v>321</v>
      </c>
      <c r="L45" s="1129" t="s">
        <v>321</v>
      </c>
      <c r="M45" s="1129"/>
      <c r="N45" s="1129" t="s">
        <v>321</v>
      </c>
      <c r="O45" s="1129" t="s">
        <v>321</v>
      </c>
      <c r="P45" s="1129" t="s">
        <v>321</v>
      </c>
      <c r="Q45" s="1125"/>
      <c r="R45" s="1130" t="s">
        <v>1594</v>
      </c>
      <c r="S45" s="1131">
        <v>24.54045</v>
      </c>
      <c r="T45" s="1132">
        <v>-81.4454</v>
      </c>
      <c r="U45" s="1133">
        <v>44207.0</v>
      </c>
      <c r="V45" s="1134">
        <v>0.875</v>
      </c>
      <c r="W45" s="1135">
        <v>0.125</v>
      </c>
      <c r="X45" s="1136">
        <v>0.0</v>
      </c>
      <c r="Y45" s="1136">
        <v>1.0</v>
      </c>
      <c r="Z45" s="1137" t="s">
        <v>1412</v>
      </c>
      <c r="AA45" s="1136">
        <v>0.875</v>
      </c>
      <c r="AB45" s="1136" t="s">
        <v>1412</v>
      </c>
      <c r="AC45" s="1136" t="s">
        <v>1412</v>
      </c>
      <c r="AD45" s="1136" t="s">
        <v>1412</v>
      </c>
      <c r="AE45" s="1136" t="s">
        <v>1412</v>
      </c>
      <c r="AF45" s="1136" t="s">
        <v>1412</v>
      </c>
      <c r="AG45" s="1136" t="s">
        <v>1412</v>
      </c>
      <c r="AH45" s="1136" t="s">
        <v>1412</v>
      </c>
      <c r="AI45" s="1138">
        <v>44530.0</v>
      </c>
      <c r="AJ45" s="1134">
        <v>0.8</v>
      </c>
      <c r="AK45" s="1135">
        <v>0.2</v>
      </c>
      <c r="AL45" s="1136">
        <v>0.0</v>
      </c>
      <c r="AM45" s="1136">
        <v>1.0</v>
      </c>
      <c r="AN45" s="1137" t="s">
        <v>1412</v>
      </c>
      <c r="AO45" s="1136">
        <v>0.8</v>
      </c>
      <c r="AP45" s="1136" t="s">
        <v>1412</v>
      </c>
      <c r="AQ45" s="1136" t="s">
        <v>1412</v>
      </c>
      <c r="AR45" s="1136" t="s">
        <v>1412</v>
      </c>
      <c r="AS45" s="1136" t="s">
        <v>1412</v>
      </c>
      <c r="AT45" s="1136" t="s">
        <v>1412</v>
      </c>
      <c r="AU45" s="1136" t="s">
        <v>1412</v>
      </c>
      <c r="AV45" s="1136" t="s">
        <v>1412</v>
      </c>
      <c r="AW45" s="1139"/>
      <c r="AX45" s="1140" t="s">
        <v>1469</v>
      </c>
      <c r="AY45" s="943"/>
      <c r="AZ45" s="943"/>
      <c r="BA45" s="943"/>
      <c r="BB45" s="943"/>
      <c r="BC45" s="943"/>
      <c r="BD45" s="943"/>
      <c r="BE45" s="943"/>
      <c r="BF45" s="943"/>
      <c r="BG45" s="943"/>
      <c r="BH45" s="943"/>
      <c r="BI45" s="943"/>
      <c r="BJ45" s="943"/>
      <c r="BK45" s="943"/>
      <c r="BL45" s="943"/>
      <c r="BM45" s="943"/>
      <c r="BN45" s="943"/>
      <c r="BO45" s="943"/>
      <c r="BP45" s="943"/>
      <c r="BQ45" s="943"/>
      <c r="BR45" s="943"/>
      <c r="BS45" s="943"/>
      <c r="BT45" s="943"/>
      <c r="BU45" s="943"/>
      <c r="BV45" s="943"/>
      <c r="BW45" s="943"/>
      <c r="BX45" s="943"/>
      <c r="BY45" s="943"/>
      <c r="BZ45" s="943"/>
      <c r="CA45" s="943"/>
      <c r="CB45" s="943"/>
      <c r="CC45" s="943"/>
      <c r="CD45" s="943"/>
      <c r="CE45" s="943"/>
      <c r="CF45" s="943"/>
      <c r="CG45" s="943"/>
      <c r="CH45" s="943"/>
      <c r="CI45" s="943"/>
      <c r="CJ45" s="943"/>
      <c r="CK45" s="943"/>
      <c r="CL45" s="943"/>
      <c r="CM45" s="943"/>
      <c r="CN45" s="943"/>
      <c r="CO45" s="943"/>
      <c r="CP45" s="943"/>
      <c r="CQ45" s="943"/>
      <c r="CR45" s="943"/>
      <c r="CS45" s="943"/>
      <c r="CT45" s="943"/>
      <c r="CU45" s="943"/>
    </row>
    <row r="46" ht="16.5" customHeight="1">
      <c r="A46" s="1007">
        <v>2021.0</v>
      </c>
      <c r="B46" s="1141">
        <v>44321.0</v>
      </c>
      <c r="C46" s="1009" t="s">
        <v>1598</v>
      </c>
      <c r="D46" s="994" t="s">
        <v>1599</v>
      </c>
      <c r="E46" s="1007" t="s">
        <v>1600</v>
      </c>
      <c r="F46" s="1007" t="s">
        <v>146</v>
      </c>
      <c r="G46" s="1007" t="s">
        <v>58</v>
      </c>
      <c r="H46" s="1007">
        <v>1500.0</v>
      </c>
      <c r="I46" s="995">
        <v>980.0</v>
      </c>
      <c r="J46" s="991">
        <v>280.0</v>
      </c>
      <c r="K46" s="991">
        <v>240.0</v>
      </c>
      <c r="L46" s="991" t="s">
        <v>321</v>
      </c>
      <c r="M46" s="991" t="s">
        <v>321</v>
      </c>
      <c r="N46" s="991" t="s">
        <v>321</v>
      </c>
      <c r="O46" s="991" t="s">
        <v>321</v>
      </c>
      <c r="P46" s="991" t="s">
        <v>321</v>
      </c>
      <c r="Q46" s="1007"/>
      <c r="R46" s="1010" t="s">
        <v>440</v>
      </c>
      <c r="S46" s="1142" t="s">
        <v>1601</v>
      </c>
      <c r="U46" s="1008">
        <v>44352.0</v>
      </c>
      <c r="V46" s="1005">
        <v>0.86</v>
      </c>
      <c r="W46" s="1143">
        <v>0.0</v>
      </c>
      <c r="X46" s="1005">
        <v>0.0</v>
      </c>
      <c r="Y46" s="1005" t="s">
        <v>149</v>
      </c>
      <c r="Z46" s="1015">
        <v>0.864</v>
      </c>
      <c r="AA46" s="1005">
        <v>0.902</v>
      </c>
      <c r="AB46" s="1005">
        <v>0.683</v>
      </c>
      <c r="AC46" s="1005" t="s">
        <v>321</v>
      </c>
      <c r="AD46" s="1005" t="s">
        <v>321</v>
      </c>
      <c r="AE46" s="1005" t="s">
        <v>321</v>
      </c>
      <c r="AF46" s="1005" t="s">
        <v>321</v>
      </c>
      <c r="AG46" s="1005" t="s">
        <v>321</v>
      </c>
      <c r="AH46" s="1005" t="s">
        <v>321</v>
      </c>
      <c r="AI46" s="1016">
        <v>44682.0</v>
      </c>
      <c r="AJ46" s="1005" t="s">
        <v>149</v>
      </c>
      <c r="AK46" s="1143">
        <v>0.0</v>
      </c>
      <c r="AL46" s="1005" t="s">
        <v>321</v>
      </c>
      <c r="AM46" s="1005" t="s">
        <v>149</v>
      </c>
      <c r="AN46" s="1015" t="s">
        <v>321</v>
      </c>
      <c r="AO46" s="1005" t="s">
        <v>321</v>
      </c>
      <c r="AP46" s="1005" t="s">
        <v>321</v>
      </c>
      <c r="AQ46" s="1005" t="s">
        <v>321</v>
      </c>
      <c r="AR46" s="1005" t="s">
        <v>321</v>
      </c>
      <c r="AS46" s="1005" t="s">
        <v>321</v>
      </c>
      <c r="AT46" s="1005" t="s">
        <v>321</v>
      </c>
      <c r="AU46" s="1005" t="s">
        <v>321</v>
      </c>
      <c r="AV46" s="1005" t="s">
        <v>321</v>
      </c>
      <c r="AW46" s="897"/>
      <c r="AX46" s="978" t="s">
        <v>1469</v>
      </c>
      <c r="AY46" s="898" t="s">
        <v>1485</v>
      </c>
      <c r="AZ46" s="898" t="s">
        <v>1480</v>
      </c>
      <c r="BA46" s="898" t="s">
        <v>1495</v>
      </c>
      <c r="BB46" s="898" t="s">
        <v>1595</v>
      </c>
      <c r="BC46" s="898" t="s">
        <v>1496</v>
      </c>
      <c r="BD46" s="898" t="s">
        <v>1564</v>
      </c>
      <c r="BE46" s="898" t="s">
        <v>1461</v>
      </c>
      <c r="BF46" s="898" t="s">
        <v>1559</v>
      </c>
      <c r="BG46" s="898" t="s">
        <v>1602</v>
      </c>
      <c r="BH46" s="898" t="s">
        <v>1603</v>
      </c>
      <c r="BI46" s="898" t="s">
        <v>1460</v>
      </c>
      <c r="BJ46" s="898" t="s">
        <v>1561</v>
      </c>
      <c r="BK46" s="898" t="s">
        <v>1604</v>
      </c>
      <c r="BL46" s="898" t="s">
        <v>1605</v>
      </c>
      <c r="BM46" s="898" t="s">
        <v>1606</v>
      </c>
      <c r="BN46" s="898" t="s">
        <v>1607</v>
      </c>
      <c r="BO46" s="898" t="s">
        <v>1494</v>
      </c>
      <c r="BP46" s="898" t="s">
        <v>1608</v>
      </c>
      <c r="BQ46" s="898" t="s">
        <v>1609</v>
      </c>
      <c r="BR46" s="898" t="s">
        <v>1610</v>
      </c>
      <c r="BS46" s="898" t="s">
        <v>1458</v>
      </c>
      <c r="BT46" s="898" t="s">
        <v>1553</v>
      </c>
      <c r="BU46" s="898" t="s">
        <v>1466</v>
      </c>
      <c r="BV46" s="898" t="s">
        <v>1459</v>
      </c>
      <c r="BW46" s="898" t="s">
        <v>1465</v>
      </c>
      <c r="BX46" s="898" t="s">
        <v>1611</v>
      </c>
      <c r="BY46" s="898" t="s">
        <v>1612</v>
      </c>
      <c r="BZ46" s="898"/>
      <c r="CA46" s="898"/>
      <c r="CB46" s="898"/>
      <c r="CC46" s="898"/>
      <c r="CD46" s="898"/>
      <c r="CE46" s="898"/>
      <c r="CF46" s="898"/>
      <c r="CG46" s="898"/>
      <c r="CH46" s="898"/>
      <c r="CI46" s="898"/>
      <c r="CJ46" s="898"/>
      <c r="CK46" s="898"/>
      <c r="CL46" s="898"/>
      <c r="CM46" s="898"/>
      <c r="CN46" s="898"/>
      <c r="CO46" s="898"/>
      <c r="CP46" s="898"/>
      <c r="CQ46" s="898"/>
      <c r="CR46" s="898"/>
      <c r="CS46" s="898"/>
      <c r="CT46" s="898"/>
      <c r="CU46" s="898"/>
    </row>
    <row r="47" ht="16.5" customHeight="1">
      <c r="A47" s="1103">
        <v>2021.0</v>
      </c>
      <c r="B47" s="1120">
        <v>44328.0</v>
      </c>
      <c r="C47" s="805" t="s">
        <v>1613</v>
      </c>
      <c r="D47" s="1105" t="s">
        <v>1614</v>
      </c>
      <c r="E47" s="1103" t="s">
        <v>1615</v>
      </c>
      <c r="F47" s="1103" t="s">
        <v>146</v>
      </c>
      <c r="G47" s="1103" t="s">
        <v>53</v>
      </c>
      <c r="H47" s="1103">
        <v>100.0</v>
      </c>
      <c r="I47" s="1106">
        <v>100.0</v>
      </c>
      <c r="J47" s="1107" t="s">
        <v>321</v>
      </c>
      <c r="K47" s="1107" t="s">
        <v>321</v>
      </c>
      <c r="L47" s="1107" t="s">
        <v>321</v>
      </c>
      <c r="M47" s="1107" t="s">
        <v>321</v>
      </c>
      <c r="N47" s="1107" t="s">
        <v>321</v>
      </c>
      <c r="O47" s="1107" t="s">
        <v>321</v>
      </c>
      <c r="P47" s="1107" t="s">
        <v>321</v>
      </c>
      <c r="Q47" s="1103"/>
      <c r="R47" s="1108" t="s">
        <v>1616</v>
      </c>
      <c r="S47" s="1122">
        <v>24.69198</v>
      </c>
      <c r="T47" s="1123">
        <v>-81.02559</v>
      </c>
      <c r="U47" s="1111">
        <v>44371.0</v>
      </c>
      <c r="V47" s="1114">
        <v>0.89</v>
      </c>
      <c r="W47" s="1144">
        <v>0.11</v>
      </c>
      <c r="X47" s="1114">
        <v>0.0</v>
      </c>
      <c r="Y47" s="1114">
        <v>1.0</v>
      </c>
      <c r="Z47" s="1115" t="s">
        <v>1412</v>
      </c>
      <c r="AA47" s="1114">
        <v>0.89</v>
      </c>
      <c r="AB47" s="1114" t="s">
        <v>1412</v>
      </c>
      <c r="AC47" s="1114" t="s">
        <v>1412</v>
      </c>
      <c r="AD47" s="1114" t="s">
        <v>1412</v>
      </c>
      <c r="AE47" s="1114" t="s">
        <v>1412</v>
      </c>
      <c r="AF47" s="1114" t="s">
        <v>1412</v>
      </c>
      <c r="AG47" s="1114" t="s">
        <v>1412</v>
      </c>
      <c r="AH47" s="1114" t="s">
        <v>1412</v>
      </c>
      <c r="AI47" s="1116">
        <v>44760.0</v>
      </c>
      <c r="AJ47" s="1114">
        <v>0.5700000000000001</v>
      </c>
      <c r="AK47" s="1144">
        <v>0.43</v>
      </c>
      <c r="AL47" s="1114">
        <v>0.0</v>
      </c>
      <c r="AM47" s="1114">
        <v>0.8333333333333334</v>
      </c>
      <c r="AN47" s="1115" t="s">
        <v>1412</v>
      </c>
      <c r="AO47" s="1114">
        <v>0.5700000000000001</v>
      </c>
      <c r="AP47" s="1114" t="s">
        <v>1412</v>
      </c>
      <c r="AQ47" s="1114" t="s">
        <v>1412</v>
      </c>
      <c r="AR47" s="1114" t="s">
        <v>1412</v>
      </c>
      <c r="AS47" s="1114" t="s">
        <v>1412</v>
      </c>
      <c r="AT47" s="1114" t="s">
        <v>1412</v>
      </c>
      <c r="AU47" s="1114" t="s">
        <v>1412</v>
      </c>
      <c r="AV47" s="1114" t="s">
        <v>1412</v>
      </c>
      <c r="AW47" s="897"/>
      <c r="AX47" s="978" t="s">
        <v>1564</v>
      </c>
      <c r="AY47" s="898" t="s">
        <v>1480</v>
      </c>
      <c r="AZ47" s="898" t="s">
        <v>1543</v>
      </c>
      <c r="BA47" s="898"/>
      <c r="BB47" s="898"/>
      <c r="BC47" s="898"/>
      <c r="BD47" s="898"/>
      <c r="BE47" s="898"/>
      <c r="BF47" s="898"/>
      <c r="BG47" s="898"/>
      <c r="BH47" s="898"/>
      <c r="BI47" s="898"/>
      <c r="BJ47" s="898"/>
      <c r="BK47" s="898"/>
      <c r="BL47" s="898"/>
      <c r="BM47" s="898"/>
      <c r="BN47" s="898"/>
      <c r="BO47" s="898"/>
      <c r="BP47" s="898"/>
      <c r="BQ47" s="898"/>
      <c r="BR47" s="898"/>
      <c r="BS47" s="898"/>
      <c r="BT47" s="898"/>
      <c r="BU47" s="898"/>
      <c r="BV47" s="898"/>
      <c r="BW47" s="898"/>
      <c r="BX47" s="898"/>
      <c r="BY47" s="898"/>
      <c r="BZ47" s="898"/>
      <c r="CA47" s="898"/>
      <c r="CB47" s="898"/>
      <c r="CC47" s="898"/>
      <c r="CD47" s="898"/>
      <c r="CE47" s="898"/>
      <c r="CF47" s="898"/>
      <c r="CG47" s="898"/>
      <c r="CH47" s="898"/>
      <c r="CI47" s="898"/>
      <c r="CJ47" s="898"/>
      <c r="CK47" s="898"/>
      <c r="CL47" s="898"/>
      <c r="CM47" s="898"/>
      <c r="CN47" s="898"/>
      <c r="CO47" s="898"/>
      <c r="CP47" s="898"/>
      <c r="CQ47" s="898"/>
      <c r="CR47" s="898"/>
      <c r="CS47" s="898"/>
      <c r="CT47" s="898"/>
      <c r="CU47" s="898"/>
    </row>
    <row r="48" ht="16.5" customHeight="1">
      <c r="A48" s="1103">
        <v>2021.0</v>
      </c>
      <c r="B48" s="1120">
        <v>44369.0</v>
      </c>
      <c r="C48" s="805" t="s">
        <v>577</v>
      </c>
      <c r="D48" s="1105" t="s">
        <v>1617</v>
      </c>
      <c r="E48" s="1103" t="s">
        <v>170</v>
      </c>
      <c r="F48" s="1103" t="s">
        <v>146</v>
      </c>
      <c r="G48" s="1103" t="s">
        <v>53</v>
      </c>
      <c r="H48" s="1103">
        <v>55.0</v>
      </c>
      <c r="I48" s="1106" t="s">
        <v>321</v>
      </c>
      <c r="J48" s="1107" t="s">
        <v>321</v>
      </c>
      <c r="K48" s="1107">
        <v>55.0</v>
      </c>
      <c r="L48" s="1107" t="s">
        <v>321</v>
      </c>
      <c r="M48" s="1107" t="s">
        <v>321</v>
      </c>
      <c r="N48" s="1107" t="s">
        <v>321</v>
      </c>
      <c r="O48" s="1107" t="s">
        <v>321</v>
      </c>
      <c r="P48" s="1107" t="s">
        <v>321</v>
      </c>
      <c r="Q48" s="1103"/>
      <c r="R48" s="1108" t="s">
        <v>1618</v>
      </c>
      <c r="S48" s="1122">
        <v>24.52757</v>
      </c>
      <c r="T48" s="1123">
        <v>-81.49843</v>
      </c>
      <c r="U48" s="1104">
        <v>44404.0</v>
      </c>
      <c r="V48" s="1114">
        <v>0.7818181818181819</v>
      </c>
      <c r="W48" s="1144">
        <v>0.21818181818181817</v>
      </c>
      <c r="X48" s="1114">
        <v>0.0</v>
      </c>
      <c r="Y48" s="1114">
        <v>1.0</v>
      </c>
      <c r="Z48" s="1115">
        <v>0.7818181818181819</v>
      </c>
      <c r="AA48" s="1114" t="s">
        <v>1412</v>
      </c>
      <c r="AB48" s="1114" t="s">
        <v>1412</v>
      </c>
      <c r="AC48" s="1114" t="s">
        <v>1412</v>
      </c>
      <c r="AD48" s="1114" t="s">
        <v>1412</v>
      </c>
      <c r="AE48" s="1114" t="s">
        <v>1412</v>
      </c>
      <c r="AF48" s="1114" t="s">
        <v>1412</v>
      </c>
      <c r="AG48" s="1114" t="s">
        <v>1412</v>
      </c>
      <c r="AH48" s="1114" t="s">
        <v>1412</v>
      </c>
      <c r="AI48" s="1145">
        <v>44848.0</v>
      </c>
      <c r="AJ48" s="1114">
        <v>0.34545454545454546</v>
      </c>
      <c r="AK48" s="1144">
        <v>0.6545454545454545</v>
      </c>
      <c r="AL48" s="1114">
        <v>0.0</v>
      </c>
      <c r="AM48" s="1114">
        <v>0.75</v>
      </c>
      <c r="AN48" s="1115">
        <v>0.34545454545454546</v>
      </c>
      <c r="AO48" s="1114" t="s">
        <v>1412</v>
      </c>
      <c r="AP48" s="1114" t="s">
        <v>1412</v>
      </c>
      <c r="AQ48" s="1114" t="s">
        <v>1412</v>
      </c>
      <c r="AR48" s="1114" t="s">
        <v>1412</v>
      </c>
      <c r="AS48" s="1114" t="s">
        <v>1412</v>
      </c>
      <c r="AT48" s="1114" t="s">
        <v>1412</v>
      </c>
      <c r="AU48" s="1114" t="s">
        <v>1412</v>
      </c>
      <c r="AV48" s="1114" t="s">
        <v>1412</v>
      </c>
      <c r="AW48" s="897"/>
      <c r="AX48" s="978" t="s">
        <v>1465</v>
      </c>
      <c r="AY48" s="898" t="s">
        <v>1462</v>
      </c>
      <c r="AZ48" s="898" t="s">
        <v>1548</v>
      </c>
      <c r="BA48" s="898"/>
      <c r="BB48" s="898"/>
      <c r="BC48" s="898"/>
      <c r="BD48" s="898"/>
      <c r="BE48" s="898"/>
      <c r="BF48" s="898"/>
      <c r="BG48" s="898"/>
      <c r="BH48" s="898"/>
      <c r="BI48" s="898"/>
      <c r="BJ48" s="898"/>
      <c r="BK48" s="898"/>
      <c r="BL48" s="898"/>
      <c r="BM48" s="898"/>
      <c r="BN48" s="898"/>
      <c r="BO48" s="898"/>
      <c r="BP48" s="898"/>
      <c r="BQ48" s="898"/>
      <c r="BR48" s="898"/>
      <c r="BS48" s="898"/>
      <c r="BT48" s="898"/>
      <c r="BU48" s="898"/>
      <c r="BV48" s="898"/>
      <c r="BW48" s="898"/>
      <c r="BX48" s="898"/>
      <c r="BY48" s="898"/>
      <c r="BZ48" s="898"/>
      <c r="CA48" s="898"/>
      <c r="CB48" s="898"/>
      <c r="CC48" s="898"/>
      <c r="CD48" s="898"/>
      <c r="CE48" s="898"/>
      <c r="CF48" s="898"/>
      <c r="CG48" s="898"/>
      <c r="CH48" s="898"/>
      <c r="CI48" s="898"/>
      <c r="CJ48" s="898"/>
      <c r="CK48" s="898"/>
      <c r="CL48" s="898"/>
      <c r="CM48" s="898"/>
      <c r="CN48" s="898"/>
      <c r="CO48" s="898"/>
      <c r="CP48" s="898"/>
      <c r="CQ48" s="898"/>
      <c r="CR48" s="898"/>
      <c r="CS48" s="898"/>
      <c r="CT48" s="898"/>
      <c r="CU48" s="898"/>
    </row>
    <row r="49" ht="16.5" customHeight="1">
      <c r="A49" s="1103">
        <v>2021.0</v>
      </c>
      <c r="B49" s="1120">
        <v>44369.0</v>
      </c>
      <c r="C49" s="805" t="s">
        <v>428</v>
      </c>
      <c r="D49" s="1105" t="s">
        <v>1619</v>
      </c>
      <c r="E49" s="1103" t="s">
        <v>170</v>
      </c>
      <c r="F49" s="1103" t="s">
        <v>146</v>
      </c>
      <c r="G49" s="1103" t="s">
        <v>53</v>
      </c>
      <c r="H49" s="1103">
        <v>55.0</v>
      </c>
      <c r="I49" s="1106" t="s">
        <v>321</v>
      </c>
      <c r="J49" s="1107" t="s">
        <v>321</v>
      </c>
      <c r="K49" s="1107">
        <v>55.0</v>
      </c>
      <c r="L49" s="1107" t="s">
        <v>321</v>
      </c>
      <c r="M49" s="1107" t="s">
        <v>321</v>
      </c>
      <c r="N49" s="1107" t="s">
        <v>321</v>
      </c>
      <c r="O49" s="1107" t="s">
        <v>321</v>
      </c>
      <c r="P49" s="1107" t="s">
        <v>321</v>
      </c>
      <c r="Q49" s="1103"/>
      <c r="R49" s="1108" t="s">
        <v>1618</v>
      </c>
      <c r="S49" s="1122">
        <v>24.53109</v>
      </c>
      <c r="T49" s="1123">
        <v>-81.48502</v>
      </c>
      <c r="U49" s="1104">
        <v>44404.0</v>
      </c>
      <c r="V49" s="1114">
        <v>0.6181818181818182</v>
      </c>
      <c r="W49" s="1144">
        <v>0.38181818181818183</v>
      </c>
      <c r="X49" s="1114">
        <v>0.0</v>
      </c>
      <c r="Y49" s="1114">
        <v>1.0</v>
      </c>
      <c r="Z49" s="1115">
        <v>0.6181818181818182</v>
      </c>
      <c r="AA49" s="1114" t="s">
        <v>1412</v>
      </c>
      <c r="AB49" s="1114" t="s">
        <v>1412</v>
      </c>
      <c r="AC49" s="1114" t="s">
        <v>1412</v>
      </c>
      <c r="AD49" s="1114" t="s">
        <v>1412</v>
      </c>
      <c r="AE49" s="1114" t="s">
        <v>1412</v>
      </c>
      <c r="AF49" s="1114" t="s">
        <v>1412</v>
      </c>
      <c r="AG49" s="1114" t="s">
        <v>1412</v>
      </c>
      <c r="AH49" s="1114" t="s">
        <v>1412</v>
      </c>
      <c r="AI49" s="1145"/>
      <c r="AJ49" s="1114" t="s">
        <v>149</v>
      </c>
      <c r="AK49" s="1144">
        <v>0.0</v>
      </c>
      <c r="AL49" s="1114" t="s">
        <v>321</v>
      </c>
      <c r="AM49" s="1114" t="s">
        <v>149</v>
      </c>
      <c r="AN49" s="1115" t="s">
        <v>321</v>
      </c>
      <c r="AO49" s="1114" t="s">
        <v>321</v>
      </c>
      <c r="AP49" s="1114" t="s">
        <v>321</v>
      </c>
      <c r="AQ49" s="1114" t="s">
        <v>321</v>
      </c>
      <c r="AR49" s="1114" t="s">
        <v>321</v>
      </c>
      <c r="AS49" s="1114" t="s">
        <v>321</v>
      </c>
      <c r="AT49" s="1114" t="s">
        <v>321</v>
      </c>
      <c r="AU49" s="1114" t="s">
        <v>321</v>
      </c>
      <c r="AV49" s="1114" t="s">
        <v>321</v>
      </c>
      <c r="AW49" s="897"/>
      <c r="AX49" s="978" t="s">
        <v>1462</v>
      </c>
      <c r="AY49" s="898" t="s">
        <v>1548</v>
      </c>
      <c r="AZ49" s="898" t="s">
        <v>1465</v>
      </c>
      <c r="BA49" s="898"/>
      <c r="BB49" s="898"/>
      <c r="BC49" s="898"/>
      <c r="BD49" s="898"/>
      <c r="BE49" s="898"/>
      <c r="BF49" s="898"/>
      <c r="BG49" s="898"/>
      <c r="BH49" s="898"/>
      <c r="BI49" s="898"/>
      <c r="BJ49" s="898"/>
      <c r="BK49" s="898"/>
      <c r="BL49" s="898"/>
      <c r="BM49" s="898"/>
      <c r="BN49" s="898"/>
      <c r="BO49" s="898"/>
      <c r="BP49" s="898"/>
      <c r="BQ49" s="898"/>
      <c r="BR49" s="898"/>
      <c r="BS49" s="898"/>
      <c r="BT49" s="898"/>
      <c r="BU49" s="898"/>
      <c r="BV49" s="898"/>
      <c r="BW49" s="898"/>
      <c r="BX49" s="898"/>
      <c r="BY49" s="898"/>
      <c r="BZ49" s="898"/>
      <c r="CA49" s="898"/>
      <c r="CB49" s="898"/>
      <c r="CC49" s="898"/>
      <c r="CD49" s="898"/>
      <c r="CE49" s="898"/>
      <c r="CF49" s="898"/>
      <c r="CG49" s="898"/>
      <c r="CH49" s="898"/>
      <c r="CI49" s="898"/>
      <c r="CJ49" s="898"/>
      <c r="CK49" s="898"/>
      <c r="CL49" s="898"/>
      <c r="CM49" s="898"/>
      <c r="CN49" s="898"/>
      <c r="CO49" s="898"/>
      <c r="CP49" s="898"/>
      <c r="CQ49" s="898"/>
      <c r="CR49" s="898"/>
      <c r="CS49" s="898"/>
      <c r="CT49" s="898"/>
      <c r="CU49" s="898"/>
    </row>
    <row r="50" ht="16.5" customHeight="1">
      <c r="A50" s="1103">
        <v>2021.0</v>
      </c>
      <c r="B50" s="1120">
        <v>44369.0</v>
      </c>
      <c r="C50" s="805" t="s">
        <v>275</v>
      </c>
      <c r="D50" s="1105" t="s">
        <v>1620</v>
      </c>
      <c r="E50" s="1103" t="s">
        <v>170</v>
      </c>
      <c r="F50" s="1103" t="s">
        <v>146</v>
      </c>
      <c r="G50" s="1103" t="s">
        <v>53</v>
      </c>
      <c r="H50" s="1103">
        <v>55.0</v>
      </c>
      <c r="I50" s="1106" t="s">
        <v>321</v>
      </c>
      <c r="J50" s="1107" t="s">
        <v>321</v>
      </c>
      <c r="K50" s="1107">
        <v>55.0</v>
      </c>
      <c r="L50" s="1107" t="s">
        <v>321</v>
      </c>
      <c r="M50" s="1107" t="s">
        <v>321</v>
      </c>
      <c r="N50" s="1107" t="s">
        <v>321</v>
      </c>
      <c r="O50" s="1107" t="s">
        <v>321</v>
      </c>
      <c r="P50" s="1107" t="s">
        <v>321</v>
      </c>
      <c r="Q50" s="1103"/>
      <c r="R50" s="1108" t="s">
        <v>1618</v>
      </c>
      <c r="S50" s="1109">
        <v>24.54047</v>
      </c>
      <c r="T50" s="1123">
        <v>-81.44465</v>
      </c>
      <c r="U50" s="1104">
        <v>44404.0</v>
      </c>
      <c r="V50" s="1114">
        <v>0.7454545454545455</v>
      </c>
      <c r="W50" s="1144">
        <v>0.2545454545454545</v>
      </c>
      <c r="X50" s="1114">
        <v>0.0</v>
      </c>
      <c r="Y50" s="1114">
        <v>1.0</v>
      </c>
      <c r="Z50" s="1115">
        <v>0.7454545454545455</v>
      </c>
      <c r="AA50" s="1114" t="s">
        <v>1412</v>
      </c>
      <c r="AB50" s="1114" t="s">
        <v>1412</v>
      </c>
      <c r="AC50" s="1114" t="s">
        <v>1412</v>
      </c>
      <c r="AD50" s="1114" t="s">
        <v>1412</v>
      </c>
      <c r="AE50" s="1114" t="s">
        <v>1412</v>
      </c>
      <c r="AF50" s="1114" t="s">
        <v>1412</v>
      </c>
      <c r="AG50" s="1114" t="s">
        <v>1412</v>
      </c>
      <c r="AH50" s="1114" t="s">
        <v>1412</v>
      </c>
      <c r="AI50" s="1145">
        <v>44848.0</v>
      </c>
      <c r="AJ50" s="1114">
        <v>0.49090909090909096</v>
      </c>
      <c r="AK50" s="1144">
        <v>0.509090909090909</v>
      </c>
      <c r="AL50" s="1114">
        <v>0.0</v>
      </c>
      <c r="AM50" s="1114">
        <v>0.75</v>
      </c>
      <c r="AN50" s="1115">
        <v>0.49090909090909096</v>
      </c>
      <c r="AO50" s="1114" t="s">
        <v>1412</v>
      </c>
      <c r="AP50" s="1114" t="s">
        <v>1412</v>
      </c>
      <c r="AQ50" s="1114" t="s">
        <v>1412</v>
      </c>
      <c r="AR50" s="1114" t="s">
        <v>1412</v>
      </c>
      <c r="AS50" s="1114" t="s">
        <v>1412</v>
      </c>
      <c r="AT50" s="1114" t="s">
        <v>1412</v>
      </c>
      <c r="AU50" s="1114" t="s">
        <v>1412</v>
      </c>
      <c r="AV50" s="1114" t="s">
        <v>1412</v>
      </c>
      <c r="AW50" s="897"/>
      <c r="AX50" s="978" t="s">
        <v>1462</v>
      </c>
      <c r="AY50" s="898" t="s">
        <v>1465</v>
      </c>
      <c r="AZ50" s="898" t="s">
        <v>1548</v>
      </c>
      <c r="BA50" s="898"/>
      <c r="BB50" s="898"/>
      <c r="BC50" s="898"/>
      <c r="BD50" s="898"/>
      <c r="BE50" s="898"/>
      <c r="BF50" s="898"/>
      <c r="BG50" s="898"/>
      <c r="BH50" s="898"/>
      <c r="BI50" s="898"/>
      <c r="BJ50" s="898"/>
      <c r="BK50" s="898"/>
      <c r="BL50" s="898"/>
      <c r="BM50" s="898"/>
      <c r="BN50" s="898"/>
      <c r="BO50" s="898"/>
      <c r="BP50" s="898"/>
      <c r="BQ50" s="898"/>
      <c r="BR50" s="898"/>
      <c r="BS50" s="898"/>
      <c r="BT50" s="898"/>
      <c r="BU50" s="898"/>
      <c r="BV50" s="898"/>
      <c r="BW50" s="898"/>
      <c r="BX50" s="898"/>
      <c r="BY50" s="898"/>
      <c r="BZ50" s="898"/>
      <c r="CA50" s="898"/>
      <c r="CB50" s="898"/>
      <c r="CC50" s="898"/>
      <c r="CD50" s="898"/>
      <c r="CE50" s="898"/>
      <c r="CF50" s="898"/>
      <c r="CG50" s="898"/>
      <c r="CH50" s="898"/>
      <c r="CI50" s="898"/>
      <c r="CJ50" s="898"/>
      <c r="CK50" s="898"/>
      <c r="CL50" s="898"/>
      <c r="CM50" s="898"/>
      <c r="CN50" s="898"/>
      <c r="CO50" s="898"/>
      <c r="CP50" s="898"/>
      <c r="CQ50" s="898"/>
      <c r="CR50" s="898"/>
      <c r="CS50" s="898"/>
      <c r="CT50" s="898"/>
      <c r="CU50" s="898"/>
    </row>
    <row r="51" ht="16.5" customHeight="1">
      <c r="A51" s="712">
        <v>2021.0</v>
      </c>
      <c r="B51" s="1146">
        <v>44370.0</v>
      </c>
      <c r="C51" s="1085" t="s">
        <v>1521</v>
      </c>
      <c r="D51" s="1086" t="s">
        <v>1621</v>
      </c>
      <c r="E51" s="712" t="s">
        <v>170</v>
      </c>
      <c r="F51" s="712" t="s">
        <v>161</v>
      </c>
      <c r="G51" s="712" t="s">
        <v>65</v>
      </c>
      <c r="H51" s="712">
        <v>60.0</v>
      </c>
      <c r="I51" s="1087" t="s">
        <v>321</v>
      </c>
      <c r="J51" s="710">
        <v>60.0</v>
      </c>
      <c r="K51" s="710" t="s">
        <v>321</v>
      </c>
      <c r="L51" s="710" t="s">
        <v>321</v>
      </c>
      <c r="M51" s="710" t="s">
        <v>321</v>
      </c>
      <c r="N51" s="710" t="s">
        <v>321</v>
      </c>
      <c r="O51" s="710" t="s">
        <v>321</v>
      </c>
      <c r="P51" s="710" t="s">
        <v>321</v>
      </c>
      <c r="Q51" s="712"/>
      <c r="R51" s="1088" t="s">
        <v>1622</v>
      </c>
      <c r="S51" s="1147">
        <v>24.61516</v>
      </c>
      <c r="T51" s="1148">
        <v>-81.38342</v>
      </c>
      <c r="U51" s="1084">
        <v>44407.0</v>
      </c>
      <c r="V51" s="1092">
        <v>0.9666666666666667</v>
      </c>
      <c r="W51" s="1099">
        <v>0.03333333333333333</v>
      </c>
      <c r="X51" s="1092">
        <v>0.0</v>
      </c>
      <c r="Y51" s="1092">
        <v>1.0</v>
      </c>
      <c r="Z51" s="1093" t="s">
        <v>1412</v>
      </c>
      <c r="AA51" s="1092" t="s">
        <v>1412</v>
      </c>
      <c r="AB51" s="1092">
        <v>0.9666666666666667</v>
      </c>
      <c r="AC51" s="1092" t="s">
        <v>1412</v>
      </c>
      <c r="AD51" s="1092" t="s">
        <v>1412</v>
      </c>
      <c r="AE51" s="1092" t="s">
        <v>1412</v>
      </c>
      <c r="AF51" s="1092" t="s">
        <v>1412</v>
      </c>
      <c r="AG51" s="1092" t="s">
        <v>1412</v>
      </c>
      <c r="AH51" s="1092" t="s">
        <v>1412</v>
      </c>
      <c r="AI51" s="1094">
        <v>44767.0</v>
      </c>
      <c r="AJ51" s="1092">
        <v>0.6833333333333333</v>
      </c>
      <c r="AK51" s="1099">
        <v>0.31666666666666665</v>
      </c>
      <c r="AL51" s="1092">
        <v>0.0</v>
      </c>
      <c r="AM51" s="1092">
        <v>1.0</v>
      </c>
      <c r="AN51" s="1093" t="s">
        <v>1412</v>
      </c>
      <c r="AO51" s="1092" t="s">
        <v>1412</v>
      </c>
      <c r="AP51" s="1092">
        <v>0.6833333333333333</v>
      </c>
      <c r="AQ51" s="1092" t="s">
        <v>1412</v>
      </c>
      <c r="AR51" s="1092" t="s">
        <v>1412</v>
      </c>
      <c r="AS51" s="1092" t="s">
        <v>1412</v>
      </c>
      <c r="AT51" s="1092" t="s">
        <v>1412</v>
      </c>
      <c r="AU51" s="1092" t="s">
        <v>1412</v>
      </c>
      <c r="AV51" s="1092" t="s">
        <v>1412</v>
      </c>
      <c r="AW51" s="897"/>
      <c r="AX51" s="978" t="s">
        <v>1466</v>
      </c>
      <c r="AY51" s="898" t="s">
        <v>1459</v>
      </c>
      <c r="AZ51" s="898" t="s">
        <v>1551</v>
      </c>
      <c r="BA51" s="898"/>
      <c r="BB51" s="898"/>
      <c r="BC51" s="898"/>
      <c r="BD51" s="898"/>
      <c r="BE51" s="898"/>
      <c r="BF51" s="898"/>
      <c r="BG51" s="898"/>
      <c r="BH51" s="898"/>
      <c r="BI51" s="898"/>
      <c r="BJ51" s="898"/>
      <c r="BK51" s="898"/>
      <c r="BL51" s="898"/>
      <c r="BM51" s="898"/>
      <c r="BN51" s="898"/>
      <c r="BO51" s="898"/>
      <c r="BP51" s="898"/>
      <c r="BQ51" s="898"/>
      <c r="BR51" s="898"/>
      <c r="BS51" s="898"/>
      <c r="BT51" s="898"/>
      <c r="BU51" s="898"/>
      <c r="BV51" s="898"/>
      <c r="BW51" s="898"/>
      <c r="BX51" s="898"/>
      <c r="BY51" s="898"/>
      <c r="BZ51" s="898"/>
      <c r="CA51" s="898"/>
      <c r="CB51" s="898"/>
      <c r="CC51" s="898"/>
      <c r="CD51" s="898"/>
      <c r="CE51" s="898"/>
      <c r="CF51" s="898"/>
      <c r="CG51" s="898"/>
      <c r="CH51" s="898"/>
      <c r="CI51" s="898"/>
      <c r="CJ51" s="898"/>
      <c r="CK51" s="898"/>
      <c r="CL51" s="898"/>
      <c r="CM51" s="898"/>
      <c r="CN51" s="898"/>
      <c r="CO51" s="898"/>
      <c r="CP51" s="898"/>
      <c r="CQ51" s="898"/>
      <c r="CR51" s="898"/>
      <c r="CS51" s="898"/>
      <c r="CT51" s="898"/>
      <c r="CU51" s="898"/>
    </row>
    <row r="52" ht="16.5" customHeight="1">
      <c r="A52" s="1103">
        <v>2021.0</v>
      </c>
      <c r="B52" s="1120">
        <v>44370.0</v>
      </c>
      <c r="C52" s="805" t="s">
        <v>1521</v>
      </c>
      <c r="D52" s="1105" t="s">
        <v>1623</v>
      </c>
      <c r="E52" s="1103" t="s">
        <v>170</v>
      </c>
      <c r="F52" s="1103" t="s">
        <v>161</v>
      </c>
      <c r="G52" s="1103" t="s">
        <v>53</v>
      </c>
      <c r="H52" s="1103">
        <v>315.0</v>
      </c>
      <c r="I52" s="1106">
        <v>50.0</v>
      </c>
      <c r="J52" s="1107">
        <v>200.0</v>
      </c>
      <c r="K52" s="1107">
        <v>65.0</v>
      </c>
      <c r="L52" s="1107" t="s">
        <v>321</v>
      </c>
      <c r="M52" s="1107" t="s">
        <v>321</v>
      </c>
      <c r="N52" s="1107" t="s">
        <v>321</v>
      </c>
      <c r="O52" s="1107" t="s">
        <v>321</v>
      </c>
      <c r="P52" s="1107" t="s">
        <v>321</v>
      </c>
      <c r="Q52" s="1103"/>
      <c r="R52" s="1108" t="s">
        <v>1624</v>
      </c>
      <c r="S52" s="1122">
        <v>24.61516</v>
      </c>
      <c r="T52" s="1123">
        <v>-81.38342</v>
      </c>
      <c r="U52" s="1111">
        <v>44407.0</v>
      </c>
      <c r="V52" s="1114">
        <v>0.9968253968253968</v>
      </c>
      <c r="W52" s="1144">
        <v>0.0031746031746031746</v>
      </c>
      <c r="X52" s="1114">
        <v>0.0</v>
      </c>
      <c r="Y52" s="1114">
        <v>1.0</v>
      </c>
      <c r="Z52" s="1115">
        <v>1.0</v>
      </c>
      <c r="AA52" s="1114">
        <v>1.0</v>
      </c>
      <c r="AB52" s="1114">
        <v>0.995</v>
      </c>
      <c r="AC52" s="1114" t="s">
        <v>1412</v>
      </c>
      <c r="AD52" s="1114" t="s">
        <v>1412</v>
      </c>
      <c r="AE52" s="1114" t="s">
        <v>1412</v>
      </c>
      <c r="AF52" s="1114" t="s">
        <v>1412</v>
      </c>
      <c r="AG52" s="1114" t="s">
        <v>1412</v>
      </c>
      <c r="AH52" s="1114" t="s">
        <v>1412</v>
      </c>
      <c r="AI52" s="1116">
        <v>44767.0</v>
      </c>
      <c r="AJ52" s="1114">
        <v>0.9650793650793651</v>
      </c>
      <c r="AK52" s="1144">
        <v>0.03492063492063492</v>
      </c>
      <c r="AL52" s="1114">
        <v>0.0</v>
      </c>
      <c r="AM52" s="1114">
        <v>1.0</v>
      </c>
      <c r="AN52" s="1115">
        <v>1.0</v>
      </c>
      <c r="AO52" s="1114">
        <v>0.9</v>
      </c>
      <c r="AP52" s="1114">
        <v>0.97</v>
      </c>
      <c r="AQ52" s="1114" t="s">
        <v>1412</v>
      </c>
      <c r="AR52" s="1114" t="s">
        <v>1412</v>
      </c>
      <c r="AS52" s="1114" t="s">
        <v>1412</v>
      </c>
      <c r="AT52" s="1114" t="s">
        <v>1412</v>
      </c>
      <c r="AU52" s="1114" t="s">
        <v>1412</v>
      </c>
      <c r="AV52" s="1114" t="s">
        <v>1412</v>
      </c>
      <c r="AW52" s="897"/>
      <c r="AX52" s="1121" t="s">
        <v>1612</v>
      </c>
      <c r="AY52" s="898" t="s">
        <v>1462</v>
      </c>
      <c r="AZ52" s="898" t="s">
        <v>1625</v>
      </c>
      <c r="BA52" s="898" t="s">
        <v>1465</v>
      </c>
      <c r="BB52" s="898" t="s">
        <v>1469</v>
      </c>
      <c r="BC52" s="898" t="s">
        <v>1564</v>
      </c>
      <c r="BD52" s="898" t="s">
        <v>1543</v>
      </c>
      <c r="BE52" s="898" t="s">
        <v>1458</v>
      </c>
      <c r="BF52" s="898" t="s">
        <v>1626</v>
      </c>
      <c r="BG52" s="898" t="s">
        <v>1566</v>
      </c>
      <c r="BH52" s="898" t="s">
        <v>1526</v>
      </c>
      <c r="BI52" s="898" t="s">
        <v>1552</v>
      </c>
      <c r="BJ52" s="898"/>
      <c r="BK52" s="898"/>
      <c r="BL52" s="898"/>
      <c r="BM52" s="898"/>
      <c r="BN52" s="898"/>
      <c r="BO52" s="898"/>
      <c r="BP52" s="898"/>
      <c r="BQ52" s="898"/>
      <c r="BR52" s="898"/>
      <c r="BS52" s="898"/>
      <c r="BT52" s="898"/>
      <c r="BU52" s="898"/>
      <c r="BV52" s="898"/>
      <c r="BW52" s="898"/>
      <c r="BX52" s="898"/>
      <c r="BY52" s="898"/>
      <c r="BZ52" s="898"/>
      <c r="CA52" s="898"/>
      <c r="CB52" s="898"/>
      <c r="CC52" s="898"/>
      <c r="CD52" s="898"/>
      <c r="CE52" s="898"/>
      <c r="CF52" s="898"/>
      <c r="CG52" s="898"/>
      <c r="CH52" s="898"/>
      <c r="CI52" s="898"/>
      <c r="CJ52" s="898"/>
      <c r="CK52" s="898"/>
      <c r="CL52" s="898"/>
      <c r="CM52" s="898"/>
      <c r="CN52" s="898"/>
      <c r="CO52" s="898"/>
      <c r="CP52" s="898"/>
      <c r="CQ52" s="898"/>
      <c r="CR52" s="898"/>
      <c r="CS52" s="898"/>
      <c r="CT52" s="898"/>
      <c r="CU52" s="898"/>
    </row>
    <row r="53" ht="16.5" customHeight="1">
      <c r="A53" s="712">
        <v>2021.0</v>
      </c>
      <c r="B53" s="1146">
        <v>44414.0</v>
      </c>
      <c r="C53" s="1085" t="s">
        <v>318</v>
      </c>
      <c r="D53" s="1086" t="s">
        <v>1627</v>
      </c>
      <c r="E53" s="712" t="s">
        <v>170</v>
      </c>
      <c r="F53" s="712" t="s">
        <v>161</v>
      </c>
      <c r="G53" s="712" t="s">
        <v>65</v>
      </c>
      <c r="H53" s="712">
        <v>140.0</v>
      </c>
      <c r="I53" s="1087" t="s">
        <v>321</v>
      </c>
      <c r="J53" s="710">
        <v>140.0</v>
      </c>
      <c r="K53" s="710" t="s">
        <v>321</v>
      </c>
      <c r="L53" s="710" t="s">
        <v>321</v>
      </c>
      <c r="M53" s="710" t="s">
        <v>321</v>
      </c>
      <c r="N53" s="710" t="s">
        <v>321</v>
      </c>
      <c r="O53" s="710" t="s">
        <v>321</v>
      </c>
      <c r="P53" s="710" t="s">
        <v>321</v>
      </c>
      <c r="Q53" s="712"/>
      <c r="R53" s="1088" t="s">
        <v>1628</v>
      </c>
      <c r="S53" s="1149">
        <v>24.52646</v>
      </c>
      <c r="T53" s="1150">
        <v>-81.50442</v>
      </c>
      <c r="U53" s="1084">
        <v>44440.0</v>
      </c>
      <c r="V53" s="1092">
        <v>0.08571428571428574</v>
      </c>
      <c r="W53" s="1099">
        <v>0.9142857142857143</v>
      </c>
      <c r="X53" s="1092">
        <v>0.0</v>
      </c>
      <c r="Y53" s="1092">
        <v>0.42857142857142855</v>
      </c>
      <c r="Z53" s="1093" t="s">
        <v>1412</v>
      </c>
      <c r="AA53" s="1092" t="s">
        <v>1412</v>
      </c>
      <c r="AB53" s="1092">
        <v>0.08571428571428574</v>
      </c>
      <c r="AC53" s="1092" t="s">
        <v>1412</v>
      </c>
      <c r="AD53" s="1092" t="s">
        <v>1412</v>
      </c>
      <c r="AE53" s="1092" t="s">
        <v>1412</v>
      </c>
      <c r="AF53" s="1092" t="s">
        <v>1412</v>
      </c>
      <c r="AG53" s="1092" t="s">
        <v>1412</v>
      </c>
      <c r="AH53" s="1092" t="s">
        <v>1412</v>
      </c>
      <c r="AI53" s="1094">
        <v>44791.0</v>
      </c>
      <c r="AJ53" s="1092">
        <v>0.0357142857142857</v>
      </c>
      <c r="AK53" s="1099">
        <v>0.9642857142857143</v>
      </c>
      <c r="AL53" s="1092">
        <v>0.0</v>
      </c>
      <c r="AM53" s="1092">
        <v>0.2857142857142857</v>
      </c>
      <c r="AN53" s="1093" t="s">
        <v>1412</v>
      </c>
      <c r="AO53" s="1092" t="s">
        <v>1412</v>
      </c>
      <c r="AP53" s="1092">
        <v>0.0357142857142857</v>
      </c>
      <c r="AQ53" s="1092" t="s">
        <v>1412</v>
      </c>
      <c r="AR53" s="1092" t="s">
        <v>1412</v>
      </c>
      <c r="AS53" s="1092" t="s">
        <v>1412</v>
      </c>
      <c r="AT53" s="1092" t="s">
        <v>1412</v>
      </c>
      <c r="AU53" s="1092" t="s">
        <v>1412</v>
      </c>
      <c r="AV53" s="1092" t="s">
        <v>1412</v>
      </c>
      <c r="AW53" s="1124"/>
      <c r="AX53" s="1121" t="s">
        <v>1552</v>
      </c>
      <c r="AY53" s="898" t="s">
        <v>1466</v>
      </c>
      <c r="AZ53" s="898" t="s">
        <v>1459</v>
      </c>
      <c r="BA53" s="898"/>
      <c r="BB53" s="898"/>
      <c r="BC53" s="898"/>
      <c r="BD53" s="898"/>
      <c r="BE53" s="898"/>
      <c r="BF53" s="898"/>
      <c r="BG53" s="898"/>
      <c r="BH53" s="898"/>
      <c r="BI53" s="898"/>
      <c r="BJ53" s="898"/>
      <c r="BK53" s="898"/>
      <c r="BL53" s="898"/>
      <c r="BM53" s="898"/>
      <c r="BN53" s="898"/>
      <c r="BO53" s="898"/>
      <c r="BP53" s="898"/>
      <c r="BQ53" s="898"/>
      <c r="BR53" s="898"/>
      <c r="BS53" s="898"/>
      <c r="BT53" s="898"/>
      <c r="BU53" s="898"/>
      <c r="BV53" s="898"/>
      <c r="BW53" s="898"/>
      <c r="BX53" s="898"/>
      <c r="BY53" s="898"/>
      <c r="BZ53" s="898"/>
      <c r="CA53" s="898"/>
      <c r="CB53" s="898"/>
      <c r="CC53" s="898"/>
      <c r="CD53" s="898"/>
      <c r="CE53" s="898"/>
      <c r="CF53" s="898"/>
      <c r="CG53" s="898"/>
      <c r="CH53" s="898"/>
      <c r="CI53" s="898"/>
      <c r="CJ53" s="898"/>
      <c r="CK53" s="898"/>
      <c r="CL53" s="898"/>
      <c r="CM53" s="898"/>
      <c r="CN53" s="898"/>
      <c r="CO53" s="898"/>
      <c r="CP53" s="898"/>
      <c r="CQ53" s="898"/>
      <c r="CR53" s="898"/>
      <c r="CS53" s="898"/>
      <c r="CT53" s="898"/>
      <c r="CU53" s="898"/>
    </row>
    <row r="54" ht="16.5" customHeight="1">
      <c r="A54" s="1103">
        <v>2021.0</v>
      </c>
      <c r="B54" s="1120">
        <v>44414.0</v>
      </c>
      <c r="C54" s="805" t="s">
        <v>1521</v>
      </c>
      <c r="D54" s="1105" t="s">
        <v>1629</v>
      </c>
      <c r="E54" s="1103" t="s">
        <v>170</v>
      </c>
      <c r="F54" s="1103" t="s">
        <v>161</v>
      </c>
      <c r="G54" s="1103" t="s">
        <v>53</v>
      </c>
      <c r="H54" s="1103">
        <v>250.0</v>
      </c>
      <c r="I54" s="1106">
        <v>250.0</v>
      </c>
      <c r="J54" s="1107" t="s">
        <v>321</v>
      </c>
      <c r="K54" s="1107" t="s">
        <v>321</v>
      </c>
      <c r="L54" s="1107" t="s">
        <v>321</v>
      </c>
      <c r="M54" s="1107" t="s">
        <v>321</v>
      </c>
      <c r="N54" s="1107" t="s">
        <v>321</v>
      </c>
      <c r="O54" s="1107" t="s">
        <v>321</v>
      </c>
      <c r="P54" s="1107" t="s">
        <v>321</v>
      </c>
      <c r="Q54" s="1103"/>
      <c r="R54" s="1108" t="s">
        <v>1630</v>
      </c>
      <c r="S54" s="1122">
        <v>24.6152</v>
      </c>
      <c r="T54" s="1123">
        <v>-81.3834</v>
      </c>
      <c r="U54" s="1104">
        <v>44449.0</v>
      </c>
      <c r="V54" s="1114">
        <v>0.964</v>
      </c>
      <c r="W54" s="1144">
        <v>0.036000000000000004</v>
      </c>
      <c r="X54" s="1114">
        <v>0.0</v>
      </c>
      <c r="Y54" s="1114">
        <v>1.0</v>
      </c>
      <c r="Z54" s="1115" t="s">
        <v>1412</v>
      </c>
      <c r="AA54" s="1114">
        <v>0.964</v>
      </c>
      <c r="AB54" s="1114" t="s">
        <v>1412</v>
      </c>
      <c r="AC54" s="1114" t="s">
        <v>1412</v>
      </c>
      <c r="AD54" s="1114" t="s">
        <v>1412</v>
      </c>
      <c r="AE54" s="1114" t="s">
        <v>1412</v>
      </c>
      <c r="AF54" s="1114" t="s">
        <v>1412</v>
      </c>
      <c r="AG54" s="1114" t="s">
        <v>1412</v>
      </c>
      <c r="AH54" s="1114" t="s">
        <v>1412</v>
      </c>
      <c r="AI54" s="1145">
        <v>44767.0</v>
      </c>
      <c r="AJ54" s="1114">
        <v>0.33199999999999996</v>
      </c>
      <c r="AK54" s="1144">
        <v>0.668</v>
      </c>
      <c r="AL54" s="1114">
        <v>0.0</v>
      </c>
      <c r="AM54" s="1114">
        <v>0.9230769230769231</v>
      </c>
      <c r="AN54" s="1115" t="s">
        <v>1412</v>
      </c>
      <c r="AO54" s="1114">
        <v>0.33199999999999996</v>
      </c>
      <c r="AP54" s="1114" t="s">
        <v>1412</v>
      </c>
      <c r="AQ54" s="1114" t="s">
        <v>1412</v>
      </c>
      <c r="AR54" s="1114" t="s">
        <v>1412</v>
      </c>
      <c r="AS54" s="1114" t="s">
        <v>1412</v>
      </c>
      <c r="AT54" s="1114" t="s">
        <v>1412</v>
      </c>
      <c r="AU54" s="1114" t="s">
        <v>1412</v>
      </c>
      <c r="AV54" s="1114" t="s">
        <v>1412</v>
      </c>
      <c r="AW54" s="1124"/>
      <c r="AX54" s="1121" t="s">
        <v>1609</v>
      </c>
      <c r="AY54" s="898" t="s">
        <v>1490</v>
      </c>
      <c r="AZ54" s="898" t="s">
        <v>1631</v>
      </c>
      <c r="BA54" s="898" t="s">
        <v>1632</v>
      </c>
      <c r="BB54" s="898" t="s">
        <v>1534</v>
      </c>
      <c r="BC54" s="898" t="s">
        <v>1633</v>
      </c>
      <c r="BD54" s="898"/>
      <c r="BE54" s="898"/>
      <c r="BF54" s="898"/>
      <c r="BG54" s="898"/>
      <c r="BH54" s="898"/>
      <c r="BI54" s="898"/>
      <c r="BJ54" s="898"/>
      <c r="BK54" s="898"/>
      <c r="BL54" s="898"/>
      <c r="BM54" s="898"/>
      <c r="BN54" s="898"/>
      <c r="BO54" s="898"/>
      <c r="BP54" s="898"/>
      <c r="BQ54" s="898"/>
      <c r="BR54" s="898"/>
      <c r="BS54" s="898"/>
      <c r="BT54" s="898"/>
      <c r="BU54" s="898"/>
      <c r="BV54" s="898"/>
      <c r="BW54" s="898"/>
      <c r="BX54" s="898"/>
      <c r="BY54" s="898"/>
      <c r="BZ54" s="898"/>
      <c r="CA54" s="898"/>
      <c r="CB54" s="898"/>
      <c r="CC54" s="898"/>
      <c r="CD54" s="898"/>
      <c r="CE54" s="898"/>
      <c r="CF54" s="898"/>
      <c r="CG54" s="898"/>
      <c r="CH54" s="898"/>
      <c r="CI54" s="898"/>
      <c r="CJ54" s="898"/>
      <c r="CK54" s="898"/>
      <c r="CL54" s="898"/>
      <c r="CM54" s="898"/>
      <c r="CN54" s="898"/>
      <c r="CO54" s="898"/>
      <c r="CP54" s="898"/>
      <c r="CQ54" s="898"/>
      <c r="CR54" s="898"/>
      <c r="CS54" s="898"/>
      <c r="CT54" s="898"/>
      <c r="CU54" s="898"/>
    </row>
    <row r="55" ht="16.5" customHeight="1">
      <c r="A55" s="712">
        <v>2021.0</v>
      </c>
      <c r="B55" s="1146">
        <v>44414.0</v>
      </c>
      <c r="C55" s="1085" t="s">
        <v>1521</v>
      </c>
      <c r="D55" s="1086" t="s">
        <v>1634</v>
      </c>
      <c r="E55" s="712" t="s">
        <v>170</v>
      </c>
      <c r="F55" s="712" t="s">
        <v>161</v>
      </c>
      <c r="G55" s="712" t="s">
        <v>65</v>
      </c>
      <c r="H55" s="712">
        <v>280.0</v>
      </c>
      <c r="I55" s="1087">
        <v>280.0</v>
      </c>
      <c r="J55" s="710" t="s">
        <v>321</v>
      </c>
      <c r="K55" s="710" t="s">
        <v>321</v>
      </c>
      <c r="L55" s="710" t="s">
        <v>321</v>
      </c>
      <c r="M55" s="710" t="s">
        <v>321</v>
      </c>
      <c r="N55" s="710" t="s">
        <v>321</v>
      </c>
      <c r="O55" s="710" t="s">
        <v>321</v>
      </c>
      <c r="P55" s="710" t="s">
        <v>321</v>
      </c>
      <c r="Q55" s="712"/>
      <c r="R55" s="1088" t="s">
        <v>1635</v>
      </c>
      <c r="S55" s="1147">
        <v>24.6152</v>
      </c>
      <c r="T55" s="1148">
        <v>-81.3834</v>
      </c>
      <c r="U55" s="1117">
        <v>44450.0</v>
      </c>
      <c r="V55" s="1092">
        <v>0.8392857142857143</v>
      </c>
      <c r="W55" s="1099">
        <v>0.1607142857142857</v>
      </c>
      <c r="X55" s="1092">
        <v>0.0</v>
      </c>
      <c r="Y55" s="1092">
        <v>1.0</v>
      </c>
      <c r="Z55" s="1093" t="s">
        <v>1412</v>
      </c>
      <c r="AA55" s="1092">
        <v>0.8392857142857143</v>
      </c>
      <c r="AB55" s="1092" t="s">
        <v>1412</v>
      </c>
      <c r="AC55" s="1092" t="s">
        <v>1412</v>
      </c>
      <c r="AD55" s="1092" t="s">
        <v>1412</v>
      </c>
      <c r="AE55" s="1092" t="s">
        <v>1412</v>
      </c>
      <c r="AF55" s="1092" t="s">
        <v>1412</v>
      </c>
      <c r="AG55" s="1092" t="s">
        <v>1412</v>
      </c>
      <c r="AH55" s="1092" t="s">
        <v>1412</v>
      </c>
      <c r="AI55" s="1151">
        <v>44767.0</v>
      </c>
      <c r="AJ55" s="1092">
        <v>0.44999999999999996</v>
      </c>
      <c r="AK55" s="1099">
        <v>0.55</v>
      </c>
      <c r="AL55" s="1092">
        <v>0.0</v>
      </c>
      <c r="AM55" s="1092">
        <v>0.9523809523809523</v>
      </c>
      <c r="AN55" s="1093" t="s">
        <v>1412</v>
      </c>
      <c r="AO55" s="1092">
        <v>0.44999999999999996</v>
      </c>
      <c r="AP55" s="1092" t="s">
        <v>1412</v>
      </c>
      <c r="AQ55" s="1092" t="s">
        <v>1412</v>
      </c>
      <c r="AR55" s="1092" t="s">
        <v>1412</v>
      </c>
      <c r="AS55" s="1092" t="s">
        <v>1412</v>
      </c>
      <c r="AT55" s="1092" t="s">
        <v>1412</v>
      </c>
      <c r="AU55" s="1092" t="s">
        <v>1412</v>
      </c>
      <c r="AV55" s="1092" t="s">
        <v>1412</v>
      </c>
      <c r="AW55" s="1124"/>
      <c r="AX55" s="1121" t="s">
        <v>1636</v>
      </c>
      <c r="AY55" s="898" t="s">
        <v>1637</v>
      </c>
      <c r="AZ55" s="898" t="s">
        <v>1469</v>
      </c>
      <c r="BA55" s="898" t="s">
        <v>1638</v>
      </c>
      <c r="BB55" s="898" t="s">
        <v>1639</v>
      </c>
      <c r="BC55" s="898" t="s">
        <v>1640</v>
      </c>
      <c r="BD55" s="898" t="s">
        <v>1641</v>
      </c>
      <c r="BE55" s="898" t="s">
        <v>1460</v>
      </c>
      <c r="BF55" s="898" t="s">
        <v>1595</v>
      </c>
      <c r="BG55" s="898" t="s">
        <v>1642</v>
      </c>
      <c r="BH55" s="898" t="s">
        <v>1544</v>
      </c>
      <c r="BI55" s="898" t="s">
        <v>1643</v>
      </c>
      <c r="BJ55" s="898" t="s">
        <v>1644</v>
      </c>
      <c r="BK55" s="898" t="s">
        <v>1645</v>
      </c>
      <c r="BL55" s="898" t="s">
        <v>1646</v>
      </c>
      <c r="BM55" s="898" t="s">
        <v>1647</v>
      </c>
      <c r="BN55" s="898" t="s">
        <v>1648</v>
      </c>
      <c r="BO55" s="898" t="s">
        <v>1649</v>
      </c>
      <c r="BP55" s="898" t="s">
        <v>1650</v>
      </c>
      <c r="BQ55" s="898" t="s">
        <v>1651</v>
      </c>
      <c r="BR55" s="898"/>
      <c r="BS55" s="898"/>
      <c r="BT55" s="898"/>
      <c r="BU55" s="898"/>
      <c r="BV55" s="898"/>
      <c r="BW55" s="898"/>
      <c r="BX55" s="898"/>
      <c r="BY55" s="898"/>
      <c r="BZ55" s="898"/>
      <c r="CA55" s="898"/>
      <c r="CB55" s="898"/>
      <c r="CC55" s="898"/>
      <c r="CD55" s="898"/>
      <c r="CE55" s="898"/>
      <c r="CF55" s="898"/>
      <c r="CG55" s="898"/>
      <c r="CH55" s="898"/>
      <c r="CI55" s="898"/>
      <c r="CJ55" s="898"/>
      <c r="CK55" s="898"/>
      <c r="CL55" s="898"/>
      <c r="CM55" s="898"/>
      <c r="CN55" s="898"/>
      <c r="CO55" s="898"/>
      <c r="CP55" s="898"/>
      <c r="CQ55" s="898"/>
      <c r="CR55" s="898"/>
      <c r="CS55" s="898"/>
      <c r="CT55" s="898"/>
      <c r="CU55" s="898"/>
    </row>
    <row r="56" ht="16.5" customHeight="1">
      <c r="A56" s="1103">
        <v>2021.0</v>
      </c>
      <c r="B56" s="1120">
        <v>44415.0</v>
      </c>
      <c r="C56" s="805" t="s">
        <v>1652</v>
      </c>
      <c r="D56" s="1105" t="s">
        <v>1653</v>
      </c>
      <c r="E56" s="1103" t="s">
        <v>1615</v>
      </c>
      <c r="F56" s="1103" t="s">
        <v>146</v>
      </c>
      <c r="G56" s="1103" t="s">
        <v>53</v>
      </c>
      <c r="H56" s="1103">
        <v>218.0</v>
      </c>
      <c r="I56" s="1106" t="s">
        <v>321</v>
      </c>
      <c r="J56" s="1107" t="s">
        <v>321</v>
      </c>
      <c r="K56" s="1107">
        <v>218.0</v>
      </c>
      <c r="L56" s="1107" t="s">
        <v>321</v>
      </c>
      <c r="M56" s="1107" t="s">
        <v>321</v>
      </c>
      <c r="N56" s="1107" t="s">
        <v>321</v>
      </c>
      <c r="O56" s="1107" t="s">
        <v>321</v>
      </c>
      <c r="P56" s="1107" t="s">
        <v>321</v>
      </c>
      <c r="Q56" s="1103"/>
      <c r="R56" s="1108" t="s">
        <v>1654</v>
      </c>
      <c r="S56" s="1122">
        <v>24.55246</v>
      </c>
      <c r="T56" s="1123">
        <v>-81.43744</v>
      </c>
      <c r="U56" s="1111">
        <v>44449.0</v>
      </c>
      <c r="V56" s="1114">
        <v>0.963302752293578</v>
      </c>
      <c r="W56" s="1144">
        <v>0.03211009174311927</v>
      </c>
      <c r="X56" s="1114">
        <v>0.0045871559633027525</v>
      </c>
      <c r="Y56" s="1114">
        <v>0.9375</v>
      </c>
      <c r="Z56" s="1115">
        <v>0.963302752293578</v>
      </c>
      <c r="AA56" s="1114" t="s">
        <v>1412</v>
      </c>
      <c r="AB56" s="1114" t="s">
        <v>1412</v>
      </c>
      <c r="AC56" s="1114" t="s">
        <v>1412</v>
      </c>
      <c r="AD56" s="1114" t="s">
        <v>1412</v>
      </c>
      <c r="AE56" s="1114" t="s">
        <v>1412</v>
      </c>
      <c r="AF56" s="1114" t="s">
        <v>1412</v>
      </c>
      <c r="AG56" s="1114" t="s">
        <v>1412</v>
      </c>
      <c r="AH56" s="1114" t="s">
        <v>1412</v>
      </c>
      <c r="AI56" s="1116">
        <v>44756.0</v>
      </c>
      <c r="AJ56" s="1114">
        <v>0.7568807339449541</v>
      </c>
      <c r="AK56" s="1144">
        <v>0.24311926605504589</v>
      </c>
      <c r="AL56" s="1114">
        <v>0.0</v>
      </c>
      <c r="AM56" s="1114">
        <v>0.9375</v>
      </c>
      <c r="AN56" s="1115">
        <v>0.7568807339449541</v>
      </c>
      <c r="AO56" s="1114" t="s">
        <v>1412</v>
      </c>
      <c r="AP56" s="1114" t="s">
        <v>1412</v>
      </c>
      <c r="AQ56" s="1114" t="s">
        <v>1412</v>
      </c>
      <c r="AR56" s="1114" t="s">
        <v>1412</v>
      </c>
      <c r="AS56" s="1114" t="s">
        <v>1412</v>
      </c>
      <c r="AT56" s="1114" t="s">
        <v>1412</v>
      </c>
      <c r="AU56" s="1114" t="s">
        <v>1412</v>
      </c>
      <c r="AV56" s="1114" t="s">
        <v>1412</v>
      </c>
      <c r="AW56" s="1124"/>
      <c r="AX56" s="1121" t="s">
        <v>1462</v>
      </c>
      <c r="AY56" s="898" t="s">
        <v>1525</v>
      </c>
      <c r="AZ56" s="898" t="s">
        <v>1612</v>
      </c>
      <c r="BA56" s="898" t="s">
        <v>1465</v>
      </c>
      <c r="BB56" s="898"/>
      <c r="BC56" s="898"/>
      <c r="BD56" s="898"/>
      <c r="BE56" s="898"/>
      <c r="BF56" s="898"/>
      <c r="BG56" s="898"/>
      <c r="BH56" s="898"/>
      <c r="BI56" s="898"/>
      <c r="BJ56" s="898"/>
      <c r="BK56" s="898"/>
      <c r="BL56" s="898"/>
      <c r="BM56" s="898"/>
      <c r="BN56" s="898"/>
      <c r="BO56" s="898"/>
      <c r="BP56" s="898"/>
      <c r="BQ56" s="898"/>
      <c r="BR56" s="898"/>
      <c r="BS56" s="898"/>
      <c r="BT56" s="898"/>
      <c r="BU56" s="898"/>
      <c r="BV56" s="898"/>
      <c r="BW56" s="898"/>
      <c r="BX56" s="898"/>
      <c r="BY56" s="898"/>
      <c r="BZ56" s="898"/>
      <c r="CA56" s="898"/>
      <c r="CB56" s="898"/>
      <c r="CC56" s="898"/>
      <c r="CD56" s="898"/>
      <c r="CE56" s="898"/>
      <c r="CF56" s="898"/>
      <c r="CG56" s="898"/>
      <c r="CH56" s="898"/>
      <c r="CI56" s="898"/>
      <c r="CJ56" s="898"/>
      <c r="CK56" s="898"/>
      <c r="CL56" s="898"/>
      <c r="CM56" s="898"/>
      <c r="CN56" s="898"/>
      <c r="CO56" s="898"/>
      <c r="CP56" s="898"/>
      <c r="CQ56" s="898"/>
      <c r="CR56" s="898"/>
      <c r="CS56" s="898"/>
      <c r="CT56" s="898"/>
      <c r="CU56" s="898"/>
    </row>
    <row r="57" ht="16.5" customHeight="1">
      <c r="A57" s="712">
        <v>2021.0</v>
      </c>
      <c r="B57" s="1146">
        <v>44440.0</v>
      </c>
      <c r="C57" s="1085" t="s">
        <v>318</v>
      </c>
      <c r="D57" s="1086" t="s">
        <v>1655</v>
      </c>
      <c r="E57" s="712" t="s">
        <v>170</v>
      </c>
      <c r="F57" s="712" t="s">
        <v>161</v>
      </c>
      <c r="G57" s="712" t="s">
        <v>65</v>
      </c>
      <c r="H57" s="712">
        <v>170.0</v>
      </c>
      <c r="I57" s="1087" t="s">
        <v>321</v>
      </c>
      <c r="J57" s="710" t="s">
        <v>321</v>
      </c>
      <c r="K57" s="710">
        <v>170.0</v>
      </c>
      <c r="L57" s="710" t="s">
        <v>321</v>
      </c>
      <c r="M57" s="710" t="s">
        <v>321</v>
      </c>
      <c r="N57" s="710" t="s">
        <v>321</v>
      </c>
      <c r="O57" s="710" t="s">
        <v>321</v>
      </c>
      <c r="P57" s="710" t="s">
        <v>321</v>
      </c>
      <c r="Q57" s="712"/>
      <c r="R57" s="1088" t="s">
        <v>1656</v>
      </c>
      <c r="S57" s="1149">
        <v>24.52646</v>
      </c>
      <c r="T57" s="1150">
        <v>-81.50442</v>
      </c>
      <c r="U57" s="1084">
        <v>44475.0</v>
      </c>
      <c r="V57" s="1092">
        <v>0.8294117647058823</v>
      </c>
      <c r="W57" s="1099">
        <v>0.14705882352941177</v>
      </c>
      <c r="X57" s="1092">
        <v>0.023529411764705882</v>
      </c>
      <c r="Y57" s="1092">
        <v>1.0</v>
      </c>
      <c r="Z57" s="1093">
        <v>0.8294117647058823</v>
      </c>
      <c r="AA57" s="1092" t="s">
        <v>1412</v>
      </c>
      <c r="AB57" s="1092" t="s">
        <v>1412</v>
      </c>
      <c r="AC57" s="1092" t="s">
        <v>1412</v>
      </c>
      <c r="AD57" s="1092" t="s">
        <v>1412</v>
      </c>
      <c r="AE57" s="1092" t="s">
        <v>1412</v>
      </c>
      <c r="AF57" s="1092" t="s">
        <v>1412</v>
      </c>
      <c r="AG57" s="1092" t="s">
        <v>1412</v>
      </c>
      <c r="AH57" s="1092" t="s">
        <v>1412</v>
      </c>
      <c r="AI57" s="1094">
        <v>44791.0</v>
      </c>
      <c r="AJ57" s="1092">
        <v>0.2705882352941177</v>
      </c>
      <c r="AK57" s="1099">
        <v>0.711764705882353</v>
      </c>
      <c r="AL57" s="1092">
        <v>0.01764705882352941</v>
      </c>
      <c r="AM57" s="1092">
        <v>0.8181818181818182</v>
      </c>
      <c r="AN57" s="1093">
        <v>0.2705882352941177</v>
      </c>
      <c r="AO57" s="1092" t="s">
        <v>1412</v>
      </c>
      <c r="AP57" s="1092" t="s">
        <v>1412</v>
      </c>
      <c r="AQ57" s="1092" t="s">
        <v>1412</v>
      </c>
      <c r="AR57" s="1092" t="s">
        <v>1412</v>
      </c>
      <c r="AS57" s="1092" t="s">
        <v>1412</v>
      </c>
      <c r="AT57" s="1092" t="s">
        <v>1412</v>
      </c>
      <c r="AU57" s="1092" t="s">
        <v>1412</v>
      </c>
      <c r="AV57" s="1092" t="s">
        <v>1412</v>
      </c>
      <c r="AW57" s="1124"/>
      <c r="AX57" s="1121" t="s">
        <v>1462</v>
      </c>
      <c r="AY57" s="898" t="s">
        <v>1525</v>
      </c>
      <c r="AZ57" s="898"/>
      <c r="BA57" s="898"/>
      <c r="BB57" s="898"/>
      <c r="BC57" s="898"/>
      <c r="BD57" s="898"/>
      <c r="BE57" s="898"/>
      <c r="BF57" s="898"/>
      <c r="BG57" s="898"/>
      <c r="BH57" s="898"/>
      <c r="BI57" s="898"/>
      <c r="BJ57" s="898"/>
      <c r="BK57" s="898"/>
      <c r="BL57" s="898"/>
      <c r="BM57" s="898"/>
      <c r="BN57" s="898"/>
      <c r="BO57" s="898"/>
      <c r="BP57" s="898"/>
      <c r="BQ57" s="898"/>
      <c r="BR57" s="898"/>
      <c r="BS57" s="898"/>
      <c r="BT57" s="898"/>
      <c r="BU57" s="898"/>
      <c r="BV57" s="898"/>
      <c r="BW57" s="898"/>
      <c r="BX57" s="898"/>
      <c r="BY57" s="898"/>
      <c r="BZ57" s="898"/>
      <c r="CA57" s="898"/>
      <c r="CB57" s="898"/>
      <c r="CC57" s="898"/>
      <c r="CD57" s="898"/>
      <c r="CE57" s="898"/>
      <c r="CF57" s="898"/>
      <c r="CG57" s="898"/>
      <c r="CH57" s="898"/>
      <c r="CI57" s="898"/>
      <c r="CJ57" s="898"/>
      <c r="CK57" s="898"/>
      <c r="CL57" s="898"/>
      <c r="CM57" s="898"/>
      <c r="CN57" s="898"/>
      <c r="CO57" s="898"/>
      <c r="CP57" s="898"/>
      <c r="CQ57" s="898"/>
      <c r="CR57" s="898"/>
      <c r="CS57" s="898"/>
      <c r="CT57" s="898"/>
      <c r="CU57" s="898"/>
    </row>
    <row r="58" ht="16.5" customHeight="1">
      <c r="A58" s="1103">
        <v>2021.0</v>
      </c>
      <c r="B58" s="1120">
        <v>44443.0</v>
      </c>
      <c r="C58" s="805" t="s">
        <v>1657</v>
      </c>
      <c r="D58" s="1105" t="s">
        <v>1658</v>
      </c>
      <c r="E58" s="1103" t="s">
        <v>1659</v>
      </c>
      <c r="F58" s="1103" t="s">
        <v>186</v>
      </c>
      <c r="G58" s="1103" t="s">
        <v>53</v>
      </c>
      <c r="H58" s="1103">
        <v>151.0</v>
      </c>
      <c r="I58" s="1106" t="s">
        <v>321</v>
      </c>
      <c r="J58" s="1107" t="s">
        <v>321</v>
      </c>
      <c r="K58" s="1107" t="s">
        <v>321</v>
      </c>
      <c r="L58" s="1107" t="s">
        <v>321</v>
      </c>
      <c r="M58" s="1107">
        <v>151.0</v>
      </c>
      <c r="N58" s="1107" t="s">
        <v>321</v>
      </c>
      <c r="O58" s="1107" t="s">
        <v>321</v>
      </c>
      <c r="P58" s="1107" t="s">
        <v>321</v>
      </c>
      <c r="Q58" s="1103"/>
      <c r="R58" s="1108" t="s">
        <v>149</v>
      </c>
      <c r="S58" s="1122">
        <v>24.895276</v>
      </c>
      <c r="T58" s="1152">
        <v>-80.572292</v>
      </c>
      <c r="U58" s="1104">
        <v>44514.0</v>
      </c>
      <c r="V58" s="1114">
        <v>0.7417218543046358</v>
      </c>
      <c r="W58" s="1144">
        <v>0.2052980132450331</v>
      </c>
      <c r="X58" s="1114">
        <v>0.052980132450331126</v>
      </c>
      <c r="Y58" s="1114">
        <v>1.0</v>
      </c>
      <c r="Z58" s="1115" t="s">
        <v>1412</v>
      </c>
      <c r="AA58" s="1114" t="s">
        <v>1412</v>
      </c>
      <c r="AB58" s="1114" t="s">
        <v>1412</v>
      </c>
      <c r="AC58" s="1114" t="s">
        <v>1412</v>
      </c>
      <c r="AD58" s="1114" t="s">
        <v>1412</v>
      </c>
      <c r="AE58" s="1114" t="s">
        <v>1412</v>
      </c>
      <c r="AF58" s="1114" t="s">
        <v>1412</v>
      </c>
      <c r="AG58" s="1114">
        <v>0.7417218543046358</v>
      </c>
      <c r="AH58" s="1114" t="s">
        <v>1412</v>
      </c>
      <c r="AI58" s="1153"/>
      <c r="AJ58" s="1114" t="s">
        <v>149</v>
      </c>
      <c r="AK58" s="1144">
        <v>0.0</v>
      </c>
      <c r="AL58" s="1114" t="s">
        <v>321</v>
      </c>
      <c r="AM58" s="1114" t="s">
        <v>149</v>
      </c>
      <c r="AN58" s="1115" t="s">
        <v>321</v>
      </c>
      <c r="AO58" s="1114" t="s">
        <v>321</v>
      </c>
      <c r="AP58" s="1114" t="s">
        <v>321</v>
      </c>
      <c r="AQ58" s="1114" t="s">
        <v>321</v>
      </c>
      <c r="AR58" s="1114" t="s">
        <v>321</v>
      </c>
      <c r="AS58" s="1114" t="s">
        <v>321</v>
      </c>
      <c r="AT58" s="1114" t="s">
        <v>321</v>
      </c>
      <c r="AU58" s="1114" t="s">
        <v>321</v>
      </c>
      <c r="AV58" s="1114" t="s">
        <v>321</v>
      </c>
      <c r="AW58" s="1124"/>
      <c r="AX58" s="1121" t="s">
        <v>1660</v>
      </c>
      <c r="AY58" s="898" t="s">
        <v>1661</v>
      </c>
      <c r="AZ58" s="898" t="s">
        <v>1662</v>
      </c>
      <c r="BA58" s="898" t="s">
        <v>1663</v>
      </c>
      <c r="BB58" s="898" t="s">
        <v>1664</v>
      </c>
      <c r="BC58" s="898" t="s">
        <v>1665</v>
      </c>
      <c r="BD58" s="898" t="s">
        <v>1666</v>
      </c>
      <c r="BE58" s="898" t="s">
        <v>1667</v>
      </c>
      <c r="BF58" s="898" t="s">
        <v>1668</v>
      </c>
      <c r="BG58" s="898" t="s">
        <v>1669</v>
      </c>
      <c r="BH58" s="898" t="s">
        <v>1670</v>
      </c>
      <c r="BI58" s="898" t="s">
        <v>1671</v>
      </c>
      <c r="BJ58" s="898" t="s">
        <v>1672</v>
      </c>
      <c r="BK58" s="898" t="s">
        <v>1673</v>
      </c>
      <c r="BL58" s="898" t="s">
        <v>1674</v>
      </c>
      <c r="BM58" s="898" t="s">
        <v>1675</v>
      </c>
      <c r="BN58" s="898" t="s">
        <v>1676</v>
      </c>
      <c r="BO58" s="898" t="s">
        <v>1677</v>
      </c>
      <c r="BP58" s="898" t="s">
        <v>1678</v>
      </c>
      <c r="BQ58" s="898" t="s">
        <v>1679</v>
      </c>
      <c r="BR58" s="898" t="s">
        <v>1680</v>
      </c>
      <c r="BS58" s="898" t="s">
        <v>1681</v>
      </c>
      <c r="BT58" s="898"/>
      <c r="BU58" s="898"/>
      <c r="BV58" s="898"/>
      <c r="BW58" s="898"/>
      <c r="BX58" s="898"/>
      <c r="BY58" s="898"/>
      <c r="BZ58" s="898"/>
      <c r="CA58" s="898"/>
      <c r="CB58" s="898"/>
      <c r="CC58" s="898"/>
      <c r="CD58" s="898"/>
      <c r="CE58" s="898"/>
      <c r="CF58" s="898"/>
      <c r="CG58" s="898"/>
      <c r="CH58" s="898"/>
      <c r="CI58" s="898"/>
      <c r="CJ58" s="898"/>
      <c r="CK58" s="898"/>
      <c r="CL58" s="898"/>
      <c r="CM58" s="898"/>
      <c r="CN58" s="898"/>
      <c r="CO58" s="898"/>
      <c r="CP58" s="898"/>
      <c r="CQ58" s="898"/>
      <c r="CR58" s="898"/>
      <c r="CS58" s="898"/>
      <c r="CT58" s="898"/>
      <c r="CU58" s="898"/>
    </row>
    <row r="59" ht="16.5" customHeight="1">
      <c r="A59" s="1103">
        <v>2021.0</v>
      </c>
      <c r="B59" s="1120">
        <v>44475.0</v>
      </c>
      <c r="C59" s="805" t="s">
        <v>1657</v>
      </c>
      <c r="D59" s="1105" t="s">
        <v>1682</v>
      </c>
      <c r="E59" s="1103" t="s">
        <v>1659</v>
      </c>
      <c r="F59" s="1103" t="s">
        <v>186</v>
      </c>
      <c r="G59" s="1103" t="s">
        <v>53</v>
      </c>
      <c r="H59" s="1103">
        <v>50.0</v>
      </c>
      <c r="I59" s="1106" t="s">
        <v>321</v>
      </c>
      <c r="J59" s="1107" t="s">
        <v>321</v>
      </c>
      <c r="K59" s="1107" t="s">
        <v>321</v>
      </c>
      <c r="L59" s="1107" t="s">
        <v>321</v>
      </c>
      <c r="M59" s="1107">
        <v>50.0</v>
      </c>
      <c r="N59" s="1107" t="s">
        <v>321</v>
      </c>
      <c r="O59" s="1107" t="s">
        <v>321</v>
      </c>
      <c r="P59" s="1107" t="s">
        <v>321</v>
      </c>
      <c r="Q59" s="1103"/>
      <c r="R59" s="1108" t="s">
        <v>149</v>
      </c>
      <c r="S59" s="1122">
        <v>24.895276</v>
      </c>
      <c r="T59" s="1152">
        <v>-80.572292</v>
      </c>
      <c r="U59" s="1104">
        <v>44514.0</v>
      </c>
      <c r="V59" s="1114">
        <v>0.8</v>
      </c>
      <c r="W59" s="1144">
        <v>0.16</v>
      </c>
      <c r="X59" s="1114">
        <v>0.04</v>
      </c>
      <c r="Y59" s="1114">
        <v>1.0</v>
      </c>
      <c r="Z59" s="1115" t="s">
        <v>1412</v>
      </c>
      <c r="AA59" s="1114" t="s">
        <v>1412</v>
      </c>
      <c r="AB59" s="1114" t="s">
        <v>1412</v>
      </c>
      <c r="AC59" s="1114" t="s">
        <v>1412</v>
      </c>
      <c r="AD59" s="1114" t="s">
        <v>1412</v>
      </c>
      <c r="AE59" s="1114" t="s">
        <v>1412</v>
      </c>
      <c r="AF59" s="1114" t="s">
        <v>1412</v>
      </c>
      <c r="AG59" s="1114">
        <v>0.8</v>
      </c>
      <c r="AH59" s="1114" t="s">
        <v>1412</v>
      </c>
      <c r="AI59" s="1153"/>
      <c r="AJ59" s="1114" t="s">
        <v>149</v>
      </c>
      <c r="AK59" s="1144">
        <v>0.0</v>
      </c>
      <c r="AL59" s="1114" t="s">
        <v>321</v>
      </c>
      <c r="AM59" s="1114" t="s">
        <v>149</v>
      </c>
      <c r="AN59" s="1115" t="s">
        <v>321</v>
      </c>
      <c r="AO59" s="1114" t="s">
        <v>321</v>
      </c>
      <c r="AP59" s="1114" t="s">
        <v>321</v>
      </c>
      <c r="AQ59" s="1114" t="s">
        <v>321</v>
      </c>
      <c r="AR59" s="1114" t="s">
        <v>321</v>
      </c>
      <c r="AS59" s="1114" t="s">
        <v>321</v>
      </c>
      <c r="AT59" s="1114" t="s">
        <v>321</v>
      </c>
      <c r="AU59" s="1114" t="s">
        <v>321</v>
      </c>
      <c r="AV59" s="1114" t="s">
        <v>321</v>
      </c>
      <c r="AW59" s="1124"/>
      <c r="AX59" s="1121" t="s">
        <v>1683</v>
      </c>
      <c r="AY59" s="898" t="s">
        <v>1684</v>
      </c>
      <c r="AZ59" s="898" t="s">
        <v>1667</v>
      </c>
      <c r="BA59" s="898" t="s">
        <v>1685</v>
      </c>
      <c r="BB59" s="898"/>
      <c r="BC59" s="898"/>
      <c r="BD59" s="898"/>
      <c r="BE59" s="898"/>
      <c r="BF59" s="898"/>
      <c r="BG59" s="898"/>
      <c r="BH59" s="898"/>
      <c r="BI59" s="898"/>
      <c r="BJ59" s="898"/>
      <c r="BK59" s="898"/>
      <c r="BL59" s="898"/>
      <c r="BM59" s="898"/>
      <c r="BN59" s="898"/>
      <c r="BO59" s="898"/>
      <c r="BP59" s="898"/>
      <c r="BQ59" s="898"/>
      <c r="BR59" s="898"/>
      <c r="BS59" s="898"/>
      <c r="BT59" s="898"/>
      <c r="BU59" s="898"/>
      <c r="BV59" s="898"/>
      <c r="BW59" s="898"/>
      <c r="BX59" s="898"/>
      <c r="BY59" s="898"/>
      <c r="BZ59" s="898"/>
      <c r="CA59" s="898"/>
      <c r="CB59" s="898"/>
      <c r="CC59" s="898"/>
      <c r="CD59" s="898"/>
      <c r="CE59" s="898"/>
      <c r="CF59" s="898"/>
      <c r="CG59" s="898"/>
      <c r="CH59" s="898"/>
      <c r="CI59" s="898"/>
      <c r="CJ59" s="898"/>
      <c r="CK59" s="898"/>
      <c r="CL59" s="898"/>
      <c r="CM59" s="898"/>
      <c r="CN59" s="898"/>
      <c r="CO59" s="898"/>
      <c r="CP59" s="898"/>
      <c r="CQ59" s="898"/>
      <c r="CR59" s="898"/>
      <c r="CS59" s="898"/>
      <c r="CT59" s="898"/>
      <c r="CU59" s="898"/>
    </row>
    <row r="60" ht="16.5" customHeight="1">
      <c r="A60" s="885">
        <v>2021.0</v>
      </c>
      <c r="B60" s="1154">
        <v>44480.0</v>
      </c>
      <c r="C60" s="856" t="s">
        <v>1686</v>
      </c>
      <c r="D60" s="883" t="s">
        <v>1687</v>
      </c>
      <c r="E60" s="885" t="s">
        <v>170</v>
      </c>
      <c r="F60" s="885" t="s">
        <v>146</v>
      </c>
      <c r="G60" s="885" t="s">
        <v>33</v>
      </c>
      <c r="H60" s="885">
        <v>18.0</v>
      </c>
      <c r="I60" s="1155">
        <v>18.0</v>
      </c>
      <c r="J60" s="884" t="s">
        <v>321</v>
      </c>
      <c r="K60" s="884" t="s">
        <v>321</v>
      </c>
      <c r="L60" s="884" t="s">
        <v>321</v>
      </c>
      <c r="M60" s="884" t="s">
        <v>321</v>
      </c>
      <c r="N60" s="884" t="s">
        <v>321</v>
      </c>
      <c r="O60" s="884" t="s">
        <v>321</v>
      </c>
      <c r="P60" s="884" t="s">
        <v>321</v>
      </c>
      <c r="Q60" s="1156"/>
      <c r="R60" s="1157">
        <v>44214.0</v>
      </c>
      <c r="S60" s="1158">
        <v>24.62141</v>
      </c>
      <c r="T60" s="1159">
        <v>-81.36315</v>
      </c>
      <c r="U60" s="1160">
        <v>44511.0</v>
      </c>
      <c r="V60" s="894">
        <v>1.0</v>
      </c>
      <c r="W60" s="1161">
        <v>0.0</v>
      </c>
      <c r="X60" s="894">
        <v>0.0</v>
      </c>
      <c r="Y60" s="894">
        <v>1.0</v>
      </c>
      <c r="Z60" s="895" t="s">
        <v>1412</v>
      </c>
      <c r="AA60" s="894">
        <v>1.0</v>
      </c>
      <c r="AB60" s="894" t="s">
        <v>1412</v>
      </c>
      <c r="AC60" s="894" t="s">
        <v>1412</v>
      </c>
      <c r="AD60" s="894" t="s">
        <v>1412</v>
      </c>
      <c r="AE60" s="894" t="s">
        <v>1412</v>
      </c>
      <c r="AF60" s="894" t="s">
        <v>1412</v>
      </c>
      <c r="AG60" s="894" t="s">
        <v>1412</v>
      </c>
      <c r="AH60" s="894" t="s">
        <v>1412</v>
      </c>
      <c r="AI60" s="1162" t="s">
        <v>149</v>
      </c>
      <c r="AJ60" s="894" t="s">
        <v>149</v>
      </c>
      <c r="AK60" s="1161">
        <v>0.0</v>
      </c>
      <c r="AL60" s="894" t="s">
        <v>321</v>
      </c>
      <c r="AM60" s="894" t="s">
        <v>149</v>
      </c>
      <c r="AN60" s="895" t="s">
        <v>321</v>
      </c>
      <c r="AO60" s="894" t="s">
        <v>321</v>
      </c>
      <c r="AP60" s="894" t="s">
        <v>321</v>
      </c>
      <c r="AQ60" s="894" t="s">
        <v>321</v>
      </c>
      <c r="AR60" s="894" t="s">
        <v>321</v>
      </c>
      <c r="AS60" s="894" t="s">
        <v>321</v>
      </c>
      <c r="AT60" s="894" t="s">
        <v>321</v>
      </c>
      <c r="AU60" s="894" t="s">
        <v>321</v>
      </c>
      <c r="AV60" s="894" t="s">
        <v>321</v>
      </c>
      <c r="AW60" s="1124"/>
      <c r="AX60" s="1121" t="s">
        <v>1460</v>
      </c>
      <c r="AY60" s="898" t="s">
        <v>1688</v>
      </c>
      <c r="AZ60" s="898" t="s">
        <v>1631</v>
      </c>
      <c r="BA60" s="898" t="s">
        <v>1632</v>
      </c>
      <c r="BB60" s="898" t="s">
        <v>1609</v>
      </c>
      <c r="BC60" s="898" t="s">
        <v>1469</v>
      </c>
      <c r="BD60" s="898"/>
      <c r="BE60" s="898"/>
      <c r="BF60" s="898"/>
      <c r="BG60" s="898"/>
      <c r="BH60" s="898"/>
      <c r="BI60" s="898"/>
      <c r="BJ60" s="898"/>
      <c r="BK60" s="898"/>
      <c r="BL60" s="898"/>
      <c r="BM60" s="898"/>
      <c r="BN60" s="898"/>
      <c r="BO60" s="898"/>
      <c r="BP60" s="898"/>
      <c r="BQ60" s="898"/>
      <c r="BR60" s="898"/>
      <c r="BS60" s="898"/>
      <c r="BT60" s="898"/>
      <c r="BU60" s="898"/>
      <c r="BV60" s="898"/>
      <c r="BW60" s="898"/>
      <c r="BX60" s="898"/>
      <c r="BY60" s="898"/>
      <c r="BZ60" s="898"/>
      <c r="CA60" s="898"/>
      <c r="CB60" s="898"/>
      <c r="CC60" s="898"/>
      <c r="CD60" s="898"/>
      <c r="CE60" s="898"/>
      <c r="CF60" s="898"/>
      <c r="CG60" s="898"/>
      <c r="CH60" s="898"/>
      <c r="CI60" s="898"/>
      <c r="CJ60" s="898"/>
      <c r="CK60" s="898"/>
      <c r="CL60" s="898"/>
      <c r="CM60" s="898"/>
      <c r="CN60" s="898"/>
      <c r="CO60" s="898"/>
      <c r="CP60" s="898"/>
      <c r="CQ60" s="898"/>
      <c r="CR60" s="898"/>
      <c r="CS60" s="898"/>
      <c r="CT60" s="898"/>
      <c r="CU60" s="898"/>
    </row>
    <row r="61" ht="16.5" customHeight="1">
      <c r="A61" s="885">
        <v>2021.0</v>
      </c>
      <c r="B61" s="1154">
        <v>44480.0</v>
      </c>
      <c r="C61" s="856" t="s">
        <v>1689</v>
      </c>
      <c r="D61" s="883" t="s">
        <v>1690</v>
      </c>
      <c r="E61" s="885" t="s">
        <v>170</v>
      </c>
      <c r="F61" s="885" t="s">
        <v>146</v>
      </c>
      <c r="G61" s="885" t="s">
        <v>33</v>
      </c>
      <c r="H61" s="885">
        <v>18.0</v>
      </c>
      <c r="I61" s="1155">
        <v>18.0</v>
      </c>
      <c r="J61" s="884" t="s">
        <v>321</v>
      </c>
      <c r="K61" s="884" t="s">
        <v>321</v>
      </c>
      <c r="L61" s="884" t="s">
        <v>321</v>
      </c>
      <c r="M61" s="884" t="s">
        <v>321</v>
      </c>
      <c r="N61" s="884" t="s">
        <v>321</v>
      </c>
      <c r="O61" s="884" t="s">
        <v>321</v>
      </c>
      <c r="P61" s="884" t="s">
        <v>321</v>
      </c>
      <c r="Q61" s="885"/>
      <c r="R61" s="889" t="s">
        <v>1691</v>
      </c>
      <c r="S61" s="885">
        <v>24.52339</v>
      </c>
      <c r="T61" s="1163">
        <v>-81.5154</v>
      </c>
      <c r="U61" s="1160">
        <v>44511.0</v>
      </c>
      <c r="V61" s="894">
        <v>0.38888888888888884</v>
      </c>
      <c r="W61" s="1161">
        <v>0.6111111111111112</v>
      </c>
      <c r="X61" s="894">
        <v>0.0</v>
      </c>
      <c r="Y61" s="894">
        <v>0.3888888888888889</v>
      </c>
      <c r="Z61" s="895" t="s">
        <v>1412</v>
      </c>
      <c r="AA61" s="894">
        <v>0.38888888888888884</v>
      </c>
      <c r="AB61" s="894" t="s">
        <v>1412</v>
      </c>
      <c r="AC61" s="894" t="s">
        <v>1412</v>
      </c>
      <c r="AD61" s="894" t="s">
        <v>1412</v>
      </c>
      <c r="AE61" s="894" t="s">
        <v>1412</v>
      </c>
      <c r="AF61" s="894" t="s">
        <v>1412</v>
      </c>
      <c r="AG61" s="894" t="s">
        <v>1412</v>
      </c>
      <c r="AH61" s="894" t="s">
        <v>1412</v>
      </c>
      <c r="AI61" s="1162" t="s">
        <v>149</v>
      </c>
      <c r="AJ61" s="894" t="s">
        <v>149</v>
      </c>
      <c r="AK61" s="1161">
        <v>0.0</v>
      </c>
      <c r="AL61" s="894" t="s">
        <v>321</v>
      </c>
      <c r="AM61" s="894" t="s">
        <v>149</v>
      </c>
      <c r="AN61" s="895" t="s">
        <v>321</v>
      </c>
      <c r="AO61" s="894" t="s">
        <v>321</v>
      </c>
      <c r="AP61" s="894" t="s">
        <v>321</v>
      </c>
      <c r="AQ61" s="894" t="s">
        <v>321</v>
      </c>
      <c r="AR61" s="894" t="s">
        <v>321</v>
      </c>
      <c r="AS61" s="894" t="s">
        <v>321</v>
      </c>
      <c r="AT61" s="894" t="s">
        <v>321</v>
      </c>
      <c r="AU61" s="894" t="s">
        <v>321</v>
      </c>
      <c r="AV61" s="894" t="s">
        <v>321</v>
      </c>
      <c r="AW61" s="1124"/>
      <c r="AX61" s="1121" t="s">
        <v>1460</v>
      </c>
      <c r="AY61" s="898" t="s">
        <v>1688</v>
      </c>
      <c r="AZ61" s="898" t="s">
        <v>1631</v>
      </c>
      <c r="BA61" s="898" t="s">
        <v>1632</v>
      </c>
      <c r="BB61" s="898" t="s">
        <v>1609</v>
      </c>
      <c r="BC61" s="898" t="s">
        <v>1469</v>
      </c>
      <c r="BD61" s="898"/>
      <c r="BE61" s="898"/>
      <c r="BF61" s="898"/>
      <c r="BG61" s="898"/>
      <c r="BH61" s="898"/>
      <c r="BI61" s="898"/>
      <c r="BJ61" s="898"/>
      <c r="BK61" s="898"/>
      <c r="BL61" s="898"/>
      <c r="BM61" s="898"/>
      <c r="BN61" s="898"/>
      <c r="BO61" s="898"/>
      <c r="BP61" s="898"/>
      <c r="BQ61" s="898"/>
      <c r="BR61" s="898"/>
      <c r="BS61" s="898"/>
      <c r="BT61" s="898"/>
      <c r="BU61" s="898"/>
      <c r="BV61" s="898"/>
      <c r="BW61" s="898"/>
      <c r="BX61" s="898"/>
      <c r="BY61" s="898"/>
      <c r="BZ61" s="898"/>
      <c r="CA61" s="898"/>
      <c r="CB61" s="898"/>
      <c r="CC61" s="898"/>
      <c r="CD61" s="898"/>
      <c r="CE61" s="898"/>
      <c r="CF61" s="898"/>
      <c r="CG61" s="898"/>
      <c r="CH61" s="898"/>
      <c r="CI61" s="898"/>
      <c r="CJ61" s="898"/>
      <c r="CK61" s="898"/>
      <c r="CL61" s="898"/>
      <c r="CM61" s="898"/>
      <c r="CN61" s="898"/>
      <c r="CO61" s="898"/>
      <c r="CP61" s="898"/>
      <c r="CQ61" s="898"/>
      <c r="CR61" s="898"/>
      <c r="CS61" s="898"/>
      <c r="CT61" s="898"/>
      <c r="CU61" s="898"/>
    </row>
    <row r="62" ht="16.5" customHeight="1">
      <c r="A62" s="712">
        <v>2021.0</v>
      </c>
      <c r="B62" s="1146">
        <v>44496.0</v>
      </c>
      <c r="C62" s="1085" t="s">
        <v>1470</v>
      </c>
      <c r="D62" s="1086" t="s">
        <v>1692</v>
      </c>
      <c r="E62" s="712" t="s">
        <v>170</v>
      </c>
      <c r="F62" s="712" t="s">
        <v>146</v>
      </c>
      <c r="G62" s="712" t="s">
        <v>65</v>
      </c>
      <c r="H62" s="712">
        <v>410.0</v>
      </c>
      <c r="I62" s="1087">
        <v>70.0</v>
      </c>
      <c r="J62" s="710" t="s">
        <v>321</v>
      </c>
      <c r="K62" s="710">
        <v>340.0</v>
      </c>
      <c r="L62" s="710" t="s">
        <v>321</v>
      </c>
      <c r="M62" s="710" t="s">
        <v>321</v>
      </c>
      <c r="N62" s="710" t="s">
        <v>321</v>
      </c>
      <c r="O62" s="710" t="s">
        <v>321</v>
      </c>
      <c r="P62" s="710" t="s">
        <v>321</v>
      </c>
      <c r="Q62" s="712"/>
      <c r="R62" s="1088" t="s">
        <v>1693</v>
      </c>
      <c r="S62" s="1147">
        <v>24.61477</v>
      </c>
      <c r="T62" s="1148">
        <v>-81.37925</v>
      </c>
      <c r="U62" s="1084">
        <v>44533.0</v>
      </c>
      <c r="V62" s="1092">
        <v>1.0</v>
      </c>
      <c r="W62" s="1099">
        <v>0.0</v>
      </c>
      <c r="X62" s="1092">
        <v>0.0</v>
      </c>
      <c r="Y62" s="1092">
        <v>1.0</v>
      </c>
      <c r="Z62" s="1093">
        <v>1.0</v>
      </c>
      <c r="AA62" s="1092">
        <v>1.0</v>
      </c>
      <c r="AB62" s="1092" t="s">
        <v>1412</v>
      </c>
      <c r="AC62" s="1092" t="s">
        <v>1412</v>
      </c>
      <c r="AD62" s="1092" t="s">
        <v>1412</v>
      </c>
      <c r="AE62" s="1092" t="s">
        <v>1412</v>
      </c>
      <c r="AF62" s="1092" t="s">
        <v>1412</v>
      </c>
      <c r="AG62" s="1092" t="s">
        <v>1412</v>
      </c>
      <c r="AH62" s="1092" t="s">
        <v>1412</v>
      </c>
      <c r="AI62" s="1094">
        <v>44851.0</v>
      </c>
      <c r="AJ62" s="1092">
        <v>0.9634146341463414</v>
      </c>
      <c r="AK62" s="1099">
        <v>0.03414634146341464</v>
      </c>
      <c r="AL62" s="1092">
        <v>0.0024390243902439024</v>
      </c>
      <c r="AM62" s="1092">
        <v>1.0</v>
      </c>
      <c r="AN62" s="1093">
        <v>0.9588235294117647</v>
      </c>
      <c r="AO62" s="1092">
        <v>0.9857142857142858</v>
      </c>
      <c r="AP62" s="1092" t="s">
        <v>1412</v>
      </c>
      <c r="AQ62" s="1092" t="s">
        <v>1412</v>
      </c>
      <c r="AR62" s="1092" t="s">
        <v>1412</v>
      </c>
      <c r="AS62" s="1092" t="s">
        <v>1412</v>
      </c>
      <c r="AT62" s="1092" t="s">
        <v>1412</v>
      </c>
      <c r="AU62" s="1092" t="s">
        <v>1412</v>
      </c>
      <c r="AV62" s="1092" t="s">
        <v>1412</v>
      </c>
      <c r="AW62" s="1124"/>
      <c r="AX62" s="1121" t="s">
        <v>1462</v>
      </c>
      <c r="AY62" s="898" t="s">
        <v>1694</v>
      </c>
      <c r="AZ62" s="898" t="s">
        <v>1695</v>
      </c>
      <c r="BA62" s="898" t="s">
        <v>1696</v>
      </c>
      <c r="BB62" s="898" t="s">
        <v>1611</v>
      </c>
      <c r="BC62" s="898" t="s">
        <v>1697</v>
      </c>
      <c r="BD62" s="898" t="s">
        <v>1698</v>
      </c>
      <c r="BE62" s="898" t="s">
        <v>1699</v>
      </c>
      <c r="BF62" s="898" t="s">
        <v>1700</v>
      </c>
      <c r="BG62" s="898" t="s">
        <v>1595</v>
      </c>
      <c r="BH62" s="898" t="s">
        <v>1480</v>
      </c>
      <c r="BI62" s="898" t="s">
        <v>1469</v>
      </c>
      <c r="BJ62" s="898" t="s">
        <v>1564</v>
      </c>
      <c r="BK62" s="898" t="s">
        <v>1485</v>
      </c>
      <c r="BL62" s="898"/>
      <c r="BM62" s="898"/>
      <c r="BN62" s="898"/>
      <c r="BO62" s="898"/>
      <c r="BP62" s="898"/>
      <c r="BQ62" s="898"/>
      <c r="BR62" s="898"/>
      <c r="BS62" s="898"/>
      <c r="BT62" s="898"/>
      <c r="BU62" s="898"/>
      <c r="BV62" s="898"/>
      <c r="BW62" s="898"/>
      <c r="BX62" s="898"/>
      <c r="BY62" s="898"/>
      <c r="BZ62" s="898"/>
      <c r="CA62" s="898"/>
      <c r="CB62" s="898"/>
      <c r="CC62" s="898"/>
      <c r="CD62" s="898"/>
      <c r="CE62" s="898"/>
      <c r="CF62" s="898"/>
      <c r="CG62" s="898"/>
      <c r="CH62" s="898"/>
      <c r="CI62" s="898"/>
      <c r="CJ62" s="898"/>
      <c r="CK62" s="898"/>
      <c r="CL62" s="898"/>
      <c r="CM62" s="898"/>
      <c r="CN62" s="898"/>
      <c r="CO62" s="898"/>
      <c r="CP62" s="898"/>
      <c r="CQ62" s="898"/>
      <c r="CR62" s="898"/>
      <c r="CS62" s="898"/>
      <c r="CT62" s="898"/>
      <c r="CU62" s="898"/>
    </row>
    <row r="63" ht="16.5" customHeight="1">
      <c r="A63" s="1164">
        <v>2021.0</v>
      </c>
      <c r="B63" s="1165">
        <v>44559.0</v>
      </c>
      <c r="C63" s="1166" t="s">
        <v>1470</v>
      </c>
      <c r="D63" s="1167" t="s">
        <v>1701</v>
      </c>
      <c r="E63" s="1164" t="s">
        <v>170</v>
      </c>
      <c r="F63" s="1164" t="s">
        <v>161</v>
      </c>
      <c r="G63" s="1164" t="s">
        <v>65</v>
      </c>
      <c r="H63" s="1164">
        <v>319.0</v>
      </c>
      <c r="I63" s="1168" t="s">
        <v>321</v>
      </c>
      <c r="J63" s="1169" t="s">
        <v>321</v>
      </c>
      <c r="K63" s="1169" t="s">
        <v>321</v>
      </c>
      <c r="L63" s="1169">
        <v>319.0</v>
      </c>
      <c r="M63" s="1169" t="s">
        <v>321</v>
      </c>
      <c r="N63" s="1169" t="s">
        <v>321</v>
      </c>
      <c r="O63" s="1169" t="s">
        <v>321</v>
      </c>
      <c r="P63" s="1169" t="s">
        <v>321</v>
      </c>
      <c r="Q63" s="1164"/>
      <c r="R63" s="1170" t="s">
        <v>1702</v>
      </c>
      <c r="S63" s="1171">
        <v>24.61466</v>
      </c>
      <c r="T63" s="1172">
        <v>-81.37912</v>
      </c>
      <c r="U63" s="1173">
        <v>44534.0</v>
      </c>
      <c r="V63" s="1174">
        <v>0.9780564263322884</v>
      </c>
      <c r="W63" s="1175">
        <v>0.0219435736677116</v>
      </c>
      <c r="X63" s="1174">
        <v>0.0</v>
      </c>
      <c r="Y63" s="1174">
        <v>1.0</v>
      </c>
      <c r="Z63" s="1176" t="s">
        <v>1412</v>
      </c>
      <c r="AA63" s="1174" t="s">
        <v>1412</v>
      </c>
      <c r="AB63" s="1174" t="s">
        <v>1412</v>
      </c>
      <c r="AC63" s="1174">
        <v>0.9780564263322884</v>
      </c>
      <c r="AD63" s="1174" t="s">
        <v>1412</v>
      </c>
      <c r="AE63" s="1174" t="s">
        <v>1412</v>
      </c>
      <c r="AF63" s="1174" t="s">
        <v>1412</v>
      </c>
      <c r="AG63" s="1174" t="s">
        <v>1412</v>
      </c>
      <c r="AH63" s="1174" t="s">
        <v>1412</v>
      </c>
      <c r="AI63" s="1177">
        <v>44907.0</v>
      </c>
      <c r="AJ63" s="1174">
        <v>0.8432601880877743</v>
      </c>
      <c r="AK63" s="1175">
        <v>0.15673981191222572</v>
      </c>
      <c r="AL63" s="1174">
        <v>0.0</v>
      </c>
      <c r="AM63" s="1174">
        <v>1.0</v>
      </c>
      <c r="AN63" s="1176" t="s">
        <v>1412</v>
      </c>
      <c r="AO63" s="1174" t="s">
        <v>1412</v>
      </c>
      <c r="AP63" s="1174" t="s">
        <v>1412</v>
      </c>
      <c r="AQ63" s="1174">
        <v>0.8432601880877743</v>
      </c>
      <c r="AR63" s="1174" t="s">
        <v>1412</v>
      </c>
      <c r="AS63" s="1174" t="s">
        <v>1412</v>
      </c>
      <c r="AT63" s="1174" t="s">
        <v>1412</v>
      </c>
      <c r="AU63" s="1174" t="s">
        <v>1412</v>
      </c>
      <c r="AV63" s="1174" t="s">
        <v>1412</v>
      </c>
      <c r="AW63" s="1139"/>
      <c r="AX63" s="1140" t="s">
        <v>1570</v>
      </c>
      <c r="AY63" s="943" t="s">
        <v>1703</v>
      </c>
      <c r="AZ63" s="943" t="s">
        <v>1704</v>
      </c>
      <c r="BA63" s="943" t="s">
        <v>1705</v>
      </c>
      <c r="BB63" s="943" t="s">
        <v>1706</v>
      </c>
      <c r="BC63" s="943" t="s">
        <v>1707</v>
      </c>
      <c r="BD63" s="943" t="s">
        <v>1708</v>
      </c>
      <c r="BE63" s="943" t="s">
        <v>1709</v>
      </c>
      <c r="BF63" s="943" t="s">
        <v>1710</v>
      </c>
      <c r="BG63" s="943" t="s">
        <v>1711</v>
      </c>
      <c r="BH63" s="943" t="s">
        <v>1712</v>
      </c>
      <c r="BI63" s="943" t="s">
        <v>1713</v>
      </c>
      <c r="BJ63" s="943" t="s">
        <v>1714</v>
      </c>
      <c r="BK63" s="943" t="s">
        <v>1715</v>
      </c>
      <c r="BL63" s="943" t="s">
        <v>1716</v>
      </c>
      <c r="BM63" s="943" t="s">
        <v>1717</v>
      </c>
      <c r="BN63" s="943" t="s">
        <v>1718</v>
      </c>
      <c r="BO63" s="943" t="s">
        <v>1719</v>
      </c>
      <c r="BP63" s="943" t="s">
        <v>1720</v>
      </c>
      <c r="BQ63" s="943" t="s">
        <v>1721</v>
      </c>
      <c r="BR63" s="943" t="s">
        <v>1722</v>
      </c>
      <c r="BS63" s="943" t="s">
        <v>1723</v>
      </c>
      <c r="BT63" s="943" t="s">
        <v>1724</v>
      </c>
      <c r="BU63" s="943" t="s">
        <v>1725</v>
      </c>
      <c r="BV63" s="943" t="s">
        <v>1726</v>
      </c>
      <c r="BW63" s="943" t="s">
        <v>1727</v>
      </c>
      <c r="BX63" s="943" t="s">
        <v>1728</v>
      </c>
      <c r="BY63" s="943" t="s">
        <v>1729</v>
      </c>
      <c r="BZ63" s="943" t="s">
        <v>1730</v>
      </c>
      <c r="CA63" s="943" t="s">
        <v>1731</v>
      </c>
      <c r="CB63" s="943" t="s">
        <v>1732</v>
      </c>
      <c r="CC63" s="943" t="s">
        <v>1733</v>
      </c>
      <c r="CD63" s="943" t="s">
        <v>1734</v>
      </c>
      <c r="CE63" s="943" t="s">
        <v>1735</v>
      </c>
      <c r="CF63" s="943" t="s">
        <v>1736</v>
      </c>
      <c r="CG63" s="943" t="s">
        <v>1737</v>
      </c>
      <c r="CH63" s="943" t="s">
        <v>1738</v>
      </c>
      <c r="CI63" s="943" t="s">
        <v>1739</v>
      </c>
      <c r="CJ63" s="943" t="s">
        <v>1740</v>
      </c>
      <c r="CK63" s="943" t="s">
        <v>1741</v>
      </c>
      <c r="CL63" s="943" t="s">
        <v>1742</v>
      </c>
      <c r="CM63" s="943" t="s">
        <v>1743</v>
      </c>
      <c r="CN63" s="943" t="s">
        <v>1744</v>
      </c>
      <c r="CO63" s="943" t="s">
        <v>1745</v>
      </c>
      <c r="CP63" s="943" t="s">
        <v>1746</v>
      </c>
      <c r="CQ63" s="943" t="s">
        <v>1747</v>
      </c>
      <c r="CR63" s="943" t="s">
        <v>1748</v>
      </c>
      <c r="CS63" s="943" t="s">
        <v>1749</v>
      </c>
      <c r="CT63" s="943" t="s">
        <v>1750</v>
      </c>
      <c r="CU63" s="943" t="s">
        <v>1751</v>
      </c>
    </row>
    <row r="64" ht="16.5" customHeight="1">
      <c r="A64" s="885">
        <v>2022.0</v>
      </c>
      <c r="B64" s="1154">
        <v>44599.0</v>
      </c>
      <c r="C64" s="856" t="s">
        <v>1470</v>
      </c>
      <c r="D64" s="883" t="s">
        <v>1752</v>
      </c>
      <c r="E64" s="885" t="s">
        <v>170</v>
      </c>
      <c r="F64" s="885" t="s">
        <v>146</v>
      </c>
      <c r="G64" s="885" t="s">
        <v>33</v>
      </c>
      <c r="H64" s="1178">
        <v>251.0</v>
      </c>
      <c r="I64" s="884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884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884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884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884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884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884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884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884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889" t="s">
        <v>1753</v>
      </c>
      <c r="S64" s="1158">
        <v>24.61466</v>
      </c>
      <c r="T64" s="1159">
        <v>-81.37912</v>
      </c>
      <c r="U64" s="892">
        <v>44631.0</v>
      </c>
      <c r="V64" s="893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79">
        <f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stats!C3:C""),0))))"),0.08764940239043825)</f>
        <v>0.08764940239</v>
      </c>
      <c r="X64" s="894">
        <f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stats!C:C""),0))"),0.0)</f>
        <v>0</v>
      </c>
      <c r="Y64" s="894">
        <f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stats!C:C""),0))"),1.0)</f>
        <v>1</v>
      </c>
      <c r="Z64" s="894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894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894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894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894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894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894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894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894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892">
        <v>44977.0</v>
      </c>
      <c r="AJ64" s="893">
        <f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"""")"),0.6414342629482072)</f>
        <v>0.6414342629</v>
      </c>
      <c r="AK64" s="1179">
        <f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stats!C3:C""),0))))"),0.1553784860557769)</f>
        <v>0.1553784861</v>
      </c>
      <c r="AL64" s="894">
        <f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stats!C:C""),0)))"),0.20318725099601595)</f>
        <v>0.203187251</v>
      </c>
      <c r="AM64" s="894">
        <f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stats!C:C""),0))"),1.0)</f>
        <v>1</v>
      </c>
      <c r="AN64" s="894" t="str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894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894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894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894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894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894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894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894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"""")"),0.6414342629482072)</f>
        <v>0.6414342629</v>
      </c>
      <c r="AW64" s="897"/>
      <c r="AX64" s="1121" t="str">
        <f>IFERROR(__xludf.DUMMYFUNCTION("TRANSPOSE(UNIQUE(INDEX(IMPORTRANGE(""https://docs.google.com/spreadsheets/d/15ABg9_htwillEZ6kMqJMHHiqT4rLG-oc85pO2Omj0U4/edit#gid=229147938"", D64),,11)))"),"SR (6 singles)")</f>
        <v>SR (6 singles)</v>
      </c>
      <c r="AY64" s="898"/>
      <c r="AZ64" s="898"/>
      <c r="BA64" s="898"/>
      <c r="BB64" s="898"/>
      <c r="BC64" s="898"/>
      <c r="BD64" s="898"/>
      <c r="BE64" s="898"/>
      <c r="BF64" s="898"/>
      <c r="BG64" s="898"/>
      <c r="BH64" s="898"/>
      <c r="BI64" s="898"/>
      <c r="BJ64" s="898"/>
      <c r="BK64" s="898"/>
      <c r="BL64" s="898"/>
      <c r="BM64" s="898"/>
      <c r="BN64" s="898"/>
      <c r="BO64" s="898"/>
      <c r="BP64" s="898"/>
      <c r="BQ64" s="898"/>
      <c r="BR64" s="898"/>
      <c r="BS64" s="898"/>
      <c r="BT64" s="898"/>
      <c r="BU64" s="898"/>
      <c r="BV64" s="898"/>
      <c r="BW64" s="898"/>
      <c r="BX64" s="898"/>
      <c r="BY64" s="898"/>
      <c r="BZ64" s="898"/>
      <c r="CA64" s="898"/>
      <c r="CB64" s="898"/>
      <c r="CC64" s="898"/>
      <c r="CD64" s="898"/>
      <c r="CE64" s="898"/>
      <c r="CF64" s="898"/>
      <c r="CG64" s="898"/>
      <c r="CH64" s="898"/>
      <c r="CI64" s="898"/>
      <c r="CJ64" s="898"/>
      <c r="CK64" s="898"/>
      <c r="CL64" s="898"/>
      <c r="CM64" s="898"/>
      <c r="CN64" s="898"/>
      <c r="CO64" s="898"/>
      <c r="CP64" s="898"/>
      <c r="CQ64" s="898"/>
      <c r="CR64" s="898"/>
      <c r="CS64" s="898"/>
      <c r="CT64" s="898"/>
      <c r="CU64" s="898"/>
    </row>
    <row r="65" ht="16.5" customHeight="1">
      <c r="A65" s="712">
        <v>2022.0</v>
      </c>
      <c r="B65" s="1146">
        <v>44680.0</v>
      </c>
      <c r="C65" s="1085" t="s">
        <v>1521</v>
      </c>
      <c r="D65" s="1086" t="s">
        <v>1754</v>
      </c>
      <c r="E65" s="712" t="s">
        <v>170</v>
      </c>
      <c r="F65" s="712" t="s">
        <v>161</v>
      </c>
      <c r="G65" s="712" t="s">
        <v>65</v>
      </c>
      <c r="H65" s="712">
        <v>489.0</v>
      </c>
      <c r="I65" s="1087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710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710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710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710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710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710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710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80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712" t="s">
        <v>1755</v>
      </c>
      <c r="S65" s="1147">
        <v>24.61524</v>
      </c>
      <c r="T65" s="1148">
        <v>-81.38354</v>
      </c>
      <c r="U65" s="1084">
        <v>44733.0</v>
      </c>
      <c r="V65" s="1090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091">
        <f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stats!C3:C""),0))))"),0.0)</f>
        <v>0</v>
      </c>
      <c r="X65" s="1092">
        <f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stats!C:C""),0))"),0.02044989775051125)</f>
        <v>0.02044989775</v>
      </c>
      <c r="Y65" s="1092">
        <f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stats!C:C""),0))"),1.0)</f>
        <v>1</v>
      </c>
      <c r="Z65" s="1092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092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092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092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092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092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092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092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092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094">
        <v>45043.0</v>
      </c>
      <c r="AJ65" s="1090">
        <f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"""")"),0.9120654396728016)</f>
        <v>0.9120654397</v>
      </c>
      <c r="AK65" s="1091">
        <f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stats!C3:C""),0))))"),0.049079754601226995)</f>
        <v>0.0490797546</v>
      </c>
      <c r="AL65" s="1092">
        <f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stats!C:C""),0)))"),0.03885480572597137)</f>
        <v>0.03885480573</v>
      </c>
      <c r="AM65" s="1092">
        <f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stats!C:C""),0))"),1.0)</f>
        <v>1</v>
      </c>
      <c r="AN65" s="1092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"""")"),0.9553072625698324)</f>
        <v>0.9553072626</v>
      </c>
      <c r="AO65" s="1092" t="str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1092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"""")"),1.0)</f>
        <v>1</v>
      </c>
      <c r="AQ65" s="1092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1092" t="str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1092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092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092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092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181"/>
      <c r="AX65" s="1121" t="str">
        <f>IFERROR(__xludf.DUMMYFUNCTION("TRANSPOSE(UNIQUE(INDEX(IMPORTRANGE(""https://docs.google.com/spreadsheets/d/15ABg9_htwillEZ6kMqJMHHiqT4rLG-oc85pO2Omj0U4/edit#gid=229147938"", D65),,11)))"),"MC1")</f>
        <v>MC1</v>
      </c>
      <c r="AY65" s="898" t="str">
        <f>IFERROR(__xludf.DUMMYFUNCTION("""COMPUTED_VALUE"""),"PS1")</f>
        <v>PS1</v>
      </c>
      <c r="AZ65" s="898" t="str">
        <f>IFERROR(__xludf.DUMMYFUNCTION("""COMPUTED_VALUE"""),"PS18")</f>
        <v>PS18</v>
      </c>
      <c r="BA65" s="898" t="str">
        <f>IFERROR(__xludf.DUMMYFUNCTION("""COMPUTED_VALUE"""),"PS7")</f>
        <v>PS7</v>
      </c>
      <c r="BB65" s="898" t="str">
        <f>IFERROR(__xludf.DUMMYFUNCTION("""COMPUTED_VALUE"""),"PS5")</f>
        <v>PS5</v>
      </c>
      <c r="BC65" s="898" t="str">
        <f>IFERROR(__xludf.DUMMYFUNCTION("""COMPUTED_VALUE"""),"PS6")</f>
        <v>PS6</v>
      </c>
      <c r="BD65" s="898" t="str">
        <f>IFERROR(__xludf.DUMMYFUNCTION("""COMPUTED_VALUE"""),"PS4")</f>
        <v>PS4</v>
      </c>
      <c r="BE65" s="898" t="str">
        <f>IFERROR(__xludf.DUMMYFUNCTION("""COMPUTED_VALUE"""),"PS8")</f>
        <v>PS8</v>
      </c>
      <c r="BF65" s="898" t="str">
        <f>IFERROR(__xludf.DUMMYFUNCTION("""COMPUTED_VALUE"""),"MC52")</f>
        <v>MC52</v>
      </c>
      <c r="BG65" s="898" t="str">
        <f>IFERROR(__xludf.DUMMYFUNCTION("""COMPUTED_VALUE"""),"MC53")</f>
        <v>MC53</v>
      </c>
      <c r="BH65" s="898" t="str">
        <f>IFERROR(__xludf.DUMMYFUNCTION("""COMPUTED_VALUE"""),"MC64")</f>
        <v>MC64</v>
      </c>
      <c r="BI65" s="898" t="str">
        <f>IFERROR(__xludf.DUMMYFUNCTION("""COMPUTED_VALUE"""),"PC13")</f>
        <v>PC13</v>
      </c>
      <c r="BJ65" s="898" t="str">
        <f>IFERROR(__xludf.DUMMYFUNCTION("""COMPUTED_VALUE"""),"PC15")</f>
        <v>PC15</v>
      </c>
      <c r="BK65" s="898" t="str">
        <f>IFERROR(__xludf.DUMMYFUNCTION("""COMPUTED_VALUE"""),"MC62")</f>
        <v>MC62</v>
      </c>
      <c r="BL65" s="898"/>
      <c r="BM65" s="898"/>
      <c r="BN65" s="898"/>
      <c r="BO65" s="898"/>
      <c r="BP65" s="898"/>
      <c r="BQ65" s="898"/>
      <c r="BR65" s="898"/>
      <c r="BS65" s="898"/>
      <c r="BT65" s="898"/>
      <c r="BU65" s="898"/>
      <c r="BV65" s="898"/>
      <c r="BW65" s="898"/>
      <c r="BX65" s="898"/>
      <c r="BY65" s="898"/>
      <c r="BZ65" s="898"/>
      <c r="CA65" s="898"/>
      <c r="CB65" s="898"/>
      <c r="CC65" s="898"/>
      <c r="CD65" s="898"/>
      <c r="CE65" s="898"/>
      <c r="CF65" s="898"/>
      <c r="CG65" s="898"/>
      <c r="CH65" s="898"/>
      <c r="CI65" s="898"/>
      <c r="CJ65" s="898"/>
      <c r="CK65" s="898"/>
      <c r="CL65" s="898"/>
      <c r="CM65" s="898"/>
      <c r="CN65" s="898"/>
      <c r="CO65" s="898"/>
      <c r="CP65" s="898"/>
      <c r="CQ65" s="898"/>
      <c r="CR65" s="898"/>
      <c r="CS65" s="898"/>
      <c r="CT65" s="898"/>
      <c r="CU65" s="898"/>
    </row>
    <row r="66" ht="16.5" customHeight="1">
      <c r="A66" s="885">
        <v>2022.0</v>
      </c>
      <c r="B66" s="1154">
        <v>44767.0</v>
      </c>
      <c r="C66" s="856" t="s">
        <v>1521</v>
      </c>
      <c r="D66" s="883" t="s">
        <v>1756</v>
      </c>
      <c r="E66" s="885" t="s">
        <v>170</v>
      </c>
      <c r="F66" s="885" t="s">
        <v>161</v>
      </c>
      <c r="G66" s="885" t="s">
        <v>33</v>
      </c>
      <c r="H66" s="885">
        <v>190.0</v>
      </c>
      <c r="I66" s="1155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884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884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884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884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884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884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884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182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885" t="s">
        <v>1757</v>
      </c>
      <c r="S66" s="1158">
        <v>24.61511</v>
      </c>
      <c r="T66" s="1159">
        <v>-81.38347</v>
      </c>
      <c r="U66" s="892">
        <v>44799.0</v>
      </c>
      <c r="V66" s="893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79">
        <f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stats!C3:C""),0))))"),0.0)</f>
        <v>0</v>
      </c>
      <c r="X66" s="894">
        <f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stats!C:C""),0))"),0.11052631578947368)</f>
        <v>0.1105263158</v>
      </c>
      <c r="Y66" s="894">
        <f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stats!C:C""),0))"),1.0)</f>
        <v>1</v>
      </c>
      <c r="Z66" s="894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894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894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894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894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894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894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894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894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83"/>
      <c r="AJ66" s="893">
        <f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"""")"),0.6052631578947368)</f>
        <v>0.6052631579</v>
      </c>
      <c r="AK66" s="1179">
        <f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stats!C3:C""),0))))"),0.26842105263157895)</f>
        <v>0.2684210526</v>
      </c>
      <c r="AL66" s="894">
        <f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stats!C:C""),0)))"),0.12631578947368421)</f>
        <v>0.1263157895</v>
      </c>
      <c r="AM66" s="894">
        <f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stats!C:C""),0))"),0.6428571428571429)</f>
        <v>0.6428571429</v>
      </c>
      <c r="AN66" s="894" t="str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894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"""")"),0.7192982456140351)</f>
        <v>0.7192982456</v>
      </c>
      <c r="AP66" s="894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"""")"),0.4342105263157895)</f>
        <v>0.4342105263</v>
      </c>
      <c r="AQ66" s="894" t="str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894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894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894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894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893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181"/>
      <c r="AX66" s="1121" t="str">
        <f>IFERROR(__xludf.DUMMYFUNCTION("TRANSPOSE(UNIQUE(INDEX(IMPORTRANGE(""https://docs.google.com/spreadsheets/d/15ABg9_htwillEZ6kMqJMHHiqT4rLG-oc85pO2Omj0U4/edit#gid=229147938"", D66),,11)))"),"OF800")</f>
        <v>OF800</v>
      </c>
      <c r="AY66" s="898" t="str">
        <f>IFERROR(__xludf.DUMMYFUNCTION("""COMPUTED_VALUE"""),"PC18")</f>
        <v>PC18</v>
      </c>
      <c r="AZ66" s="898" t="str">
        <f>IFERROR(__xludf.DUMMYFUNCTION("""COMPUTED_VALUE"""),"OF801")</f>
        <v>OF801</v>
      </c>
      <c r="BA66" s="898" t="str">
        <f>IFERROR(__xludf.DUMMYFUNCTION("""COMPUTED_VALUE"""),"PC19")</f>
        <v>PC19</v>
      </c>
      <c r="BB66" s="898"/>
      <c r="BC66" s="898"/>
      <c r="BD66" s="898"/>
      <c r="BE66" s="898"/>
      <c r="BF66" s="898"/>
      <c r="BG66" s="898"/>
      <c r="BH66" s="898"/>
      <c r="BI66" s="898"/>
      <c r="BJ66" s="898"/>
      <c r="BK66" s="898"/>
      <c r="BL66" s="898"/>
      <c r="BM66" s="898"/>
      <c r="BN66" s="898"/>
      <c r="BO66" s="898"/>
      <c r="BP66" s="898"/>
      <c r="BQ66" s="898"/>
      <c r="BR66" s="898"/>
      <c r="BS66" s="898"/>
      <c r="BT66" s="898"/>
      <c r="BU66" s="898"/>
      <c r="BV66" s="898"/>
      <c r="BW66" s="898"/>
      <c r="BX66" s="898"/>
      <c r="BY66" s="898"/>
      <c r="BZ66" s="898"/>
      <c r="CA66" s="898"/>
      <c r="CB66" s="898"/>
      <c r="CC66" s="898"/>
      <c r="CD66" s="898"/>
      <c r="CE66" s="898"/>
      <c r="CF66" s="898"/>
      <c r="CG66" s="898"/>
      <c r="CH66" s="898"/>
      <c r="CI66" s="898"/>
      <c r="CJ66" s="898"/>
      <c r="CK66" s="898"/>
      <c r="CL66" s="898"/>
      <c r="CM66" s="898"/>
      <c r="CN66" s="898"/>
      <c r="CO66" s="898"/>
      <c r="CP66" s="898"/>
      <c r="CQ66" s="898"/>
      <c r="CR66" s="898"/>
      <c r="CS66" s="898"/>
      <c r="CT66" s="898"/>
      <c r="CU66" s="898"/>
    </row>
    <row r="67" ht="16.5" customHeight="1">
      <c r="A67" s="930">
        <v>2022.0</v>
      </c>
      <c r="B67" s="1184">
        <v>44860.0</v>
      </c>
      <c r="C67" s="927" t="s">
        <v>1521</v>
      </c>
      <c r="D67" s="928" t="s">
        <v>1758</v>
      </c>
      <c r="E67" s="930" t="s">
        <v>170</v>
      </c>
      <c r="F67" s="930" t="s">
        <v>161</v>
      </c>
      <c r="G67" s="930" t="s">
        <v>33</v>
      </c>
      <c r="H67" s="1185">
        <v>202.0</v>
      </c>
      <c r="I67" s="1186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29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29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29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29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29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29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29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187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30" t="s">
        <v>1759</v>
      </c>
      <c r="S67" s="1188">
        <v>24.61535</v>
      </c>
      <c r="T67" s="1189">
        <v>-81.38367</v>
      </c>
      <c r="U67" s="937">
        <v>44907.0</v>
      </c>
      <c r="V67" s="938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190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39">
        <f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0.0297029703</v>
      </c>
      <c r="Y67" s="939">
        <f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stats!C:C""),0))"),1.0)</f>
        <v>1</v>
      </c>
      <c r="Z67" s="939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39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939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939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39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939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939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939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939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191"/>
      <c r="AJ67" s="938">
        <f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"""")"),0.9158415841584159)</f>
        <v>0.9158415842</v>
      </c>
      <c r="AK67" s="1190">
        <f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stats!C3:C""),0))))"),0.009900990099009901)</f>
        <v>0.009900990099</v>
      </c>
      <c r="AL67" s="939">
        <f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stats!C:C""),0)))"),0.07425742574257425)</f>
        <v>0.07425742574</v>
      </c>
      <c r="AM67" s="939">
        <f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stats!C:C""),0))"),1.0)</f>
        <v>1</v>
      </c>
      <c r="AN67" s="939" t="str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939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"""")"),0.9494949494949495)</f>
        <v>0.9494949495</v>
      </c>
      <c r="AP67" s="939" t="str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939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39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</v>
      </c>
      <c r="AS67" s="939" t="str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939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39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38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192"/>
      <c r="AX67" s="1140" t="str">
        <f>IFERROR(__xludf.DUMMYFUNCTION("TRANSPOSE(UNIQUE(INDEX(IMPORTRANGE(""https://docs.google.com/spreadsheets/d/15ABg9_htwillEZ6kMqJMHHiqT4rLG-oc85pO2Omj0U4/edit#gid=229147938"", D67),,11)))"),"OF773")</f>
        <v>OF773</v>
      </c>
      <c r="AY67" s="943" t="str">
        <f>IFERROR(__xludf.DUMMYFUNCTION("""COMPUTED_VALUE"""),"OF774")</f>
        <v>OF774</v>
      </c>
      <c r="AZ67" s="943" t="str">
        <f>IFERROR(__xludf.DUMMYFUNCTION("""COMPUTED_VALUE"""),"OF775")</f>
        <v>OF775</v>
      </c>
      <c r="BA67" s="943" t="str">
        <f>IFERROR(__xludf.DUMMYFUNCTION("""COMPUTED_VALUE"""),"PA71")</f>
        <v>PA71</v>
      </c>
      <c r="BB67" s="943" t="str">
        <f>IFERROR(__xludf.DUMMYFUNCTION("""COMPUTED_VALUE"""),"PA93")</f>
        <v>PA93</v>
      </c>
      <c r="BC67" s="943" t="str">
        <f>IFERROR(__xludf.DUMMYFUNCTION("""COMPUTED_VALUE"""),"PA96")</f>
        <v>PA96</v>
      </c>
      <c r="BD67" s="943"/>
      <c r="BE67" s="943"/>
      <c r="BF67" s="943"/>
      <c r="BG67" s="943"/>
      <c r="BH67" s="943"/>
      <c r="BI67" s="943"/>
      <c r="BJ67" s="943"/>
      <c r="BK67" s="943"/>
      <c r="BL67" s="943"/>
      <c r="BM67" s="943"/>
      <c r="BN67" s="943"/>
      <c r="BO67" s="943"/>
      <c r="BP67" s="943"/>
      <c r="BQ67" s="943"/>
      <c r="BR67" s="943"/>
      <c r="BS67" s="943"/>
      <c r="BT67" s="943"/>
      <c r="BU67" s="943"/>
      <c r="BV67" s="943"/>
      <c r="BW67" s="943"/>
      <c r="BX67" s="943"/>
      <c r="BY67" s="943"/>
      <c r="BZ67" s="943"/>
      <c r="CA67" s="943"/>
      <c r="CB67" s="943"/>
      <c r="CC67" s="943"/>
      <c r="CD67" s="943"/>
      <c r="CE67" s="943"/>
      <c r="CF67" s="943"/>
      <c r="CG67" s="943"/>
      <c r="CH67" s="943"/>
      <c r="CI67" s="943"/>
      <c r="CJ67" s="943"/>
      <c r="CK67" s="943"/>
      <c r="CL67" s="943"/>
      <c r="CM67" s="943"/>
      <c r="CN67" s="943"/>
      <c r="CO67" s="943"/>
      <c r="CP67" s="943"/>
      <c r="CQ67" s="943"/>
      <c r="CR67" s="943"/>
      <c r="CS67" s="943"/>
      <c r="CT67" s="943"/>
      <c r="CU67" s="943"/>
    </row>
    <row r="68" ht="16.5" customHeight="1">
      <c r="A68" s="1103">
        <v>2023.0</v>
      </c>
      <c r="B68" s="1120">
        <v>45096.0</v>
      </c>
      <c r="C68" s="805" t="s">
        <v>428</v>
      </c>
      <c r="D68" s="1105" t="s">
        <v>1760</v>
      </c>
      <c r="E68" s="1103" t="s">
        <v>170</v>
      </c>
      <c r="F68" s="1103" t="s">
        <v>146</v>
      </c>
      <c r="G68" s="1103" t="s">
        <v>89</v>
      </c>
      <c r="H68" s="1103">
        <v>120.0</v>
      </c>
      <c r="I68" s="1106" t="str">
        <f>IFERROR(__xludf.DUMMYFUNCTION("IFERROR(INDEX(IMPORTRANGE(""https://docs.google.com/spreadsheets/d/15ABg9_htwillEZ6kMqJMHHiqT4rLG-oc85pO2Omj0U4/edit#gid=346089540"", ""By-Species Summary!E3:E""), MATCH(CONCATENATE($D68,I$1),IMPORTRANGE(""https://docs.google.com/spreadsheets/d/15ABg9_htw"&amp;"illEZ6kMqJMHHiqT4rLG-oc85pO2Omj0U4/edit#gid=346089540"",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8" s="1107" t="str">
        <f>IFERROR(__xludf.DUMMYFUNCTION("IFERROR(INDEX(IMPORTRANGE(""https://docs.google.com/spreadsheets/d/15ABg9_htwillEZ6kMqJMHHiqT4rLG-oc85pO2Omj0U4/edit#gid=346089540"", ""By-Species Summary!E3:E""), MATCH(CONCATENATE($D68,J$1),IMPORTRANGE(""https://docs.google.com/spreadsheets/d/15ABg9_htw"&amp;"illEZ6kMqJMHHiqT4rLG-oc85pO2Omj0U4/edit#gid=346089540"",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8" s="1107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07" t="str">
        <f>IFERROR(__xludf.DUMMYFUNCTION("IFERROR(INDEX(IMPORTRANGE(""https://docs.google.com/spreadsheets/d/15ABg9_htwillEZ6kMqJMHHiqT4rLG-oc85pO2Omj0U4/edit#gid=346089540"", ""By-Species Summary!E3:E""), MATCH(CONCATENATE($D68,L$1),IMPORTRANGE(""https://docs.google.com/spreadsheets/d/15ABg9_htw"&amp;"illEZ6kMqJMHHiqT4rLG-oc85pO2Omj0U4/edit#gid=346089540"",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8" s="1107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07" t="str">
        <f>IFERROR(__xludf.DUMMYFUNCTION("IFERROR(INDEX(IMPORTRANGE(""https://docs.google.com/spreadsheets/d/15ABg9_htwillEZ6kMqJMHHiqT4rLG-oc85pO2Omj0U4/edit#gid=346089540"", ""By-Species Summary!E3:E""), MATCH(CONCATENATE($D68,N$1),IMPORTRANGE(""https://docs.google.com/spreadsheets/d/15ABg9_htw"&amp;"illEZ6kMqJMHHiqT4rLG-oc85pO2Omj0U4/edit#gid=346089540"",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8" s="1107" t="str">
        <f>IFERROR(__xludf.DUMMYFUNCTION("IFERROR(INDEX(IMPORTRANGE(""https://docs.google.com/spreadsheets/d/15ABg9_htwillEZ6kMqJMHHiqT4rLG-oc85pO2Omj0U4/edit#gid=346089540"", ""By-Species Summary!E3:E""), MATCH(CONCATENATE($D68,O$1),IMPORTRANGE(""https://docs.google.com/spreadsheets/d/15ABg9_htw"&amp;"illEZ6kMqJMHHiqT4rLG-oc85pO2Omj0U4/edit#gid=346089540"",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8" s="1107" t="str">
        <f>IFERROR(__xludf.DUMMYFUNCTION("IFERROR(INDEX(IMPORTRANGE(""https://docs.google.com/spreadsheets/d/15ABg9_htwillEZ6kMqJMHHiqT4rLG-oc85pO2Omj0U4/edit#gid=346089540"", ""By-Species Summary!E3:E""), MATCH(CONCATENATE($D68,P$1),IMPORTRANGE(""https://docs.google.com/spreadsheets/d/15ABg9_htw"&amp;"illEZ6kMqJMHHiqT4rLG-oc85pO2Omj0U4/edit#gid=346089540"",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8" s="1193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103" t="s">
        <v>1761</v>
      </c>
      <c r="S68" s="1122">
        <v>24.53109</v>
      </c>
      <c r="T68" s="1123">
        <v>-81.48502</v>
      </c>
      <c r="U68" s="1111"/>
      <c r="V68" s="1112" t="str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"""")"),"")</f>
        <v/>
      </c>
      <c r="W68" s="1113" t="str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stats!C3:C""),0))))"),"#N/A")</f>
        <v>#N/A</v>
      </c>
      <c r="X68" s="1114" t="str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stats!C:C""),0))"),"#N/A")</f>
        <v>#N/A</v>
      </c>
      <c r="Y68" s="1114" t="str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stats!C:C""),0))"),"#N/A")</f>
        <v>#N/A</v>
      </c>
      <c r="Z68" s="1114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"""")"),"")</f>
        <v/>
      </c>
      <c r="AA68" s="1114" t="str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"""")"),"")</f>
        <v/>
      </c>
      <c r="AB68" s="1114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"""")"),"")</f>
        <v/>
      </c>
      <c r="AC68" s="1114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"""")"),"")</f>
        <v/>
      </c>
      <c r="AD68" s="1114" t="str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"""")"),"")</f>
        <v/>
      </c>
      <c r="AE68" s="1114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"""")"),"")</f>
        <v/>
      </c>
      <c r="AF68" s="1114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"""")"),"")</f>
        <v/>
      </c>
      <c r="AG68" s="1114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"""")"),"")</f>
        <v/>
      </c>
      <c r="AH68" s="1114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"""")"),"")</f>
        <v/>
      </c>
      <c r="AI68" s="1194"/>
      <c r="AJ68" s="1112" t="str">
        <f>IFERROR(__xludf.DUMMYFUNCTION("IFERROR(index(IMPORTRANGE(""https://docs.google.com/spreadsheets/d/15ABg9_htwillEZ6kMqJMHHiqT4rLG-oc85pO2Omj0U4/edit#gid=346089540"",""NEW summary stats!AO:AO""), MATCH($D68,IMPORTRANGE(""https://docs.google.com/spreadsheets/d/15ABg9_htwillEZ6kMqJMHHiqT4r"&amp;"LG-oc85pO2Omj0U4/edit#gid=346089540"",""NEW summary stats!C:C""),0)), """")"),"")</f>
        <v/>
      </c>
      <c r="AK68" s="1113" t="str">
        <f>IFERROR(__xludf.DUMMYFUNCTION("IF(V68=""N/A"", ""N/A"",SUM(Index(IMPORTRANGE(""https://docs.google.com/spreadsheets/d/15ABg9_htwillEZ6kMqJMHHiqT4rLG-oc85pO2Omj0U4/edit#gid=346089540"", ""NEW summary stats!BA3:BA""), MATCH(D68,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MATCH"&amp;"(D68, IMPORTRANGE(""https://docs.google.com/spreadsheets/d/15ABg9_htwillEZ6kMqJMHHiqT4rLG-oc85pO2Omj0U4/edit#gid=346089540"", ""NEW summary stats!C3:C""),0))))"),"#N/A")</f>
        <v>#N/A</v>
      </c>
      <c r="AL68" s="1114" t="str">
        <f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stats!C:C""),0)))"),"#N/A")</f>
        <v>#N/A</v>
      </c>
      <c r="AM68" s="1114" t="str">
        <f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stats!C:C""),0))"),"#N/A")</f>
        <v>#N/A</v>
      </c>
      <c r="AN68" s="1114" t="str">
        <f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1114" t="str">
        <f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1114" t="str">
        <f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1114" t="str">
        <f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1114" t="str">
        <f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1114" t="str">
        <f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1114" t="str">
        <f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1114" t="str">
        <f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1112" t="str">
        <f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1181"/>
      <c r="AX68" s="1121" t="str">
        <f>IFERROR(__xludf.DUMMYFUNCTION("TRANSPOSE(UNIQUE(INDEX(IMPORTRANGE(""https://docs.google.com/spreadsheets/d/15ABg9_htwillEZ6kMqJMHHiqT4rLG-oc85pO2Omj0U4/edit#gid=229147938"", D68),,11)))"),"#REF!")</f>
        <v>#REF!</v>
      </c>
      <c r="AY68" s="898"/>
      <c r="AZ68" s="898"/>
      <c r="BA68" s="898"/>
      <c r="BB68" s="898"/>
      <c r="BC68" s="898"/>
      <c r="BD68" s="898"/>
      <c r="BE68" s="898"/>
      <c r="BF68" s="898"/>
      <c r="BG68" s="898"/>
      <c r="BH68" s="898"/>
      <c r="BI68" s="898"/>
      <c r="BJ68" s="898"/>
      <c r="BK68" s="898"/>
      <c r="BL68" s="898"/>
      <c r="BM68" s="898"/>
      <c r="BN68" s="898"/>
      <c r="BO68" s="898"/>
      <c r="BP68" s="898"/>
      <c r="BQ68" s="898"/>
      <c r="BR68" s="898"/>
      <c r="BS68" s="898"/>
      <c r="BT68" s="898"/>
      <c r="BU68" s="898"/>
      <c r="BV68" s="898"/>
      <c r="BW68" s="898"/>
      <c r="BX68" s="898"/>
      <c r="BY68" s="898"/>
      <c r="BZ68" s="898"/>
      <c r="CA68" s="898"/>
      <c r="CB68" s="898"/>
      <c r="CC68" s="898"/>
      <c r="CD68" s="898"/>
      <c r="CE68" s="898"/>
      <c r="CF68" s="898"/>
      <c r="CG68" s="898"/>
      <c r="CH68" s="898"/>
      <c r="CI68" s="898"/>
      <c r="CJ68" s="898"/>
      <c r="CK68" s="898"/>
      <c r="CL68" s="898"/>
      <c r="CM68" s="898"/>
      <c r="CN68" s="898"/>
      <c r="CO68" s="898"/>
      <c r="CP68" s="898"/>
      <c r="CQ68" s="898"/>
      <c r="CR68" s="898"/>
      <c r="CS68" s="898"/>
      <c r="CT68" s="898"/>
      <c r="CU68" s="898"/>
    </row>
    <row r="69" ht="16.5" customHeight="1">
      <c r="A69" s="1103">
        <v>2023.0</v>
      </c>
      <c r="B69" s="1120">
        <v>45096.0</v>
      </c>
      <c r="C69" s="805" t="s">
        <v>1762</v>
      </c>
      <c r="D69" s="1105" t="s">
        <v>1763</v>
      </c>
      <c r="E69" s="1103" t="s">
        <v>170</v>
      </c>
      <c r="F69" s="1103" t="s">
        <v>146</v>
      </c>
      <c r="G69" s="1103" t="s">
        <v>89</v>
      </c>
      <c r="H69" s="1103">
        <v>120.0</v>
      </c>
      <c r="I69" s="1106" t="str">
        <f>IFERROR(__xludf.DUMMYFUNCTION("IFERROR(INDEX(IMPORTRANGE(""https://docs.google.com/spreadsheets/d/15ABg9_htwillEZ6kMqJMHHiqT4rLG-oc85pO2Omj0U4/edit#gid=346089540"", ""By-Species Summary!E3:E""), MATCH(CONCATENATE($D69,I$1),IMPORTRANGE(""https://docs.google.com/spreadsheets/d/15ABg9_htw"&amp;"illEZ6kMqJMHHiqT4rLG-oc85pO2Omj0U4/edit#gid=346089540"",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9" s="1107" t="str">
        <f>IFERROR(__xludf.DUMMYFUNCTION("IFERROR(INDEX(IMPORTRANGE(""https://docs.google.com/spreadsheets/d/15ABg9_htwillEZ6kMqJMHHiqT4rLG-oc85pO2Omj0U4/edit#gid=346089540"", ""By-Species Summary!E3:E""), MATCH(CONCATENATE($D69,J$1),IMPORTRANGE(""https://docs.google.com/spreadsheets/d/15ABg9_htw"&amp;"illEZ6kMqJMHHiqT4rLG-oc85pO2Omj0U4/edit#gid=346089540"",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9" s="1107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07" t="str">
        <f>IFERROR(__xludf.DUMMYFUNCTION("IFERROR(INDEX(IMPORTRANGE(""https://docs.google.com/spreadsheets/d/15ABg9_htwillEZ6kMqJMHHiqT4rLG-oc85pO2Omj0U4/edit#gid=346089540"", ""By-Species Summary!E3:E""), MATCH(CONCATENATE($D69,L$1),IMPORTRANGE(""https://docs.google.com/spreadsheets/d/15ABg9_htw"&amp;"illEZ6kMqJMHHiqT4rLG-oc85pO2Omj0U4/edit#gid=346089540"",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9" s="1107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07" t="str">
        <f>IFERROR(__xludf.DUMMYFUNCTION("IFERROR(INDEX(IMPORTRANGE(""https://docs.google.com/spreadsheets/d/15ABg9_htwillEZ6kMqJMHHiqT4rLG-oc85pO2Omj0U4/edit#gid=346089540"", ""By-Species Summary!E3:E""), MATCH(CONCATENATE($D69,N$1),IMPORTRANGE(""https://docs.google.com/spreadsheets/d/15ABg9_htw"&amp;"illEZ6kMqJMHHiqT4rLG-oc85pO2Omj0U4/edit#gid=346089540"",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9" s="1107" t="str">
        <f>IFERROR(__xludf.DUMMYFUNCTION("IFERROR(INDEX(IMPORTRANGE(""https://docs.google.com/spreadsheets/d/15ABg9_htwillEZ6kMqJMHHiqT4rLG-oc85pO2Omj0U4/edit#gid=346089540"", ""By-Species Summary!E3:E""), MATCH(CONCATENATE($D69,O$1),IMPORTRANGE(""https://docs.google.com/spreadsheets/d/15ABg9_htw"&amp;"illEZ6kMqJMHHiqT4rLG-oc85pO2Omj0U4/edit#gid=346089540"",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9" s="1107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193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103" t="s">
        <v>1761</v>
      </c>
      <c r="S69" s="1122">
        <v>24.54047</v>
      </c>
      <c r="T69" s="1123">
        <v>-81.44465</v>
      </c>
      <c r="U69" s="1111"/>
      <c r="V69" s="1112" t="str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"""")"),"")</f>
        <v/>
      </c>
      <c r="W69" s="1113" t="str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stats!C3:C""),0))))"),"#N/A")</f>
        <v>#N/A</v>
      </c>
      <c r="X69" s="1114" t="str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stats!C:C""),0))"),"#N/A")</f>
        <v>#N/A</v>
      </c>
      <c r="Y69" s="1114" t="str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stats!C:C""),0))"),"#N/A")</f>
        <v>#N/A</v>
      </c>
      <c r="Z69" s="1114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"""")"),"")</f>
        <v/>
      </c>
      <c r="AA69" s="1114" t="str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"""")"),"")</f>
        <v/>
      </c>
      <c r="AB69" s="1114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"""")"),"")</f>
        <v/>
      </c>
      <c r="AC69" s="1114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"""")"),"")</f>
        <v/>
      </c>
      <c r="AD69" s="1114" t="str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"""")"),"")</f>
        <v/>
      </c>
      <c r="AE69" s="1114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"""")"),"")</f>
        <v/>
      </c>
      <c r="AF69" s="1114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"""")"),"")</f>
        <v/>
      </c>
      <c r="AG69" s="1114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"""")"),"")</f>
        <v/>
      </c>
      <c r="AH69" s="1114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"""")"),"")</f>
        <v/>
      </c>
      <c r="AI69" s="1194"/>
      <c r="AJ69" s="1112" t="str">
        <f>IFERROR(__xludf.DUMMYFUNCTION("IFERROR(index(IMPORTRANGE(""https://docs.google.com/spreadsheets/d/15ABg9_htwillEZ6kMqJMHHiqT4rLG-oc85pO2Omj0U4/edit#gid=346089540"",""NEW summary stats!AO:AO""), MATCH($D69,IMPORTRANGE(""https://docs.google.com/spreadsheets/d/15ABg9_htwillEZ6kMqJMHHiqT4r"&amp;"LG-oc85pO2Omj0U4/edit#gid=346089540"",""NEW summary stats!C:C""),0)), """")"),"")</f>
        <v/>
      </c>
      <c r="AK69" s="1113" t="str">
        <f>IFERROR(__xludf.DUMMYFUNCTION("IF(V69=""N/A"", ""N/A"",SUM(Index(IMPORTRANGE(""https://docs.google.com/spreadsheets/d/15ABg9_htwillEZ6kMqJMHHiqT4rLG-oc85pO2Omj0U4/edit#gid=346089540"", ""NEW summary stats!BA3:BA""), MATCH(D69,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MATCH"&amp;"(D69, IMPORTRANGE(""https://docs.google.com/spreadsheets/d/15ABg9_htwillEZ6kMqJMHHiqT4rLG-oc85pO2Omj0U4/edit#gid=346089540"", ""NEW summary stats!C3:C""),0))))"),"#N/A")</f>
        <v>#N/A</v>
      </c>
      <c r="AL69" s="1114" t="str">
        <f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stats!C:C""),0)))"),"#N/A")</f>
        <v>#N/A</v>
      </c>
      <c r="AM69" s="1114" t="str">
        <f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stats!C:C""),0))"),"#N/A")</f>
        <v>#N/A</v>
      </c>
      <c r="AN69" s="1114" t="str">
        <f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1114" t="str">
        <f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1114" t="str">
        <f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1114" t="str">
        <f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1114" t="str">
        <f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1114" t="str">
        <f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1114" t="str">
        <f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1114" t="str">
        <f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1112" t="str">
        <f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1181"/>
      <c r="AX69" s="1121" t="str">
        <f>IFERROR(__xludf.DUMMYFUNCTION("TRANSPOSE(UNIQUE(INDEX(IMPORTRANGE(""https://docs.google.com/spreadsheets/d/15ABg9_htwillEZ6kMqJMHHiqT4rLG-oc85pO2Omj0U4/edit#gid=229147938"", D69),,11)))"),"#REF!")</f>
        <v>#REF!</v>
      </c>
      <c r="AY69" s="898"/>
      <c r="AZ69" s="898"/>
      <c r="BA69" s="898"/>
      <c r="BB69" s="898"/>
      <c r="BC69" s="898"/>
      <c r="BD69" s="898"/>
      <c r="BE69" s="898"/>
      <c r="BF69" s="898"/>
      <c r="BG69" s="898"/>
      <c r="BH69" s="898"/>
      <c r="BI69" s="898"/>
      <c r="BJ69" s="898"/>
      <c r="BK69" s="898"/>
      <c r="BL69" s="898"/>
      <c r="BM69" s="898"/>
      <c r="BN69" s="898"/>
      <c r="BO69" s="898"/>
      <c r="BP69" s="898"/>
      <c r="BQ69" s="898"/>
      <c r="BR69" s="898"/>
      <c r="BS69" s="898"/>
      <c r="BT69" s="898"/>
      <c r="BU69" s="898"/>
      <c r="BV69" s="898"/>
      <c r="BW69" s="898"/>
      <c r="BX69" s="898"/>
      <c r="BY69" s="898"/>
      <c r="BZ69" s="898"/>
      <c r="CA69" s="898"/>
      <c r="CB69" s="898"/>
      <c r="CC69" s="898"/>
      <c r="CD69" s="898"/>
      <c r="CE69" s="898"/>
      <c r="CF69" s="898"/>
      <c r="CG69" s="898"/>
      <c r="CH69" s="898"/>
      <c r="CI69" s="898"/>
      <c r="CJ69" s="898"/>
      <c r="CK69" s="898"/>
      <c r="CL69" s="898"/>
      <c r="CM69" s="898"/>
      <c r="CN69" s="898"/>
      <c r="CO69" s="898"/>
      <c r="CP69" s="898"/>
      <c r="CQ69" s="898"/>
      <c r="CR69" s="898"/>
      <c r="CS69" s="898"/>
      <c r="CT69" s="898"/>
      <c r="CU69" s="898"/>
    </row>
    <row r="70" ht="16.5" customHeight="1">
      <c r="A70" s="1103">
        <v>2023.0</v>
      </c>
      <c r="B70" s="1120">
        <v>45096.0</v>
      </c>
      <c r="C70" s="805" t="s">
        <v>577</v>
      </c>
      <c r="D70" s="1105" t="s">
        <v>1764</v>
      </c>
      <c r="E70" s="1103" t="s">
        <v>170</v>
      </c>
      <c r="F70" s="1103" t="s">
        <v>146</v>
      </c>
      <c r="G70" s="1103" t="s">
        <v>89</v>
      </c>
      <c r="H70" s="1103">
        <v>120.0</v>
      </c>
      <c r="I70" s="1106" t="str">
        <f>IFERROR(__xludf.DUMMYFUNCTION("IFERROR(INDEX(IMPORTRANGE(""https://docs.google.com/spreadsheets/d/15ABg9_htwillEZ6kMqJMHHiqT4rLG-oc85pO2Omj0U4/edit#gid=346089540"", ""By-Species Summary!E3:E""), MATCH(CONCATENATE($D70,I$1),IMPORTRANGE(""https://docs.google.com/spreadsheets/d/15ABg9_htw"&amp;"illEZ6kMqJMHHiqT4rLG-oc85pO2Omj0U4/edit#gid=346089540"",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0" s="1107" t="str">
        <f>IFERROR(__xludf.DUMMYFUNCTION("IFERROR(INDEX(IMPORTRANGE(""https://docs.google.com/spreadsheets/d/15ABg9_htwillEZ6kMqJMHHiqT4rLG-oc85pO2Omj0U4/edit#gid=346089540"", ""By-Species Summary!E3:E""), MATCH(CONCATENATE($D70,J$1),IMPORTRANGE(""https://docs.google.com/spreadsheets/d/15ABg9_htw"&amp;"illEZ6kMqJMHHiqT4rLG-oc85pO2Omj0U4/edit#gid=346089540"",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0" s="1107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07" t="str">
        <f>IFERROR(__xludf.DUMMYFUNCTION("IFERROR(INDEX(IMPORTRANGE(""https://docs.google.com/spreadsheets/d/15ABg9_htwillEZ6kMqJMHHiqT4rLG-oc85pO2Omj0U4/edit#gid=346089540"", ""By-Species Summary!E3:E""), MATCH(CONCATENATE($D70,L$1),IMPORTRANGE(""https://docs.google.com/spreadsheets/d/15ABg9_htw"&amp;"illEZ6kMqJMHHiqT4rLG-oc85pO2Omj0U4/edit#gid=346089540"",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0" s="1107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07" t="str">
        <f>IFERROR(__xludf.DUMMYFUNCTION("IFERROR(INDEX(IMPORTRANGE(""https://docs.google.com/spreadsheets/d/15ABg9_htwillEZ6kMqJMHHiqT4rLG-oc85pO2Omj0U4/edit#gid=346089540"", ""By-Species Summary!E3:E""), MATCH(CONCATENATE($D70,N$1),IMPORTRANGE(""https://docs.google.com/spreadsheets/d/15ABg9_htw"&amp;"illEZ6kMqJMHHiqT4rLG-oc85pO2Omj0U4/edit#gid=346089540"",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0" s="1107" t="str">
        <f>IFERROR(__xludf.DUMMYFUNCTION("IFERROR(INDEX(IMPORTRANGE(""https://docs.google.com/spreadsheets/d/15ABg9_htwillEZ6kMqJMHHiqT4rLG-oc85pO2Omj0U4/edit#gid=346089540"", ""By-Species Summary!E3:E""), MATCH(CONCATENATE($D70,O$1),IMPORTRANGE(""https://docs.google.com/spreadsheets/d/15ABg9_htw"&amp;"illEZ6kMqJMHHiqT4rLG-oc85pO2Omj0U4/edit#gid=346089540"",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0" s="1107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193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103" t="s">
        <v>1761</v>
      </c>
      <c r="S70" s="1122">
        <v>24.52757</v>
      </c>
      <c r="T70" s="1123">
        <v>-81.49843</v>
      </c>
      <c r="U70" s="1111"/>
      <c r="V70" s="1112" t="str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"""")"),"")</f>
        <v/>
      </c>
      <c r="W70" s="1113" t="str">
        <f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stats!C3:C""),0))))"),"#N/A")</f>
        <v>#N/A</v>
      </c>
      <c r="X70" s="1114" t="str">
        <f>IFERROR(__xludf.DUMMYFUNCTION("INDEX(IMPORTRANGE(""https://docs.google.com/spreadsheets/d/15ABg9_htwillEZ6kMqJMHHiqT4rLG-oc85pO2Omj0U4/edit#gid=346089540"", ""NEW summary stats!X:X""),MATCH(D70,IMPORTRANGE(""https://docs.google.com/spreadsheets/d/15ABg9_htwillEZ6kMqJMHHiqT4rLG-oc85pO2O"&amp;"mj0U4/edit#gid=346089540"", ""NEW summary stats!C:C""),0))"),"#N/A")</f>
        <v>#N/A</v>
      </c>
      <c r="Y70" s="1114" t="str">
        <f>IFERROR(__xludf.DUMMYFUNCTION("INDEX(IMPORTRANGE(""https://docs.google.com/spreadsheets/d/15ABg9_htwillEZ6kMqJMHHiqT4rLG-oc85pO2Omj0U4/edit#gid=346089540"", ""NEW summary stats!R:R""),MATCH(D70,IMPORTRANGE(""https://docs.google.com/spreadsheets/d/15ABg9_htwillEZ6kMqJMHHiqT4rLG-oc85pO2O"&amp;"mj0U4/edit#gid=346089540"", ""NEW summary stats!C:C""),0))"),"#N/A")</f>
        <v>#N/A</v>
      </c>
      <c r="Z70" s="1114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"""")"),"")</f>
        <v/>
      </c>
      <c r="AA70" s="1114" t="str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"""")"),"")</f>
        <v/>
      </c>
      <c r="AB70" s="1114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"""")"),"")</f>
        <v/>
      </c>
      <c r="AC70" s="1114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"""")"),"")</f>
        <v/>
      </c>
      <c r="AD70" s="1114" t="str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"""")"),"")</f>
        <v/>
      </c>
      <c r="AE70" s="1114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"""")"),"")</f>
        <v/>
      </c>
      <c r="AF70" s="1114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"""")"),"")</f>
        <v/>
      </c>
      <c r="AG70" s="1114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"""")"),"")</f>
        <v/>
      </c>
      <c r="AH70" s="1114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"""")"),"")</f>
        <v/>
      </c>
      <c r="AI70" s="1194"/>
      <c r="AJ70" s="1112" t="str">
        <f>IFERROR(__xludf.DUMMYFUNCTION("IFERROR(index(IMPORTRANGE(""https://docs.google.com/spreadsheets/d/15ABg9_htwillEZ6kMqJMHHiqT4rLG-oc85pO2Omj0U4/edit#gid=346089540"",""NEW summary stats!AO:AO""), MATCH($D70,IMPORTRANGE(""https://docs.google.com/spreadsheets/d/15ABg9_htwillEZ6kMqJMHHiqT4r"&amp;"LG-oc85pO2Omj0U4/edit#gid=346089540"",""NEW summary stats!C:C""),0)), """")"),"")</f>
        <v/>
      </c>
      <c r="AK70" s="1113" t="str">
        <f>IFERROR(__xludf.DUMMYFUNCTION("IF(V70=""N/A"", ""N/A"",SUM(Index(IMPORTRANGE(""https://docs.google.com/spreadsheets/d/15ABg9_htwillEZ6kMqJMHHiqT4rLG-oc85pO2Omj0U4/edit#gid=346089540"", ""NEW summary stats!BA3:BA""), MATCH(D70,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MATCH"&amp;"(D70, IMPORTRANGE(""https://docs.google.com/spreadsheets/d/15ABg9_htwillEZ6kMqJMHHiqT4rLG-oc85pO2Omj0U4/edit#gid=346089540"", ""NEW summary stats!C3:C""),0))))"),"#N/A")</f>
        <v>#N/A</v>
      </c>
      <c r="AL70" s="1114" t="str">
        <f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stats!C:C""),0)))"),"#N/A")</f>
        <v>#N/A</v>
      </c>
      <c r="AM70" s="1114" t="str">
        <f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stats!C:C""),0))"),"#N/A")</f>
        <v>#N/A</v>
      </c>
      <c r="AN70" s="1114" t="str">
        <f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1114" t="str">
        <f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1114" t="str">
        <f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1114" t="str">
        <f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1114" t="str">
        <f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1114" t="str">
        <f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1114" t="str">
        <f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1114" t="str">
        <f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1112" t="str">
        <f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1181"/>
      <c r="AX70" s="1121" t="str">
        <f>IFERROR(__xludf.DUMMYFUNCTION("TRANSPOSE(UNIQUE(INDEX(IMPORTRANGE(""https://docs.google.com/spreadsheets/d/15ABg9_htwillEZ6kMqJMHHiqT4rLG-oc85pO2Omj0U4/edit#gid=229147938"", D70),,11)))"),"#REF!")</f>
        <v>#REF!</v>
      </c>
      <c r="AY70" s="898"/>
      <c r="AZ70" s="898"/>
      <c r="BA70" s="898"/>
      <c r="BB70" s="898"/>
      <c r="BC70" s="898"/>
      <c r="BD70" s="898"/>
      <c r="BE70" s="898"/>
      <c r="BF70" s="898"/>
      <c r="BG70" s="898"/>
      <c r="BH70" s="898"/>
      <c r="BI70" s="898"/>
      <c r="BJ70" s="898"/>
      <c r="BK70" s="898"/>
      <c r="BL70" s="898"/>
      <c r="BM70" s="898"/>
      <c r="BN70" s="898"/>
      <c r="BO70" s="898"/>
      <c r="BP70" s="898"/>
      <c r="BQ70" s="898"/>
      <c r="BR70" s="898"/>
      <c r="BS70" s="898"/>
      <c r="BT70" s="898"/>
      <c r="BU70" s="898"/>
      <c r="BV70" s="898"/>
      <c r="BW70" s="898"/>
      <c r="BX70" s="898"/>
      <c r="BY70" s="898"/>
      <c r="BZ70" s="898"/>
      <c r="CA70" s="898"/>
      <c r="CB70" s="898"/>
      <c r="CC70" s="898"/>
      <c r="CD70" s="898"/>
      <c r="CE70" s="898"/>
      <c r="CF70" s="898"/>
      <c r="CG70" s="898"/>
      <c r="CH70" s="898"/>
      <c r="CI70" s="898"/>
      <c r="CJ70" s="898"/>
      <c r="CK70" s="898"/>
      <c r="CL70" s="898"/>
      <c r="CM70" s="898"/>
      <c r="CN70" s="898"/>
      <c r="CO70" s="898"/>
      <c r="CP70" s="898"/>
      <c r="CQ70" s="898"/>
      <c r="CR70" s="898"/>
      <c r="CS70" s="898"/>
      <c r="CT70" s="898"/>
      <c r="CU70" s="898"/>
    </row>
    <row r="71" ht="16.5" customHeight="1">
      <c r="A71" s="718">
        <v>2023.0</v>
      </c>
      <c r="B71" s="1195">
        <v>45120.0</v>
      </c>
      <c r="C71" s="866" t="s">
        <v>1449</v>
      </c>
      <c r="D71" s="968" t="s">
        <v>1765</v>
      </c>
      <c r="E71" s="718" t="s">
        <v>170</v>
      </c>
      <c r="F71" s="718" t="s">
        <v>146</v>
      </c>
      <c r="G71" s="718" t="s">
        <v>94</v>
      </c>
      <c r="H71" s="718">
        <v>1040.0</v>
      </c>
      <c r="I71" s="969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359" t="str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359" t="str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359" t="str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359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359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359" t="str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359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196" t="str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718" t="s">
        <v>1766</v>
      </c>
      <c r="S71" s="669">
        <v>24.54075</v>
      </c>
      <c r="T71" s="669">
        <v>-81.78738</v>
      </c>
      <c r="U71" s="967"/>
      <c r="V71" s="974"/>
      <c r="W71" s="1197"/>
      <c r="X71" s="974"/>
      <c r="Y71" s="974"/>
      <c r="Z71" s="974"/>
      <c r="AA71" s="974"/>
      <c r="AB71" s="974"/>
      <c r="AC71" s="974"/>
      <c r="AD71" s="974"/>
      <c r="AE71" s="974"/>
      <c r="AF71" s="974"/>
      <c r="AG71" s="974"/>
      <c r="AH71" s="974"/>
      <c r="AI71" s="1198"/>
      <c r="AJ71" s="974"/>
      <c r="AK71" s="1197"/>
      <c r="AL71" s="974"/>
      <c r="AM71" s="974"/>
      <c r="AN71" s="974"/>
      <c r="AO71" s="974"/>
      <c r="AP71" s="974"/>
      <c r="AQ71" s="974"/>
      <c r="AR71" s="974"/>
      <c r="AS71" s="974"/>
      <c r="AT71" s="974"/>
      <c r="AU71" s="974"/>
      <c r="AV71" s="974"/>
      <c r="AW71" s="1181"/>
      <c r="AX71" s="978"/>
      <c r="AY71" s="898"/>
      <c r="AZ71" s="898"/>
      <c r="BA71" s="898"/>
      <c r="BB71" s="898"/>
      <c r="BC71" s="898"/>
      <c r="BD71" s="898"/>
      <c r="BE71" s="898"/>
      <c r="BF71" s="898"/>
      <c r="BG71" s="898"/>
      <c r="BH71" s="898"/>
      <c r="BI71" s="898"/>
      <c r="BJ71" s="898"/>
      <c r="BK71" s="898"/>
      <c r="BL71" s="898"/>
      <c r="BM71" s="898"/>
      <c r="BN71" s="898"/>
      <c r="BO71" s="898"/>
      <c r="BP71" s="898"/>
      <c r="BQ71" s="898"/>
      <c r="BR71" s="898"/>
      <c r="BS71" s="898"/>
      <c r="BT71" s="898"/>
      <c r="BU71" s="898"/>
      <c r="BV71" s="898"/>
      <c r="BW71" s="898"/>
      <c r="BX71" s="898"/>
      <c r="BY71" s="898"/>
      <c r="BZ71" s="898"/>
      <c r="CA71" s="898"/>
      <c r="CB71" s="898"/>
      <c r="CC71" s="898"/>
      <c r="CD71" s="898"/>
      <c r="CE71" s="898"/>
      <c r="CF71" s="898"/>
      <c r="CG71" s="898"/>
      <c r="CH71" s="898"/>
      <c r="CI71" s="898"/>
      <c r="CJ71" s="898"/>
      <c r="CK71" s="898"/>
      <c r="CL71" s="898"/>
      <c r="CM71" s="898"/>
      <c r="CN71" s="898"/>
      <c r="CO71" s="898"/>
      <c r="CP71" s="898"/>
      <c r="CQ71" s="898"/>
      <c r="CR71" s="898"/>
      <c r="CS71" s="898"/>
      <c r="CT71" s="898"/>
      <c r="CU71" s="898"/>
    </row>
    <row r="72" ht="16.5" customHeight="1">
      <c r="A72" s="718"/>
      <c r="B72" s="1195"/>
      <c r="C72" s="866"/>
      <c r="D72" s="968"/>
      <c r="E72" s="718"/>
      <c r="F72" s="718"/>
      <c r="G72" s="718"/>
      <c r="H72" s="718"/>
      <c r="I72" s="359"/>
      <c r="J72" s="359"/>
      <c r="K72" s="359"/>
      <c r="L72" s="359"/>
      <c r="M72" s="359"/>
      <c r="N72" s="359"/>
      <c r="O72" s="359"/>
      <c r="P72" s="359"/>
      <c r="Q72" s="359"/>
      <c r="R72" s="718"/>
      <c r="S72" s="669"/>
      <c r="T72" s="669"/>
      <c r="U72" s="967"/>
      <c r="V72" s="974"/>
      <c r="W72" s="1197"/>
      <c r="X72" s="974"/>
      <c r="Y72" s="974"/>
      <c r="Z72" s="974"/>
      <c r="AA72" s="974"/>
      <c r="AB72" s="974"/>
      <c r="AC72" s="974"/>
      <c r="AD72" s="974"/>
      <c r="AE72" s="974"/>
      <c r="AF72" s="974"/>
      <c r="AG72" s="974"/>
      <c r="AH72" s="974"/>
      <c r="AI72" s="1198"/>
      <c r="AJ72" s="974"/>
      <c r="AK72" s="1197"/>
      <c r="AL72" s="974"/>
      <c r="AM72" s="974"/>
      <c r="AN72" s="974"/>
      <c r="AO72" s="974"/>
      <c r="AP72" s="974"/>
      <c r="AQ72" s="974"/>
      <c r="AR72" s="974"/>
      <c r="AS72" s="974"/>
      <c r="AT72" s="974"/>
      <c r="AU72" s="974"/>
      <c r="AV72" s="974"/>
      <c r="AW72" s="1181"/>
      <c r="AX72" s="978"/>
      <c r="AY72" s="898"/>
      <c r="AZ72" s="898"/>
      <c r="BA72" s="898"/>
      <c r="BB72" s="898"/>
      <c r="BC72" s="898"/>
      <c r="BD72" s="898"/>
      <c r="BE72" s="898"/>
      <c r="BF72" s="898"/>
      <c r="BG72" s="898"/>
      <c r="BH72" s="898"/>
      <c r="BI72" s="898"/>
      <c r="BJ72" s="898"/>
      <c r="BK72" s="898"/>
      <c r="BL72" s="898"/>
      <c r="BM72" s="898"/>
      <c r="BN72" s="898"/>
      <c r="BO72" s="898"/>
      <c r="BP72" s="898"/>
      <c r="BQ72" s="898"/>
      <c r="BR72" s="898"/>
      <c r="BS72" s="898"/>
      <c r="BT72" s="898"/>
      <c r="BU72" s="898"/>
      <c r="BV72" s="898"/>
      <c r="BW72" s="898"/>
      <c r="BX72" s="898"/>
      <c r="BY72" s="898"/>
      <c r="BZ72" s="898"/>
      <c r="CA72" s="898"/>
      <c r="CB72" s="898"/>
      <c r="CC72" s="898"/>
      <c r="CD72" s="898"/>
      <c r="CE72" s="898"/>
      <c r="CF72" s="898"/>
      <c r="CG72" s="898"/>
      <c r="CH72" s="898"/>
      <c r="CI72" s="898"/>
      <c r="CJ72" s="898"/>
      <c r="CK72" s="898"/>
      <c r="CL72" s="898"/>
      <c r="CM72" s="898"/>
      <c r="CN72" s="898"/>
      <c r="CO72" s="898"/>
      <c r="CP72" s="898"/>
      <c r="CQ72" s="898"/>
      <c r="CR72" s="898"/>
      <c r="CS72" s="898"/>
      <c r="CT72" s="898"/>
      <c r="CU72" s="898"/>
    </row>
    <row r="73" ht="16.5" customHeight="1">
      <c r="A73" s="718"/>
      <c r="B73" s="1195"/>
      <c r="C73" s="866"/>
      <c r="D73" s="968"/>
      <c r="E73" s="718"/>
      <c r="F73" s="718"/>
      <c r="G73" s="718"/>
      <c r="H73" s="718"/>
      <c r="I73" s="359"/>
      <c r="J73" s="359"/>
      <c r="K73" s="359"/>
      <c r="L73" s="359"/>
      <c r="M73" s="359"/>
      <c r="N73" s="359"/>
      <c r="O73" s="359"/>
      <c r="P73" s="359"/>
      <c r="Q73" s="359"/>
      <c r="R73" s="718"/>
      <c r="S73" s="669"/>
      <c r="T73" s="669"/>
      <c r="U73" s="967"/>
      <c r="V73" s="974"/>
      <c r="W73" s="1197"/>
      <c r="X73" s="974"/>
      <c r="Y73" s="974"/>
      <c r="Z73" s="974"/>
      <c r="AA73" s="974"/>
      <c r="AB73" s="974"/>
      <c r="AC73" s="974"/>
      <c r="AD73" s="974"/>
      <c r="AE73" s="974"/>
      <c r="AF73" s="974"/>
      <c r="AG73" s="974"/>
      <c r="AH73" s="974"/>
      <c r="AI73" s="1198"/>
      <c r="AJ73" s="974"/>
      <c r="AK73" s="1197"/>
      <c r="AL73" s="974"/>
      <c r="AM73" s="974"/>
      <c r="AN73" s="974"/>
      <c r="AO73" s="974"/>
      <c r="AP73" s="974"/>
      <c r="AQ73" s="974"/>
      <c r="AR73" s="974"/>
      <c r="AS73" s="974"/>
      <c r="AT73" s="974"/>
      <c r="AU73" s="974"/>
      <c r="AV73" s="974"/>
      <c r="AW73" s="1181"/>
      <c r="AX73" s="978"/>
      <c r="AY73" s="898"/>
      <c r="AZ73" s="898"/>
      <c r="BA73" s="898"/>
      <c r="BB73" s="898"/>
      <c r="BC73" s="898"/>
      <c r="BD73" s="898"/>
      <c r="BE73" s="898"/>
      <c r="BF73" s="898"/>
      <c r="BG73" s="898"/>
      <c r="BH73" s="898"/>
      <c r="BI73" s="898"/>
      <c r="BJ73" s="898"/>
      <c r="BK73" s="898"/>
      <c r="BL73" s="898"/>
      <c r="BM73" s="898"/>
      <c r="BN73" s="898"/>
      <c r="BO73" s="898"/>
      <c r="BP73" s="898"/>
      <c r="BQ73" s="898"/>
      <c r="BR73" s="898"/>
      <c r="BS73" s="898"/>
      <c r="BT73" s="898"/>
      <c r="BU73" s="898"/>
      <c r="BV73" s="898"/>
      <c r="BW73" s="898"/>
      <c r="BX73" s="898"/>
      <c r="BY73" s="898"/>
      <c r="BZ73" s="898"/>
      <c r="CA73" s="898"/>
      <c r="CB73" s="898"/>
      <c r="CC73" s="898"/>
      <c r="CD73" s="898"/>
      <c r="CE73" s="898"/>
      <c r="CF73" s="898"/>
      <c r="CG73" s="898"/>
      <c r="CH73" s="898"/>
      <c r="CI73" s="898"/>
      <c r="CJ73" s="898"/>
      <c r="CK73" s="898"/>
      <c r="CL73" s="898"/>
      <c r="CM73" s="898"/>
      <c r="CN73" s="898"/>
      <c r="CO73" s="898"/>
      <c r="CP73" s="898"/>
      <c r="CQ73" s="898"/>
      <c r="CR73" s="898"/>
      <c r="CS73" s="898"/>
      <c r="CT73" s="898"/>
      <c r="CU73" s="898"/>
    </row>
    <row r="74" ht="16.5" customHeight="1">
      <c r="A74" s="718"/>
      <c r="B74" s="1195"/>
      <c r="C74" s="866"/>
      <c r="D74" s="968"/>
      <c r="E74" s="718"/>
      <c r="F74" s="718"/>
      <c r="G74" s="718"/>
      <c r="H74" s="718"/>
      <c r="I74" s="359"/>
      <c r="J74" s="359"/>
      <c r="K74" s="359"/>
      <c r="L74" s="359"/>
      <c r="M74" s="359"/>
      <c r="N74" s="359"/>
      <c r="O74" s="359"/>
      <c r="P74" s="359"/>
      <c r="Q74" s="359"/>
      <c r="R74" s="718"/>
      <c r="S74" s="669"/>
      <c r="T74" s="669"/>
      <c r="U74" s="967"/>
      <c r="V74" s="974"/>
      <c r="W74" s="1197"/>
      <c r="X74" s="974"/>
      <c r="Y74" s="974"/>
      <c r="Z74" s="974"/>
      <c r="AA74" s="974"/>
      <c r="AB74" s="974"/>
      <c r="AC74" s="974"/>
      <c r="AD74" s="974"/>
      <c r="AE74" s="974"/>
      <c r="AF74" s="974"/>
      <c r="AG74" s="974"/>
      <c r="AH74" s="974"/>
      <c r="AI74" s="1198"/>
      <c r="AJ74" s="974"/>
      <c r="AK74" s="1197"/>
      <c r="AL74" s="974"/>
      <c r="AM74" s="974"/>
      <c r="AN74" s="974"/>
      <c r="AO74" s="974"/>
      <c r="AP74" s="974"/>
      <c r="AQ74" s="974"/>
      <c r="AR74" s="974"/>
      <c r="AS74" s="974"/>
      <c r="AT74" s="974"/>
      <c r="AU74" s="974"/>
      <c r="AV74" s="974"/>
      <c r="AW74" s="1181"/>
      <c r="AX74" s="978"/>
      <c r="AY74" s="898"/>
      <c r="AZ74" s="898"/>
      <c r="BA74" s="898"/>
      <c r="BB74" s="898"/>
      <c r="BC74" s="898"/>
      <c r="BD74" s="898"/>
      <c r="BE74" s="898"/>
      <c r="BF74" s="898"/>
      <c r="BG74" s="898"/>
      <c r="BH74" s="898"/>
      <c r="BI74" s="898"/>
      <c r="BJ74" s="898"/>
      <c r="BK74" s="898"/>
      <c r="BL74" s="898"/>
      <c r="BM74" s="898"/>
      <c r="BN74" s="898"/>
      <c r="BO74" s="898"/>
      <c r="BP74" s="898"/>
      <c r="BQ74" s="898"/>
      <c r="BR74" s="898"/>
      <c r="BS74" s="898"/>
      <c r="BT74" s="898"/>
      <c r="BU74" s="898"/>
      <c r="BV74" s="898"/>
      <c r="BW74" s="898"/>
      <c r="BX74" s="898"/>
      <c r="BY74" s="898"/>
      <c r="BZ74" s="898"/>
      <c r="CA74" s="898"/>
      <c r="CB74" s="898"/>
      <c r="CC74" s="898"/>
      <c r="CD74" s="898"/>
      <c r="CE74" s="898"/>
      <c r="CF74" s="898"/>
      <c r="CG74" s="898"/>
      <c r="CH74" s="898"/>
      <c r="CI74" s="898"/>
      <c r="CJ74" s="898"/>
      <c r="CK74" s="898"/>
      <c r="CL74" s="898"/>
      <c r="CM74" s="898"/>
      <c r="CN74" s="898"/>
      <c r="CO74" s="898"/>
      <c r="CP74" s="898"/>
      <c r="CQ74" s="898"/>
      <c r="CR74" s="898"/>
      <c r="CS74" s="898"/>
      <c r="CT74" s="898"/>
      <c r="CU74" s="898"/>
    </row>
    <row r="75" ht="16.5" customHeight="1">
      <c r="A75" s="718"/>
      <c r="B75" s="1195"/>
      <c r="C75" s="866"/>
      <c r="D75" s="968"/>
      <c r="E75" s="718"/>
      <c r="F75" s="718"/>
      <c r="G75" s="718"/>
      <c r="H75" s="718"/>
      <c r="I75" s="359"/>
      <c r="J75" s="359"/>
      <c r="K75" s="359"/>
      <c r="L75" s="359"/>
      <c r="M75" s="359"/>
      <c r="N75" s="359"/>
      <c r="O75" s="359"/>
      <c r="P75" s="359"/>
      <c r="Q75" s="359"/>
      <c r="R75" s="718"/>
      <c r="S75" s="669"/>
      <c r="T75" s="669"/>
      <c r="U75" s="967"/>
      <c r="V75" s="974"/>
      <c r="W75" s="1197"/>
      <c r="X75" s="974"/>
      <c r="Y75" s="974"/>
      <c r="Z75" s="974"/>
      <c r="AA75" s="974"/>
      <c r="AB75" s="974"/>
      <c r="AC75" s="974"/>
      <c r="AD75" s="974"/>
      <c r="AE75" s="974"/>
      <c r="AF75" s="974"/>
      <c r="AG75" s="974"/>
      <c r="AH75" s="974"/>
      <c r="AI75" s="1198"/>
      <c r="AJ75" s="974"/>
      <c r="AK75" s="1197"/>
      <c r="AL75" s="974"/>
      <c r="AM75" s="974"/>
      <c r="AN75" s="974"/>
      <c r="AO75" s="974"/>
      <c r="AP75" s="974"/>
      <c r="AQ75" s="974"/>
      <c r="AR75" s="974"/>
      <c r="AS75" s="974"/>
      <c r="AT75" s="974"/>
      <c r="AU75" s="974"/>
      <c r="AV75" s="974"/>
      <c r="AW75" s="1181"/>
      <c r="AX75" s="978"/>
      <c r="AY75" s="898"/>
      <c r="AZ75" s="898"/>
      <c r="BA75" s="898"/>
      <c r="BB75" s="898"/>
      <c r="BC75" s="898"/>
      <c r="BD75" s="898"/>
      <c r="BE75" s="898"/>
      <c r="BF75" s="898"/>
      <c r="BG75" s="898"/>
      <c r="BH75" s="898"/>
      <c r="BI75" s="898"/>
      <c r="BJ75" s="898"/>
      <c r="BK75" s="898"/>
      <c r="BL75" s="898"/>
      <c r="BM75" s="898"/>
      <c r="BN75" s="898"/>
      <c r="BO75" s="898"/>
      <c r="BP75" s="898"/>
      <c r="BQ75" s="898"/>
      <c r="BR75" s="898"/>
      <c r="BS75" s="898"/>
      <c r="BT75" s="898"/>
      <c r="BU75" s="898"/>
      <c r="BV75" s="898"/>
      <c r="BW75" s="898"/>
      <c r="BX75" s="898"/>
      <c r="BY75" s="898"/>
      <c r="BZ75" s="898"/>
      <c r="CA75" s="898"/>
      <c r="CB75" s="898"/>
      <c r="CC75" s="898"/>
      <c r="CD75" s="898"/>
      <c r="CE75" s="898"/>
      <c r="CF75" s="898"/>
      <c r="CG75" s="898"/>
      <c r="CH75" s="898"/>
      <c r="CI75" s="898"/>
      <c r="CJ75" s="898"/>
      <c r="CK75" s="898"/>
      <c r="CL75" s="898"/>
      <c r="CM75" s="898"/>
      <c r="CN75" s="898"/>
      <c r="CO75" s="898"/>
      <c r="CP75" s="898"/>
      <c r="CQ75" s="898"/>
      <c r="CR75" s="898"/>
      <c r="CS75" s="898"/>
      <c r="CT75" s="898"/>
      <c r="CU75" s="898"/>
    </row>
    <row r="76" ht="16.5" customHeight="1">
      <c r="A76" s="718"/>
      <c r="B76" s="1195"/>
      <c r="C76" s="866"/>
      <c r="D76" s="968"/>
      <c r="E76" s="718"/>
      <c r="F76" s="718"/>
      <c r="G76" s="718"/>
      <c r="H76" s="718"/>
      <c r="I76" s="359"/>
      <c r="J76" s="359"/>
      <c r="K76" s="359"/>
      <c r="L76" s="359"/>
      <c r="M76" s="359"/>
      <c r="N76" s="359"/>
      <c r="O76" s="359"/>
      <c r="P76" s="359"/>
      <c r="Q76" s="359"/>
      <c r="R76" s="718"/>
      <c r="S76" s="669"/>
      <c r="T76" s="669"/>
      <c r="U76" s="967"/>
      <c r="V76" s="974"/>
      <c r="W76" s="1197"/>
      <c r="X76" s="974"/>
      <c r="Y76" s="974"/>
      <c r="Z76" s="974"/>
      <c r="AA76" s="974"/>
      <c r="AB76" s="974"/>
      <c r="AC76" s="974"/>
      <c r="AD76" s="974"/>
      <c r="AE76" s="974"/>
      <c r="AF76" s="974"/>
      <c r="AG76" s="974"/>
      <c r="AH76" s="974"/>
      <c r="AI76" s="1198"/>
      <c r="AJ76" s="974"/>
      <c r="AK76" s="1197"/>
      <c r="AL76" s="974"/>
      <c r="AM76" s="974"/>
      <c r="AN76" s="974"/>
      <c r="AO76" s="974"/>
      <c r="AP76" s="974"/>
      <c r="AQ76" s="974"/>
      <c r="AR76" s="974"/>
      <c r="AS76" s="974"/>
      <c r="AT76" s="974"/>
      <c r="AU76" s="974"/>
      <c r="AV76" s="974"/>
      <c r="AW76" s="1181"/>
      <c r="AX76" s="978"/>
      <c r="AY76" s="898"/>
      <c r="AZ76" s="898"/>
      <c r="BA76" s="898"/>
      <c r="BB76" s="898"/>
      <c r="BC76" s="898"/>
      <c r="BD76" s="898"/>
      <c r="BE76" s="898"/>
      <c r="BF76" s="898"/>
      <c r="BG76" s="898"/>
      <c r="BH76" s="898"/>
      <c r="BI76" s="898"/>
      <c r="BJ76" s="898"/>
      <c r="BK76" s="898"/>
      <c r="BL76" s="898"/>
      <c r="BM76" s="898"/>
      <c r="BN76" s="898"/>
      <c r="BO76" s="898"/>
      <c r="BP76" s="898"/>
      <c r="BQ76" s="898"/>
      <c r="BR76" s="898"/>
      <c r="BS76" s="898"/>
      <c r="BT76" s="898"/>
      <c r="BU76" s="898"/>
      <c r="BV76" s="898"/>
      <c r="BW76" s="898"/>
      <c r="BX76" s="898"/>
      <c r="BY76" s="898"/>
      <c r="BZ76" s="898"/>
      <c r="CA76" s="898"/>
      <c r="CB76" s="898"/>
      <c r="CC76" s="898"/>
      <c r="CD76" s="898"/>
      <c r="CE76" s="898"/>
      <c r="CF76" s="898"/>
      <c r="CG76" s="898"/>
      <c r="CH76" s="898"/>
      <c r="CI76" s="898"/>
      <c r="CJ76" s="898"/>
      <c r="CK76" s="898"/>
      <c r="CL76" s="898"/>
      <c r="CM76" s="898"/>
      <c r="CN76" s="898"/>
      <c r="CO76" s="898"/>
      <c r="CP76" s="898"/>
      <c r="CQ76" s="898"/>
      <c r="CR76" s="898"/>
      <c r="CS76" s="898"/>
      <c r="CT76" s="898"/>
      <c r="CU76" s="898"/>
    </row>
    <row r="77" ht="16.5" customHeight="1">
      <c r="A77" s="718"/>
      <c r="B77" s="1195"/>
      <c r="C77" s="866"/>
      <c r="D77" s="968"/>
      <c r="E77" s="718"/>
      <c r="F77" s="718"/>
      <c r="G77" s="718"/>
      <c r="H77" s="718"/>
      <c r="I77" s="359"/>
      <c r="J77" s="359"/>
      <c r="K77" s="359"/>
      <c r="L77" s="359"/>
      <c r="M77" s="359"/>
      <c r="N77" s="359"/>
      <c r="O77" s="359"/>
      <c r="P77" s="359"/>
      <c r="Q77" s="359"/>
      <c r="R77" s="718"/>
      <c r="S77" s="669"/>
      <c r="T77" s="669"/>
      <c r="U77" s="967"/>
      <c r="V77" s="974"/>
      <c r="W77" s="1197"/>
      <c r="X77" s="974"/>
      <c r="Y77" s="974"/>
      <c r="Z77" s="974"/>
      <c r="AA77" s="974"/>
      <c r="AB77" s="974"/>
      <c r="AC77" s="974"/>
      <c r="AD77" s="974"/>
      <c r="AE77" s="974"/>
      <c r="AF77" s="974"/>
      <c r="AG77" s="974"/>
      <c r="AH77" s="974"/>
      <c r="AI77" s="1198"/>
      <c r="AJ77" s="974"/>
      <c r="AK77" s="1197"/>
      <c r="AL77" s="974"/>
      <c r="AM77" s="974"/>
      <c r="AN77" s="974"/>
      <c r="AO77" s="974"/>
      <c r="AP77" s="974"/>
      <c r="AQ77" s="974"/>
      <c r="AR77" s="974"/>
      <c r="AS77" s="974"/>
      <c r="AT77" s="974"/>
      <c r="AU77" s="974"/>
      <c r="AV77" s="974"/>
      <c r="AW77" s="1181"/>
      <c r="AX77" s="978"/>
      <c r="AY77" s="898"/>
      <c r="AZ77" s="898"/>
      <c r="BA77" s="898"/>
      <c r="BB77" s="898"/>
      <c r="BC77" s="898"/>
      <c r="BD77" s="898"/>
      <c r="BE77" s="898"/>
      <c r="BF77" s="898"/>
      <c r="BG77" s="898"/>
      <c r="BH77" s="898"/>
      <c r="BI77" s="898"/>
      <c r="BJ77" s="898"/>
      <c r="BK77" s="898"/>
      <c r="BL77" s="898"/>
      <c r="BM77" s="898"/>
      <c r="BN77" s="898"/>
      <c r="BO77" s="898"/>
      <c r="BP77" s="898"/>
      <c r="BQ77" s="898"/>
      <c r="BR77" s="898"/>
      <c r="BS77" s="898"/>
      <c r="BT77" s="898"/>
      <c r="BU77" s="898"/>
      <c r="BV77" s="898"/>
      <c r="BW77" s="898"/>
      <c r="BX77" s="898"/>
      <c r="BY77" s="898"/>
      <c r="BZ77" s="898"/>
      <c r="CA77" s="898"/>
      <c r="CB77" s="898"/>
      <c r="CC77" s="898"/>
      <c r="CD77" s="898"/>
      <c r="CE77" s="898"/>
      <c r="CF77" s="898"/>
      <c r="CG77" s="898"/>
      <c r="CH77" s="898"/>
      <c r="CI77" s="898"/>
      <c r="CJ77" s="898"/>
      <c r="CK77" s="898"/>
      <c r="CL77" s="898"/>
      <c r="CM77" s="898"/>
      <c r="CN77" s="898"/>
      <c r="CO77" s="898"/>
      <c r="CP77" s="898"/>
      <c r="CQ77" s="898"/>
      <c r="CR77" s="898"/>
      <c r="CS77" s="898"/>
      <c r="CT77" s="898"/>
      <c r="CU77" s="898"/>
    </row>
    <row r="78" ht="16.5" customHeight="1">
      <c r="A78" s="718"/>
      <c r="B78" s="1195"/>
      <c r="C78" s="866"/>
      <c r="D78" s="968"/>
      <c r="E78" s="718"/>
      <c r="F78" s="718"/>
      <c r="G78" s="718"/>
      <c r="H78" s="718"/>
      <c r="I78" s="359"/>
      <c r="J78" s="359"/>
      <c r="K78" s="359"/>
      <c r="L78" s="359"/>
      <c r="M78" s="359"/>
      <c r="N78" s="359"/>
      <c r="O78" s="359"/>
      <c r="P78" s="359"/>
      <c r="Q78" s="359"/>
      <c r="R78" s="718"/>
      <c r="S78" s="669"/>
      <c r="T78" s="669"/>
      <c r="U78" s="967"/>
      <c r="V78" s="974"/>
      <c r="W78" s="1197"/>
      <c r="X78" s="974"/>
      <c r="Y78" s="974"/>
      <c r="Z78" s="974"/>
      <c r="AA78" s="974"/>
      <c r="AB78" s="974"/>
      <c r="AC78" s="974"/>
      <c r="AD78" s="974"/>
      <c r="AE78" s="974"/>
      <c r="AF78" s="974"/>
      <c r="AG78" s="974"/>
      <c r="AH78" s="974"/>
      <c r="AI78" s="1198"/>
      <c r="AJ78" s="974"/>
      <c r="AK78" s="1197"/>
      <c r="AL78" s="974"/>
      <c r="AM78" s="974"/>
      <c r="AN78" s="974"/>
      <c r="AO78" s="974"/>
      <c r="AP78" s="974"/>
      <c r="AQ78" s="974"/>
      <c r="AR78" s="974"/>
      <c r="AS78" s="974"/>
      <c r="AT78" s="974"/>
      <c r="AU78" s="974"/>
      <c r="AV78" s="974"/>
      <c r="AW78" s="1181"/>
      <c r="AX78" s="978"/>
      <c r="AY78" s="898"/>
      <c r="AZ78" s="898"/>
      <c r="BA78" s="898"/>
      <c r="BB78" s="898"/>
      <c r="BC78" s="898"/>
      <c r="BD78" s="898"/>
      <c r="BE78" s="898"/>
      <c r="BF78" s="898"/>
      <c r="BG78" s="898"/>
      <c r="BH78" s="898"/>
      <c r="BI78" s="898"/>
      <c r="BJ78" s="898"/>
      <c r="BK78" s="898"/>
      <c r="BL78" s="898"/>
      <c r="BM78" s="898"/>
      <c r="BN78" s="898"/>
      <c r="BO78" s="898"/>
      <c r="BP78" s="898"/>
      <c r="BQ78" s="898"/>
      <c r="BR78" s="898"/>
      <c r="BS78" s="898"/>
      <c r="BT78" s="898"/>
      <c r="BU78" s="898"/>
      <c r="BV78" s="898"/>
      <c r="BW78" s="898"/>
      <c r="BX78" s="898"/>
      <c r="BY78" s="898"/>
      <c r="BZ78" s="898"/>
      <c r="CA78" s="898"/>
      <c r="CB78" s="898"/>
      <c r="CC78" s="898"/>
      <c r="CD78" s="898"/>
      <c r="CE78" s="898"/>
      <c r="CF78" s="898"/>
      <c r="CG78" s="898"/>
      <c r="CH78" s="898"/>
      <c r="CI78" s="898"/>
      <c r="CJ78" s="898"/>
      <c r="CK78" s="898"/>
      <c r="CL78" s="898"/>
      <c r="CM78" s="898"/>
      <c r="CN78" s="898"/>
      <c r="CO78" s="898"/>
      <c r="CP78" s="898"/>
      <c r="CQ78" s="898"/>
      <c r="CR78" s="898"/>
      <c r="CS78" s="898"/>
      <c r="CT78" s="898"/>
      <c r="CU78" s="898"/>
    </row>
    <row r="79" ht="16.5" customHeight="1">
      <c r="A79" s="718"/>
      <c r="B79" s="1195"/>
      <c r="C79" s="866"/>
      <c r="D79" s="968"/>
      <c r="E79" s="718"/>
      <c r="F79" s="718"/>
      <c r="G79" s="718"/>
      <c r="H79" s="718"/>
      <c r="I79" s="359"/>
      <c r="J79" s="359"/>
      <c r="K79" s="359"/>
      <c r="L79" s="359"/>
      <c r="M79" s="359"/>
      <c r="N79" s="359"/>
      <c r="O79" s="359"/>
      <c r="P79" s="359"/>
      <c r="Q79" s="359"/>
      <c r="R79" s="718"/>
      <c r="S79" s="669"/>
      <c r="T79" s="669"/>
      <c r="U79" s="967"/>
      <c r="V79" s="974"/>
      <c r="W79" s="1197"/>
      <c r="X79" s="974"/>
      <c r="Y79" s="974"/>
      <c r="Z79" s="974"/>
      <c r="AA79" s="974"/>
      <c r="AB79" s="974"/>
      <c r="AC79" s="974"/>
      <c r="AD79" s="974"/>
      <c r="AE79" s="974"/>
      <c r="AF79" s="974"/>
      <c r="AG79" s="974"/>
      <c r="AH79" s="974"/>
      <c r="AI79" s="1198"/>
      <c r="AJ79" s="974"/>
      <c r="AK79" s="1197"/>
      <c r="AL79" s="974"/>
      <c r="AM79" s="974"/>
      <c r="AN79" s="974"/>
      <c r="AO79" s="974"/>
      <c r="AP79" s="974"/>
      <c r="AQ79" s="974"/>
      <c r="AR79" s="974"/>
      <c r="AS79" s="974"/>
      <c r="AT79" s="974"/>
      <c r="AU79" s="974"/>
      <c r="AV79" s="974"/>
      <c r="AW79" s="1181"/>
      <c r="AX79" s="978"/>
      <c r="AY79" s="898"/>
      <c r="AZ79" s="898"/>
      <c r="BA79" s="898"/>
      <c r="BB79" s="898"/>
      <c r="BC79" s="898"/>
      <c r="BD79" s="898"/>
      <c r="BE79" s="898"/>
      <c r="BF79" s="898"/>
      <c r="BG79" s="898"/>
      <c r="BH79" s="898"/>
      <c r="BI79" s="898"/>
      <c r="BJ79" s="898"/>
      <c r="BK79" s="898"/>
      <c r="BL79" s="898"/>
      <c r="BM79" s="898"/>
      <c r="BN79" s="898"/>
      <c r="BO79" s="898"/>
      <c r="BP79" s="898"/>
      <c r="BQ79" s="898"/>
      <c r="BR79" s="898"/>
      <c r="BS79" s="898"/>
      <c r="BT79" s="898"/>
      <c r="BU79" s="898"/>
      <c r="BV79" s="898"/>
      <c r="BW79" s="898"/>
      <c r="BX79" s="898"/>
      <c r="BY79" s="898"/>
      <c r="BZ79" s="898"/>
      <c r="CA79" s="898"/>
      <c r="CB79" s="898"/>
      <c r="CC79" s="898"/>
      <c r="CD79" s="898"/>
      <c r="CE79" s="898"/>
      <c r="CF79" s="898"/>
      <c r="CG79" s="898"/>
      <c r="CH79" s="898"/>
      <c r="CI79" s="898"/>
      <c r="CJ79" s="898"/>
      <c r="CK79" s="898"/>
      <c r="CL79" s="898"/>
      <c r="CM79" s="898"/>
      <c r="CN79" s="898"/>
      <c r="CO79" s="898"/>
      <c r="CP79" s="898"/>
      <c r="CQ79" s="898"/>
      <c r="CR79" s="898"/>
      <c r="CS79" s="898"/>
      <c r="CT79" s="898"/>
      <c r="CU79" s="898"/>
    </row>
    <row r="80" ht="16.5" customHeight="1">
      <c r="A80" s="718"/>
      <c r="B80" s="1195"/>
      <c r="C80" s="866"/>
      <c r="D80" s="968"/>
      <c r="E80" s="718"/>
      <c r="F80" s="718"/>
      <c r="G80" s="718"/>
      <c r="H80" s="718"/>
      <c r="I80" s="359"/>
      <c r="J80" s="359"/>
      <c r="K80" s="359"/>
      <c r="L80" s="359"/>
      <c r="M80" s="359"/>
      <c r="N80" s="359"/>
      <c r="O80" s="359"/>
      <c r="P80" s="359"/>
      <c r="Q80" s="359"/>
      <c r="R80" s="718"/>
      <c r="S80" s="669"/>
      <c r="T80" s="669"/>
      <c r="U80" s="967"/>
      <c r="V80" s="974"/>
      <c r="W80" s="1197"/>
      <c r="X80" s="974"/>
      <c r="Y80" s="974"/>
      <c r="Z80" s="974"/>
      <c r="AA80" s="974"/>
      <c r="AB80" s="974"/>
      <c r="AC80" s="974"/>
      <c r="AD80" s="974"/>
      <c r="AE80" s="974"/>
      <c r="AF80" s="974"/>
      <c r="AG80" s="974"/>
      <c r="AH80" s="974"/>
      <c r="AI80" s="1198"/>
      <c r="AJ80" s="974"/>
      <c r="AK80" s="1197"/>
      <c r="AL80" s="974"/>
      <c r="AM80" s="974"/>
      <c r="AN80" s="974"/>
      <c r="AO80" s="974"/>
      <c r="AP80" s="974"/>
      <c r="AQ80" s="974"/>
      <c r="AR80" s="974"/>
      <c r="AS80" s="974"/>
      <c r="AT80" s="974"/>
      <c r="AU80" s="974"/>
      <c r="AV80" s="974"/>
      <c r="AW80" s="1181"/>
      <c r="AX80" s="978"/>
      <c r="AY80" s="898"/>
      <c r="AZ80" s="898"/>
      <c r="BA80" s="898"/>
      <c r="BB80" s="898"/>
      <c r="BC80" s="898"/>
      <c r="BD80" s="898"/>
      <c r="BE80" s="898"/>
      <c r="BF80" s="898"/>
      <c r="BG80" s="898"/>
      <c r="BH80" s="898"/>
      <c r="BI80" s="898"/>
      <c r="BJ80" s="898"/>
      <c r="BK80" s="898"/>
      <c r="BL80" s="898"/>
      <c r="BM80" s="898"/>
      <c r="BN80" s="898"/>
      <c r="BO80" s="898"/>
      <c r="BP80" s="898"/>
      <c r="BQ80" s="898"/>
      <c r="BR80" s="898"/>
      <c r="BS80" s="898"/>
      <c r="BT80" s="898"/>
      <c r="BU80" s="898"/>
      <c r="BV80" s="898"/>
      <c r="BW80" s="898"/>
      <c r="BX80" s="898"/>
      <c r="BY80" s="898"/>
      <c r="BZ80" s="898"/>
      <c r="CA80" s="898"/>
      <c r="CB80" s="898"/>
      <c r="CC80" s="898"/>
      <c r="CD80" s="898"/>
      <c r="CE80" s="898"/>
      <c r="CF80" s="898"/>
      <c r="CG80" s="898"/>
      <c r="CH80" s="898"/>
      <c r="CI80" s="898"/>
      <c r="CJ80" s="898"/>
      <c r="CK80" s="898"/>
      <c r="CL80" s="898"/>
      <c r="CM80" s="898"/>
      <c r="CN80" s="898"/>
      <c r="CO80" s="898"/>
      <c r="CP80" s="898"/>
      <c r="CQ80" s="898"/>
      <c r="CR80" s="898"/>
      <c r="CS80" s="898"/>
      <c r="CT80" s="898"/>
      <c r="CU80" s="898"/>
    </row>
    <row r="81" ht="16.5" customHeight="1">
      <c r="A81" s="718"/>
      <c r="B81" s="1195"/>
      <c r="C81" s="866"/>
      <c r="D81" s="968"/>
      <c r="E81" s="718"/>
      <c r="F81" s="718"/>
      <c r="G81" s="718"/>
      <c r="H81" s="718"/>
      <c r="I81" s="359"/>
      <c r="J81" s="359"/>
      <c r="K81" s="359"/>
      <c r="L81" s="359"/>
      <c r="M81" s="359"/>
      <c r="N81" s="359"/>
      <c r="O81" s="359"/>
      <c r="P81" s="359"/>
      <c r="Q81" s="359"/>
      <c r="R81" s="718"/>
      <c r="S81" s="669"/>
      <c r="T81" s="669"/>
      <c r="U81" s="967"/>
      <c r="V81" s="974"/>
      <c r="W81" s="1197"/>
      <c r="X81" s="974"/>
      <c r="Y81" s="974"/>
      <c r="Z81" s="974"/>
      <c r="AA81" s="974"/>
      <c r="AB81" s="974"/>
      <c r="AC81" s="974"/>
      <c r="AD81" s="974"/>
      <c r="AE81" s="974"/>
      <c r="AF81" s="974"/>
      <c r="AG81" s="974"/>
      <c r="AH81" s="974"/>
      <c r="AI81" s="1198"/>
      <c r="AJ81" s="974"/>
      <c r="AK81" s="1197"/>
      <c r="AL81" s="974"/>
      <c r="AM81" s="974"/>
      <c r="AN81" s="974"/>
      <c r="AO81" s="974"/>
      <c r="AP81" s="974"/>
      <c r="AQ81" s="974"/>
      <c r="AR81" s="974"/>
      <c r="AS81" s="974"/>
      <c r="AT81" s="974"/>
      <c r="AU81" s="974"/>
      <c r="AV81" s="974"/>
      <c r="AW81" s="1181"/>
      <c r="AX81" s="978"/>
      <c r="AY81" s="898"/>
      <c r="AZ81" s="898"/>
      <c r="BA81" s="898"/>
      <c r="BB81" s="898"/>
      <c r="BC81" s="898"/>
      <c r="BD81" s="898"/>
      <c r="BE81" s="898"/>
      <c r="BF81" s="898"/>
      <c r="BG81" s="898"/>
      <c r="BH81" s="898"/>
      <c r="BI81" s="898"/>
      <c r="BJ81" s="898"/>
      <c r="BK81" s="898"/>
      <c r="BL81" s="898"/>
      <c r="BM81" s="898"/>
      <c r="BN81" s="898"/>
      <c r="BO81" s="898"/>
      <c r="BP81" s="898"/>
      <c r="BQ81" s="898"/>
      <c r="BR81" s="898"/>
      <c r="BS81" s="898"/>
      <c r="BT81" s="898"/>
      <c r="BU81" s="898"/>
      <c r="BV81" s="898"/>
      <c r="BW81" s="898"/>
      <c r="BX81" s="898"/>
      <c r="BY81" s="898"/>
      <c r="BZ81" s="898"/>
      <c r="CA81" s="898"/>
      <c r="CB81" s="898"/>
      <c r="CC81" s="898"/>
      <c r="CD81" s="898"/>
      <c r="CE81" s="898"/>
      <c r="CF81" s="898"/>
      <c r="CG81" s="898"/>
      <c r="CH81" s="898"/>
      <c r="CI81" s="898"/>
      <c r="CJ81" s="898"/>
      <c r="CK81" s="898"/>
      <c r="CL81" s="898"/>
      <c r="CM81" s="898"/>
      <c r="CN81" s="898"/>
      <c r="CO81" s="898"/>
      <c r="CP81" s="898"/>
      <c r="CQ81" s="898"/>
      <c r="CR81" s="898"/>
      <c r="CS81" s="898"/>
      <c r="CT81" s="898"/>
      <c r="CU81" s="898"/>
    </row>
    <row r="82" ht="16.5" customHeight="1">
      <c r="A82" s="718"/>
      <c r="B82" s="1195"/>
      <c r="C82" s="866"/>
      <c r="D82" s="968"/>
      <c r="E82" s="718"/>
      <c r="F82" s="718"/>
      <c r="G82" s="718"/>
      <c r="H82" s="718"/>
      <c r="I82" s="359"/>
      <c r="J82" s="359"/>
      <c r="K82" s="359"/>
      <c r="L82" s="359"/>
      <c r="M82" s="359"/>
      <c r="N82" s="359"/>
      <c r="O82" s="359"/>
      <c r="P82" s="359"/>
      <c r="Q82" s="359"/>
      <c r="R82" s="718"/>
      <c r="S82" s="669"/>
      <c r="T82" s="669"/>
      <c r="U82" s="967"/>
      <c r="V82" s="974"/>
      <c r="W82" s="1197"/>
      <c r="X82" s="974"/>
      <c r="Y82" s="974"/>
      <c r="Z82" s="974"/>
      <c r="AA82" s="974"/>
      <c r="AB82" s="974"/>
      <c r="AC82" s="974"/>
      <c r="AD82" s="974"/>
      <c r="AE82" s="974"/>
      <c r="AF82" s="974"/>
      <c r="AG82" s="974"/>
      <c r="AH82" s="974"/>
      <c r="AI82" s="1198"/>
      <c r="AJ82" s="974"/>
      <c r="AK82" s="1197"/>
      <c r="AL82" s="974"/>
      <c r="AM82" s="974"/>
      <c r="AN82" s="974"/>
      <c r="AO82" s="974"/>
      <c r="AP82" s="974"/>
      <c r="AQ82" s="974"/>
      <c r="AR82" s="974"/>
      <c r="AS82" s="974"/>
      <c r="AT82" s="974"/>
      <c r="AU82" s="974"/>
      <c r="AV82" s="974"/>
      <c r="AW82" s="1181"/>
      <c r="AX82" s="978"/>
      <c r="AY82" s="898"/>
      <c r="AZ82" s="898"/>
      <c r="BA82" s="898"/>
      <c r="BB82" s="898"/>
      <c r="BC82" s="898"/>
      <c r="BD82" s="898"/>
      <c r="BE82" s="898"/>
      <c r="BF82" s="898"/>
      <c r="BG82" s="898"/>
      <c r="BH82" s="898"/>
      <c r="BI82" s="898"/>
      <c r="BJ82" s="898"/>
      <c r="BK82" s="898"/>
      <c r="BL82" s="898"/>
      <c r="BM82" s="898"/>
      <c r="BN82" s="898"/>
      <c r="BO82" s="898"/>
      <c r="BP82" s="898"/>
      <c r="BQ82" s="898"/>
      <c r="BR82" s="898"/>
      <c r="BS82" s="898"/>
      <c r="BT82" s="898"/>
      <c r="BU82" s="898"/>
      <c r="BV82" s="898"/>
      <c r="BW82" s="898"/>
      <c r="BX82" s="898"/>
      <c r="BY82" s="898"/>
      <c r="BZ82" s="898"/>
      <c r="CA82" s="898"/>
      <c r="CB82" s="898"/>
      <c r="CC82" s="898"/>
      <c r="CD82" s="898"/>
      <c r="CE82" s="898"/>
      <c r="CF82" s="898"/>
      <c r="CG82" s="898"/>
      <c r="CH82" s="898"/>
      <c r="CI82" s="898"/>
      <c r="CJ82" s="898"/>
      <c r="CK82" s="898"/>
      <c r="CL82" s="898"/>
      <c r="CM82" s="898"/>
      <c r="CN82" s="898"/>
      <c r="CO82" s="898"/>
      <c r="CP82" s="898"/>
      <c r="CQ82" s="898"/>
      <c r="CR82" s="898"/>
      <c r="CS82" s="898"/>
      <c r="CT82" s="898"/>
      <c r="CU82" s="898"/>
    </row>
    <row r="83" ht="16.5" customHeight="1">
      <c r="A83" s="718"/>
      <c r="B83" s="1195"/>
      <c r="C83" s="866"/>
      <c r="D83" s="968"/>
      <c r="E83" s="718"/>
      <c r="F83" s="718"/>
      <c r="G83" s="718"/>
      <c r="H83" s="718"/>
      <c r="I83" s="359"/>
      <c r="J83" s="359"/>
      <c r="K83" s="359"/>
      <c r="L83" s="359"/>
      <c r="M83" s="359"/>
      <c r="N83" s="359"/>
      <c r="O83" s="359"/>
      <c r="P83" s="359"/>
      <c r="Q83" s="359"/>
      <c r="R83" s="718"/>
      <c r="S83" s="669"/>
      <c r="T83" s="669"/>
      <c r="U83" s="967"/>
      <c r="V83" s="974"/>
      <c r="W83" s="1197"/>
      <c r="X83" s="974"/>
      <c r="Y83" s="974"/>
      <c r="Z83" s="974"/>
      <c r="AA83" s="974"/>
      <c r="AB83" s="974"/>
      <c r="AC83" s="974"/>
      <c r="AD83" s="974"/>
      <c r="AE83" s="974"/>
      <c r="AF83" s="974"/>
      <c r="AG83" s="974"/>
      <c r="AH83" s="974"/>
      <c r="AI83" s="1198"/>
      <c r="AJ83" s="974"/>
      <c r="AK83" s="1197"/>
      <c r="AL83" s="974"/>
      <c r="AM83" s="974"/>
      <c r="AN83" s="974"/>
      <c r="AO83" s="974"/>
      <c r="AP83" s="974"/>
      <c r="AQ83" s="974"/>
      <c r="AR83" s="974"/>
      <c r="AS83" s="974"/>
      <c r="AT83" s="974"/>
      <c r="AU83" s="974"/>
      <c r="AV83" s="974"/>
      <c r="AW83" s="1181"/>
      <c r="AX83" s="978"/>
      <c r="AY83" s="898"/>
      <c r="AZ83" s="898"/>
      <c r="BA83" s="898"/>
      <c r="BB83" s="898"/>
      <c r="BC83" s="898"/>
      <c r="BD83" s="898"/>
      <c r="BE83" s="898"/>
      <c r="BF83" s="898"/>
      <c r="BG83" s="898"/>
      <c r="BH83" s="898"/>
      <c r="BI83" s="898"/>
      <c r="BJ83" s="898"/>
      <c r="BK83" s="898"/>
      <c r="BL83" s="898"/>
      <c r="BM83" s="898"/>
      <c r="BN83" s="898"/>
      <c r="BO83" s="898"/>
      <c r="BP83" s="898"/>
      <c r="BQ83" s="898"/>
      <c r="BR83" s="898"/>
      <c r="BS83" s="898"/>
      <c r="BT83" s="898"/>
      <c r="BU83" s="898"/>
      <c r="BV83" s="898"/>
      <c r="BW83" s="898"/>
      <c r="BX83" s="898"/>
      <c r="BY83" s="898"/>
      <c r="BZ83" s="898"/>
      <c r="CA83" s="898"/>
      <c r="CB83" s="898"/>
      <c r="CC83" s="898"/>
      <c r="CD83" s="898"/>
      <c r="CE83" s="898"/>
      <c r="CF83" s="898"/>
      <c r="CG83" s="898"/>
      <c r="CH83" s="898"/>
      <c r="CI83" s="898"/>
      <c r="CJ83" s="898"/>
      <c r="CK83" s="898"/>
      <c r="CL83" s="898"/>
      <c r="CM83" s="898"/>
      <c r="CN83" s="898"/>
      <c r="CO83" s="898"/>
      <c r="CP83" s="898"/>
      <c r="CQ83" s="898"/>
      <c r="CR83" s="898"/>
      <c r="CS83" s="898"/>
      <c r="CT83" s="898"/>
      <c r="CU83" s="898"/>
    </row>
    <row r="84" ht="16.5" customHeight="1">
      <c r="A84" s="718"/>
      <c r="B84" s="1195"/>
      <c r="C84" s="866"/>
      <c r="D84" s="968"/>
      <c r="E84" s="718"/>
      <c r="F84" s="718"/>
      <c r="G84" s="718"/>
      <c r="H84" s="718"/>
      <c r="I84" s="359"/>
      <c r="J84" s="359"/>
      <c r="K84" s="359"/>
      <c r="L84" s="359"/>
      <c r="M84" s="359"/>
      <c r="N84" s="359"/>
      <c r="O84" s="359"/>
      <c r="P84" s="359"/>
      <c r="Q84" s="359"/>
      <c r="R84" s="718"/>
      <c r="S84" s="669"/>
      <c r="T84" s="669"/>
      <c r="U84" s="967"/>
      <c r="V84" s="974"/>
      <c r="W84" s="1197"/>
      <c r="X84" s="974"/>
      <c r="Y84" s="974"/>
      <c r="Z84" s="974"/>
      <c r="AA84" s="974"/>
      <c r="AB84" s="974"/>
      <c r="AC84" s="974"/>
      <c r="AD84" s="974"/>
      <c r="AE84" s="974"/>
      <c r="AF84" s="974"/>
      <c r="AG84" s="974"/>
      <c r="AH84" s="974"/>
      <c r="AI84" s="1198"/>
      <c r="AJ84" s="974"/>
      <c r="AK84" s="1197"/>
      <c r="AL84" s="974"/>
      <c r="AM84" s="974"/>
      <c r="AN84" s="974"/>
      <c r="AO84" s="974"/>
      <c r="AP84" s="974"/>
      <c r="AQ84" s="974"/>
      <c r="AR84" s="974"/>
      <c r="AS84" s="974"/>
      <c r="AT84" s="974"/>
      <c r="AU84" s="974"/>
      <c r="AV84" s="974"/>
      <c r="AW84" s="1181"/>
      <c r="AX84" s="978"/>
      <c r="AY84" s="898"/>
      <c r="AZ84" s="898"/>
      <c r="BA84" s="898"/>
      <c r="BB84" s="898"/>
      <c r="BC84" s="898"/>
      <c r="BD84" s="898"/>
      <c r="BE84" s="898"/>
      <c r="BF84" s="898"/>
      <c r="BG84" s="898"/>
      <c r="BH84" s="898"/>
      <c r="BI84" s="898"/>
      <c r="BJ84" s="898"/>
      <c r="BK84" s="898"/>
      <c r="BL84" s="898"/>
      <c r="BM84" s="898"/>
      <c r="BN84" s="898"/>
      <c r="BO84" s="898"/>
      <c r="BP84" s="898"/>
      <c r="BQ84" s="898"/>
      <c r="BR84" s="898"/>
      <c r="BS84" s="898"/>
      <c r="BT84" s="898"/>
      <c r="BU84" s="898"/>
      <c r="BV84" s="898"/>
      <c r="BW84" s="898"/>
      <c r="BX84" s="898"/>
      <c r="BY84" s="898"/>
      <c r="BZ84" s="898"/>
      <c r="CA84" s="898"/>
      <c r="CB84" s="898"/>
      <c r="CC84" s="898"/>
      <c r="CD84" s="898"/>
      <c r="CE84" s="898"/>
      <c r="CF84" s="898"/>
      <c r="CG84" s="898"/>
      <c r="CH84" s="898"/>
      <c r="CI84" s="898"/>
      <c r="CJ84" s="898"/>
      <c r="CK84" s="898"/>
      <c r="CL84" s="898"/>
      <c r="CM84" s="898"/>
      <c r="CN84" s="898"/>
      <c r="CO84" s="898"/>
      <c r="CP84" s="898"/>
      <c r="CQ84" s="898"/>
      <c r="CR84" s="898"/>
      <c r="CS84" s="898"/>
      <c r="CT84" s="898"/>
      <c r="CU84" s="898"/>
    </row>
    <row r="85" ht="16.5" customHeight="1">
      <c r="A85" s="718"/>
      <c r="B85" s="1195"/>
      <c r="C85" s="866"/>
      <c r="D85" s="968"/>
      <c r="E85" s="718"/>
      <c r="F85" s="718"/>
      <c r="G85" s="718"/>
      <c r="H85" s="718"/>
      <c r="I85" s="359"/>
      <c r="J85" s="359"/>
      <c r="K85" s="359"/>
      <c r="L85" s="359"/>
      <c r="M85" s="359"/>
      <c r="N85" s="359"/>
      <c r="O85" s="359"/>
      <c r="P85" s="359"/>
      <c r="Q85" s="359"/>
      <c r="R85" s="718"/>
      <c r="S85" s="669"/>
      <c r="T85" s="669"/>
      <c r="U85" s="967"/>
      <c r="V85" s="974"/>
      <c r="W85" s="1197"/>
      <c r="X85" s="974"/>
      <c r="Y85" s="974"/>
      <c r="Z85" s="974"/>
      <c r="AA85" s="974"/>
      <c r="AB85" s="974"/>
      <c r="AC85" s="974"/>
      <c r="AD85" s="974"/>
      <c r="AE85" s="974"/>
      <c r="AF85" s="974"/>
      <c r="AG85" s="974"/>
      <c r="AH85" s="974"/>
      <c r="AI85" s="1198"/>
      <c r="AJ85" s="974"/>
      <c r="AK85" s="1197"/>
      <c r="AL85" s="974"/>
      <c r="AM85" s="974"/>
      <c r="AN85" s="974"/>
      <c r="AO85" s="974"/>
      <c r="AP85" s="974"/>
      <c r="AQ85" s="974"/>
      <c r="AR85" s="974"/>
      <c r="AS85" s="974"/>
      <c r="AT85" s="974"/>
      <c r="AU85" s="974"/>
      <c r="AV85" s="974"/>
      <c r="AW85" s="1181"/>
      <c r="AX85" s="978"/>
      <c r="AY85" s="898"/>
      <c r="AZ85" s="898"/>
      <c r="BA85" s="898"/>
      <c r="BB85" s="898"/>
      <c r="BC85" s="898"/>
      <c r="BD85" s="898"/>
      <c r="BE85" s="898"/>
      <c r="BF85" s="898"/>
      <c r="BG85" s="898"/>
      <c r="BH85" s="898"/>
      <c r="BI85" s="898"/>
      <c r="BJ85" s="898"/>
      <c r="BK85" s="898"/>
      <c r="BL85" s="898"/>
      <c r="BM85" s="898"/>
      <c r="BN85" s="898"/>
      <c r="BO85" s="898"/>
      <c r="BP85" s="898"/>
      <c r="BQ85" s="898"/>
      <c r="BR85" s="898"/>
      <c r="BS85" s="898"/>
      <c r="BT85" s="898"/>
      <c r="BU85" s="898"/>
      <c r="BV85" s="898"/>
      <c r="BW85" s="898"/>
      <c r="BX85" s="898"/>
      <c r="BY85" s="898"/>
      <c r="BZ85" s="898"/>
      <c r="CA85" s="898"/>
      <c r="CB85" s="898"/>
      <c r="CC85" s="898"/>
      <c r="CD85" s="898"/>
      <c r="CE85" s="898"/>
      <c r="CF85" s="898"/>
      <c r="CG85" s="898"/>
      <c r="CH85" s="898"/>
      <c r="CI85" s="898"/>
      <c r="CJ85" s="898"/>
      <c r="CK85" s="898"/>
      <c r="CL85" s="898"/>
      <c r="CM85" s="898"/>
      <c r="CN85" s="898"/>
      <c r="CO85" s="898"/>
      <c r="CP85" s="898"/>
      <c r="CQ85" s="898"/>
      <c r="CR85" s="898"/>
      <c r="CS85" s="898"/>
      <c r="CT85" s="898"/>
      <c r="CU85" s="898"/>
    </row>
    <row r="86" ht="16.5" customHeight="1">
      <c r="A86" s="718"/>
      <c r="B86" s="1195"/>
      <c r="C86" s="866"/>
      <c r="D86" s="968"/>
      <c r="E86" s="718"/>
      <c r="F86" s="718"/>
      <c r="G86" s="718"/>
      <c r="H86" s="718"/>
      <c r="I86" s="359"/>
      <c r="J86" s="359"/>
      <c r="K86" s="359"/>
      <c r="L86" s="359"/>
      <c r="M86" s="359"/>
      <c r="N86" s="359"/>
      <c r="O86" s="359"/>
      <c r="P86" s="359"/>
      <c r="Q86" s="359"/>
      <c r="R86" s="718"/>
      <c r="S86" s="669"/>
      <c r="T86" s="669"/>
      <c r="U86" s="967"/>
      <c r="V86" s="974"/>
      <c r="W86" s="1197"/>
      <c r="X86" s="974"/>
      <c r="Y86" s="974"/>
      <c r="Z86" s="974"/>
      <c r="AA86" s="974"/>
      <c r="AB86" s="974"/>
      <c r="AC86" s="974"/>
      <c r="AD86" s="974"/>
      <c r="AE86" s="974"/>
      <c r="AF86" s="974"/>
      <c r="AG86" s="974"/>
      <c r="AH86" s="974"/>
      <c r="AI86" s="1198"/>
      <c r="AJ86" s="974"/>
      <c r="AK86" s="1197"/>
      <c r="AL86" s="974"/>
      <c r="AM86" s="974"/>
      <c r="AN86" s="974"/>
      <c r="AO86" s="974"/>
      <c r="AP86" s="974"/>
      <c r="AQ86" s="974"/>
      <c r="AR86" s="974"/>
      <c r="AS86" s="974"/>
      <c r="AT86" s="974"/>
      <c r="AU86" s="974"/>
      <c r="AV86" s="974"/>
      <c r="AW86" s="1181"/>
      <c r="AX86" s="978"/>
      <c r="AY86" s="898"/>
      <c r="AZ86" s="898"/>
      <c r="BA86" s="898"/>
      <c r="BB86" s="898"/>
      <c r="BC86" s="898"/>
      <c r="BD86" s="898"/>
      <c r="BE86" s="898"/>
      <c r="BF86" s="898"/>
      <c r="BG86" s="898"/>
      <c r="BH86" s="898"/>
      <c r="BI86" s="898"/>
      <c r="BJ86" s="898"/>
      <c r="BK86" s="898"/>
      <c r="BL86" s="898"/>
      <c r="BM86" s="898"/>
      <c r="BN86" s="898"/>
      <c r="BO86" s="898"/>
      <c r="BP86" s="898"/>
      <c r="BQ86" s="898"/>
      <c r="BR86" s="898"/>
      <c r="BS86" s="898"/>
      <c r="BT86" s="898"/>
      <c r="BU86" s="898"/>
      <c r="BV86" s="898"/>
      <c r="BW86" s="898"/>
      <c r="BX86" s="898"/>
      <c r="BY86" s="898"/>
      <c r="BZ86" s="898"/>
      <c r="CA86" s="898"/>
      <c r="CB86" s="898"/>
      <c r="CC86" s="898"/>
      <c r="CD86" s="898"/>
      <c r="CE86" s="898"/>
      <c r="CF86" s="898"/>
      <c r="CG86" s="898"/>
      <c r="CH86" s="898"/>
      <c r="CI86" s="898"/>
      <c r="CJ86" s="898"/>
      <c r="CK86" s="898"/>
      <c r="CL86" s="898"/>
      <c r="CM86" s="898"/>
      <c r="CN86" s="898"/>
      <c r="CO86" s="898"/>
      <c r="CP86" s="898"/>
      <c r="CQ86" s="898"/>
      <c r="CR86" s="898"/>
      <c r="CS86" s="898"/>
      <c r="CT86" s="898"/>
      <c r="CU86" s="898"/>
    </row>
    <row r="87" ht="16.5" customHeight="1">
      <c r="A87" s="718"/>
      <c r="B87" s="1195"/>
      <c r="C87" s="866"/>
      <c r="D87" s="968"/>
      <c r="E87" s="718"/>
      <c r="F87" s="718"/>
      <c r="G87" s="718"/>
      <c r="H87" s="718"/>
      <c r="I87" s="359"/>
      <c r="J87" s="359"/>
      <c r="K87" s="359"/>
      <c r="L87" s="359"/>
      <c r="M87" s="359"/>
      <c r="N87" s="359"/>
      <c r="O87" s="359"/>
      <c r="P87" s="359"/>
      <c r="Q87" s="359"/>
      <c r="R87" s="718"/>
      <c r="S87" s="669"/>
      <c r="T87" s="669"/>
      <c r="U87" s="967"/>
      <c r="V87" s="974"/>
      <c r="W87" s="1197"/>
      <c r="X87" s="974"/>
      <c r="Y87" s="974"/>
      <c r="Z87" s="974"/>
      <c r="AA87" s="974"/>
      <c r="AB87" s="974"/>
      <c r="AC87" s="974"/>
      <c r="AD87" s="974"/>
      <c r="AE87" s="974"/>
      <c r="AF87" s="974"/>
      <c r="AG87" s="974"/>
      <c r="AH87" s="974"/>
      <c r="AI87" s="1198"/>
      <c r="AJ87" s="974"/>
      <c r="AK87" s="1197"/>
      <c r="AL87" s="974"/>
      <c r="AM87" s="974"/>
      <c r="AN87" s="974"/>
      <c r="AO87" s="974"/>
      <c r="AP87" s="974"/>
      <c r="AQ87" s="974"/>
      <c r="AR87" s="974"/>
      <c r="AS87" s="974"/>
      <c r="AT87" s="974"/>
      <c r="AU87" s="974"/>
      <c r="AV87" s="974"/>
      <c r="AW87" s="1181"/>
      <c r="AX87" s="978"/>
      <c r="AY87" s="898"/>
      <c r="AZ87" s="898"/>
      <c r="BA87" s="898"/>
      <c r="BB87" s="898"/>
      <c r="BC87" s="898"/>
      <c r="BD87" s="898"/>
      <c r="BE87" s="898"/>
      <c r="BF87" s="898"/>
      <c r="BG87" s="898"/>
      <c r="BH87" s="898"/>
      <c r="BI87" s="898"/>
      <c r="BJ87" s="898"/>
      <c r="BK87" s="898"/>
      <c r="BL87" s="898"/>
      <c r="BM87" s="898"/>
      <c r="BN87" s="898"/>
      <c r="BO87" s="898"/>
      <c r="BP87" s="898"/>
      <c r="BQ87" s="898"/>
      <c r="BR87" s="898"/>
      <c r="BS87" s="898"/>
      <c r="BT87" s="898"/>
      <c r="BU87" s="898"/>
      <c r="BV87" s="898"/>
      <c r="BW87" s="898"/>
      <c r="BX87" s="898"/>
      <c r="BY87" s="898"/>
      <c r="BZ87" s="898"/>
      <c r="CA87" s="898"/>
      <c r="CB87" s="898"/>
      <c r="CC87" s="898"/>
      <c r="CD87" s="898"/>
      <c r="CE87" s="898"/>
      <c r="CF87" s="898"/>
      <c r="CG87" s="898"/>
      <c r="CH87" s="898"/>
      <c r="CI87" s="898"/>
      <c r="CJ87" s="898"/>
      <c r="CK87" s="898"/>
      <c r="CL87" s="898"/>
      <c r="CM87" s="898"/>
      <c r="CN87" s="898"/>
      <c r="CO87" s="898"/>
      <c r="CP87" s="898"/>
      <c r="CQ87" s="898"/>
      <c r="CR87" s="898"/>
      <c r="CS87" s="898"/>
      <c r="CT87" s="898"/>
      <c r="CU87" s="898"/>
    </row>
    <row r="88" ht="16.5" customHeight="1">
      <c r="A88" s="718"/>
      <c r="B88" s="1195"/>
      <c r="C88" s="866"/>
      <c r="D88" s="968"/>
      <c r="E88" s="718"/>
      <c r="F88" s="718"/>
      <c r="G88" s="718"/>
      <c r="H88" s="718"/>
      <c r="I88" s="359"/>
      <c r="J88" s="359"/>
      <c r="K88" s="359"/>
      <c r="L88" s="359"/>
      <c r="M88" s="359"/>
      <c r="N88" s="359"/>
      <c r="O88" s="359"/>
      <c r="P88" s="359"/>
      <c r="Q88" s="359"/>
      <c r="R88" s="718"/>
      <c r="S88" s="669"/>
      <c r="T88" s="669"/>
      <c r="U88" s="967"/>
      <c r="V88" s="974"/>
      <c r="W88" s="1197"/>
      <c r="X88" s="974"/>
      <c r="Y88" s="974"/>
      <c r="Z88" s="974"/>
      <c r="AA88" s="974"/>
      <c r="AB88" s="974"/>
      <c r="AC88" s="974"/>
      <c r="AD88" s="974"/>
      <c r="AE88" s="974"/>
      <c r="AF88" s="974"/>
      <c r="AG88" s="974"/>
      <c r="AH88" s="974"/>
      <c r="AI88" s="1198"/>
      <c r="AJ88" s="974"/>
      <c r="AK88" s="1197"/>
      <c r="AL88" s="974"/>
      <c r="AM88" s="974"/>
      <c r="AN88" s="974"/>
      <c r="AO88" s="974"/>
      <c r="AP88" s="974"/>
      <c r="AQ88" s="974"/>
      <c r="AR88" s="974"/>
      <c r="AS88" s="974"/>
      <c r="AT88" s="974"/>
      <c r="AU88" s="974"/>
      <c r="AV88" s="974"/>
      <c r="AW88" s="1181"/>
      <c r="AX88" s="978"/>
      <c r="AY88" s="898"/>
      <c r="AZ88" s="898"/>
      <c r="BA88" s="898"/>
      <c r="BB88" s="898"/>
      <c r="BC88" s="898"/>
      <c r="BD88" s="898"/>
      <c r="BE88" s="898"/>
      <c r="BF88" s="898"/>
      <c r="BG88" s="898"/>
      <c r="BH88" s="898"/>
      <c r="BI88" s="898"/>
      <c r="BJ88" s="898"/>
      <c r="BK88" s="898"/>
      <c r="BL88" s="898"/>
      <c r="BM88" s="898"/>
      <c r="BN88" s="898"/>
      <c r="BO88" s="898"/>
      <c r="BP88" s="898"/>
      <c r="BQ88" s="898"/>
      <c r="BR88" s="898"/>
      <c r="BS88" s="898"/>
      <c r="BT88" s="898"/>
      <c r="BU88" s="898"/>
      <c r="BV88" s="898"/>
      <c r="BW88" s="898"/>
      <c r="BX88" s="898"/>
      <c r="BY88" s="898"/>
      <c r="BZ88" s="898"/>
      <c r="CA88" s="898"/>
      <c r="CB88" s="898"/>
      <c r="CC88" s="898"/>
      <c r="CD88" s="898"/>
      <c r="CE88" s="898"/>
      <c r="CF88" s="898"/>
      <c r="CG88" s="898"/>
      <c r="CH88" s="898"/>
      <c r="CI88" s="898"/>
      <c r="CJ88" s="898"/>
      <c r="CK88" s="898"/>
      <c r="CL88" s="898"/>
      <c r="CM88" s="898"/>
      <c r="CN88" s="898"/>
      <c r="CO88" s="898"/>
      <c r="CP88" s="898"/>
      <c r="CQ88" s="898"/>
      <c r="CR88" s="898"/>
      <c r="CS88" s="898"/>
      <c r="CT88" s="898"/>
      <c r="CU88" s="898"/>
    </row>
    <row r="89" ht="16.5" customHeight="1">
      <c r="A89" s="718"/>
      <c r="B89" s="1195"/>
      <c r="C89" s="866"/>
      <c r="D89" s="968"/>
      <c r="E89" s="718"/>
      <c r="F89" s="718"/>
      <c r="G89" s="718"/>
      <c r="H89" s="718"/>
      <c r="I89" s="359"/>
      <c r="J89" s="359"/>
      <c r="K89" s="359"/>
      <c r="L89" s="359"/>
      <c r="M89" s="359"/>
      <c r="N89" s="359"/>
      <c r="O89" s="359"/>
      <c r="P89" s="359"/>
      <c r="Q89" s="359"/>
      <c r="R89" s="718"/>
      <c r="S89" s="669"/>
      <c r="T89" s="669"/>
      <c r="U89" s="967"/>
      <c r="V89" s="974"/>
      <c r="W89" s="1197"/>
      <c r="X89" s="974"/>
      <c r="Y89" s="974"/>
      <c r="Z89" s="974"/>
      <c r="AA89" s="974"/>
      <c r="AB89" s="974"/>
      <c r="AC89" s="974"/>
      <c r="AD89" s="974"/>
      <c r="AE89" s="974"/>
      <c r="AF89" s="974"/>
      <c r="AG89" s="974"/>
      <c r="AH89" s="974"/>
      <c r="AI89" s="1198"/>
      <c r="AJ89" s="974"/>
      <c r="AK89" s="1197"/>
      <c r="AL89" s="974"/>
      <c r="AM89" s="974"/>
      <c r="AN89" s="974"/>
      <c r="AO89" s="974"/>
      <c r="AP89" s="974"/>
      <c r="AQ89" s="974"/>
      <c r="AR89" s="974"/>
      <c r="AS89" s="974"/>
      <c r="AT89" s="974"/>
      <c r="AU89" s="974"/>
      <c r="AV89" s="974"/>
      <c r="AW89" s="1181"/>
      <c r="AX89" s="978"/>
      <c r="AY89" s="898"/>
      <c r="AZ89" s="898"/>
      <c r="BA89" s="898"/>
      <c r="BB89" s="898"/>
      <c r="BC89" s="898"/>
      <c r="BD89" s="898"/>
      <c r="BE89" s="898"/>
      <c r="BF89" s="898"/>
      <c r="BG89" s="898"/>
      <c r="BH89" s="898"/>
      <c r="BI89" s="898"/>
      <c r="BJ89" s="898"/>
      <c r="BK89" s="898"/>
      <c r="BL89" s="898"/>
      <c r="BM89" s="898"/>
      <c r="BN89" s="898"/>
      <c r="BO89" s="898"/>
      <c r="BP89" s="898"/>
      <c r="BQ89" s="898"/>
      <c r="BR89" s="898"/>
      <c r="BS89" s="898"/>
      <c r="BT89" s="898"/>
      <c r="BU89" s="898"/>
      <c r="BV89" s="898"/>
      <c r="BW89" s="898"/>
      <c r="BX89" s="898"/>
      <c r="BY89" s="898"/>
      <c r="BZ89" s="898"/>
      <c r="CA89" s="898"/>
      <c r="CB89" s="898"/>
      <c r="CC89" s="898"/>
      <c r="CD89" s="898"/>
      <c r="CE89" s="898"/>
      <c r="CF89" s="898"/>
      <c r="CG89" s="898"/>
      <c r="CH89" s="898"/>
      <c r="CI89" s="898"/>
      <c r="CJ89" s="898"/>
      <c r="CK89" s="898"/>
      <c r="CL89" s="898"/>
      <c r="CM89" s="898"/>
      <c r="CN89" s="898"/>
      <c r="CO89" s="898"/>
      <c r="CP89" s="898"/>
      <c r="CQ89" s="898"/>
      <c r="CR89" s="898"/>
      <c r="CS89" s="898"/>
      <c r="CT89" s="898"/>
      <c r="CU89" s="898"/>
    </row>
    <row r="90" ht="16.5" customHeight="1">
      <c r="A90" s="718"/>
      <c r="B90" s="1195"/>
      <c r="C90" s="866"/>
      <c r="D90" s="968"/>
      <c r="E90" s="718"/>
      <c r="F90" s="718"/>
      <c r="G90" s="718"/>
      <c r="H90" s="718"/>
      <c r="I90" s="359"/>
      <c r="J90" s="359"/>
      <c r="K90" s="359"/>
      <c r="L90" s="359"/>
      <c r="M90" s="359"/>
      <c r="N90" s="359"/>
      <c r="O90" s="359"/>
      <c r="P90" s="359"/>
      <c r="Q90" s="359"/>
      <c r="R90" s="718"/>
      <c r="S90" s="669"/>
      <c r="T90" s="669"/>
      <c r="U90" s="967"/>
      <c r="V90" s="974"/>
      <c r="W90" s="1197"/>
      <c r="X90" s="974"/>
      <c r="Y90" s="974"/>
      <c r="Z90" s="974"/>
      <c r="AA90" s="974"/>
      <c r="AB90" s="974"/>
      <c r="AC90" s="974"/>
      <c r="AD90" s="974"/>
      <c r="AE90" s="974"/>
      <c r="AF90" s="974"/>
      <c r="AG90" s="974"/>
      <c r="AH90" s="974"/>
      <c r="AI90" s="1198"/>
      <c r="AJ90" s="974"/>
      <c r="AK90" s="1197"/>
      <c r="AL90" s="974"/>
      <c r="AM90" s="974"/>
      <c r="AN90" s="974"/>
      <c r="AO90" s="974"/>
      <c r="AP90" s="974"/>
      <c r="AQ90" s="974"/>
      <c r="AR90" s="974"/>
      <c r="AS90" s="974"/>
      <c r="AT90" s="974"/>
      <c r="AU90" s="974"/>
      <c r="AV90" s="974"/>
      <c r="AW90" s="1181"/>
      <c r="AX90" s="978"/>
      <c r="AY90" s="898"/>
      <c r="AZ90" s="898"/>
      <c r="BA90" s="898"/>
      <c r="BB90" s="898"/>
      <c r="BC90" s="898"/>
      <c r="BD90" s="898"/>
      <c r="BE90" s="898"/>
      <c r="BF90" s="898"/>
      <c r="BG90" s="898"/>
      <c r="BH90" s="898"/>
      <c r="BI90" s="898"/>
      <c r="BJ90" s="898"/>
      <c r="BK90" s="898"/>
      <c r="BL90" s="898"/>
      <c r="BM90" s="898"/>
      <c r="BN90" s="898"/>
      <c r="BO90" s="898"/>
      <c r="BP90" s="898"/>
      <c r="BQ90" s="898"/>
      <c r="BR90" s="898"/>
      <c r="BS90" s="898"/>
      <c r="BT90" s="898"/>
      <c r="BU90" s="898"/>
      <c r="BV90" s="898"/>
      <c r="BW90" s="898"/>
      <c r="BX90" s="898"/>
      <c r="BY90" s="898"/>
      <c r="BZ90" s="898"/>
      <c r="CA90" s="898"/>
      <c r="CB90" s="898"/>
      <c r="CC90" s="898"/>
      <c r="CD90" s="898"/>
      <c r="CE90" s="898"/>
      <c r="CF90" s="898"/>
      <c r="CG90" s="898"/>
      <c r="CH90" s="898"/>
      <c r="CI90" s="898"/>
      <c r="CJ90" s="898"/>
      <c r="CK90" s="898"/>
      <c r="CL90" s="898"/>
      <c r="CM90" s="898"/>
      <c r="CN90" s="898"/>
      <c r="CO90" s="898"/>
      <c r="CP90" s="898"/>
      <c r="CQ90" s="898"/>
      <c r="CR90" s="898"/>
      <c r="CS90" s="898"/>
      <c r="CT90" s="898"/>
      <c r="CU90" s="898"/>
    </row>
    <row r="91" ht="16.5" customHeight="1">
      <c r="A91" s="718"/>
      <c r="B91" s="1195"/>
      <c r="C91" s="866"/>
      <c r="D91" s="968"/>
      <c r="E91" s="718"/>
      <c r="F91" s="718"/>
      <c r="G91" s="718"/>
      <c r="H91" s="718"/>
      <c r="I91" s="359"/>
      <c r="J91" s="359"/>
      <c r="K91" s="359"/>
      <c r="L91" s="359"/>
      <c r="M91" s="359"/>
      <c r="N91" s="359"/>
      <c r="O91" s="359"/>
      <c r="P91" s="359"/>
      <c r="Q91" s="359"/>
      <c r="R91" s="718"/>
      <c r="S91" s="669"/>
      <c r="T91" s="669"/>
      <c r="U91" s="967"/>
      <c r="V91" s="974"/>
      <c r="W91" s="1197"/>
      <c r="X91" s="974"/>
      <c r="Y91" s="974"/>
      <c r="Z91" s="974"/>
      <c r="AA91" s="974"/>
      <c r="AB91" s="974"/>
      <c r="AC91" s="974"/>
      <c r="AD91" s="974"/>
      <c r="AE91" s="974"/>
      <c r="AF91" s="974"/>
      <c r="AG91" s="974"/>
      <c r="AH91" s="974"/>
      <c r="AI91" s="1198"/>
      <c r="AJ91" s="974"/>
      <c r="AK91" s="1197"/>
      <c r="AL91" s="974"/>
      <c r="AM91" s="974"/>
      <c r="AN91" s="974"/>
      <c r="AO91" s="974"/>
      <c r="AP91" s="974"/>
      <c r="AQ91" s="974"/>
      <c r="AR91" s="974"/>
      <c r="AS91" s="974"/>
      <c r="AT91" s="974"/>
      <c r="AU91" s="974"/>
      <c r="AV91" s="974"/>
      <c r="AW91" s="1181"/>
      <c r="AX91" s="978"/>
      <c r="AY91" s="898"/>
      <c r="AZ91" s="898"/>
      <c r="BA91" s="898"/>
      <c r="BB91" s="898"/>
      <c r="BC91" s="898"/>
      <c r="BD91" s="898"/>
      <c r="BE91" s="898"/>
      <c r="BF91" s="898"/>
      <c r="BG91" s="898"/>
      <c r="BH91" s="898"/>
      <c r="BI91" s="898"/>
      <c r="BJ91" s="898"/>
      <c r="BK91" s="898"/>
      <c r="BL91" s="898"/>
      <c r="BM91" s="898"/>
      <c r="BN91" s="898"/>
      <c r="BO91" s="898"/>
      <c r="BP91" s="898"/>
      <c r="BQ91" s="898"/>
      <c r="BR91" s="898"/>
      <c r="BS91" s="898"/>
      <c r="BT91" s="898"/>
      <c r="BU91" s="898"/>
      <c r="BV91" s="898"/>
      <c r="BW91" s="898"/>
      <c r="BX91" s="898"/>
      <c r="BY91" s="898"/>
      <c r="BZ91" s="898"/>
      <c r="CA91" s="898"/>
      <c r="CB91" s="898"/>
      <c r="CC91" s="898"/>
      <c r="CD91" s="898"/>
      <c r="CE91" s="898"/>
      <c r="CF91" s="898"/>
      <c r="CG91" s="898"/>
      <c r="CH91" s="898"/>
      <c r="CI91" s="898"/>
      <c r="CJ91" s="898"/>
      <c r="CK91" s="898"/>
      <c r="CL91" s="898"/>
      <c r="CM91" s="898"/>
      <c r="CN91" s="898"/>
      <c r="CO91" s="898"/>
      <c r="CP91" s="898"/>
      <c r="CQ91" s="898"/>
      <c r="CR91" s="898"/>
      <c r="CS91" s="898"/>
      <c r="CT91" s="898"/>
      <c r="CU91" s="898"/>
    </row>
    <row r="92" ht="16.5" customHeight="1">
      <c r="A92" s="718"/>
      <c r="B92" s="1195"/>
      <c r="C92" s="866"/>
      <c r="D92" s="968"/>
      <c r="E92" s="718"/>
      <c r="F92" s="718"/>
      <c r="G92" s="718"/>
      <c r="H92" s="718"/>
      <c r="I92" s="359"/>
      <c r="J92" s="359"/>
      <c r="K92" s="359"/>
      <c r="L92" s="359"/>
      <c r="M92" s="359"/>
      <c r="N92" s="359"/>
      <c r="O92" s="359"/>
      <c r="P92" s="359"/>
      <c r="Q92" s="359"/>
      <c r="R92" s="718"/>
      <c r="S92" s="669"/>
      <c r="T92" s="669"/>
      <c r="U92" s="967"/>
      <c r="V92" s="974"/>
      <c r="W92" s="1197"/>
      <c r="X92" s="974"/>
      <c r="Y92" s="974"/>
      <c r="Z92" s="974"/>
      <c r="AA92" s="974"/>
      <c r="AB92" s="974"/>
      <c r="AC92" s="974"/>
      <c r="AD92" s="974"/>
      <c r="AE92" s="974"/>
      <c r="AF92" s="974"/>
      <c r="AG92" s="974"/>
      <c r="AH92" s="974"/>
      <c r="AI92" s="1198"/>
      <c r="AJ92" s="974"/>
      <c r="AK92" s="1197"/>
      <c r="AL92" s="974"/>
      <c r="AM92" s="974"/>
      <c r="AN92" s="974"/>
      <c r="AO92" s="974"/>
      <c r="AP92" s="974"/>
      <c r="AQ92" s="974"/>
      <c r="AR92" s="974"/>
      <c r="AS92" s="974"/>
      <c r="AT92" s="974"/>
      <c r="AU92" s="974"/>
      <c r="AV92" s="974"/>
      <c r="AW92" s="1181"/>
      <c r="AX92" s="978"/>
      <c r="AY92" s="898"/>
      <c r="AZ92" s="898"/>
      <c r="BA92" s="898"/>
      <c r="BB92" s="898"/>
      <c r="BC92" s="898"/>
      <c r="BD92" s="898"/>
      <c r="BE92" s="898"/>
      <c r="BF92" s="898"/>
      <c r="BG92" s="898"/>
      <c r="BH92" s="898"/>
      <c r="BI92" s="898"/>
      <c r="BJ92" s="898"/>
      <c r="BK92" s="898"/>
      <c r="BL92" s="898"/>
      <c r="BM92" s="898"/>
      <c r="BN92" s="898"/>
      <c r="BO92" s="898"/>
      <c r="BP92" s="898"/>
      <c r="BQ92" s="898"/>
      <c r="BR92" s="898"/>
      <c r="BS92" s="898"/>
      <c r="BT92" s="898"/>
      <c r="BU92" s="898"/>
      <c r="BV92" s="898"/>
      <c r="BW92" s="898"/>
      <c r="BX92" s="898"/>
      <c r="BY92" s="898"/>
      <c r="BZ92" s="898"/>
      <c r="CA92" s="898"/>
      <c r="CB92" s="898"/>
      <c r="CC92" s="898"/>
      <c r="CD92" s="898"/>
      <c r="CE92" s="898"/>
      <c r="CF92" s="898"/>
      <c r="CG92" s="898"/>
      <c r="CH92" s="898"/>
      <c r="CI92" s="898"/>
      <c r="CJ92" s="898"/>
      <c r="CK92" s="898"/>
      <c r="CL92" s="898"/>
      <c r="CM92" s="898"/>
      <c r="CN92" s="898"/>
      <c r="CO92" s="898"/>
      <c r="CP92" s="898"/>
      <c r="CQ92" s="898"/>
      <c r="CR92" s="898"/>
      <c r="CS92" s="898"/>
      <c r="CT92" s="898"/>
      <c r="CU92" s="898"/>
    </row>
    <row r="93" ht="16.5" customHeight="1">
      <c r="A93" s="718"/>
      <c r="B93" s="1195"/>
      <c r="C93" s="866"/>
      <c r="D93" s="968"/>
      <c r="E93" s="718"/>
      <c r="F93" s="718"/>
      <c r="G93" s="718"/>
      <c r="H93" s="718"/>
      <c r="I93" s="359"/>
      <c r="J93" s="359"/>
      <c r="K93" s="359"/>
      <c r="L93" s="359"/>
      <c r="M93" s="359"/>
      <c r="N93" s="359"/>
      <c r="O93" s="359"/>
      <c r="P93" s="359"/>
      <c r="Q93" s="359"/>
      <c r="R93" s="718"/>
      <c r="S93" s="669"/>
      <c r="T93" s="669"/>
      <c r="U93" s="967"/>
      <c r="V93" s="974"/>
      <c r="W93" s="1197"/>
      <c r="X93" s="974"/>
      <c r="Y93" s="974"/>
      <c r="Z93" s="974"/>
      <c r="AA93" s="974"/>
      <c r="AB93" s="974"/>
      <c r="AC93" s="974"/>
      <c r="AD93" s="974"/>
      <c r="AE93" s="974"/>
      <c r="AF93" s="974"/>
      <c r="AG93" s="974"/>
      <c r="AH93" s="974"/>
      <c r="AI93" s="1198"/>
      <c r="AJ93" s="974"/>
      <c r="AK93" s="1197"/>
      <c r="AL93" s="974"/>
      <c r="AM93" s="974"/>
      <c r="AN93" s="974"/>
      <c r="AO93" s="974"/>
      <c r="AP93" s="974"/>
      <c r="AQ93" s="974"/>
      <c r="AR93" s="974"/>
      <c r="AS93" s="974"/>
      <c r="AT93" s="974"/>
      <c r="AU93" s="974"/>
      <c r="AV93" s="974"/>
      <c r="AW93" s="1181"/>
      <c r="AX93" s="978"/>
      <c r="AY93" s="898"/>
      <c r="AZ93" s="898"/>
      <c r="BA93" s="898"/>
      <c r="BB93" s="898"/>
      <c r="BC93" s="898"/>
      <c r="BD93" s="898"/>
      <c r="BE93" s="898"/>
      <c r="BF93" s="898"/>
      <c r="BG93" s="898"/>
      <c r="BH93" s="898"/>
      <c r="BI93" s="898"/>
      <c r="BJ93" s="898"/>
      <c r="BK93" s="898"/>
      <c r="BL93" s="898"/>
      <c r="BM93" s="898"/>
      <c r="BN93" s="898"/>
      <c r="BO93" s="898"/>
      <c r="BP93" s="898"/>
      <c r="BQ93" s="898"/>
      <c r="BR93" s="898"/>
      <c r="BS93" s="898"/>
      <c r="BT93" s="898"/>
      <c r="BU93" s="898"/>
      <c r="BV93" s="898"/>
      <c r="BW93" s="898"/>
      <c r="BX93" s="898"/>
      <c r="BY93" s="898"/>
      <c r="BZ93" s="898"/>
      <c r="CA93" s="898"/>
      <c r="CB93" s="898"/>
      <c r="CC93" s="898"/>
      <c r="CD93" s="898"/>
      <c r="CE93" s="898"/>
      <c r="CF93" s="898"/>
      <c r="CG93" s="898"/>
      <c r="CH93" s="898"/>
      <c r="CI93" s="898"/>
      <c r="CJ93" s="898"/>
      <c r="CK93" s="898"/>
      <c r="CL93" s="898"/>
      <c r="CM93" s="898"/>
      <c r="CN93" s="898"/>
      <c r="CO93" s="898"/>
      <c r="CP93" s="898"/>
      <c r="CQ93" s="898"/>
      <c r="CR93" s="898"/>
      <c r="CS93" s="898"/>
      <c r="CT93" s="898"/>
      <c r="CU93" s="898"/>
    </row>
    <row r="94" ht="16.5" customHeight="1">
      <c r="A94" s="718"/>
      <c r="B94" s="1195"/>
      <c r="C94" s="866"/>
      <c r="D94" s="968"/>
      <c r="E94" s="718"/>
      <c r="F94" s="718"/>
      <c r="G94" s="718"/>
      <c r="H94" s="718"/>
      <c r="I94" s="359"/>
      <c r="J94" s="359"/>
      <c r="K94" s="359"/>
      <c r="L94" s="359"/>
      <c r="M94" s="359"/>
      <c r="N94" s="359"/>
      <c r="O94" s="359"/>
      <c r="P94" s="359"/>
      <c r="Q94" s="359"/>
      <c r="R94" s="718"/>
      <c r="S94" s="669"/>
      <c r="T94" s="669"/>
      <c r="U94" s="967"/>
      <c r="V94" s="974"/>
      <c r="W94" s="1197"/>
      <c r="X94" s="974"/>
      <c r="Y94" s="974"/>
      <c r="Z94" s="974"/>
      <c r="AA94" s="974"/>
      <c r="AB94" s="974"/>
      <c r="AC94" s="974"/>
      <c r="AD94" s="974"/>
      <c r="AE94" s="974"/>
      <c r="AF94" s="974"/>
      <c r="AG94" s="974"/>
      <c r="AH94" s="974"/>
      <c r="AI94" s="1198"/>
      <c r="AJ94" s="974"/>
      <c r="AK94" s="1197"/>
      <c r="AL94" s="974"/>
      <c r="AM94" s="974"/>
      <c r="AN94" s="974"/>
      <c r="AO94" s="974"/>
      <c r="AP94" s="974"/>
      <c r="AQ94" s="974"/>
      <c r="AR94" s="974"/>
      <c r="AS94" s="974"/>
      <c r="AT94" s="974"/>
      <c r="AU94" s="974"/>
      <c r="AV94" s="974"/>
      <c r="AW94" s="1181"/>
      <c r="AX94" s="978"/>
      <c r="AY94" s="898"/>
      <c r="AZ94" s="898"/>
      <c r="BA94" s="898"/>
      <c r="BB94" s="898"/>
      <c r="BC94" s="898"/>
      <c r="BD94" s="898"/>
      <c r="BE94" s="898"/>
      <c r="BF94" s="898"/>
      <c r="BG94" s="898"/>
      <c r="BH94" s="898"/>
      <c r="BI94" s="898"/>
      <c r="BJ94" s="898"/>
      <c r="BK94" s="898"/>
      <c r="BL94" s="898"/>
      <c r="BM94" s="898"/>
      <c r="BN94" s="898"/>
      <c r="BO94" s="898"/>
      <c r="BP94" s="898"/>
      <c r="BQ94" s="898"/>
      <c r="BR94" s="898"/>
      <c r="BS94" s="898"/>
      <c r="BT94" s="898"/>
      <c r="BU94" s="898"/>
      <c r="BV94" s="898"/>
      <c r="BW94" s="898"/>
      <c r="BX94" s="898"/>
      <c r="BY94" s="898"/>
      <c r="BZ94" s="898"/>
      <c r="CA94" s="898"/>
      <c r="CB94" s="898"/>
      <c r="CC94" s="898"/>
      <c r="CD94" s="898"/>
      <c r="CE94" s="898"/>
      <c r="CF94" s="898"/>
      <c r="CG94" s="898"/>
      <c r="CH94" s="898"/>
      <c r="CI94" s="898"/>
      <c r="CJ94" s="898"/>
      <c r="CK94" s="898"/>
      <c r="CL94" s="898"/>
      <c r="CM94" s="898"/>
      <c r="CN94" s="898"/>
      <c r="CO94" s="898"/>
      <c r="CP94" s="898"/>
      <c r="CQ94" s="898"/>
      <c r="CR94" s="898"/>
      <c r="CS94" s="898"/>
      <c r="CT94" s="898"/>
      <c r="CU94" s="898"/>
    </row>
    <row r="95" ht="16.5" customHeight="1">
      <c r="A95" s="718"/>
      <c r="B95" s="1195"/>
      <c r="C95" s="866"/>
      <c r="D95" s="968"/>
      <c r="E95" s="718"/>
      <c r="F95" s="718"/>
      <c r="G95" s="718"/>
      <c r="H95" s="718"/>
      <c r="I95" s="359"/>
      <c r="J95" s="359"/>
      <c r="K95" s="359"/>
      <c r="L95" s="359"/>
      <c r="M95" s="359"/>
      <c r="N95" s="359"/>
      <c r="O95" s="359"/>
      <c r="P95" s="359"/>
      <c r="Q95" s="359"/>
      <c r="R95" s="718"/>
      <c r="S95" s="669"/>
      <c r="T95" s="669"/>
      <c r="U95" s="967"/>
      <c r="V95" s="974"/>
      <c r="W95" s="1197"/>
      <c r="X95" s="974"/>
      <c r="Y95" s="974"/>
      <c r="Z95" s="974"/>
      <c r="AA95" s="974"/>
      <c r="AB95" s="974"/>
      <c r="AC95" s="974"/>
      <c r="AD95" s="974"/>
      <c r="AE95" s="974"/>
      <c r="AF95" s="974"/>
      <c r="AG95" s="974"/>
      <c r="AH95" s="974"/>
      <c r="AI95" s="1198"/>
      <c r="AJ95" s="974"/>
      <c r="AK95" s="1197"/>
      <c r="AL95" s="974"/>
      <c r="AM95" s="974"/>
      <c r="AN95" s="974"/>
      <c r="AO95" s="974"/>
      <c r="AP95" s="974"/>
      <c r="AQ95" s="974"/>
      <c r="AR95" s="974"/>
      <c r="AS95" s="974"/>
      <c r="AT95" s="974"/>
      <c r="AU95" s="974"/>
      <c r="AV95" s="974"/>
      <c r="AW95" s="1181"/>
      <c r="AX95" s="978"/>
      <c r="AY95" s="898"/>
      <c r="AZ95" s="898"/>
      <c r="BA95" s="898"/>
      <c r="BB95" s="898"/>
      <c r="BC95" s="898"/>
      <c r="BD95" s="898"/>
      <c r="BE95" s="898"/>
      <c r="BF95" s="898"/>
      <c r="BG95" s="898"/>
      <c r="BH95" s="898"/>
      <c r="BI95" s="898"/>
      <c r="BJ95" s="898"/>
      <c r="BK95" s="898"/>
      <c r="BL95" s="898"/>
      <c r="BM95" s="898"/>
      <c r="BN95" s="898"/>
      <c r="BO95" s="898"/>
      <c r="BP95" s="898"/>
      <c r="BQ95" s="898"/>
      <c r="BR95" s="898"/>
      <c r="BS95" s="898"/>
      <c r="BT95" s="898"/>
      <c r="BU95" s="898"/>
      <c r="BV95" s="898"/>
      <c r="BW95" s="898"/>
      <c r="BX95" s="898"/>
      <c r="BY95" s="898"/>
      <c r="BZ95" s="898"/>
      <c r="CA95" s="898"/>
      <c r="CB95" s="898"/>
      <c r="CC95" s="898"/>
      <c r="CD95" s="898"/>
      <c r="CE95" s="898"/>
      <c r="CF95" s="898"/>
      <c r="CG95" s="898"/>
      <c r="CH95" s="898"/>
      <c r="CI95" s="898"/>
      <c r="CJ95" s="898"/>
      <c r="CK95" s="898"/>
      <c r="CL95" s="898"/>
      <c r="CM95" s="898"/>
      <c r="CN95" s="898"/>
      <c r="CO95" s="898"/>
      <c r="CP95" s="898"/>
      <c r="CQ95" s="898"/>
      <c r="CR95" s="898"/>
      <c r="CS95" s="898"/>
      <c r="CT95" s="898"/>
      <c r="CU95" s="898"/>
    </row>
    <row r="96" ht="16.5" customHeight="1">
      <c r="A96" s="718"/>
      <c r="B96" s="1195"/>
      <c r="C96" s="866"/>
      <c r="D96" s="968"/>
      <c r="E96" s="718"/>
      <c r="F96" s="718"/>
      <c r="G96" s="718"/>
      <c r="H96" s="718"/>
      <c r="I96" s="359"/>
      <c r="J96" s="359"/>
      <c r="K96" s="359"/>
      <c r="L96" s="359"/>
      <c r="M96" s="359"/>
      <c r="N96" s="359"/>
      <c r="O96" s="359"/>
      <c r="P96" s="359"/>
      <c r="Q96" s="359"/>
      <c r="R96" s="718"/>
      <c r="S96" s="669"/>
      <c r="T96" s="669"/>
      <c r="U96" s="967"/>
      <c r="V96" s="974"/>
      <c r="W96" s="1197"/>
      <c r="X96" s="974"/>
      <c r="Y96" s="974"/>
      <c r="Z96" s="974"/>
      <c r="AA96" s="974"/>
      <c r="AB96" s="974"/>
      <c r="AC96" s="974"/>
      <c r="AD96" s="974"/>
      <c r="AE96" s="974"/>
      <c r="AF96" s="974"/>
      <c r="AG96" s="974"/>
      <c r="AH96" s="974"/>
      <c r="AI96" s="1198"/>
      <c r="AJ96" s="974"/>
      <c r="AK96" s="1197"/>
      <c r="AL96" s="974"/>
      <c r="AM96" s="974"/>
      <c r="AN96" s="974"/>
      <c r="AO96" s="974"/>
      <c r="AP96" s="974"/>
      <c r="AQ96" s="974"/>
      <c r="AR96" s="974"/>
      <c r="AS96" s="974"/>
      <c r="AT96" s="974"/>
      <c r="AU96" s="974"/>
      <c r="AV96" s="974"/>
      <c r="AW96" s="1181"/>
      <c r="AX96" s="978"/>
      <c r="AY96" s="898"/>
      <c r="AZ96" s="898"/>
      <c r="BA96" s="898"/>
      <c r="BB96" s="898"/>
      <c r="BC96" s="898"/>
      <c r="BD96" s="898"/>
      <c r="BE96" s="898"/>
      <c r="BF96" s="898"/>
      <c r="BG96" s="898"/>
      <c r="BH96" s="898"/>
      <c r="BI96" s="898"/>
      <c r="BJ96" s="898"/>
      <c r="BK96" s="898"/>
      <c r="BL96" s="898"/>
      <c r="BM96" s="898"/>
      <c r="BN96" s="898"/>
      <c r="BO96" s="898"/>
      <c r="BP96" s="898"/>
      <c r="BQ96" s="898"/>
      <c r="BR96" s="898"/>
      <c r="BS96" s="898"/>
      <c r="BT96" s="898"/>
      <c r="BU96" s="898"/>
      <c r="BV96" s="898"/>
      <c r="BW96" s="898"/>
      <c r="BX96" s="898"/>
      <c r="BY96" s="898"/>
      <c r="BZ96" s="898"/>
      <c r="CA96" s="898"/>
      <c r="CB96" s="898"/>
      <c r="CC96" s="898"/>
      <c r="CD96" s="898"/>
      <c r="CE96" s="898"/>
      <c r="CF96" s="898"/>
      <c r="CG96" s="898"/>
      <c r="CH96" s="898"/>
      <c r="CI96" s="898"/>
      <c r="CJ96" s="898"/>
      <c r="CK96" s="898"/>
      <c r="CL96" s="898"/>
      <c r="CM96" s="898"/>
      <c r="CN96" s="898"/>
      <c r="CO96" s="898"/>
      <c r="CP96" s="898"/>
      <c r="CQ96" s="898"/>
      <c r="CR96" s="898"/>
      <c r="CS96" s="898"/>
      <c r="CT96" s="898"/>
      <c r="CU96" s="898"/>
    </row>
    <row r="97" ht="16.5" customHeight="1">
      <c r="A97" s="718"/>
      <c r="B97" s="1195"/>
      <c r="C97" s="866"/>
      <c r="D97" s="968"/>
      <c r="E97" s="718"/>
      <c r="F97" s="718"/>
      <c r="G97" s="718"/>
      <c r="H97" s="718"/>
      <c r="I97" s="359"/>
      <c r="J97" s="359"/>
      <c r="K97" s="359"/>
      <c r="L97" s="359"/>
      <c r="M97" s="359"/>
      <c r="N97" s="359"/>
      <c r="O97" s="359"/>
      <c r="P97" s="359"/>
      <c r="Q97" s="359"/>
      <c r="R97" s="718"/>
      <c r="S97" s="669"/>
      <c r="T97" s="669"/>
      <c r="U97" s="967"/>
      <c r="V97" s="974"/>
      <c r="W97" s="1197"/>
      <c r="X97" s="974"/>
      <c r="Y97" s="974"/>
      <c r="Z97" s="974"/>
      <c r="AA97" s="974"/>
      <c r="AB97" s="974"/>
      <c r="AC97" s="974"/>
      <c r="AD97" s="974"/>
      <c r="AE97" s="974"/>
      <c r="AF97" s="974"/>
      <c r="AG97" s="974"/>
      <c r="AH97" s="974"/>
      <c r="AI97" s="1198"/>
      <c r="AJ97" s="974"/>
      <c r="AK97" s="1197"/>
      <c r="AL97" s="974"/>
      <c r="AM97" s="974"/>
      <c r="AN97" s="974"/>
      <c r="AO97" s="974"/>
      <c r="AP97" s="974"/>
      <c r="AQ97" s="974"/>
      <c r="AR97" s="974"/>
      <c r="AS97" s="974"/>
      <c r="AT97" s="974"/>
      <c r="AU97" s="974"/>
      <c r="AV97" s="974"/>
      <c r="AW97" s="1181"/>
      <c r="AX97" s="978"/>
      <c r="AY97" s="898"/>
      <c r="AZ97" s="898"/>
      <c r="BA97" s="898"/>
      <c r="BB97" s="898"/>
      <c r="BC97" s="898"/>
      <c r="BD97" s="898"/>
      <c r="BE97" s="898"/>
      <c r="BF97" s="898"/>
      <c r="BG97" s="898"/>
      <c r="BH97" s="898"/>
      <c r="BI97" s="898"/>
      <c r="BJ97" s="898"/>
      <c r="BK97" s="898"/>
      <c r="BL97" s="898"/>
      <c r="BM97" s="898"/>
      <c r="BN97" s="898"/>
      <c r="BO97" s="898"/>
      <c r="BP97" s="898"/>
      <c r="BQ97" s="898"/>
      <c r="BR97" s="898"/>
      <c r="BS97" s="898"/>
      <c r="BT97" s="898"/>
      <c r="BU97" s="898"/>
      <c r="BV97" s="898"/>
      <c r="BW97" s="898"/>
      <c r="BX97" s="898"/>
      <c r="BY97" s="898"/>
      <c r="BZ97" s="898"/>
      <c r="CA97" s="898"/>
      <c r="CB97" s="898"/>
      <c r="CC97" s="898"/>
      <c r="CD97" s="898"/>
      <c r="CE97" s="898"/>
      <c r="CF97" s="898"/>
      <c r="CG97" s="898"/>
      <c r="CH97" s="898"/>
      <c r="CI97" s="898"/>
      <c r="CJ97" s="898"/>
      <c r="CK97" s="898"/>
      <c r="CL97" s="898"/>
      <c r="CM97" s="898"/>
      <c r="CN97" s="898"/>
      <c r="CO97" s="898"/>
      <c r="CP97" s="898"/>
      <c r="CQ97" s="898"/>
      <c r="CR97" s="898"/>
      <c r="CS97" s="898"/>
      <c r="CT97" s="898"/>
      <c r="CU97" s="898"/>
    </row>
    <row r="98" ht="16.5" customHeight="1">
      <c r="A98" s="718"/>
      <c r="B98" s="1195"/>
      <c r="C98" s="866"/>
      <c r="D98" s="968"/>
      <c r="E98" s="718"/>
      <c r="F98" s="718"/>
      <c r="G98" s="718"/>
      <c r="H98" s="718"/>
      <c r="I98" s="359"/>
      <c r="J98" s="359"/>
      <c r="K98" s="359"/>
      <c r="L98" s="359"/>
      <c r="M98" s="359"/>
      <c r="N98" s="359"/>
      <c r="O98" s="359"/>
      <c r="P98" s="359"/>
      <c r="Q98" s="359"/>
      <c r="R98" s="718"/>
      <c r="S98" s="669"/>
      <c r="T98" s="669"/>
      <c r="U98" s="967"/>
      <c r="V98" s="974"/>
      <c r="W98" s="1197"/>
      <c r="X98" s="974"/>
      <c r="Y98" s="974"/>
      <c r="Z98" s="974"/>
      <c r="AA98" s="974"/>
      <c r="AB98" s="974"/>
      <c r="AC98" s="974"/>
      <c r="AD98" s="974"/>
      <c r="AE98" s="974"/>
      <c r="AF98" s="974"/>
      <c r="AG98" s="974"/>
      <c r="AH98" s="974"/>
      <c r="AI98" s="1198"/>
      <c r="AJ98" s="974"/>
      <c r="AK98" s="1197"/>
      <c r="AL98" s="974"/>
      <c r="AM98" s="974"/>
      <c r="AN98" s="974"/>
      <c r="AO98" s="974"/>
      <c r="AP98" s="974"/>
      <c r="AQ98" s="974"/>
      <c r="AR98" s="974"/>
      <c r="AS98" s="974"/>
      <c r="AT98" s="974"/>
      <c r="AU98" s="974"/>
      <c r="AV98" s="974"/>
      <c r="AW98" s="1181"/>
      <c r="AX98" s="978"/>
      <c r="AY98" s="898"/>
      <c r="AZ98" s="898"/>
      <c r="BA98" s="898"/>
      <c r="BB98" s="898"/>
      <c r="BC98" s="898"/>
      <c r="BD98" s="898"/>
      <c r="BE98" s="898"/>
      <c r="BF98" s="898"/>
      <c r="BG98" s="898"/>
      <c r="BH98" s="898"/>
      <c r="BI98" s="898"/>
      <c r="BJ98" s="898"/>
      <c r="BK98" s="898"/>
      <c r="BL98" s="898"/>
      <c r="BM98" s="898"/>
      <c r="BN98" s="898"/>
      <c r="BO98" s="898"/>
      <c r="BP98" s="898"/>
      <c r="BQ98" s="898"/>
      <c r="BR98" s="898"/>
      <c r="BS98" s="898"/>
      <c r="BT98" s="898"/>
      <c r="BU98" s="898"/>
      <c r="BV98" s="898"/>
      <c r="BW98" s="898"/>
      <c r="BX98" s="898"/>
      <c r="BY98" s="898"/>
      <c r="BZ98" s="898"/>
      <c r="CA98" s="898"/>
      <c r="CB98" s="898"/>
      <c r="CC98" s="898"/>
      <c r="CD98" s="898"/>
      <c r="CE98" s="898"/>
      <c r="CF98" s="898"/>
      <c r="CG98" s="898"/>
      <c r="CH98" s="898"/>
      <c r="CI98" s="898"/>
      <c r="CJ98" s="898"/>
      <c r="CK98" s="898"/>
      <c r="CL98" s="898"/>
      <c r="CM98" s="898"/>
      <c r="CN98" s="898"/>
      <c r="CO98" s="898"/>
      <c r="CP98" s="898"/>
      <c r="CQ98" s="898"/>
      <c r="CR98" s="898"/>
      <c r="CS98" s="898"/>
      <c r="CT98" s="898"/>
      <c r="CU98" s="898"/>
    </row>
    <row r="99" ht="16.5" customHeight="1">
      <c r="A99" s="718"/>
      <c r="B99" s="1195"/>
      <c r="C99" s="866"/>
      <c r="D99" s="968"/>
      <c r="E99" s="718"/>
      <c r="F99" s="718"/>
      <c r="G99" s="718"/>
      <c r="H99" s="718"/>
      <c r="I99" s="359"/>
      <c r="J99" s="359"/>
      <c r="K99" s="359"/>
      <c r="L99" s="359"/>
      <c r="M99" s="359"/>
      <c r="N99" s="359"/>
      <c r="O99" s="359"/>
      <c r="P99" s="359"/>
      <c r="Q99" s="359"/>
      <c r="R99" s="718"/>
      <c r="S99" s="669"/>
      <c r="T99" s="669"/>
      <c r="U99" s="967"/>
      <c r="V99" s="974"/>
      <c r="W99" s="1197"/>
      <c r="X99" s="974"/>
      <c r="Y99" s="974"/>
      <c r="Z99" s="974"/>
      <c r="AA99" s="974"/>
      <c r="AB99" s="974"/>
      <c r="AC99" s="974"/>
      <c r="AD99" s="974"/>
      <c r="AE99" s="974"/>
      <c r="AF99" s="974"/>
      <c r="AG99" s="974"/>
      <c r="AH99" s="974"/>
      <c r="AI99" s="1198"/>
      <c r="AJ99" s="974"/>
      <c r="AK99" s="1197"/>
      <c r="AL99" s="974"/>
      <c r="AM99" s="974"/>
      <c r="AN99" s="974"/>
      <c r="AO99" s="974"/>
      <c r="AP99" s="974"/>
      <c r="AQ99" s="974"/>
      <c r="AR99" s="974"/>
      <c r="AS99" s="974"/>
      <c r="AT99" s="974"/>
      <c r="AU99" s="974"/>
      <c r="AV99" s="974"/>
      <c r="AW99" s="1181"/>
      <c r="AX99" s="978"/>
      <c r="AY99" s="898"/>
      <c r="AZ99" s="898"/>
      <c r="BA99" s="898"/>
      <c r="BB99" s="898"/>
      <c r="BC99" s="898"/>
      <c r="BD99" s="898"/>
      <c r="BE99" s="898"/>
      <c r="BF99" s="898"/>
      <c r="BG99" s="898"/>
      <c r="BH99" s="898"/>
      <c r="BI99" s="898"/>
      <c r="BJ99" s="898"/>
      <c r="BK99" s="898"/>
      <c r="BL99" s="898"/>
      <c r="BM99" s="898"/>
      <c r="BN99" s="898"/>
      <c r="BO99" s="898"/>
      <c r="BP99" s="898"/>
      <c r="BQ99" s="898"/>
      <c r="BR99" s="898"/>
      <c r="BS99" s="898"/>
      <c r="BT99" s="898"/>
      <c r="BU99" s="898"/>
      <c r="BV99" s="898"/>
      <c r="BW99" s="898"/>
      <c r="BX99" s="898"/>
      <c r="BY99" s="898"/>
      <c r="BZ99" s="898"/>
      <c r="CA99" s="898"/>
      <c r="CB99" s="898"/>
      <c r="CC99" s="898"/>
      <c r="CD99" s="898"/>
      <c r="CE99" s="898"/>
      <c r="CF99" s="898"/>
      <c r="CG99" s="898"/>
      <c r="CH99" s="898"/>
      <c r="CI99" s="898"/>
      <c r="CJ99" s="898"/>
      <c r="CK99" s="898"/>
      <c r="CL99" s="898"/>
      <c r="CM99" s="898"/>
      <c r="CN99" s="898"/>
      <c r="CO99" s="898"/>
      <c r="CP99" s="898"/>
      <c r="CQ99" s="898"/>
      <c r="CR99" s="898"/>
      <c r="CS99" s="898"/>
      <c r="CT99" s="898"/>
      <c r="CU99" s="898"/>
    </row>
    <row r="100" ht="16.5" customHeight="1">
      <c r="A100" s="718"/>
      <c r="B100" s="1195"/>
      <c r="C100" s="866"/>
      <c r="D100" s="968"/>
      <c r="E100" s="718"/>
      <c r="F100" s="718"/>
      <c r="G100" s="718"/>
      <c r="H100" s="718"/>
      <c r="I100" s="359"/>
      <c r="J100" s="359"/>
      <c r="K100" s="359"/>
      <c r="L100" s="359"/>
      <c r="M100" s="359"/>
      <c r="N100" s="359"/>
      <c r="O100" s="359"/>
      <c r="P100" s="359"/>
      <c r="Q100" s="359"/>
      <c r="R100" s="718"/>
      <c r="S100" s="669"/>
      <c r="T100" s="669"/>
      <c r="U100" s="967"/>
      <c r="V100" s="974"/>
      <c r="W100" s="1197"/>
      <c r="X100" s="974"/>
      <c r="Y100" s="974"/>
      <c r="Z100" s="974"/>
      <c r="AA100" s="974"/>
      <c r="AB100" s="974"/>
      <c r="AC100" s="974"/>
      <c r="AD100" s="974"/>
      <c r="AE100" s="974"/>
      <c r="AF100" s="974"/>
      <c r="AG100" s="974"/>
      <c r="AH100" s="974"/>
      <c r="AI100" s="1198"/>
      <c r="AJ100" s="974"/>
      <c r="AK100" s="1197"/>
      <c r="AL100" s="974"/>
      <c r="AM100" s="974"/>
      <c r="AN100" s="974"/>
      <c r="AO100" s="974"/>
      <c r="AP100" s="974"/>
      <c r="AQ100" s="974"/>
      <c r="AR100" s="974"/>
      <c r="AS100" s="974"/>
      <c r="AT100" s="974"/>
      <c r="AU100" s="974"/>
      <c r="AV100" s="974"/>
      <c r="AW100" s="1181"/>
      <c r="AX100" s="978"/>
      <c r="AY100" s="898"/>
      <c r="AZ100" s="898"/>
      <c r="BA100" s="898"/>
      <c r="BB100" s="898"/>
      <c r="BC100" s="898"/>
      <c r="BD100" s="898"/>
      <c r="BE100" s="898"/>
      <c r="BF100" s="898"/>
      <c r="BG100" s="898"/>
      <c r="BH100" s="898"/>
      <c r="BI100" s="898"/>
      <c r="BJ100" s="898"/>
      <c r="BK100" s="898"/>
      <c r="BL100" s="898"/>
      <c r="BM100" s="898"/>
      <c r="BN100" s="898"/>
      <c r="BO100" s="898"/>
      <c r="BP100" s="898"/>
      <c r="BQ100" s="898"/>
      <c r="BR100" s="898"/>
      <c r="BS100" s="898"/>
      <c r="BT100" s="898"/>
      <c r="BU100" s="898"/>
      <c r="BV100" s="898"/>
      <c r="BW100" s="898"/>
      <c r="BX100" s="898"/>
      <c r="BY100" s="898"/>
      <c r="BZ100" s="898"/>
      <c r="CA100" s="898"/>
      <c r="CB100" s="898"/>
      <c r="CC100" s="898"/>
      <c r="CD100" s="898"/>
      <c r="CE100" s="898"/>
      <c r="CF100" s="898"/>
      <c r="CG100" s="898"/>
      <c r="CH100" s="898"/>
      <c r="CI100" s="898"/>
      <c r="CJ100" s="898"/>
      <c r="CK100" s="898"/>
      <c r="CL100" s="898"/>
      <c r="CM100" s="898"/>
      <c r="CN100" s="898"/>
      <c r="CO100" s="898"/>
      <c r="CP100" s="898"/>
      <c r="CQ100" s="898"/>
      <c r="CR100" s="898"/>
      <c r="CS100" s="898"/>
      <c r="CT100" s="898"/>
      <c r="CU100" s="898"/>
    </row>
    <row r="101" ht="16.5" customHeight="1">
      <c r="A101" s="718"/>
      <c r="B101" s="1195"/>
      <c r="C101" s="866"/>
      <c r="D101" s="968"/>
      <c r="E101" s="718"/>
      <c r="F101" s="718"/>
      <c r="G101" s="718"/>
      <c r="H101" s="718"/>
      <c r="I101" s="359"/>
      <c r="J101" s="359"/>
      <c r="K101" s="359"/>
      <c r="L101" s="359"/>
      <c r="M101" s="359"/>
      <c r="N101" s="359"/>
      <c r="O101" s="359"/>
      <c r="P101" s="359"/>
      <c r="Q101" s="359"/>
      <c r="R101" s="718"/>
      <c r="S101" s="669"/>
      <c r="T101" s="669"/>
      <c r="U101" s="967"/>
      <c r="V101" s="974"/>
      <c r="W101" s="1197"/>
      <c r="X101" s="974"/>
      <c r="Y101" s="974"/>
      <c r="Z101" s="974"/>
      <c r="AA101" s="974"/>
      <c r="AB101" s="974"/>
      <c r="AC101" s="974"/>
      <c r="AD101" s="974"/>
      <c r="AE101" s="974"/>
      <c r="AF101" s="974"/>
      <c r="AG101" s="974"/>
      <c r="AH101" s="974"/>
      <c r="AI101" s="1198"/>
      <c r="AJ101" s="974"/>
      <c r="AK101" s="1197"/>
      <c r="AL101" s="974"/>
      <c r="AM101" s="974"/>
      <c r="AN101" s="974"/>
      <c r="AO101" s="974"/>
      <c r="AP101" s="974"/>
      <c r="AQ101" s="974"/>
      <c r="AR101" s="974"/>
      <c r="AS101" s="974"/>
      <c r="AT101" s="974"/>
      <c r="AU101" s="974"/>
      <c r="AV101" s="974"/>
      <c r="AW101" s="1181"/>
      <c r="AX101" s="978"/>
      <c r="AY101" s="898"/>
      <c r="AZ101" s="898"/>
      <c r="BA101" s="898"/>
      <c r="BB101" s="898"/>
      <c r="BC101" s="898"/>
      <c r="BD101" s="898"/>
      <c r="BE101" s="898"/>
      <c r="BF101" s="898"/>
      <c r="BG101" s="898"/>
      <c r="BH101" s="898"/>
      <c r="BI101" s="898"/>
      <c r="BJ101" s="898"/>
      <c r="BK101" s="898"/>
      <c r="BL101" s="898"/>
      <c r="BM101" s="898"/>
      <c r="BN101" s="898"/>
      <c r="BO101" s="898"/>
      <c r="BP101" s="898"/>
      <c r="BQ101" s="898"/>
      <c r="BR101" s="898"/>
      <c r="BS101" s="898"/>
      <c r="BT101" s="898"/>
      <c r="BU101" s="898"/>
      <c r="BV101" s="898"/>
      <c r="BW101" s="898"/>
      <c r="BX101" s="898"/>
      <c r="BY101" s="898"/>
      <c r="BZ101" s="898"/>
      <c r="CA101" s="898"/>
      <c r="CB101" s="898"/>
      <c r="CC101" s="898"/>
      <c r="CD101" s="898"/>
      <c r="CE101" s="898"/>
      <c r="CF101" s="898"/>
      <c r="CG101" s="898"/>
      <c r="CH101" s="898"/>
      <c r="CI101" s="898"/>
      <c r="CJ101" s="898"/>
      <c r="CK101" s="898"/>
      <c r="CL101" s="898"/>
      <c r="CM101" s="898"/>
      <c r="CN101" s="898"/>
      <c r="CO101" s="898"/>
      <c r="CP101" s="898"/>
      <c r="CQ101" s="898"/>
      <c r="CR101" s="898"/>
      <c r="CS101" s="898"/>
      <c r="CT101" s="898"/>
      <c r="CU101" s="898"/>
    </row>
    <row r="102" ht="16.5" customHeight="1">
      <c r="A102" s="718"/>
      <c r="B102" s="1195"/>
      <c r="C102" s="866"/>
      <c r="D102" s="968"/>
      <c r="E102" s="718"/>
      <c r="F102" s="718"/>
      <c r="G102" s="718"/>
      <c r="H102" s="718"/>
      <c r="I102" s="359"/>
      <c r="J102" s="359"/>
      <c r="K102" s="359"/>
      <c r="L102" s="359"/>
      <c r="M102" s="359"/>
      <c r="N102" s="359"/>
      <c r="O102" s="359"/>
      <c r="P102" s="359"/>
      <c r="Q102" s="359"/>
      <c r="R102" s="718"/>
      <c r="S102" s="669"/>
      <c r="T102" s="669"/>
      <c r="U102" s="967"/>
      <c r="V102" s="974"/>
      <c r="W102" s="1197"/>
      <c r="X102" s="974"/>
      <c r="Y102" s="974"/>
      <c r="Z102" s="974"/>
      <c r="AA102" s="974"/>
      <c r="AB102" s="974"/>
      <c r="AC102" s="974"/>
      <c r="AD102" s="974"/>
      <c r="AE102" s="974"/>
      <c r="AF102" s="974"/>
      <c r="AG102" s="974"/>
      <c r="AH102" s="974"/>
      <c r="AI102" s="1198"/>
      <c r="AJ102" s="974"/>
      <c r="AK102" s="1197"/>
      <c r="AL102" s="974"/>
      <c r="AM102" s="974"/>
      <c r="AN102" s="974"/>
      <c r="AO102" s="974"/>
      <c r="AP102" s="974"/>
      <c r="AQ102" s="974"/>
      <c r="AR102" s="974"/>
      <c r="AS102" s="974"/>
      <c r="AT102" s="974"/>
      <c r="AU102" s="974"/>
      <c r="AV102" s="974"/>
      <c r="AW102" s="1181"/>
      <c r="AX102" s="978"/>
      <c r="AY102" s="898"/>
      <c r="AZ102" s="898"/>
      <c r="BA102" s="898"/>
      <c r="BB102" s="898"/>
      <c r="BC102" s="898"/>
      <c r="BD102" s="898"/>
      <c r="BE102" s="898"/>
      <c r="BF102" s="898"/>
      <c r="BG102" s="898"/>
      <c r="BH102" s="898"/>
      <c r="BI102" s="898"/>
      <c r="BJ102" s="898"/>
      <c r="BK102" s="898"/>
      <c r="BL102" s="898"/>
      <c r="BM102" s="898"/>
      <c r="BN102" s="898"/>
      <c r="BO102" s="898"/>
      <c r="BP102" s="898"/>
      <c r="BQ102" s="898"/>
      <c r="BR102" s="898"/>
      <c r="BS102" s="898"/>
      <c r="BT102" s="898"/>
      <c r="BU102" s="898"/>
      <c r="BV102" s="898"/>
      <c r="BW102" s="898"/>
      <c r="BX102" s="898"/>
      <c r="BY102" s="898"/>
      <c r="BZ102" s="898"/>
      <c r="CA102" s="898"/>
      <c r="CB102" s="898"/>
      <c r="CC102" s="898"/>
      <c r="CD102" s="898"/>
      <c r="CE102" s="898"/>
      <c r="CF102" s="898"/>
      <c r="CG102" s="898"/>
      <c r="CH102" s="898"/>
      <c r="CI102" s="898"/>
      <c r="CJ102" s="898"/>
      <c r="CK102" s="898"/>
      <c r="CL102" s="898"/>
      <c r="CM102" s="898"/>
      <c r="CN102" s="898"/>
      <c r="CO102" s="898"/>
      <c r="CP102" s="898"/>
      <c r="CQ102" s="898"/>
      <c r="CR102" s="898"/>
      <c r="CS102" s="898"/>
      <c r="CT102" s="898"/>
      <c r="CU102" s="898"/>
    </row>
    <row r="103" ht="16.5" customHeight="1">
      <c r="A103" s="718"/>
      <c r="B103" s="1195"/>
      <c r="C103" s="866"/>
      <c r="D103" s="968"/>
      <c r="E103" s="718"/>
      <c r="F103" s="718"/>
      <c r="G103" s="718"/>
      <c r="H103" s="718"/>
      <c r="I103" s="359"/>
      <c r="J103" s="359"/>
      <c r="K103" s="359"/>
      <c r="L103" s="359"/>
      <c r="M103" s="359"/>
      <c r="N103" s="359"/>
      <c r="O103" s="359"/>
      <c r="P103" s="359"/>
      <c r="Q103" s="359"/>
      <c r="R103" s="718"/>
      <c r="S103" s="669"/>
      <c r="T103" s="669"/>
      <c r="U103" s="967"/>
      <c r="V103" s="974"/>
      <c r="W103" s="1197"/>
      <c r="X103" s="974"/>
      <c r="Y103" s="974"/>
      <c r="Z103" s="974"/>
      <c r="AA103" s="974"/>
      <c r="AB103" s="974"/>
      <c r="AC103" s="974"/>
      <c r="AD103" s="974"/>
      <c r="AE103" s="974"/>
      <c r="AF103" s="974"/>
      <c r="AG103" s="974"/>
      <c r="AH103" s="974"/>
      <c r="AI103" s="1198"/>
      <c r="AJ103" s="974"/>
      <c r="AK103" s="1197"/>
      <c r="AL103" s="974"/>
      <c r="AM103" s="974"/>
      <c r="AN103" s="974"/>
      <c r="AO103" s="974"/>
      <c r="AP103" s="974"/>
      <c r="AQ103" s="974"/>
      <c r="AR103" s="974"/>
      <c r="AS103" s="974"/>
      <c r="AT103" s="974"/>
      <c r="AU103" s="974"/>
      <c r="AV103" s="974"/>
      <c r="AW103" s="1181"/>
      <c r="AX103" s="978"/>
      <c r="AY103" s="898"/>
      <c r="AZ103" s="898"/>
      <c r="BA103" s="898"/>
      <c r="BB103" s="898"/>
      <c r="BC103" s="898"/>
      <c r="BD103" s="898"/>
      <c r="BE103" s="898"/>
      <c r="BF103" s="898"/>
      <c r="BG103" s="898"/>
      <c r="BH103" s="898"/>
      <c r="BI103" s="898"/>
      <c r="BJ103" s="898"/>
      <c r="BK103" s="898"/>
      <c r="BL103" s="898"/>
      <c r="BM103" s="898"/>
      <c r="BN103" s="898"/>
      <c r="BO103" s="898"/>
      <c r="BP103" s="898"/>
      <c r="BQ103" s="898"/>
      <c r="BR103" s="898"/>
      <c r="BS103" s="898"/>
      <c r="BT103" s="898"/>
      <c r="BU103" s="898"/>
      <c r="BV103" s="898"/>
      <c r="BW103" s="898"/>
      <c r="BX103" s="898"/>
      <c r="BY103" s="898"/>
      <c r="BZ103" s="898"/>
      <c r="CA103" s="898"/>
      <c r="CB103" s="898"/>
      <c r="CC103" s="898"/>
      <c r="CD103" s="898"/>
      <c r="CE103" s="898"/>
      <c r="CF103" s="898"/>
      <c r="CG103" s="898"/>
      <c r="CH103" s="898"/>
      <c r="CI103" s="898"/>
      <c r="CJ103" s="898"/>
      <c r="CK103" s="898"/>
      <c r="CL103" s="898"/>
      <c r="CM103" s="898"/>
      <c r="CN103" s="898"/>
      <c r="CO103" s="898"/>
      <c r="CP103" s="898"/>
      <c r="CQ103" s="898"/>
      <c r="CR103" s="898"/>
      <c r="CS103" s="898"/>
      <c r="CT103" s="898"/>
      <c r="CU103" s="898"/>
    </row>
    <row r="104" ht="16.5" customHeight="1">
      <c r="A104" s="718"/>
      <c r="B104" s="1195"/>
      <c r="C104" s="866"/>
      <c r="D104" s="968"/>
      <c r="E104" s="718"/>
      <c r="F104" s="718"/>
      <c r="G104" s="718"/>
      <c r="H104" s="718"/>
      <c r="I104" s="359"/>
      <c r="J104" s="359"/>
      <c r="K104" s="359"/>
      <c r="L104" s="359"/>
      <c r="M104" s="359"/>
      <c r="N104" s="359"/>
      <c r="O104" s="359"/>
      <c r="P104" s="359"/>
      <c r="Q104" s="359"/>
      <c r="R104" s="718"/>
      <c r="S104" s="669"/>
      <c r="T104" s="669"/>
      <c r="U104" s="967"/>
      <c r="V104" s="974"/>
      <c r="W104" s="1197"/>
      <c r="X104" s="974"/>
      <c r="Y104" s="974"/>
      <c r="Z104" s="974"/>
      <c r="AA104" s="974"/>
      <c r="AB104" s="974"/>
      <c r="AC104" s="974"/>
      <c r="AD104" s="974"/>
      <c r="AE104" s="974"/>
      <c r="AF104" s="974"/>
      <c r="AG104" s="974"/>
      <c r="AH104" s="974"/>
      <c r="AI104" s="1198"/>
      <c r="AJ104" s="974"/>
      <c r="AK104" s="1197"/>
      <c r="AL104" s="974"/>
      <c r="AM104" s="974"/>
      <c r="AN104" s="974"/>
      <c r="AO104" s="974"/>
      <c r="AP104" s="974"/>
      <c r="AQ104" s="974"/>
      <c r="AR104" s="974"/>
      <c r="AS104" s="974"/>
      <c r="AT104" s="974"/>
      <c r="AU104" s="974"/>
      <c r="AV104" s="974"/>
      <c r="AW104" s="1181"/>
      <c r="AX104" s="978"/>
      <c r="AY104" s="898"/>
      <c r="AZ104" s="898"/>
      <c r="BA104" s="898"/>
      <c r="BB104" s="898"/>
      <c r="BC104" s="898"/>
      <c r="BD104" s="898"/>
      <c r="BE104" s="898"/>
      <c r="BF104" s="898"/>
      <c r="BG104" s="898"/>
      <c r="BH104" s="898"/>
      <c r="BI104" s="898"/>
      <c r="BJ104" s="898"/>
      <c r="BK104" s="898"/>
      <c r="BL104" s="898"/>
      <c r="BM104" s="898"/>
      <c r="BN104" s="898"/>
      <c r="BO104" s="898"/>
      <c r="BP104" s="898"/>
      <c r="BQ104" s="898"/>
      <c r="BR104" s="898"/>
      <c r="BS104" s="898"/>
      <c r="BT104" s="898"/>
      <c r="BU104" s="898"/>
      <c r="BV104" s="898"/>
      <c r="BW104" s="898"/>
      <c r="BX104" s="898"/>
      <c r="BY104" s="898"/>
      <c r="BZ104" s="898"/>
      <c r="CA104" s="898"/>
      <c r="CB104" s="898"/>
      <c r="CC104" s="898"/>
      <c r="CD104" s="898"/>
      <c r="CE104" s="898"/>
      <c r="CF104" s="898"/>
      <c r="CG104" s="898"/>
      <c r="CH104" s="898"/>
      <c r="CI104" s="898"/>
      <c r="CJ104" s="898"/>
      <c r="CK104" s="898"/>
      <c r="CL104" s="898"/>
      <c r="CM104" s="898"/>
      <c r="CN104" s="898"/>
      <c r="CO104" s="898"/>
      <c r="CP104" s="898"/>
      <c r="CQ104" s="898"/>
      <c r="CR104" s="898"/>
      <c r="CS104" s="898"/>
      <c r="CT104" s="898"/>
      <c r="CU104" s="898"/>
    </row>
    <row r="105" ht="16.5" customHeight="1">
      <c r="A105" s="718"/>
      <c r="B105" s="1195"/>
      <c r="C105" s="866"/>
      <c r="D105" s="968"/>
      <c r="E105" s="718"/>
      <c r="F105" s="718"/>
      <c r="G105" s="718"/>
      <c r="H105" s="718"/>
      <c r="I105" s="359"/>
      <c r="J105" s="359"/>
      <c r="K105" s="359"/>
      <c r="L105" s="359"/>
      <c r="M105" s="359"/>
      <c r="N105" s="359"/>
      <c r="O105" s="359"/>
      <c r="P105" s="359"/>
      <c r="Q105" s="359"/>
      <c r="R105" s="718"/>
      <c r="S105" s="669"/>
      <c r="T105" s="669"/>
      <c r="U105" s="967"/>
      <c r="V105" s="974"/>
      <c r="W105" s="1197"/>
      <c r="X105" s="974"/>
      <c r="Y105" s="974"/>
      <c r="Z105" s="974"/>
      <c r="AA105" s="974"/>
      <c r="AB105" s="974"/>
      <c r="AC105" s="974"/>
      <c r="AD105" s="974"/>
      <c r="AE105" s="974"/>
      <c r="AF105" s="974"/>
      <c r="AG105" s="974"/>
      <c r="AH105" s="974"/>
      <c r="AI105" s="1198"/>
      <c r="AJ105" s="974"/>
      <c r="AK105" s="1197"/>
      <c r="AL105" s="974"/>
      <c r="AM105" s="974"/>
      <c r="AN105" s="974"/>
      <c r="AO105" s="974"/>
      <c r="AP105" s="974"/>
      <c r="AQ105" s="974"/>
      <c r="AR105" s="974"/>
      <c r="AS105" s="974"/>
      <c r="AT105" s="974"/>
      <c r="AU105" s="974"/>
      <c r="AV105" s="974"/>
      <c r="AW105" s="1181"/>
      <c r="AX105" s="978"/>
      <c r="AY105" s="898"/>
      <c r="AZ105" s="898"/>
      <c r="BA105" s="898"/>
      <c r="BB105" s="898"/>
      <c r="BC105" s="898"/>
      <c r="BD105" s="898"/>
      <c r="BE105" s="898"/>
      <c r="BF105" s="898"/>
      <c r="BG105" s="898"/>
      <c r="BH105" s="898"/>
      <c r="BI105" s="898"/>
      <c r="BJ105" s="898"/>
      <c r="BK105" s="898"/>
      <c r="BL105" s="898"/>
      <c r="BM105" s="898"/>
      <c r="BN105" s="898"/>
      <c r="BO105" s="898"/>
      <c r="BP105" s="898"/>
      <c r="BQ105" s="898"/>
      <c r="BR105" s="898"/>
      <c r="BS105" s="898"/>
      <c r="BT105" s="898"/>
      <c r="BU105" s="898"/>
      <c r="BV105" s="898"/>
      <c r="BW105" s="898"/>
      <c r="BX105" s="898"/>
      <c r="BY105" s="898"/>
      <c r="BZ105" s="898"/>
      <c r="CA105" s="898"/>
      <c r="CB105" s="898"/>
      <c r="CC105" s="898"/>
      <c r="CD105" s="898"/>
      <c r="CE105" s="898"/>
      <c r="CF105" s="898"/>
      <c r="CG105" s="898"/>
      <c r="CH105" s="898"/>
      <c r="CI105" s="898"/>
      <c r="CJ105" s="898"/>
      <c r="CK105" s="898"/>
      <c r="CL105" s="898"/>
      <c r="CM105" s="898"/>
      <c r="CN105" s="898"/>
      <c r="CO105" s="898"/>
      <c r="CP105" s="898"/>
      <c r="CQ105" s="898"/>
      <c r="CR105" s="898"/>
      <c r="CS105" s="898"/>
      <c r="CT105" s="898"/>
      <c r="CU105" s="898"/>
    </row>
    <row r="106" ht="16.5" customHeight="1">
      <c r="A106" s="718"/>
      <c r="B106" s="1195"/>
      <c r="C106" s="866"/>
      <c r="D106" s="968"/>
      <c r="E106" s="718"/>
      <c r="F106" s="718"/>
      <c r="G106" s="718"/>
      <c r="H106" s="718"/>
      <c r="I106" s="359"/>
      <c r="J106" s="359"/>
      <c r="K106" s="359"/>
      <c r="L106" s="359"/>
      <c r="M106" s="359"/>
      <c r="N106" s="359"/>
      <c r="O106" s="359"/>
      <c r="P106" s="359"/>
      <c r="Q106" s="359"/>
      <c r="R106" s="718"/>
      <c r="S106" s="669"/>
      <c r="T106" s="669"/>
      <c r="U106" s="967"/>
      <c r="V106" s="974"/>
      <c r="W106" s="1197"/>
      <c r="X106" s="974"/>
      <c r="Y106" s="974"/>
      <c r="Z106" s="974"/>
      <c r="AA106" s="974"/>
      <c r="AB106" s="974"/>
      <c r="AC106" s="974"/>
      <c r="AD106" s="974"/>
      <c r="AE106" s="974"/>
      <c r="AF106" s="974"/>
      <c r="AG106" s="974"/>
      <c r="AH106" s="974"/>
      <c r="AI106" s="1198"/>
      <c r="AJ106" s="974"/>
      <c r="AK106" s="1197"/>
      <c r="AL106" s="974"/>
      <c r="AM106" s="974"/>
      <c r="AN106" s="974"/>
      <c r="AO106" s="974"/>
      <c r="AP106" s="974"/>
      <c r="AQ106" s="974"/>
      <c r="AR106" s="974"/>
      <c r="AS106" s="974"/>
      <c r="AT106" s="974"/>
      <c r="AU106" s="974"/>
      <c r="AV106" s="974"/>
      <c r="AW106" s="1181"/>
      <c r="AX106" s="978"/>
      <c r="AY106" s="898"/>
      <c r="AZ106" s="898"/>
      <c r="BA106" s="898"/>
      <c r="BB106" s="898"/>
      <c r="BC106" s="898"/>
      <c r="BD106" s="898"/>
      <c r="BE106" s="898"/>
      <c r="BF106" s="898"/>
      <c r="BG106" s="898"/>
      <c r="BH106" s="898"/>
      <c r="BI106" s="898"/>
      <c r="BJ106" s="898"/>
      <c r="BK106" s="898"/>
      <c r="BL106" s="898"/>
      <c r="BM106" s="898"/>
      <c r="BN106" s="898"/>
      <c r="BO106" s="898"/>
      <c r="BP106" s="898"/>
      <c r="BQ106" s="898"/>
      <c r="BR106" s="898"/>
      <c r="BS106" s="898"/>
      <c r="BT106" s="898"/>
      <c r="BU106" s="898"/>
      <c r="BV106" s="898"/>
      <c r="BW106" s="898"/>
      <c r="BX106" s="898"/>
      <c r="BY106" s="898"/>
      <c r="BZ106" s="898"/>
      <c r="CA106" s="898"/>
      <c r="CB106" s="898"/>
      <c r="CC106" s="898"/>
      <c r="CD106" s="898"/>
      <c r="CE106" s="898"/>
      <c r="CF106" s="898"/>
      <c r="CG106" s="898"/>
      <c r="CH106" s="898"/>
      <c r="CI106" s="898"/>
      <c r="CJ106" s="898"/>
      <c r="CK106" s="898"/>
      <c r="CL106" s="898"/>
      <c r="CM106" s="898"/>
      <c r="CN106" s="898"/>
      <c r="CO106" s="898"/>
      <c r="CP106" s="898"/>
      <c r="CQ106" s="898"/>
      <c r="CR106" s="898"/>
      <c r="CS106" s="898"/>
      <c r="CT106" s="898"/>
      <c r="CU106" s="898"/>
    </row>
    <row r="107" ht="16.5" customHeight="1">
      <c r="A107" s="718"/>
      <c r="B107" s="1195"/>
      <c r="C107" s="866"/>
      <c r="D107" s="968"/>
      <c r="E107" s="718"/>
      <c r="F107" s="718"/>
      <c r="G107" s="718"/>
      <c r="H107" s="718"/>
      <c r="I107" s="359"/>
      <c r="J107" s="359"/>
      <c r="K107" s="359"/>
      <c r="L107" s="359"/>
      <c r="M107" s="359"/>
      <c r="N107" s="359"/>
      <c r="O107" s="359"/>
      <c r="P107" s="359"/>
      <c r="Q107" s="359"/>
      <c r="R107" s="718"/>
      <c r="S107" s="669"/>
      <c r="T107" s="669"/>
      <c r="U107" s="967"/>
      <c r="V107" s="974"/>
      <c r="W107" s="1197"/>
      <c r="X107" s="974"/>
      <c r="Y107" s="974"/>
      <c r="Z107" s="974"/>
      <c r="AA107" s="974"/>
      <c r="AB107" s="974"/>
      <c r="AC107" s="974"/>
      <c r="AD107" s="974"/>
      <c r="AE107" s="974"/>
      <c r="AF107" s="974"/>
      <c r="AG107" s="974"/>
      <c r="AH107" s="974"/>
      <c r="AI107" s="1198"/>
      <c r="AJ107" s="974"/>
      <c r="AK107" s="1197"/>
      <c r="AL107" s="974"/>
      <c r="AM107" s="974"/>
      <c r="AN107" s="974"/>
      <c r="AO107" s="974"/>
      <c r="AP107" s="974"/>
      <c r="AQ107" s="974"/>
      <c r="AR107" s="974"/>
      <c r="AS107" s="974"/>
      <c r="AT107" s="974"/>
      <c r="AU107" s="974"/>
      <c r="AV107" s="974"/>
      <c r="AW107" s="1181"/>
      <c r="AX107" s="978"/>
      <c r="AY107" s="898"/>
      <c r="AZ107" s="898"/>
      <c r="BA107" s="898"/>
      <c r="BB107" s="898"/>
      <c r="BC107" s="898"/>
      <c r="BD107" s="898"/>
      <c r="BE107" s="898"/>
      <c r="BF107" s="898"/>
      <c r="BG107" s="898"/>
      <c r="BH107" s="898"/>
      <c r="BI107" s="898"/>
      <c r="BJ107" s="898"/>
      <c r="BK107" s="898"/>
      <c r="BL107" s="898"/>
      <c r="BM107" s="898"/>
      <c r="BN107" s="898"/>
      <c r="BO107" s="898"/>
      <c r="BP107" s="898"/>
      <c r="BQ107" s="898"/>
      <c r="BR107" s="898"/>
      <c r="BS107" s="898"/>
      <c r="BT107" s="898"/>
      <c r="BU107" s="898"/>
      <c r="BV107" s="898"/>
      <c r="BW107" s="898"/>
      <c r="BX107" s="898"/>
      <c r="BY107" s="898"/>
      <c r="BZ107" s="898"/>
      <c r="CA107" s="898"/>
      <c r="CB107" s="898"/>
      <c r="CC107" s="898"/>
      <c r="CD107" s="898"/>
      <c r="CE107" s="898"/>
      <c r="CF107" s="898"/>
      <c r="CG107" s="898"/>
      <c r="CH107" s="898"/>
      <c r="CI107" s="898"/>
      <c r="CJ107" s="898"/>
      <c r="CK107" s="898"/>
      <c r="CL107" s="898"/>
      <c r="CM107" s="898"/>
      <c r="CN107" s="898"/>
      <c r="CO107" s="898"/>
      <c r="CP107" s="898"/>
      <c r="CQ107" s="898"/>
      <c r="CR107" s="898"/>
      <c r="CS107" s="898"/>
      <c r="CT107" s="898"/>
      <c r="CU107" s="898"/>
    </row>
    <row r="108" ht="16.5" customHeight="1">
      <c r="A108" s="718"/>
      <c r="B108" s="1195"/>
      <c r="C108" s="866"/>
      <c r="D108" s="968"/>
      <c r="E108" s="718"/>
      <c r="F108" s="718"/>
      <c r="G108" s="718"/>
      <c r="H108" s="718"/>
      <c r="I108" s="359"/>
      <c r="J108" s="359"/>
      <c r="K108" s="359"/>
      <c r="L108" s="359"/>
      <c r="M108" s="359"/>
      <c r="N108" s="359"/>
      <c r="O108" s="359"/>
      <c r="P108" s="359"/>
      <c r="Q108" s="359"/>
      <c r="R108" s="718"/>
      <c r="S108" s="669"/>
      <c r="T108" s="669"/>
      <c r="U108" s="967"/>
      <c r="V108" s="974"/>
      <c r="W108" s="1197"/>
      <c r="X108" s="974"/>
      <c r="Y108" s="974"/>
      <c r="Z108" s="974"/>
      <c r="AA108" s="974"/>
      <c r="AB108" s="974"/>
      <c r="AC108" s="974"/>
      <c r="AD108" s="974"/>
      <c r="AE108" s="974"/>
      <c r="AF108" s="974"/>
      <c r="AG108" s="974"/>
      <c r="AH108" s="974"/>
      <c r="AI108" s="1198"/>
      <c r="AJ108" s="974"/>
      <c r="AK108" s="1197"/>
      <c r="AL108" s="974"/>
      <c r="AM108" s="974"/>
      <c r="AN108" s="974"/>
      <c r="AO108" s="974"/>
      <c r="AP108" s="974"/>
      <c r="AQ108" s="974"/>
      <c r="AR108" s="974"/>
      <c r="AS108" s="974"/>
      <c r="AT108" s="974"/>
      <c r="AU108" s="974"/>
      <c r="AV108" s="974"/>
      <c r="AW108" s="1181"/>
      <c r="AX108" s="978"/>
      <c r="AY108" s="898"/>
      <c r="AZ108" s="898"/>
      <c r="BA108" s="898"/>
      <c r="BB108" s="898"/>
      <c r="BC108" s="898"/>
      <c r="BD108" s="898"/>
      <c r="BE108" s="898"/>
      <c r="BF108" s="898"/>
      <c r="BG108" s="898"/>
      <c r="BH108" s="898"/>
      <c r="BI108" s="898"/>
      <c r="BJ108" s="898"/>
      <c r="BK108" s="898"/>
      <c r="BL108" s="898"/>
      <c r="BM108" s="898"/>
      <c r="BN108" s="898"/>
      <c r="BO108" s="898"/>
      <c r="BP108" s="898"/>
      <c r="BQ108" s="898"/>
      <c r="BR108" s="898"/>
      <c r="BS108" s="898"/>
      <c r="BT108" s="898"/>
      <c r="BU108" s="898"/>
      <c r="BV108" s="898"/>
      <c r="BW108" s="898"/>
      <c r="BX108" s="898"/>
      <c r="BY108" s="898"/>
      <c r="BZ108" s="898"/>
      <c r="CA108" s="898"/>
      <c r="CB108" s="898"/>
      <c r="CC108" s="898"/>
      <c r="CD108" s="898"/>
      <c r="CE108" s="898"/>
      <c r="CF108" s="898"/>
      <c r="CG108" s="898"/>
      <c r="CH108" s="898"/>
      <c r="CI108" s="898"/>
      <c r="CJ108" s="898"/>
      <c r="CK108" s="898"/>
      <c r="CL108" s="898"/>
      <c r="CM108" s="898"/>
      <c r="CN108" s="898"/>
      <c r="CO108" s="898"/>
      <c r="CP108" s="898"/>
      <c r="CQ108" s="898"/>
      <c r="CR108" s="898"/>
      <c r="CS108" s="898"/>
      <c r="CT108" s="898"/>
      <c r="CU108" s="898"/>
    </row>
    <row r="109" ht="16.5" customHeight="1">
      <c r="A109" s="718"/>
      <c r="B109" s="1195"/>
      <c r="C109" s="866"/>
      <c r="D109" s="968"/>
      <c r="E109" s="718"/>
      <c r="F109" s="718"/>
      <c r="G109" s="718"/>
      <c r="H109" s="718"/>
      <c r="I109" s="359"/>
      <c r="J109" s="359"/>
      <c r="K109" s="359"/>
      <c r="L109" s="359"/>
      <c r="M109" s="359"/>
      <c r="N109" s="359"/>
      <c r="O109" s="359"/>
      <c r="P109" s="359"/>
      <c r="Q109" s="359"/>
      <c r="R109" s="718"/>
      <c r="S109" s="669"/>
      <c r="T109" s="669"/>
      <c r="U109" s="967"/>
      <c r="V109" s="974"/>
      <c r="W109" s="1197"/>
      <c r="X109" s="974"/>
      <c r="Y109" s="974"/>
      <c r="Z109" s="974"/>
      <c r="AA109" s="974"/>
      <c r="AB109" s="974"/>
      <c r="AC109" s="974"/>
      <c r="AD109" s="974"/>
      <c r="AE109" s="974"/>
      <c r="AF109" s="974"/>
      <c r="AG109" s="974"/>
      <c r="AH109" s="974"/>
      <c r="AI109" s="1198"/>
      <c r="AJ109" s="974"/>
      <c r="AK109" s="1197"/>
      <c r="AL109" s="974"/>
      <c r="AM109" s="974"/>
      <c r="AN109" s="974"/>
      <c r="AO109" s="974"/>
      <c r="AP109" s="974"/>
      <c r="AQ109" s="974"/>
      <c r="AR109" s="974"/>
      <c r="AS109" s="974"/>
      <c r="AT109" s="974"/>
      <c r="AU109" s="974"/>
      <c r="AV109" s="974"/>
      <c r="AW109" s="1181"/>
      <c r="AX109" s="978"/>
      <c r="AY109" s="898"/>
      <c r="AZ109" s="898"/>
      <c r="BA109" s="898"/>
      <c r="BB109" s="898"/>
      <c r="BC109" s="898"/>
      <c r="BD109" s="898"/>
      <c r="BE109" s="898"/>
      <c r="BF109" s="898"/>
      <c r="BG109" s="898"/>
      <c r="BH109" s="898"/>
      <c r="BI109" s="898"/>
      <c r="BJ109" s="898"/>
      <c r="BK109" s="898"/>
      <c r="BL109" s="898"/>
      <c r="BM109" s="898"/>
      <c r="BN109" s="898"/>
      <c r="BO109" s="898"/>
      <c r="BP109" s="898"/>
      <c r="BQ109" s="898"/>
      <c r="BR109" s="898"/>
      <c r="BS109" s="898"/>
      <c r="BT109" s="898"/>
      <c r="BU109" s="898"/>
      <c r="BV109" s="898"/>
      <c r="BW109" s="898"/>
      <c r="BX109" s="898"/>
      <c r="BY109" s="898"/>
      <c r="BZ109" s="898"/>
      <c r="CA109" s="898"/>
      <c r="CB109" s="898"/>
      <c r="CC109" s="898"/>
      <c r="CD109" s="898"/>
      <c r="CE109" s="898"/>
      <c r="CF109" s="898"/>
      <c r="CG109" s="898"/>
      <c r="CH109" s="898"/>
      <c r="CI109" s="898"/>
      <c r="CJ109" s="898"/>
      <c r="CK109" s="898"/>
      <c r="CL109" s="898"/>
      <c r="CM109" s="898"/>
      <c r="CN109" s="898"/>
      <c r="CO109" s="898"/>
      <c r="CP109" s="898"/>
      <c r="CQ109" s="898"/>
      <c r="CR109" s="898"/>
      <c r="CS109" s="898"/>
      <c r="CT109" s="898"/>
      <c r="CU109" s="898"/>
    </row>
    <row r="110" ht="16.5" customHeight="1">
      <c r="A110" s="718"/>
      <c r="B110" s="1195"/>
      <c r="C110" s="866"/>
      <c r="D110" s="968"/>
      <c r="E110" s="718"/>
      <c r="F110" s="718"/>
      <c r="G110" s="718"/>
      <c r="H110" s="718"/>
      <c r="I110" s="359"/>
      <c r="J110" s="359"/>
      <c r="K110" s="359"/>
      <c r="L110" s="359"/>
      <c r="M110" s="359"/>
      <c r="N110" s="359"/>
      <c r="O110" s="359"/>
      <c r="P110" s="359"/>
      <c r="Q110" s="359"/>
      <c r="R110" s="718"/>
      <c r="S110" s="669"/>
      <c r="T110" s="669"/>
      <c r="U110" s="967"/>
      <c r="V110" s="974"/>
      <c r="W110" s="1197"/>
      <c r="X110" s="974"/>
      <c r="Y110" s="974"/>
      <c r="Z110" s="974"/>
      <c r="AA110" s="974"/>
      <c r="AB110" s="974"/>
      <c r="AC110" s="974"/>
      <c r="AD110" s="974"/>
      <c r="AE110" s="974"/>
      <c r="AF110" s="974"/>
      <c r="AG110" s="974"/>
      <c r="AH110" s="974"/>
      <c r="AI110" s="1198"/>
      <c r="AJ110" s="974"/>
      <c r="AK110" s="1197"/>
      <c r="AL110" s="974"/>
      <c r="AM110" s="974"/>
      <c r="AN110" s="974"/>
      <c r="AO110" s="974"/>
      <c r="AP110" s="974"/>
      <c r="AQ110" s="974"/>
      <c r="AR110" s="974"/>
      <c r="AS110" s="974"/>
      <c r="AT110" s="974"/>
      <c r="AU110" s="974"/>
      <c r="AV110" s="974"/>
      <c r="AW110" s="1181"/>
      <c r="AX110" s="978"/>
      <c r="AY110" s="898"/>
      <c r="AZ110" s="898"/>
      <c r="BA110" s="898"/>
      <c r="BB110" s="898"/>
      <c r="BC110" s="898"/>
      <c r="BD110" s="898"/>
      <c r="BE110" s="898"/>
      <c r="BF110" s="898"/>
      <c r="BG110" s="898"/>
      <c r="BH110" s="898"/>
      <c r="BI110" s="898"/>
      <c r="BJ110" s="898"/>
      <c r="BK110" s="898"/>
      <c r="BL110" s="898"/>
      <c r="BM110" s="898"/>
      <c r="BN110" s="898"/>
      <c r="BO110" s="898"/>
      <c r="BP110" s="898"/>
      <c r="BQ110" s="898"/>
      <c r="BR110" s="898"/>
      <c r="BS110" s="898"/>
      <c r="BT110" s="898"/>
      <c r="BU110" s="898"/>
      <c r="BV110" s="898"/>
      <c r="BW110" s="898"/>
      <c r="BX110" s="898"/>
      <c r="BY110" s="898"/>
      <c r="BZ110" s="898"/>
      <c r="CA110" s="898"/>
      <c r="CB110" s="898"/>
      <c r="CC110" s="898"/>
      <c r="CD110" s="898"/>
      <c r="CE110" s="898"/>
      <c r="CF110" s="898"/>
      <c r="CG110" s="898"/>
      <c r="CH110" s="898"/>
      <c r="CI110" s="898"/>
      <c r="CJ110" s="898"/>
      <c r="CK110" s="898"/>
      <c r="CL110" s="898"/>
      <c r="CM110" s="898"/>
      <c r="CN110" s="898"/>
      <c r="CO110" s="898"/>
      <c r="CP110" s="898"/>
      <c r="CQ110" s="898"/>
      <c r="CR110" s="898"/>
      <c r="CS110" s="898"/>
      <c r="CT110" s="898"/>
      <c r="CU110" s="898"/>
    </row>
    <row r="111" ht="16.5" customHeight="1">
      <c r="A111" s="718"/>
      <c r="B111" s="1195"/>
      <c r="C111" s="866"/>
      <c r="D111" s="968"/>
      <c r="E111" s="718"/>
      <c r="F111" s="718"/>
      <c r="G111" s="718"/>
      <c r="H111" s="718"/>
      <c r="I111" s="359"/>
      <c r="J111" s="359"/>
      <c r="K111" s="359"/>
      <c r="L111" s="359"/>
      <c r="M111" s="359"/>
      <c r="N111" s="359"/>
      <c r="O111" s="359"/>
      <c r="P111" s="359"/>
      <c r="Q111" s="359"/>
      <c r="R111" s="718"/>
      <c r="S111" s="669"/>
      <c r="T111" s="669"/>
      <c r="U111" s="967"/>
      <c r="V111" s="974"/>
      <c r="W111" s="1197"/>
      <c r="X111" s="974"/>
      <c r="Y111" s="974"/>
      <c r="Z111" s="974"/>
      <c r="AA111" s="974"/>
      <c r="AB111" s="974"/>
      <c r="AC111" s="974"/>
      <c r="AD111" s="974"/>
      <c r="AE111" s="974"/>
      <c r="AF111" s="974"/>
      <c r="AG111" s="974"/>
      <c r="AH111" s="974"/>
      <c r="AI111" s="1198"/>
      <c r="AJ111" s="974"/>
      <c r="AK111" s="1197"/>
      <c r="AL111" s="974"/>
      <c r="AM111" s="974"/>
      <c r="AN111" s="974"/>
      <c r="AO111" s="974"/>
      <c r="AP111" s="974"/>
      <c r="AQ111" s="974"/>
      <c r="AR111" s="974"/>
      <c r="AS111" s="974"/>
      <c r="AT111" s="974"/>
      <c r="AU111" s="974"/>
      <c r="AV111" s="974"/>
      <c r="AW111" s="1181"/>
      <c r="AX111" s="978"/>
      <c r="AY111" s="898"/>
      <c r="AZ111" s="898"/>
      <c r="BA111" s="898"/>
      <c r="BB111" s="898"/>
      <c r="BC111" s="898"/>
      <c r="BD111" s="898"/>
      <c r="BE111" s="898"/>
      <c r="BF111" s="898"/>
      <c r="BG111" s="898"/>
      <c r="BH111" s="898"/>
      <c r="BI111" s="898"/>
      <c r="BJ111" s="898"/>
      <c r="BK111" s="898"/>
      <c r="BL111" s="898"/>
      <c r="BM111" s="898"/>
      <c r="BN111" s="898"/>
      <c r="BO111" s="898"/>
      <c r="BP111" s="898"/>
      <c r="BQ111" s="898"/>
      <c r="BR111" s="898"/>
      <c r="BS111" s="898"/>
      <c r="BT111" s="898"/>
      <c r="BU111" s="898"/>
      <c r="BV111" s="898"/>
      <c r="BW111" s="898"/>
      <c r="BX111" s="898"/>
      <c r="BY111" s="898"/>
      <c r="BZ111" s="898"/>
      <c r="CA111" s="898"/>
      <c r="CB111" s="898"/>
      <c r="CC111" s="898"/>
      <c r="CD111" s="898"/>
      <c r="CE111" s="898"/>
      <c r="CF111" s="898"/>
      <c r="CG111" s="898"/>
      <c r="CH111" s="898"/>
      <c r="CI111" s="898"/>
      <c r="CJ111" s="898"/>
      <c r="CK111" s="898"/>
      <c r="CL111" s="898"/>
      <c r="CM111" s="898"/>
      <c r="CN111" s="898"/>
      <c r="CO111" s="898"/>
      <c r="CP111" s="898"/>
      <c r="CQ111" s="898"/>
      <c r="CR111" s="898"/>
      <c r="CS111" s="898"/>
      <c r="CT111" s="898"/>
      <c r="CU111" s="898"/>
    </row>
    <row r="112" ht="16.5" customHeight="1">
      <c r="A112" s="718"/>
      <c r="B112" s="1195"/>
      <c r="C112" s="866"/>
      <c r="D112" s="968"/>
      <c r="E112" s="718"/>
      <c r="F112" s="718"/>
      <c r="G112" s="718"/>
      <c r="H112" s="718"/>
      <c r="I112" s="359"/>
      <c r="J112" s="359"/>
      <c r="K112" s="359"/>
      <c r="L112" s="359"/>
      <c r="M112" s="359"/>
      <c r="N112" s="359"/>
      <c r="O112" s="359"/>
      <c r="P112" s="359"/>
      <c r="Q112" s="359"/>
      <c r="R112" s="718"/>
      <c r="S112" s="669"/>
      <c r="T112" s="669"/>
      <c r="U112" s="967"/>
      <c r="V112" s="974"/>
      <c r="W112" s="1197"/>
      <c r="X112" s="974"/>
      <c r="Y112" s="974"/>
      <c r="Z112" s="974"/>
      <c r="AA112" s="974"/>
      <c r="AB112" s="974"/>
      <c r="AC112" s="974"/>
      <c r="AD112" s="974"/>
      <c r="AE112" s="974"/>
      <c r="AF112" s="974"/>
      <c r="AG112" s="974"/>
      <c r="AH112" s="974"/>
      <c r="AI112" s="1198"/>
      <c r="AJ112" s="974"/>
      <c r="AK112" s="1197"/>
      <c r="AL112" s="974"/>
      <c r="AM112" s="974"/>
      <c r="AN112" s="974"/>
      <c r="AO112" s="974"/>
      <c r="AP112" s="974"/>
      <c r="AQ112" s="974"/>
      <c r="AR112" s="974"/>
      <c r="AS112" s="974"/>
      <c r="AT112" s="974"/>
      <c r="AU112" s="974"/>
      <c r="AV112" s="974"/>
      <c r="AW112" s="1181"/>
      <c r="AX112" s="978"/>
      <c r="AY112" s="898"/>
      <c r="AZ112" s="898"/>
      <c r="BA112" s="898"/>
      <c r="BB112" s="898"/>
      <c r="BC112" s="898"/>
      <c r="BD112" s="898"/>
      <c r="BE112" s="898"/>
      <c r="BF112" s="898"/>
      <c r="BG112" s="898"/>
      <c r="BH112" s="898"/>
      <c r="BI112" s="898"/>
      <c r="BJ112" s="898"/>
      <c r="BK112" s="898"/>
      <c r="BL112" s="898"/>
      <c r="BM112" s="898"/>
      <c r="BN112" s="898"/>
      <c r="BO112" s="898"/>
      <c r="BP112" s="898"/>
      <c r="BQ112" s="898"/>
      <c r="BR112" s="898"/>
      <c r="BS112" s="898"/>
      <c r="BT112" s="898"/>
      <c r="BU112" s="898"/>
      <c r="BV112" s="898"/>
      <c r="BW112" s="898"/>
      <c r="BX112" s="898"/>
      <c r="BY112" s="898"/>
      <c r="BZ112" s="898"/>
      <c r="CA112" s="898"/>
      <c r="CB112" s="898"/>
      <c r="CC112" s="898"/>
      <c r="CD112" s="898"/>
      <c r="CE112" s="898"/>
      <c r="CF112" s="898"/>
      <c r="CG112" s="898"/>
      <c r="CH112" s="898"/>
      <c r="CI112" s="898"/>
      <c r="CJ112" s="898"/>
      <c r="CK112" s="898"/>
      <c r="CL112" s="898"/>
      <c r="CM112" s="898"/>
      <c r="CN112" s="898"/>
      <c r="CO112" s="898"/>
      <c r="CP112" s="898"/>
      <c r="CQ112" s="898"/>
      <c r="CR112" s="898"/>
      <c r="CS112" s="898"/>
      <c r="CT112" s="898"/>
      <c r="CU112" s="898"/>
    </row>
    <row r="113" ht="16.5" customHeight="1">
      <c r="A113" s="718"/>
      <c r="B113" s="1195"/>
      <c r="C113" s="866"/>
      <c r="D113" s="968"/>
      <c r="E113" s="718"/>
      <c r="F113" s="718"/>
      <c r="G113" s="718"/>
      <c r="H113" s="718"/>
      <c r="I113" s="359"/>
      <c r="J113" s="359"/>
      <c r="K113" s="359"/>
      <c r="L113" s="359"/>
      <c r="M113" s="359"/>
      <c r="N113" s="359"/>
      <c r="O113" s="359"/>
      <c r="P113" s="359"/>
      <c r="Q113" s="359"/>
      <c r="R113" s="718"/>
      <c r="S113" s="669"/>
      <c r="T113" s="669"/>
      <c r="U113" s="967"/>
      <c r="V113" s="974"/>
      <c r="W113" s="1197"/>
      <c r="X113" s="974"/>
      <c r="Y113" s="974"/>
      <c r="Z113" s="974"/>
      <c r="AA113" s="974"/>
      <c r="AB113" s="974"/>
      <c r="AC113" s="974"/>
      <c r="AD113" s="974"/>
      <c r="AE113" s="974"/>
      <c r="AF113" s="974"/>
      <c r="AG113" s="974"/>
      <c r="AH113" s="974"/>
      <c r="AI113" s="1198"/>
      <c r="AJ113" s="974"/>
      <c r="AK113" s="1197"/>
      <c r="AL113" s="974"/>
      <c r="AM113" s="974"/>
      <c r="AN113" s="974"/>
      <c r="AO113" s="974"/>
      <c r="AP113" s="974"/>
      <c r="AQ113" s="974"/>
      <c r="AR113" s="974"/>
      <c r="AS113" s="974"/>
      <c r="AT113" s="974"/>
      <c r="AU113" s="974"/>
      <c r="AV113" s="974"/>
      <c r="AW113" s="1181"/>
      <c r="AX113" s="978"/>
      <c r="AY113" s="898"/>
      <c r="AZ113" s="898"/>
      <c r="BA113" s="898"/>
      <c r="BB113" s="898"/>
      <c r="BC113" s="898"/>
      <c r="BD113" s="898"/>
      <c r="BE113" s="898"/>
      <c r="BF113" s="898"/>
      <c r="BG113" s="898"/>
      <c r="BH113" s="898"/>
      <c r="BI113" s="898"/>
      <c r="BJ113" s="898"/>
      <c r="BK113" s="898"/>
      <c r="BL113" s="898"/>
      <c r="BM113" s="898"/>
      <c r="BN113" s="898"/>
      <c r="BO113" s="898"/>
      <c r="BP113" s="898"/>
      <c r="BQ113" s="898"/>
      <c r="BR113" s="898"/>
      <c r="BS113" s="898"/>
      <c r="BT113" s="898"/>
      <c r="BU113" s="898"/>
      <c r="BV113" s="898"/>
      <c r="BW113" s="898"/>
      <c r="BX113" s="898"/>
      <c r="BY113" s="898"/>
      <c r="BZ113" s="898"/>
      <c r="CA113" s="898"/>
      <c r="CB113" s="898"/>
      <c r="CC113" s="898"/>
      <c r="CD113" s="898"/>
      <c r="CE113" s="898"/>
      <c r="CF113" s="898"/>
      <c r="CG113" s="898"/>
      <c r="CH113" s="898"/>
      <c r="CI113" s="898"/>
      <c r="CJ113" s="898"/>
      <c r="CK113" s="898"/>
      <c r="CL113" s="898"/>
      <c r="CM113" s="898"/>
      <c r="CN113" s="898"/>
      <c r="CO113" s="898"/>
      <c r="CP113" s="898"/>
      <c r="CQ113" s="898"/>
      <c r="CR113" s="898"/>
      <c r="CS113" s="898"/>
      <c r="CT113" s="898"/>
      <c r="CU113" s="898"/>
    </row>
    <row r="114" ht="16.5" customHeight="1">
      <c r="A114" s="718"/>
      <c r="B114" s="1195"/>
      <c r="C114" s="866"/>
      <c r="D114" s="968"/>
      <c r="E114" s="718"/>
      <c r="F114" s="718"/>
      <c r="G114" s="718"/>
      <c r="H114" s="718"/>
      <c r="I114" s="359"/>
      <c r="J114" s="359"/>
      <c r="K114" s="359"/>
      <c r="L114" s="359"/>
      <c r="M114" s="359"/>
      <c r="N114" s="359"/>
      <c r="O114" s="359"/>
      <c r="P114" s="359"/>
      <c r="Q114" s="359"/>
      <c r="R114" s="718"/>
      <c r="S114" s="669"/>
      <c r="T114" s="669"/>
      <c r="U114" s="967"/>
      <c r="V114" s="974"/>
      <c r="W114" s="1197"/>
      <c r="X114" s="974"/>
      <c r="Y114" s="974"/>
      <c r="Z114" s="974"/>
      <c r="AA114" s="974"/>
      <c r="AB114" s="974"/>
      <c r="AC114" s="974"/>
      <c r="AD114" s="974"/>
      <c r="AE114" s="974"/>
      <c r="AF114" s="974"/>
      <c r="AG114" s="974"/>
      <c r="AH114" s="974"/>
      <c r="AI114" s="1198"/>
      <c r="AJ114" s="974"/>
      <c r="AK114" s="1197"/>
      <c r="AL114" s="974"/>
      <c r="AM114" s="974"/>
      <c r="AN114" s="974"/>
      <c r="AO114" s="974"/>
      <c r="AP114" s="974"/>
      <c r="AQ114" s="974"/>
      <c r="AR114" s="974"/>
      <c r="AS114" s="974"/>
      <c r="AT114" s="974"/>
      <c r="AU114" s="974"/>
      <c r="AV114" s="974"/>
      <c r="AW114" s="1181"/>
      <c r="AX114" s="978"/>
      <c r="AY114" s="898"/>
      <c r="AZ114" s="898"/>
      <c r="BA114" s="898"/>
      <c r="BB114" s="898"/>
      <c r="BC114" s="898"/>
      <c r="BD114" s="898"/>
      <c r="BE114" s="898"/>
      <c r="BF114" s="898"/>
      <c r="BG114" s="898"/>
      <c r="BH114" s="898"/>
      <c r="BI114" s="898"/>
      <c r="BJ114" s="898"/>
      <c r="BK114" s="898"/>
      <c r="BL114" s="898"/>
      <c r="BM114" s="898"/>
      <c r="BN114" s="898"/>
      <c r="BO114" s="898"/>
      <c r="BP114" s="898"/>
      <c r="BQ114" s="898"/>
      <c r="BR114" s="898"/>
      <c r="BS114" s="898"/>
      <c r="BT114" s="898"/>
      <c r="BU114" s="898"/>
      <c r="BV114" s="898"/>
      <c r="BW114" s="898"/>
      <c r="BX114" s="898"/>
      <c r="BY114" s="898"/>
      <c r="BZ114" s="898"/>
      <c r="CA114" s="898"/>
      <c r="CB114" s="898"/>
      <c r="CC114" s="898"/>
      <c r="CD114" s="898"/>
      <c r="CE114" s="898"/>
      <c r="CF114" s="898"/>
      <c r="CG114" s="898"/>
      <c r="CH114" s="898"/>
      <c r="CI114" s="898"/>
      <c r="CJ114" s="898"/>
      <c r="CK114" s="898"/>
      <c r="CL114" s="898"/>
      <c r="CM114" s="898"/>
      <c r="CN114" s="898"/>
      <c r="CO114" s="898"/>
      <c r="CP114" s="898"/>
      <c r="CQ114" s="898"/>
      <c r="CR114" s="898"/>
      <c r="CS114" s="898"/>
      <c r="CT114" s="898"/>
      <c r="CU114" s="898"/>
    </row>
    <row r="115" ht="16.5" customHeight="1">
      <c r="A115" s="718"/>
      <c r="B115" s="1195"/>
      <c r="C115" s="866"/>
      <c r="D115" s="968"/>
      <c r="E115" s="718"/>
      <c r="F115" s="718"/>
      <c r="G115" s="718"/>
      <c r="H115" s="718"/>
      <c r="I115" s="359"/>
      <c r="J115" s="359"/>
      <c r="K115" s="359"/>
      <c r="L115" s="359"/>
      <c r="M115" s="359"/>
      <c r="N115" s="359"/>
      <c r="O115" s="359"/>
      <c r="P115" s="359"/>
      <c r="Q115" s="359"/>
      <c r="R115" s="718"/>
      <c r="S115" s="669"/>
      <c r="T115" s="669"/>
      <c r="U115" s="967"/>
      <c r="V115" s="974"/>
      <c r="W115" s="1197"/>
      <c r="X115" s="974"/>
      <c r="Y115" s="974"/>
      <c r="Z115" s="974"/>
      <c r="AA115" s="974"/>
      <c r="AB115" s="974"/>
      <c r="AC115" s="974"/>
      <c r="AD115" s="974"/>
      <c r="AE115" s="974"/>
      <c r="AF115" s="974"/>
      <c r="AG115" s="974"/>
      <c r="AH115" s="974"/>
      <c r="AI115" s="1198"/>
      <c r="AJ115" s="974"/>
      <c r="AK115" s="1197"/>
      <c r="AL115" s="974"/>
      <c r="AM115" s="974"/>
      <c r="AN115" s="974"/>
      <c r="AO115" s="974"/>
      <c r="AP115" s="974"/>
      <c r="AQ115" s="974"/>
      <c r="AR115" s="974"/>
      <c r="AS115" s="974"/>
      <c r="AT115" s="974"/>
      <c r="AU115" s="974"/>
      <c r="AV115" s="974"/>
      <c r="AW115" s="1181"/>
      <c r="AX115" s="978"/>
      <c r="AY115" s="898"/>
      <c r="AZ115" s="898"/>
      <c r="BA115" s="898"/>
      <c r="BB115" s="898"/>
      <c r="BC115" s="898"/>
      <c r="BD115" s="898"/>
      <c r="BE115" s="898"/>
      <c r="BF115" s="898"/>
      <c r="BG115" s="898"/>
      <c r="BH115" s="898"/>
      <c r="BI115" s="898"/>
      <c r="BJ115" s="898"/>
      <c r="BK115" s="898"/>
      <c r="BL115" s="898"/>
      <c r="BM115" s="898"/>
      <c r="BN115" s="898"/>
      <c r="BO115" s="898"/>
      <c r="BP115" s="898"/>
      <c r="BQ115" s="898"/>
      <c r="BR115" s="898"/>
      <c r="BS115" s="898"/>
      <c r="BT115" s="898"/>
      <c r="BU115" s="898"/>
      <c r="BV115" s="898"/>
      <c r="BW115" s="898"/>
      <c r="BX115" s="898"/>
      <c r="BY115" s="898"/>
      <c r="BZ115" s="898"/>
      <c r="CA115" s="898"/>
      <c r="CB115" s="898"/>
      <c r="CC115" s="898"/>
      <c r="CD115" s="898"/>
      <c r="CE115" s="898"/>
      <c r="CF115" s="898"/>
      <c r="CG115" s="898"/>
      <c r="CH115" s="898"/>
      <c r="CI115" s="898"/>
      <c r="CJ115" s="898"/>
      <c r="CK115" s="898"/>
      <c r="CL115" s="898"/>
      <c r="CM115" s="898"/>
      <c r="CN115" s="898"/>
      <c r="CO115" s="898"/>
      <c r="CP115" s="898"/>
      <c r="CQ115" s="898"/>
      <c r="CR115" s="898"/>
      <c r="CS115" s="898"/>
      <c r="CT115" s="898"/>
      <c r="CU115" s="898"/>
    </row>
    <row r="116" ht="16.5" customHeight="1">
      <c r="A116" s="718"/>
      <c r="B116" s="1195"/>
      <c r="C116" s="866"/>
      <c r="D116" s="968"/>
      <c r="E116" s="718"/>
      <c r="F116" s="718"/>
      <c r="G116" s="718"/>
      <c r="H116" s="718"/>
      <c r="I116" s="359"/>
      <c r="J116" s="359"/>
      <c r="K116" s="359"/>
      <c r="L116" s="359"/>
      <c r="M116" s="359"/>
      <c r="N116" s="359"/>
      <c r="O116" s="359"/>
      <c r="P116" s="359"/>
      <c r="Q116" s="359"/>
      <c r="R116" s="718"/>
      <c r="S116" s="669"/>
      <c r="T116" s="669"/>
      <c r="U116" s="967"/>
      <c r="V116" s="974"/>
      <c r="W116" s="1197"/>
      <c r="X116" s="974"/>
      <c r="Y116" s="974"/>
      <c r="Z116" s="974"/>
      <c r="AA116" s="974"/>
      <c r="AB116" s="974"/>
      <c r="AC116" s="974"/>
      <c r="AD116" s="974"/>
      <c r="AE116" s="974"/>
      <c r="AF116" s="974"/>
      <c r="AG116" s="974"/>
      <c r="AH116" s="974"/>
      <c r="AI116" s="1198"/>
      <c r="AJ116" s="974"/>
      <c r="AK116" s="1197"/>
      <c r="AL116" s="974"/>
      <c r="AM116" s="974"/>
      <c r="AN116" s="974"/>
      <c r="AO116" s="974"/>
      <c r="AP116" s="974"/>
      <c r="AQ116" s="974"/>
      <c r="AR116" s="974"/>
      <c r="AS116" s="974"/>
      <c r="AT116" s="974"/>
      <c r="AU116" s="974"/>
      <c r="AV116" s="974"/>
      <c r="AW116" s="1181"/>
      <c r="AX116" s="978"/>
      <c r="AY116" s="898"/>
      <c r="AZ116" s="898"/>
      <c r="BA116" s="898"/>
      <c r="BB116" s="898"/>
      <c r="BC116" s="898"/>
      <c r="BD116" s="898"/>
      <c r="BE116" s="898"/>
      <c r="BF116" s="898"/>
      <c r="BG116" s="898"/>
      <c r="BH116" s="898"/>
      <c r="BI116" s="898"/>
      <c r="BJ116" s="898"/>
      <c r="BK116" s="898"/>
      <c r="BL116" s="898"/>
      <c r="BM116" s="898"/>
      <c r="BN116" s="898"/>
      <c r="BO116" s="898"/>
      <c r="BP116" s="898"/>
      <c r="BQ116" s="898"/>
      <c r="BR116" s="898"/>
      <c r="BS116" s="898"/>
      <c r="BT116" s="898"/>
      <c r="BU116" s="898"/>
      <c r="BV116" s="898"/>
      <c r="BW116" s="898"/>
      <c r="BX116" s="898"/>
      <c r="BY116" s="898"/>
      <c r="BZ116" s="898"/>
      <c r="CA116" s="898"/>
      <c r="CB116" s="898"/>
      <c r="CC116" s="898"/>
      <c r="CD116" s="898"/>
      <c r="CE116" s="898"/>
      <c r="CF116" s="898"/>
      <c r="CG116" s="898"/>
      <c r="CH116" s="898"/>
      <c r="CI116" s="898"/>
      <c r="CJ116" s="898"/>
      <c r="CK116" s="898"/>
      <c r="CL116" s="898"/>
      <c r="CM116" s="898"/>
      <c r="CN116" s="898"/>
      <c r="CO116" s="898"/>
      <c r="CP116" s="898"/>
      <c r="CQ116" s="898"/>
      <c r="CR116" s="898"/>
      <c r="CS116" s="898"/>
      <c r="CT116" s="898"/>
      <c r="CU116" s="898"/>
    </row>
    <row r="117" ht="16.5" customHeight="1">
      <c r="A117" s="718"/>
      <c r="B117" s="1195"/>
      <c r="C117" s="866"/>
      <c r="D117" s="968"/>
      <c r="E117" s="718"/>
      <c r="F117" s="718"/>
      <c r="G117" s="718"/>
      <c r="H117" s="718"/>
      <c r="I117" s="359"/>
      <c r="J117" s="359"/>
      <c r="K117" s="359"/>
      <c r="L117" s="359"/>
      <c r="M117" s="359"/>
      <c r="N117" s="359"/>
      <c r="O117" s="359"/>
      <c r="P117" s="359"/>
      <c r="Q117" s="359"/>
      <c r="R117" s="718"/>
      <c r="S117" s="669"/>
      <c r="T117" s="669"/>
      <c r="U117" s="967"/>
      <c r="V117" s="974"/>
      <c r="W117" s="1197"/>
      <c r="X117" s="974"/>
      <c r="Y117" s="974"/>
      <c r="Z117" s="974"/>
      <c r="AA117" s="974"/>
      <c r="AB117" s="974"/>
      <c r="AC117" s="974"/>
      <c r="AD117" s="974"/>
      <c r="AE117" s="974"/>
      <c r="AF117" s="974"/>
      <c r="AG117" s="974"/>
      <c r="AH117" s="974"/>
      <c r="AI117" s="1198"/>
      <c r="AJ117" s="974"/>
      <c r="AK117" s="1197"/>
      <c r="AL117" s="974"/>
      <c r="AM117" s="974"/>
      <c r="AN117" s="974"/>
      <c r="AO117" s="974"/>
      <c r="AP117" s="974"/>
      <c r="AQ117" s="974"/>
      <c r="AR117" s="974"/>
      <c r="AS117" s="974"/>
      <c r="AT117" s="974"/>
      <c r="AU117" s="974"/>
      <c r="AV117" s="974"/>
      <c r="AW117" s="1181"/>
      <c r="AX117" s="978"/>
      <c r="AY117" s="898"/>
      <c r="AZ117" s="898"/>
      <c r="BA117" s="898"/>
      <c r="BB117" s="898"/>
      <c r="BC117" s="898"/>
      <c r="BD117" s="898"/>
      <c r="BE117" s="898"/>
      <c r="BF117" s="898"/>
      <c r="BG117" s="898"/>
      <c r="BH117" s="898"/>
      <c r="BI117" s="898"/>
      <c r="BJ117" s="898"/>
      <c r="BK117" s="898"/>
      <c r="BL117" s="898"/>
      <c r="BM117" s="898"/>
      <c r="BN117" s="898"/>
      <c r="BO117" s="898"/>
      <c r="BP117" s="898"/>
      <c r="BQ117" s="898"/>
      <c r="BR117" s="898"/>
      <c r="BS117" s="898"/>
      <c r="BT117" s="898"/>
      <c r="BU117" s="898"/>
      <c r="BV117" s="898"/>
      <c r="BW117" s="898"/>
      <c r="BX117" s="898"/>
      <c r="BY117" s="898"/>
      <c r="BZ117" s="898"/>
      <c r="CA117" s="898"/>
      <c r="CB117" s="898"/>
      <c r="CC117" s="898"/>
      <c r="CD117" s="898"/>
      <c r="CE117" s="898"/>
      <c r="CF117" s="898"/>
      <c r="CG117" s="898"/>
      <c r="CH117" s="898"/>
      <c r="CI117" s="898"/>
      <c r="CJ117" s="898"/>
      <c r="CK117" s="898"/>
      <c r="CL117" s="898"/>
      <c r="CM117" s="898"/>
      <c r="CN117" s="898"/>
      <c r="CO117" s="898"/>
      <c r="CP117" s="898"/>
      <c r="CQ117" s="898"/>
      <c r="CR117" s="898"/>
      <c r="CS117" s="898"/>
      <c r="CT117" s="898"/>
      <c r="CU117" s="898"/>
    </row>
    <row r="118" ht="16.5" customHeight="1">
      <c r="A118" s="718"/>
      <c r="B118" s="1195"/>
      <c r="C118" s="866"/>
      <c r="D118" s="968"/>
      <c r="E118" s="718"/>
      <c r="F118" s="718"/>
      <c r="G118" s="718"/>
      <c r="H118" s="718"/>
      <c r="I118" s="359"/>
      <c r="J118" s="359"/>
      <c r="K118" s="359"/>
      <c r="L118" s="359"/>
      <c r="M118" s="359"/>
      <c r="N118" s="359"/>
      <c r="O118" s="359"/>
      <c r="P118" s="359"/>
      <c r="Q118" s="359"/>
      <c r="R118" s="718"/>
      <c r="S118" s="669"/>
      <c r="T118" s="669"/>
      <c r="U118" s="967"/>
      <c r="V118" s="974"/>
      <c r="W118" s="1197"/>
      <c r="X118" s="974"/>
      <c r="Y118" s="974"/>
      <c r="Z118" s="974"/>
      <c r="AA118" s="974"/>
      <c r="AB118" s="974"/>
      <c r="AC118" s="974"/>
      <c r="AD118" s="974"/>
      <c r="AE118" s="974"/>
      <c r="AF118" s="974"/>
      <c r="AG118" s="974"/>
      <c r="AH118" s="974"/>
      <c r="AI118" s="1198"/>
      <c r="AJ118" s="974"/>
      <c r="AK118" s="1197"/>
      <c r="AL118" s="974"/>
      <c r="AM118" s="974"/>
      <c r="AN118" s="974"/>
      <c r="AO118" s="974"/>
      <c r="AP118" s="974"/>
      <c r="AQ118" s="974"/>
      <c r="AR118" s="974"/>
      <c r="AS118" s="974"/>
      <c r="AT118" s="974"/>
      <c r="AU118" s="974"/>
      <c r="AV118" s="974"/>
      <c r="AW118" s="1181"/>
      <c r="AX118" s="978"/>
      <c r="AY118" s="898"/>
      <c r="AZ118" s="898"/>
      <c r="BA118" s="898"/>
      <c r="BB118" s="898"/>
      <c r="BC118" s="898"/>
      <c r="BD118" s="898"/>
      <c r="BE118" s="898"/>
      <c r="BF118" s="898"/>
      <c r="BG118" s="898"/>
      <c r="BH118" s="898"/>
      <c r="BI118" s="898"/>
      <c r="BJ118" s="898"/>
      <c r="BK118" s="898"/>
      <c r="BL118" s="898"/>
      <c r="BM118" s="898"/>
      <c r="BN118" s="898"/>
      <c r="BO118" s="898"/>
      <c r="BP118" s="898"/>
      <c r="BQ118" s="898"/>
      <c r="BR118" s="898"/>
      <c r="BS118" s="898"/>
      <c r="BT118" s="898"/>
      <c r="BU118" s="898"/>
      <c r="BV118" s="898"/>
      <c r="BW118" s="898"/>
      <c r="BX118" s="898"/>
      <c r="BY118" s="898"/>
      <c r="BZ118" s="898"/>
      <c r="CA118" s="898"/>
      <c r="CB118" s="898"/>
      <c r="CC118" s="898"/>
      <c r="CD118" s="898"/>
      <c r="CE118" s="898"/>
      <c r="CF118" s="898"/>
      <c r="CG118" s="898"/>
      <c r="CH118" s="898"/>
      <c r="CI118" s="898"/>
      <c r="CJ118" s="898"/>
      <c r="CK118" s="898"/>
      <c r="CL118" s="898"/>
      <c r="CM118" s="898"/>
      <c r="CN118" s="898"/>
      <c r="CO118" s="898"/>
      <c r="CP118" s="898"/>
      <c r="CQ118" s="898"/>
      <c r="CR118" s="898"/>
      <c r="CS118" s="898"/>
      <c r="CT118" s="898"/>
      <c r="CU118" s="898"/>
    </row>
    <row r="119" ht="16.5" customHeight="1">
      <c r="A119" s="718"/>
      <c r="B119" s="1195"/>
      <c r="C119" s="866"/>
      <c r="D119" s="968"/>
      <c r="E119" s="718"/>
      <c r="F119" s="718"/>
      <c r="G119" s="718"/>
      <c r="H119" s="718"/>
      <c r="I119" s="359"/>
      <c r="J119" s="359"/>
      <c r="K119" s="359"/>
      <c r="L119" s="359"/>
      <c r="M119" s="359"/>
      <c r="N119" s="359"/>
      <c r="O119" s="359"/>
      <c r="P119" s="359"/>
      <c r="Q119" s="359"/>
      <c r="R119" s="718"/>
      <c r="S119" s="669"/>
      <c r="T119" s="669"/>
      <c r="U119" s="967"/>
      <c r="V119" s="974"/>
      <c r="W119" s="1197"/>
      <c r="X119" s="974"/>
      <c r="Y119" s="974"/>
      <c r="Z119" s="974"/>
      <c r="AA119" s="974"/>
      <c r="AB119" s="974"/>
      <c r="AC119" s="974"/>
      <c r="AD119" s="974"/>
      <c r="AE119" s="974"/>
      <c r="AF119" s="974"/>
      <c r="AG119" s="974"/>
      <c r="AH119" s="974"/>
      <c r="AI119" s="1198"/>
      <c r="AJ119" s="974"/>
      <c r="AK119" s="1197"/>
      <c r="AL119" s="974"/>
      <c r="AM119" s="974"/>
      <c r="AN119" s="974"/>
      <c r="AO119" s="974"/>
      <c r="AP119" s="974"/>
      <c r="AQ119" s="974"/>
      <c r="AR119" s="974"/>
      <c r="AS119" s="974"/>
      <c r="AT119" s="974"/>
      <c r="AU119" s="974"/>
      <c r="AV119" s="974"/>
      <c r="AW119" s="1181"/>
      <c r="AX119" s="978"/>
      <c r="AY119" s="898"/>
      <c r="AZ119" s="898"/>
      <c r="BA119" s="898"/>
      <c r="BB119" s="898"/>
      <c r="BC119" s="898"/>
      <c r="BD119" s="898"/>
      <c r="BE119" s="898"/>
      <c r="BF119" s="898"/>
      <c r="BG119" s="898"/>
      <c r="BH119" s="898"/>
      <c r="BI119" s="898"/>
      <c r="BJ119" s="898"/>
      <c r="BK119" s="898"/>
      <c r="BL119" s="898"/>
      <c r="BM119" s="898"/>
      <c r="BN119" s="898"/>
      <c r="BO119" s="898"/>
      <c r="BP119" s="898"/>
      <c r="BQ119" s="898"/>
      <c r="BR119" s="898"/>
      <c r="BS119" s="898"/>
      <c r="BT119" s="898"/>
      <c r="BU119" s="898"/>
      <c r="BV119" s="898"/>
      <c r="BW119" s="898"/>
      <c r="BX119" s="898"/>
      <c r="BY119" s="898"/>
      <c r="BZ119" s="898"/>
      <c r="CA119" s="898"/>
      <c r="CB119" s="898"/>
      <c r="CC119" s="898"/>
      <c r="CD119" s="898"/>
      <c r="CE119" s="898"/>
      <c r="CF119" s="898"/>
      <c r="CG119" s="898"/>
      <c r="CH119" s="898"/>
      <c r="CI119" s="898"/>
      <c r="CJ119" s="898"/>
      <c r="CK119" s="898"/>
      <c r="CL119" s="898"/>
      <c r="CM119" s="898"/>
      <c r="CN119" s="898"/>
      <c r="CO119" s="898"/>
      <c r="CP119" s="898"/>
      <c r="CQ119" s="898"/>
      <c r="CR119" s="898"/>
      <c r="CS119" s="898"/>
      <c r="CT119" s="898"/>
      <c r="CU119" s="898"/>
    </row>
    <row r="120" ht="16.5" customHeight="1">
      <c r="A120" s="718"/>
      <c r="B120" s="1195"/>
      <c r="C120" s="866"/>
      <c r="D120" s="968"/>
      <c r="E120" s="718"/>
      <c r="F120" s="718"/>
      <c r="G120" s="718"/>
      <c r="H120" s="718"/>
      <c r="I120" s="359"/>
      <c r="J120" s="359"/>
      <c r="K120" s="359"/>
      <c r="L120" s="359"/>
      <c r="M120" s="359"/>
      <c r="N120" s="359"/>
      <c r="O120" s="359"/>
      <c r="P120" s="359"/>
      <c r="Q120" s="359"/>
      <c r="R120" s="718"/>
      <c r="S120" s="669"/>
      <c r="T120" s="669"/>
      <c r="U120" s="967"/>
      <c r="V120" s="974"/>
      <c r="W120" s="1197"/>
      <c r="X120" s="974"/>
      <c r="Y120" s="974"/>
      <c r="Z120" s="974"/>
      <c r="AA120" s="974"/>
      <c r="AB120" s="974"/>
      <c r="AC120" s="974"/>
      <c r="AD120" s="974"/>
      <c r="AE120" s="974"/>
      <c r="AF120" s="974"/>
      <c r="AG120" s="974"/>
      <c r="AH120" s="974"/>
      <c r="AI120" s="1198"/>
      <c r="AJ120" s="974"/>
      <c r="AK120" s="1197"/>
      <c r="AL120" s="974"/>
      <c r="AM120" s="974"/>
      <c r="AN120" s="974"/>
      <c r="AO120" s="974"/>
      <c r="AP120" s="974"/>
      <c r="AQ120" s="974"/>
      <c r="AR120" s="974"/>
      <c r="AS120" s="974"/>
      <c r="AT120" s="974"/>
      <c r="AU120" s="974"/>
      <c r="AV120" s="974"/>
      <c r="AW120" s="1181"/>
      <c r="AX120" s="978"/>
      <c r="AY120" s="898"/>
      <c r="AZ120" s="898"/>
      <c r="BA120" s="898"/>
      <c r="BB120" s="898"/>
      <c r="BC120" s="898"/>
      <c r="BD120" s="898"/>
      <c r="BE120" s="898"/>
      <c r="BF120" s="898"/>
      <c r="BG120" s="898"/>
      <c r="BH120" s="898"/>
      <c r="BI120" s="898"/>
      <c r="BJ120" s="898"/>
      <c r="BK120" s="898"/>
      <c r="BL120" s="898"/>
      <c r="BM120" s="898"/>
      <c r="BN120" s="898"/>
      <c r="BO120" s="898"/>
      <c r="BP120" s="898"/>
      <c r="BQ120" s="898"/>
      <c r="BR120" s="898"/>
      <c r="BS120" s="898"/>
      <c r="BT120" s="898"/>
      <c r="BU120" s="898"/>
      <c r="BV120" s="898"/>
      <c r="BW120" s="898"/>
      <c r="BX120" s="898"/>
      <c r="BY120" s="898"/>
      <c r="BZ120" s="898"/>
      <c r="CA120" s="898"/>
      <c r="CB120" s="898"/>
      <c r="CC120" s="898"/>
      <c r="CD120" s="898"/>
      <c r="CE120" s="898"/>
      <c r="CF120" s="898"/>
      <c r="CG120" s="898"/>
      <c r="CH120" s="898"/>
      <c r="CI120" s="898"/>
      <c r="CJ120" s="898"/>
      <c r="CK120" s="898"/>
      <c r="CL120" s="898"/>
      <c r="CM120" s="898"/>
      <c r="CN120" s="898"/>
      <c r="CO120" s="898"/>
      <c r="CP120" s="898"/>
      <c r="CQ120" s="898"/>
      <c r="CR120" s="898"/>
      <c r="CS120" s="898"/>
      <c r="CT120" s="898"/>
      <c r="CU120" s="898"/>
    </row>
    <row r="121" ht="16.5" customHeight="1">
      <c r="A121" s="718"/>
      <c r="B121" s="1195"/>
      <c r="C121" s="866"/>
      <c r="D121" s="968"/>
      <c r="E121" s="718"/>
      <c r="F121" s="718"/>
      <c r="G121" s="718"/>
      <c r="H121" s="718"/>
      <c r="I121" s="359"/>
      <c r="J121" s="359"/>
      <c r="K121" s="359"/>
      <c r="L121" s="359"/>
      <c r="M121" s="359"/>
      <c r="N121" s="359"/>
      <c r="O121" s="359"/>
      <c r="P121" s="359"/>
      <c r="Q121" s="359"/>
      <c r="R121" s="718"/>
      <c r="S121" s="669"/>
      <c r="T121" s="669"/>
      <c r="U121" s="967"/>
      <c r="V121" s="974"/>
      <c r="W121" s="1197"/>
      <c r="X121" s="974"/>
      <c r="Y121" s="974"/>
      <c r="Z121" s="974"/>
      <c r="AA121" s="974"/>
      <c r="AB121" s="974"/>
      <c r="AC121" s="974"/>
      <c r="AD121" s="974"/>
      <c r="AE121" s="974"/>
      <c r="AF121" s="974"/>
      <c r="AG121" s="974"/>
      <c r="AH121" s="974"/>
      <c r="AI121" s="1198"/>
      <c r="AJ121" s="974"/>
      <c r="AK121" s="1197"/>
      <c r="AL121" s="974"/>
      <c r="AM121" s="974"/>
      <c r="AN121" s="974"/>
      <c r="AO121" s="974"/>
      <c r="AP121" s="974"/>
      <c r="AQ121" s="974"/>
      <c r="AR121" s="974"/>
      <c r="AS121" s="974"/>
      <c r="AT121" s="974"/>
      <c r="AU121" s="974"/>
      <c r="AV121" s="974"/>
      <c r="AW121" s="1181"/>
      <c r="AX121" s="978"/>
      <c r="AY121" s="898"/>
      <c r="AZ121" s="898"/>
      <c r="BA121" s="898"/>
      <c r="BB121" s="898"/>
      <c r="BC121" s="898"/>
      <c r="BD121" s="898"/>
      <c r="BE121" s="898"/>
      <c r="BF121" s="898"/>
      <c r="BG121" s="898"/>
      <c r="BH121" s="898"/>
      <c r="BI121" s="898"/>
      <c r="BJ121" s="898"/>
      <c r="BK121" s="898"/>
      <c r="BL121" s="898"/>
      <c r="BM121" s="898"/>
      <c r="BN121" s="898"/>
      <c r="BO121" s="898"/>
      <c r="BP121" s="898"/>
      <c r="BQ121" s="898"/>
      <c r="BR121" s="898"/>
      <c r="BS121" s="898"/>
      <c r="BT121" s="898"/>
      <c r="BU121" s="898"/>
      <c r="BV121" s="898"/>
      <c r="BW121" s="898"/>
      <c r="BX121" s="898"/>
      <c r="BY121" s="898"/>
      <c r="BZ121" s="898"/>
      <c r="CA121" s="898"/>
      <c r="CB121" s="898"/>
      <c r="CC121" s="898"/>
      <c r="CD121" s="898"/>
      <c r="CE121" s="898"/>
      <c r="CF121" s="898"/>
      <c r="CG121" s="898"/>
      <c r="CH121" s="898"/>
      <c r="CI121" s="898"/>
      <c r="CJ121" s="898"/>
      <c r="CK121" s="898"/>
      <c r="CL121" s="898"/>
      <c r="CM121" s="898"/>
      <c r="CN121" s="898"/>
      <c r="CO121" s="898"/>
      <c r="CP121" s="898"/>
      <c r="CQ121" s="898"/>
      <c r="CR121" s="898"/>
      <c r="CS121" s="898"/>
      <c r="CT121" s="898"/>
      <c r="CU121" s="898"/>
    </row>
    <row r="122" ht="16.5" customHeight="1">
      <c r="A122" s="718"/>
      <c r="B122" s="1195"/>
      <c r="C122" s="866"/>
      <c r="D122" s="968"/>
      <c r="E122" s="718"/>
      <c r="F122" s="718"/>
      <c r="G122" s="718"/>
      <c r="H122" s="718"/>
      <c r="I122" s="359"/>
      <c r="J122" s="359"/>
      <c r="K122" s="359"/>
      <c r="L122" s="359"/>
      <c r="M122" s="359"/>
      <c r="N122" s="359"/>
      <c r="O122" s="359"/>
      <c r="P122" s="359"/>
      <c r="Q122" s="359"/>
      <c r="R122" s="718"/>
      <c r="S122" s="669"/>
      <c r="T122" s="669"/>
      <c r="U122" s="967"/>
      <c r="V122" s="974"/>
      <c r="W122" s="1197"/>
      <c r="X122" s="974"/>
      <c r="Y122" s="974"/>
      <c r="Z122" s="974"/>
      <c r="AA122" s="974"/>
      <c r="AB122" s="974"/>
      <c r="AC122" s="974"/>
      <c r="AD122" s="974"/>
      <c r="AE122" s="974"/>
      <c r="AF122" s="974"/>
      <c r="AG122" s="974"/>
      <c r="AH122" s="974"/>
      <c r="AI122" s="1198"/>
      <c r="AJ122" s="974"/>
      <c r="AK122" s="1197"/>
      <c r="AL122" s="974"/>
      <c r="AM122" s="974"/>
      <c r="AN122" s="974"/>
      <c r="AO122" s="974"/>
      <c r="AP122" s="974"/>
      <c r="AQ122" s="974"/>
      <c r="AR122" s="974"/>
      <c r="AS122" s="974"/>
      <c r="AT122" s="974"/>
      <c r="AU122" s="974"/>
      <c r="AV122" s="974"/>
      <c r="AW122" s="1181"/>
      <c r="AX122" s="978"/>
      <c r="AY122" s="898"/>
      <c r="AZ122" s="898"/>
      <c r="BA122" s="898"/>
      <c r="BB122" s="898"/>
      <c r="BC122" s="898"/>
      <c r="BD122" s="898"/>
      <c r="BE122" s="898"/>
      <c r="BF122" s="898"/>
      <c r="BG122" s="898"/>
      <c r="BH122" s="898"/>
      <c r="BI122" s="898"/>
      <c r="BJ122" s="898"/>
      <c r="BK122" s="898"/>
      <c r="BL122" s="898"/>
      <c r="BM122" s="898"/>
      <c r="BN122" s="898"/>
      <c r="BO122" s="898"/>
      <c r="BP122" s="898"/>
      <c r="BQ122" s="898"/>
      <c r="BR122" s="898"/>
      <c r="BS122" s="898"/>
      <c r="BT122" s="898"/>
      <c r="BU122" s="898"/>
      <c r="BV122" s="898"/>
      <c r="BW122" s="898"/>
      <c r="BX122" s="898"/>
      <c r="BY122" s="898"/>
      <c r="BZ122" s="898"/>
      <c r="CA122" s="898"/>
      <c r="CB122" s="898"/>
      <c r="CC122" s="898"/>
      <c r="CD122" s="898"/>
      <c r="CE122" s="898"/>
      <c r="CF122" s="898"/>
      <c r="CG122" s="898"/>
      <c r="CH122" s="898"/>
      <c r="CI122" s="898"/>
      <c r="CJ122" s="898"/>
      <c r="CK122" s="898"/>
      <c r="CL122" s="898"/>
      <c r="CM122" s="898"/>
      <c r="CN122" s="898"/>
      <c r="CO122" s="898"/>
      <c r="CP122" s="898"/>
      <c r="CQ122" s="898"/>
      <c r="CR122" s="898"/>
      <c r="CS122" s="898"/>
      <c r="CT122" s="898"/>
      <c r="CU122" s="898"/>
    </row>
    <row r="123" ht="16.5" customHeight="1">
      <c r="A123" s="718"/>
      <c r="B123" s="1195"/>
      <c r="C123" s="866"/>
      <c r="D123" s="968"/>
      <c r="E123" s="718"/>
      <c r="F123" s="718"/>
      <c r="G123" s="718"/>
      <c r="H123" s="718"/>
      <c r="I123" s="359"/>
      <c r="J123" s="359"/>
      <c r="K123" s="359"/>
      <c r="L123" s="359"/>
      <c r="M123" s="359"/>
      <c r="N123" s="359"/>
      <c r="O123" s="359"/>
      <c r="P123" s="359"/>
      <c r="Q123" s="359"/>
      <c r="R123" s="718"/>
      <c r="S123" s="669"/>
      <c r="T123" s="669"/>
      <c r="U123" s="967"/>
      <c r="V123" s="974"/>
      <c r="W123" s="1197"/>
      <c r="X123" s="974"/>
      <c r="Y123" s="974"/>
      <c r="Z123" s="974"/>
      <c r="AA123" s="974"/>
      <c r="AB123" s="974"/>
      <c r="AC123" s="974"/>
      <c r="AD123" s="974"/>
      <c r="AE123" s="974"/>
      <c r="AF123" s="974"/>
      <c r="AG123" s="974"/>
      <c r="AH123" s="974"/>
      <c r="AI123" s="1198"/>
      <c r="AJ123" s="974"/>
      <c r="AK123" s="1197"/>
      <c r="AL123" s="974"/>
      <c r="AM123" s="974"/>
      <c r="AN123" s="974"/>
      <c r="AO123" s="974"/>
      <c r="AP123" s="974"/>
      <c r="AQ123" s="974"/>
      <c r="AR123" s="974"/>
      <c r="AS123" s="974"/>
      <c r="AT123" s="974"/>
      <c r="AU123" s="974"/>
      <c r="AV123" s="974"/>
      <c r="AW123" s="1181"/>
      <c r="AX123" s="978"/>
      <c r="AY123" s="898"/>
      <c r="AZ123" s="898"/>
      <c r="BA123" s="898"/>
      <c r="BB123" s="898"/>
      <c r="BC123" s="898"/>
      <c r="BD123" s="898"/>
      <c r="BE123" s="898"/>
      <c r="BF123" s="898"/>
      <c r="BG123" s="898"/>
      <c r="BH123" s="898"/>
      <c r="BI123" s="898"/>
      <c r="BJ123" s="898"/>
      <c r="BK123" s="898"/>
      <c r="BL123" s="898"/>
      <c r="BM123" s="898"/>
      <c r="BN123" s="898"/>
      <c r="BO123" s="898"/>
      <c r="BP123" s="898"/>
      <c r="BQ123" s="898"/>
      <c r="BR123" s="898"/>
      <c r="BS123" s="898"/>
      <c r="BT123" s="898"/>
      <c r="BU123" s="898"/>
      <c r="BV123" s="898"/>
      <c r="BW123" s="898"/>
      <c r="BX123" s="898"/>
      <c r="BY123" s="898"/>
      <c r="BZ123" s="898"/>
      <c r="CA123" s="898"/>
      <c r="CB123" s="898"/>
      <c r="CC123" s="898"/>
      <c r="CD123" s="898"/>
      <c r="CE123" s="898"/>
      <c r="CF123" s="898"/>
      <c r="CG123" s="898"/>
      <c r="CH123" s="898"/>
      <c r="CI123" s="898"/>
      <c r="CJ123" s="898"/>
      <c r="CK123" s="898"/>
      <c r="CL123" s="898"/>
      <c r="CM123" s="898"/>
      <c r="CN123" s="898"/>
      <c r="CO123" s="898"/>
      <c r="CP123" s="898"/>
      <c r="CQ123" s="898"/>
      <c r="CR123" s="898"/>
      <c r="CS123" s="898"/>
      <c r="CT123" s="898"/>
      <c r="CU123" s="898"/>
    </row>
    <row r="124" ht="16.5" customHeight="1">
      <c r="A124" s="718"/>
      <c r="B124" s="1195"/>
      <c r="C124" s="866"/>
      <c r="D124" s="968"/>
      <c r="E124" s="718"/>
      <c r="F124" s="718"/>
      <c r="G124" s="718"/>
      <c r="H124" s="718"/>
      <c r="I124" s="359"/>
      <c r="J124" s="359"/>
      <c r="K124" s="359"/>
      <c r="L124" s="359"/>
      <c r="M124" s="359"/>
      <c r="N124" s="359"/>
      <c r="O124" s="359"/>
      <c r="P124" s="359"/>
      <c r="Q124" s="359"/>
      <c r="R124" s="718"/>
      <c r="S124" s="669"/>
      <c r="T124" s="669"/>
      <c r="U124" s="967"/>
      <c r="V124" s="974"/>
      <c r="W124" s="1197"/>
      <c r="X124" s="974"/>
      <c r="Y124" s="974"/>
      <c r="Z124" s="974"/>
      <c r="AA124" s="974"/>
      <c r="AB124" s="974"/>
      <c r="AC124" s="974"/>
      <c r="AD124" s="974"/>
      <c r="AE124" s="974"/>
      <c r="AF124" s="974"/>
      <c r="AG124" s="974"/>
      <c r="AH124" s="974"/>
      <c r="AI124" s="1198"/>
      <c r="AJ124" s="974"/>
      <c r="AK124" s="1197"/>
      <c r="AL124" s="974"/>
      <c r="AM124" s="974"/>
      <c r="AN124" s="974"/>
      <c r="AO124" s="974"/>
      <c r="AP124" s="974"/>
      <c r="AQ124" s="974"/>
      <c r="AR124" s="974"/>
      <c r="AS124" s="974"/>
      <c r="AT124" s="974"/>
      <c r="AU124" s="974"/>
      <c r="AV124" s="974"/>
      <c r="AW124" s="1181"/>
      <c r="AX124" s="978"/>
      <c r="AY124" s="898"/>
      <c r="AZ124" s="898"/>
      <c r="BA124" s="898"/>
      <c r="BB124" s="898"/>
      <c r="BC124" s="898"/>
      <c r="BD124" s="898"/>
      <c r="BE124" s="898"/>
      <c r="BF124" s="898"/>
      <c r="BG124" s="898"/>
      <c r="BH124" s="898"/>
      <c r="BI124" s="898"/>
      <c r="BJ124" s="898"/>
      <c r="BK124" s="898"/>
      <c r="BL124" s="898"/>
      <c r="BM124" s="898"/>
      <c r="BN124" s="898"/>
      <c r="BO124" s="898"/>
      <c r="BP124" s="898"/>
      <c r="BQ124" s="898"/>
      <c r="BR124" s="898"/>
      <c r="BS124" s="898"/>
      <c r="BT124" s="898"/>
      <c r="BU124" s="898"/>
      <c r="BV124" s="898"/>
      <c r="BW124" s="898"/>
      <c r="BX124" s="898"/>
      <c r="BY124" s="898"/>
      <c r="BZ124" s="898"/>
      <c r="CA124" s="898"/>
      <c r="CB124" s="898"/>
      <c r="CC124" s="898"/>
      <c r="CD124" s="898"/>
      <c r="CE124" s="898"/>
      <c r="CF124" s="898"/>
      <c r="CG124" s="898"/>
      <c r="CH124" s="898"/>
      <c r="CI124" s="898"/>
      <c r="CJ124" s="898"/>
      <c r="CK124" s="898"/>
      <c r="CL124" s="898"/>
      <c r="CM124" s="898"/>
      <c r="CN124" s="898"/>
      <c r="CO124" s="898"/>
      <c r="CP124" s="898"/>
      <c r="CQ124" s="898"/>
      <c r="CR124" s="898"/>
      <c r="CS124" s="898"/>
      <c r="CT124" s="898"/>
      <c r="CU124" s="898"/>
    </row>
    <row r="125" ht="16.5" customHeight="1">
      <c r="A125" s="718"/>
      <c r="B125" s="1195"/>
      <c r="C125" s="866"/>
      <c r="D125" s="968"/>
      <c r="E125" s="718"/>
      <c r="F125" s="718"/>
      <c r="G125" s="718"/>
      <c r="H125" s="718"/>
      <c r="I125" s="359"/>
      <c r="J125" s="359"/>
      <c r="K125" s="359"/>
      <c r="L125" s="359"/>
      <c r="M125" s="359"/>
      <c r="N125" s="359"/>
      <c r="O125" s="359"/>
      <c r="P125" s="359"/>
      <c r="Q125" s="359"/>
      <c r="R125" s="718"/>
      <c r="S125" s="669"/>
      <c r="T125" s="669"/>
      <c r="U125" s="967"/>
      <c r="V125" s="974"/>
      <c r="W125" s="1197"/>
      <c r="X125" s="974"/>
      <c r="Y125" s="974"/>
      <c r="Z125" s="974"/>
      <c r="AA125" s="974"/>
      <c r="AB125" s="974"/>
      <c r="AC125" s="974"/>
      <c r="AD125" s="974"/>
      <c r="AE125" s="974"/>
      <c r="AF125" s="974"/>
      <c r="AG125" s="974"/>
      <c r="AH125" s="974"/>
      <c r="AI125" s="1198"/>
      <c r="AJ125" s="974"/>
      <c r="AK125" s="1197"/>
      <c r="AL125" s="974"/>
      <c r="AM125" s="974"/>
      <c r="AN125" s="974"/>
      <c r="AO125" s="974"/>
      <c r="AP125" s="974"/>
      <c r="AQ125" s="974"/>
      <c r="AR125" s="974"/>
      <c r="AS125" s="974"/>
      <c r="AT125" s="974"/>
      <c r="AU125" s="974"/>
      <c r="AV125" s="974"/>
      <c r="AW125" s="1181"/>
      <c r="AX125" s="978"/>
      <c r="AY125" s="898"/>
      <c r="AZ125" s="898"/>
      <c r="BA125" s="898"/>
      <c r="BB125" s="898"/>
      <c r="BC125" s="898"/>
      <c r="BD125" s="898"/>
      <c r="BE125" s="898"/>
      <c r="BF125" s="898"/>
      <c r="BG125" s="898"/>
      <c r="BH125" s="898"/>
      <c r="BI125" s="898"/>
      <c r="BJ125" s="898"/>
      <c r="BK125" s="898"/>
      <c r="BL125" s="898"/>
      <c r="BM125" s="898"/>
      <c r="BN125" s="898"/>
      <c r="BO125" s="898"/>
      <c r="BP125" s="898"/>
      <c r="BQ125" s="898"/>
      <c r="BR125" s="898"/>
      <c r="BS125" s="898"/>
      <c r="BT125" s="898"/>
      <c r="BU125" s="898"/>
      <c r="BV125" s="898"/>
      <c r="BW125" s="898"/>
      <c r="BX125" s="898"/>
      <c r="BY125" s="898"/>
      <c r="BZ125" s="898"/>
      <c r="CA125" s="898"/>
      <c r="CB125" s="898"/>
      <c r="CC125" s="898"/>
      <c r="CD125" s="898"/>
      <c r="CE125" s="898"/>
      <c r="CF125" s="898"/>
      <c r="CG125" s="898"/>
      <c r="CH125" s="898"/>
      <c r="CI125" s="898"/>
      <c r="CJ125" s="898"/>
      <c r="CK125" s="898"/>
      <c r="CL125" s="898"/>
      <c r="CM125" s="898"/>
      <c r="CN125" s="898"/>
      <c r="CO125" s="898"/>
      <c r="CP125" s="898"/>
      <c r="CQ125" s="898"/>
      <c r="CR125" s="898"/>
      <c r="CS125" s="898"/>
      <c r="CT125" s="898"/>
      <c r="CU125" s="898"/>
    </row>
    <row r="126" ht="16.5" customHeight="1">
      <c r="A126" s="718"/>
      <c r="B126" s="1195"/>
      <c r="C126" s="866"/>
      <c r="D126" s="968"/>
      <c r="E126" s="718"/>
      <c r="F126" s="718"/>
      <c r="G126" s="718"/>
      <c r="H126" s="718"/>
      <c r="I126" s="359"/>
      <c r="J126" s="359"/>
      <c r="K126" s="359"/>
      <c r="L126" s="359"/>
      <c r="M126" s="359"/>
      <c r="N126" s="359"/>
      <c r="O126" s="359"/>
      <c r="P126" s="359"/>
      <c r="Q126" s="359"/>
      <c r="R126" s="718"/>
      <c r="S126" s="669"/>
      <c r="T126" s="669"/>
      <c r="U126" s="967"/>
      <c r="V126" s="974"/>
      <c r="W126" s="1197"/>
      <c r="X126" s="974"/>
      <c r="Y126" s="974"/>
      <c r="Z126" s="974"/>
      <c r="AA126" s="974"/>
      <c r="AB126" s="974"/>
      <c r="AC126" s="974"/>
      <c r="AD126" s="974"/>
      <c r="AE126" s="974"/>
      <c r="AF126" s="974"/>
      <c r="AG126" s="974"/>
      <c r="AH126" s="974"/>
      <c r="AI126" s="1198"/>
      <c r="AJ126" s="974"/>
      <c r="AK126" s="1197"/>
      <c r="AL126" s="974"/>
      <c r="AM126" s="974"/>
      <c r="AN126" s="974"/>
      <c r="AO126" s="974"/>
      <c r="AP126" s="974"/>
      <c r="AQ126" s="974"/>
      <c r="AR126" s="974"/>
      <c r="AS126" s="974"/>
      <c r="AT126" s="974"/>
      <c r="AU126" s="974"/>
      <c r="AV126" s="974"/>
      <c r="AW126" s="1181"/>
      <c r="AX126" s="978"/>
      <c r="AY126" s="898"/>
      <c r="AZ126" s="898"/>
      <c r="BA126" s="898"/>
      <c r="BB126" s="898"/>
      <c r="BC126" s="898"/>
      <c r="BD126" s="898"/>
      <c r="BE126" s="898"/>
      <c r="BF126" s="898"/>
      <c r="BG126" s="898"/>
      <c r="BH126" s="898"/>
      <c r="BI126" s="898"/>
      <c r="BJ126" s="898"/>
      <c r="BK126" s="898"/>
      <c r="BL126" s="898"/>
      <c r="BM126" s="898"/>
      <c r="BN126" s="898"/>
      <c r="BO126" s="898"/>
      <c r="BP126" s="898"/>
      <c r="BQ126" s="898"/>
      <c r="BR126" s="898"/>
      <c r="BS126" s="898"/>
      <c r="BT126" s="898"/>
      <c r="BU126" s="898"/>
      <c r="BV126" s="898"/>
      <c r="BW126" s="898"/>
      <c r="BX126" s="898"/>
      <c r="BY126" s="898"/>
      <c r="BZ126" s="898"/>
      <c r="CA126" s="898"/>
      <c r="CB126" s="898"/>
      <c r="CC126" s="898"/>
      <c r="CD126" s="898"/>
      <c r="CE126" s="898"/>
      <c r="CF126" s="898"/>
      <c r="CG126" s="898"/>
      <c r="CH126" s="898"/>
      <c r="CI126" s="898"/>
      <c r="CJ126" s="898"/>
      <c r="CK126" s="898"/>
      <c r="CL126" s="898"/>
      <c r="CM126" s="898"/>
      <c r="CN126" s="898"/>
      <c r="CO126" s="898"/>
      <c r="CP126" s="898"/>
      <c r="CQ126" s="898"/>
      <c r="CR126" s="898"/>
      <c r="CS126" s="898"/>
      <c r="CT126" s="898"/>
      <c r="CU126" s="898"/>
    </row>
    <row r="127" ht="16.5" customHeight="1">
      <c r="A127" s="718"/>
      <c r="B127" s="1195"/>
      <c r="C127" s="866"/>
      <c r="D127" s="968"/>
      <c r="E127" s="718"/>
      <c r="F127" s="718"/>
      <c r="G127" s="718"/>
      <c r="H127" s="718"/>
      <c r="I127" s="359"/>
      <c r="J127" s="359"/>
      <c r="K127" s="359"/>
      <c r="L127" s="359"/>
      <c r="M127" s="359"/>
      <c r="N127" s="359"/>
      <c r="O127" s="359"/>
      <c r="P127" s="359"/>
      <c r="Q127" s="359"/>
      <c r="R127" s="718"/>
      <c r="S127" s="669"/>
      <c r="T127" s="669"/>
      <c r="U127" s="967"/>
      <c r="V127" s="974"/>
      <c r="W127" s="1197"/>
      <c r="X127" s="974"/>
      <c r="Y127" s="974"/>
      <c r="Z127" s="974"/>
      <c r="AA127" s="974"/>
      <c r="AB127" s="974"/>
      <c r="AC127" s="974"/>
      <c r="AD127" s="974"/>
      <c r="AE127" s="974"/>
      <c r="AF127" s="974"/>
      <c r="AG127" s="974"/>
      <c r="AH127" s="974"/>
      <c r="AI127" s="1198"/>
      <c r="AJ127" s="974"/>
      <c r="AK127" s="1197"/>
      <c r="AL127" s="974"/>
      <c r="AM127" s="974"/>
      <c r="AN127" s="974"/>
      <c r="AO127" s="974"/>
      <c r="AP127" s="974"/>
      <c r="AQ127" s="974"/>
      <c r="AR127" s="974"/>
      <c r="AS127" s="974"/>
      <c r="AT127" s="974"/>
      <c r="AU127" s="974"/>
      <c r="AV127" s="974"/>
      <c r="AW127" s="1181"/>
      <c r="AX127" s="978"/>
      <c r="AY127" s="898"/>
      <c r="AZ127" s="898"/>
      <c r="BA127" s="898"/>
      <c r="BB127" s="898"/>
      <c r="BC127" s="898"/>
      <c r="BD127" s="898"/>
      <c r="BE127" s="898"/>
      <c r="BF127" s="898"/>
      <c r="BG127" s="898"/>
      <c r="BH127" s="898"/>
      <c r="BI127" s="898"/>
      <c r="BJ127" s="898"/>
      <c r="BK127" s="898"/>
      <c r="BL127" s="898"/>
      <c r="BM127" s="898"/>
      <c r="BN127" s="898"/>
      <c r="BO127" s="898"/>
      <c r="BP127" s="898"/>
      <c r="BQ127" s="898"/>
      <c r="BR127" s="898"/>
      <c r="BS127" s="898"/>
      <c r="BT127" s="898"/>
      <c r="BU127" s="898"/>
      <c r="BV127" s="898"/>
      <c r="BW127" s="898"/>
      <c r="BX127" s="898"/>
      <c r="BY127" s="898"/>
      <c r="BZ127" s="898"/>
      <c r="CA127" s="898"/>
      <c r="CB127" s="898"/>
      <c r="CC127" s="898"/>
      <c r="CD127" s="898"/>
      <c r="CE127" s="898"/>
      <c r="CF127" s="898"/>
      <c r="CG127" s="898"/>
      <c r="CH127" s="898"/>
      <c r="CI127" s="898"/>
      <c r="CJ127" s="898"/>
      <c r="CK127" s="898"/>
      <c r="CL127" s="898"/>
      <c r="CM127" s="898"/>
      <c r="CN127" s="898"/>
      <c r="CO127" s="898"/>
      <c r="CP127" s="898"/>
      <c r="CQ127" s="898"/>
      <c r="CR127" s="898"/>
      <c r="CS127" s="898"/>
      <c r="CT127" s="898"/>
      <c r="CU127" s="898"/>
    </row>
    <row r="128" ht="16.5" customHeight="1">
      <c r="A128" s="718"/>
      <c r="B128" s="1195"/>
      <c r="C128" s="866"/>
      <c r="D128" s="968"/>
      <c r="E128" s="718"/>
      <c r="F128" s="718"/>
      <c r="G128" s="718"/>
      <c r="H128" s="718"/>
      <c r="I128" s="359"/>
      <c r="J128" s="359"/>
      <c r="K128" s="359"/>
      <c r="L128" s="359"/>
      <c r="M128" s="359"/>
      <c r="N128" s="359"/>
      <c r="O128" s="359"/>
      <c r="P128" s="359"/>
      <c r="Q128" s="359"/>
      <c r="R128" s="718"/>
      <c r="S128" s="669"/>
      <c r="T128" s="669"/>
      <c r="U128" s="967"/>
      <c r="V128" s="974"/>
      <c r="W128" s="1197"/>
      <c r="X128" s="974"/>
      <c r="Y128" s="974"/>
      <c r="Z128" s="974"/>
      <c r="AA128" s="974"/>
      <c r="AB128" s="974"/>
      <c r="AC128" s="974"/>
      <c r="AD128" s="974"/>
      <c r="AE128" s="974"/>
      <c r="AF128" s="974"/>
      <c r="AG128" s="974"/>
      <c r="AH128" s="974"/>
      <c r="AI128" s="1198"/>
      <c r="AJ128" s="974"/>
      <c r="AK128" s="1197"/>
      <c r="AL128" s="974"/>
      <c r="AM128" s="974"/>
      <c r="AN128" s="974"/>
      <c r="AO128" s="974"/>
      <c r="AP128" s="974"/>
      <c r="AQ128" s="974"/>
      <c r="AR128" s="974"/>
      <c r="AS128" s="974"/>
      <c r="AT128" s="974"/>
      <c r="AU128" s="974"/>
      <c r="AV128" s="974"/>
      <c r="AW128" s="1181"/>
      <c r="AX128" s="978"/>
      <c r="AY128" s="898"/>
      <c r="AZ128" s="898"/>
      <c r="BA128" s="898"/>
      <c r="BB128" s="898"/>
      <c r="BC128" s="898"/>
      <c r="BD128" s="898"/>
      <c r="BE128" s="898"/>
      <c r="BF128" s="898"/>
      <c r="BG128" s="898"/>
      <c r="BH128" s="898"/>
      <c r="BI128" s="898"/>
      <c r="BJ128" s="898"/>
      <c r="BK128" s="898"/>
      <c r="BL128" s="898"/>
      <c r="BM128" s="898"/>
      <c r="BN128" s="898"/>
      <c r="BO128" s="898"/>
      <c r="BP128" s="898"/>
      <c r="BQ128" s="898"/>
      <c r="BR128" s="898"/>
      <c r="BS128" s="898"/>
      <c r="BT128" s="898"/>
      <c r="BU128" s="898"/>
      <c r="BV128" s="898"/>
      <c r="BW128" s="898"/>
      <c r="BX128" s="898"/>
      <c r="BY128" s="898"/>
      <c r="BZ128" s="898"/>
      <c r="CA128" s="898"/>
      <c r="CB128" s="898"/>
      <c r="CC128" s="898"/>
      <c r="CD128" s="898"/>
      <c r="CE128" s="898"/>
      <c r="CF128" s="898"/>
      <c r="CG128" s="898"/>
      <c r="CH128" s="898"/>
      <c r="CI128" s="898"/>
      <c r="CJ128" s="898"/>
      <c r="CK128" s="898"/>
      <c r="CL128" s="898"/>
      <c r="CM128" s="898"/>
      <c r="CN128" s="898"/>
      <c r="CO128" s="898"/>
      <c r="CP128" s="898"/>
      <c r="CQ128" s="898"/>
      <c r="CR128" s="898"/>
      <c r="CS128" s="898"/>
      <c r="CT128" s="898"/>
      <c r="CU128" s="898"/>
    </row>
    <row r="129" ht="16.5" customHeight="1">
      <c r="A129" s="718"/>
      <c r="B129" s="1195"/>
      <c r="C129" s="866"/>
      <c r="D129" s="968"/>
      <c r="E129" s="718"/>
      <c r="F129" s="718"/>
      <c r="G129" s="718"/>
      <c r="H129" s="718"/>
      <c r="I129" s="359"/>
      <c r="J129" s="359"/>
      <c r="K129" s="359"/>
      <c r="L129" s="359"/>
      <c r="M129" s="359"/>
      <c r="N129" s="359"/>
      <c r="O129" s="359"/>
      <c r="P129" s="359"/>
      <c r="Q129" s="359"/>
      <c r="R129" s="718"/>
      <c r="S129" s="669"/>
      <c r="T129" s="669"/>
      <c r="U129" s="967"/>
      <c r="V129" s="974"/>
      <c r="W129" s="1197"/>
      <c r="X129" s="974"/>
      <c r="Y129" s="974"/>
      <c r="Z129" s="974"/>
      <c r="AA129" s="974"/>
      <c r="AB129" s="974"/>
      <c r="AC129" s="974"/>
      <c r="AD129" s="974"/>
      <c r="AE129" s="974"/>
      <c r="AF129" s="974"/>
      <c r="AG129" s="974"/>
      <c r="AH129" s="974"/>
      <c r="AI129" s="1198"/>
      <c r="AJ129" s="974"/>
      <c r="AK129" s="1197"/>
      <c r="AL129" s="974"/>
      <c r="AM129" s="974"/>
      <c r="AN129" s="974"/>
      <c r="AO129" s="974"/>
      <c r="AP129" s="974"/>
      <c r="AQ129" s="974"/>
      <c r="AR129" s="974"/>
      <c r="AS129" s="974"/>
      <c r="AT129" s="974"/>
      <c r="AU129" s="974"/>
      <c r="AV129" s="974"/>
      <c r="AW129" s="1181"/>
      <c r="AX129" s="978"/>
      <c r="AY129" s="898"/>
      <c r="AZ129" s="898"/>
      <c r="BA129" s="898"/>
      <c r="BB129" s="898"/>
      <c r="BC129" s="898"/>
      <c r="BD129" s="898"/>
      <c r="BE129" s="898"/>
      <c r="BF129" s="898"/>
      <c r="BG129" s="898"/>
      <c r="BH129" s="898"/>
      <c r="BI129" s="898"/>
      <c r="BJ129" s="898"/>
      <c r="BK129" s="898"/>
      <c r="BL129" s="898"/>
      <c r="BM129" s="898"/>
      <c r="BN129" s="898"/>
      <c r="BO129" s="898"/>
      <c r="BP129" s="898"/>
      <c r="BQ129" s="898"/>
      <c r="BR129" s="898"/>
      <c r="BS129" s="898"/>
      <c r="BT129" s="898"/>
      <c r="BU129" s="898"/>
      <c r="BV129" s="898"/>
      <c r="BW129" s="898"/>
      <c r="BX129" s="898"/>
      <c r="BY129" s="898"/>
      <c r="BZ129" s="898"/>
      <c r="CA129" s="898"/>
      <c r="CB129" s="898"/>
      <c r="CC129" s="898"/>
      <c r="CD129" s="898"/>
      <c r="CE129" s="898"/>
      <c r="CF129" s="898"/>
      <c r="CG129" s="898"/>
      <c r="CH129" s="898"/>
      <c r="CI129" s="898"/>
      <c r="CJ129" s="898"/>
      <c r="CK129" s="898"/>
      <c r="CL129" s="898"/>
      <c r="CM129" s="898"/>
      <c r="CN129" s="898"/>
      <c r="CO129" s="898"/>
      <c r="CP129" s="898"/>
      <c r="CQ129" s="898"/>
      <c r="CR129" s="898"/>
      <c r="CS129" s="898"/>
      <c r="CT129" s="898"/>
      <c r="CU129" s="898"/>
    </row>
    <row r="130" ht="16.5" customHeight="1">
      <c r="A130" s="718"/>
      <c r="B130" s="1195"/>
      <c r="C130" s="866"/>
      <c r="D130" s="968"/>
      <c r="E130" s="718"/>
      <c r="F130" s="718"/>
      <c r="G130" s="718"/>
      <c r="H130" s="718"/>
      <c r="I130" s="359"/>
      <c r="J130" s="359"/>
      <c r="K130" s="359"/>
      <c r="L130" s="359"/>
      <c r="M130" s="359"/>
      <c r="N130" s="359"/>
      <c r="O130" s="359"/>
      <c r="P130" s="359"/>
      <c r="Q130" s="359"/>
      <c r="R130" s="718"/>
      <c r="S130" s="669"/>
      <c r="T130" s="669"/>
      <c r="U130" s="967"/>
      <c r="V130" s="974"/>
      <c r="W130" s="1197"/>
      <c r="X130" s="974"/>
      <c r="Y130" s="974"/>
      <c r="Z130" s="974"/>
      <c r="AA130" s="974"/>
      <c r="AB130" s="974"/>
      <c r="AC130" s="974"/>
      <c r="AD130" s="974"/>
      <c r="AE130" s="974"/>
      <c r="AF130" s="974"/>
      <c r="AG130" s="974"/>
      <c r="AH130" s="974"/>
      <c r="AI130" s="1198"/>
      <c r="AJ130" s="974"/>
      <c r="AK130" s="1197"/>
      <c r="AL130" s="974"/>
      <c r="AM130" s="974"/>
      <c r="AN130" s="974"/>
      <c r="AO130" s="974"/>
      <c r="AP130" s="974"/>
      <c r="AQ130" s="974"/>
      <c r="AR130" s="974"/>
      <c r="AS130" s="974"/>
      <c r="AT130" s="974"/>
      <c r="AU130" s="974"/>
      <c r="AV130" s="974"/>
      <c r="AW130" s="1181"/>
      <c r="AX130" s="978"/>
      <c r="AY130" s="898"/>
      <c r="AZ130" s="898"/>
      <c r="BA130" s="898"/>
      <c r="BB130" s="898"/>
      <c r="BC130" s="898"/>
      <c r="BD130" s="898"/>
      <c r="BE130" s="898"/>
      <c r="BF130" s="898"/>
      <c r="BG130" s="898"/>
      <c r="BH130" s="898"/>
      <c r="BI130" s="898"/>
      <c r="BJ130" s="898"/>
      <c r="BK130" s="898"/>
      <c r="BL130" s="898"/>
      <c r="BM130" s="898"/>
      <c r="BN130" s="898"/>
      <c r="BO130" s="898"/>
      <c r="BP130" s="898"/>
      <c r="BQ130" s="898"/>
      <c r="BR130" s="898"/>
      <c r="BS130" s="898"/>
      <c r="BT130" s="898"/>
      <c r="BU130" s="898"/>
      <c r="BV130" s="898"/>
      <c r="BW130" s="898"/>
      <c r="BX130" s="898"/>
      <c r="BY130" s="898"/>
      <c r="BZ130" s="898"/>
      <c r="CA130" s="898"/>
      <c r="CB130" s="898"/>
      <c r="CC130" s="898"/>
      <c r="CD130" s="898"/>
      <c r="CE130" s="898"/>
      <c r="CF130" s="898"/>
      <c r="CG130" s="898"/>
      <c r="CH130" s="898"/>
      <c r="CI130" s="898"/>
      <c r="CJ130" s="898"/>
      <c r="CK130" s="898"/>
      <c r="CL130" s="898"/>
      <c r="CM130" s="898"/>
      <c r="CN130" s="898"/>
      <c r="CO130" s="898"/>
      <c r="CP130" s="898"/>
      <c r="CQ130" s="898"/>
      <c r="CR130" s="898"/>
      <c r="CS130" s="898"/>
      <c r="CT130" s="898"/>
      <c r="CU130" s="898"/>
    </row>
    <row r="131" ht="16.5" customHeight="1">
      <c r="A131" s="718"/>
      <c r="B131" s="1195"/>
      <c r="C131" s="866"/>
      <c r="D131" s="968"/>
      <c r="E131" s="718"/>
      <c r="F131" s="718"/>
      <c r="G131" s="718"/>
      <c r="H131" s="718"/>
      <c r="I131" s="359"/>
      <c r="J131" s="359"/>
      <c r="K131" s="359"/>
      <c r="L131" s="359"/>
      <c r="M131" s="359"/>
      <c r="N131" s="359"/>
      <c r="O131" s="359"/>
      <c r="P131" s="359"/>
      <c r="Q131" s="359"/>
      <c r="R131" s="718"/>
      <c r="S131" s="669"/>
      <c r="T131" s="669"/>
      <c r="U131" s="967"/>
      <c r="V131" s="974"/>
      <c r="W131" s="1197"/>
      <c r="X131" s="974"/>
      <c r="Y131" s="974"/>
      <c r="Z131" s="974"/>
      <c r="AA131" s="974"/>
      <c r="AB131" s="974"/>
      <c r="AC131" s="974"/>
      <c r="AD131" s="974"/>
      <c r="AE131" s="974"/>
      <c r="AF131" s="974"/>
      <c r="AG131" s="974"/>
      <c r="AH131" s="974"/>
      <c r="AI131" s="1198"/>
      <c r="AJ131" s="974"/>
      <c r="AK131" s="1197"/>
      <c r="AL131" s="974"/>
      <c r="AM131" s="974"/>
      <c r="AN131" s="974"/>
      <c r="AO131" s="974"/>
      <c r="AP131" s="974"/>
      <c r="AQ131" s="974"/>
      <c r="AR131" s="974"/>
      <c r="AS131" s="974"/>
      <c r="AT131" s="974"/>
      <c r="AU131" s="974"/>
      <c r="AV131" s="974"/>
      <c r="AW131" s="1181"/>
      <c r="AX131" s="978"/>
      <c r="AY131" s="898"/>
      <c r="AZ131" s="898"/>
      <c r="BA131" s="898"/>
      <c r="BB131" s="898"/>
      <c r="BC131" s="898"/>
      <c r="BD131" s="898"/>
      <c r="BE131" s="898"/>
      <c r="BF131" s="898"/>
      <c r="BG131" s="898"/>
      <c r="BH131" s="898"/>
      <c r="BI131" s="898"/>
      <c r="BJ131" s="898"/>
      <c r="BK131" s="898"/>
      <c r="BL131" s="898"/>
      <c r="BM131" s="898"/>
      <c r="BN131" s="898"/>
      <c r="BO131" s="898"/>
      <c r="BP131" s="898"/>
      <c r="BQ131" s="898"/>
      <c r="BR131" s="898"/>
      <c r="BS131" s="898"/>
      <c r="BT131" s="898"/>
      <c r="BU131" s="898"/>
      <c r="BV131" s="898"/>
      <c r="BW131" s="898"/>
      <c r="BX131" s="898"/>
      <c r="BY131" s="898"/>
      <c r="BZ131" s="898"/>
      <c r="CA131" s="898"/>
      <c r="CB131" s="898"/>
      <c r="CC131" s="898"/>
      <c r="CD131" s="898"/>
      <c r="CE131" s="898"/>
      <c r="CF131" s="898"/>
      <c r="CG131" s="898"/>
      <c r="CH131" s="898"/>
      <c r="CI131" s="898"/>
      <c r="CJ131" s="898"/>
      <c r="CK131" s="898"/>
      <c r="CL131" s="898"/>
      <c r="CM131" s="898"/>
      <c r="CN131" s="898"/>
      <c r="CO131" s="898"/>
      <c r="CP131" s="898"/>
      <c r="CQ131" s="898"/>
      <c r="CR131" s="898"/>
      <c r="CS131" s="898"/>
      <c r="CT131" s="898"/>
      <c r="CU131" s="898"/>
    </row>
    <row r="132" ht="16.5" customHeight="1">
      <c r="A132" s="718"/>
      <c r="B132" s="1195"/>
      <c r="C132" s="866"/>
      <c r="D132" s="968"/>
      <c r="E132" s="718"/>
      <c r="F132" s="718"/>
      <c r="G132" s="718"/>
      <c r="H132" s="718"/>
      <c r="I132" s="359"/>
      <c r="J132" s="359"/>
      <c r="K132" s="359"/>
      <c r="L132" s="359"/>
      <c r="M132" s="359"/>
      <c r="N132" s="359"/>
      <c r="O132" s="359"/>
      <c r="P132" s="359"/>
      <c r="Q132" s="359"/>
      <c r="R132" s="718"/>
      <c r="S132" s="669"/>
      <c r="T132" s="669"/>
      <c r="U132" s="967"/>
      <c r="V132" s="974"/>
      <c r="W132" s="1197"/>
      <c r="X132" s="974"/>
      <c r="Y132" s="974"/>
      <c r="Z132" s="974"/>
      <c r="AA132" s="974"/>
      <c r="AB132" s="974"/>
      <c r="AC132" s="974"/>
      <c r="AD132" s="974"/>
      <c r="AE132" s="974"/>
      <c r="AF132" s="974"/>
      <c r="AG132" s="974"/>
      <c r="AH132" s="974"/>
      <c r="AI132" s="1198"/>
      <c r="AJ132" s="974"/>
      <c r="AK132" s="1197"/>
      <c r="AL132" s="974"/>
      <c r="AM132" s="974"/>
      <c r="AN132" s="974"/>
      <c r="AO132" s="974"/>
      <c r="AP132" s="974"/>
      <c r="AQ132" s="974"/>
      <c r="AR132" s="974"/>
      <c r="AS132" s="974"/>
      <c r="AT132" s="974"/>
      <c r="AU132" s="974"/>
      <c r="AV132" s="974"/>
      <c r="AW132" s="1181"/>
      <c r="AX132" s="978"/>
      <c r="AY132" s="898"/>
      <c r="AZ132" s="898"/>
      <c r="BA132" s="898"/>
      <c r="BB132" s="898"/>
      <c r="BC132" s="898"/>
      <c r="BD132" s="898"/>
      <c r="BE132" s="898"/>
      <c r="BF132" s="898"/>
      <c r="BG132" s="898"/>
      <c r="BH132" s="898"/>
      <c r="BI132" s="898"/>
      <c r="BJ132" s="898"/>
      <c r="BK132" s="898"/>
      <c r="BL132" s="898"/>
      <c r="BM132" s="898"/>
      <c r="BN132" s="898"/>
      <c r="BO132" s="898"/>
      <c r="BP132" s="898"/>
      <c r="BQ132" s="898"/>
      <c r="BR132" s="898"/>
      <c r="BS132" s="898"/>
      <c r="BT132" s="898"/>
      <c r="BU132" s="898"/>
      <c r="BV132" s="898"/>
      <c r="BW132" s="898"/>
      <c r="BX132" s="898"/>
      <c r="BY132" s="898"/>
      <c r="BZ132" s="898"/>
      <c r="CA132" s="898"/>
      <c r="CB132" s="898"/>
      <c r="CC132" s="898"/>
      <c r="CD132" s="898"/>
      <c r="CE132" s="898"/>
      <c r="CF132" s="898"/>
      <c r="CG132" s="898"/>
      <c r="CH132" s="898"/>
      <c r="CI132" s="898"/>
      <c r="CJ132" s="898"/>
      <c r="CK132" s="898"/>
      <c r="CL132" s="898"/>
      <c r="CM132" s="898"/>
      <c r="CN132" s="898"/>
      <c r="CO132" s="898"/>
      <c r="CP132" s="898"/>
      <c r="CQ132" s="898"/>
      <c r="CR132" s="898"/>
      <c r="CS132" s="898"/>
      <c r="CT132" s="898"/>
      <c r="CU132" s="898"/>
    </row>
    <row r="133" ht="16.5" customHeight="1">
      <c r="A133" s="718"/>
      <c r="B133" s="1195"/>
      <c r="C133" s="866"/>
      <c r="D133" s="968"/>
      <c r="E133" s="718"/>
      <c r="F133" s="718"/>
      <c r="G133" s="718"/>
      <c r="H133" s="718"/>
      <c r="I133" s="359"/>
      <c r="J133" s="359"/>
      <c r="K133" s="359"/>
      <c r="L133" s="359"/>
      <c r="M133" s="359"/>
      <c r="N133" s="359"/>
      <c r="O133" s="359"/>
      <c r="P133" s="359"/>
      <c r="Q133" s="359"/>
      <c r="R133" s="718"/>
      <c r="S133" s="669"/>
      <c r="T133" s="669"/>
      <c r="U133" s="967"/>
      <c r="V133" s="974"/>
      <c r="W133" s="1197"/>
      <c r="X133" s="974"/>
      <c r="Y133" s="974"/>
      <c r="Z133" s="974"/>
      <c r="AA133" s="974"/>
      <c r="AB133" s="974"/>
      <c r="AC133" s="974"/>
      <c r="AD133" s="974"/>
      <c r="AE133" s="974"/>
      <c r="AF133" s="974"/>
      <c r="AG133" s="974"/>
      <c r="AH133" s="974"/>
      <c r="AI133" s="1198"/>
      <c r="AJ133" s="974"/>
      <c r="AK133" s="1197"/>
      <c r="AL133" s="974"/>
      <c r="AM133" s="974"/>
      <c r="AN133" s="974"/>
      <c r="AO133" s="974"/>
      <c r="AP133" s="974"/>
      <c r="AQ133" s="974"/>
      <c r="AR133" s="974"/>
      <c r="AS133" s="974"/>
      <c r="AT133" s="974"/>
      <c r="AU133" s="974"/>
      <c r="AV133" s="974"/>
      <c r="AW133" s="1181"/>
      <c r="AX133" s="978"/>
      <c r="AY133" s="898"/>
      <c r="AZ133" s="898"/>
      <c r="BA133" s="898"/>
      <c r="BB133" s="898"/>
      <c r="BC133" s="898"/>
      <c r="BD133" s="898"/>
      <c r="BE133" s="898"/>
      <c r="BF133" s="898"/>
      <c r="BG133" s="898"/>
      <c r="BH133" s="898"/>
      <c r="BI133" s="898"/>
      <c r="BJ133" s="898"/>
      <c r="BK133" s="898"/>
      <c r="BL133" s="898"/>
      <c r="BM133" s="898"/>
      <c r="BN133" s="898"/>
      <c r="BO133" s="898"/>
      <c r="BP133" s="898"/>
      <c r="BQ133" s="898"/>
      <c r="BR133" s="898"/>
      <c r="BS133" s="898"/>
      <c r="BT133" s="898"/>
      <c r="BU133" s="898"/>
      <c r="BV133" s="898"/>
      <c r="BW133" s="898"/>
      <c r="BX133" s="898"/>
      <c r="BY133" s="898"/>
      <c r="BZ133" s="898"/>
      <c r="CA133" s="898"/>
      <c r="CB133" s="898"/>
      <c r="CC133" s="898"/>
      <c r="CD133" s="898"/>
      <c r="CE133" s="898"/>
      <c r="CF133" s="898"/>
      <c r="CG133" s="898"/>
      <c r="CH133" s="898"/>
      <c r="CI133" s="898"/>
      <c r="CJ133" s="898"/>
      <c r="CK133" s="898"/>
      <c r="CL133" s="898"/>
      <c r="CM133" s="898"/>
      <c r="CN133" s="898"/>
      <c r="CO133" s="898"/>
      <c r="CP133" s="898"/>
      <c r="CQ133" s="898"/>
      <c r="CR133" s="898"/>
      <c r="CS133" s="898"/>
      <c r="CT133" s="898"/>
      <c r="CU133" s="898"/>
    </row>
    <row r="134" ht="16.5" customHeight="1">
      <c r="A134" s="718"/>
      <c r="B134" s="1195"/>
      <c r="C134" s="866"/>
      <c r="D134" s="968"/>
      <c r="E134" s="718"/>
      <c r="F134" s="718"/>
      <c r="G134" s="718"/>
      <c r="H134" s="718"/>
      <c r="I134" s="359"/>
      <c r="J134" s="359"/>
      <c r="K134" s="359"/>
      <c r="L134" s="359"/>
      <c r="M134" s="359"/>
      <c r="N134" s="359"/>
      <c r="O134" s="359"/>
      <c r="P134" s="359"/>
      <c r="Q134" s="359"/>
      <c r="R134" s="718"/>
      <c r="S134" s="669"/>
      <c r="T134" s="669"/>
      <c r="U134" s="967"/>
      <c r="V134" s="974"/>
      <c r="W134" s="1197"/>
      <c r="X134" s="974"/>
      <c r="Y134" s="974"/>
      <c r="Z134" s="974"/>
      <c r="AA134" s="974"/>
      <c r="AB134" s="974"/>
      <c r="AC134" s="974"/>
      <c r="AD134" s="974"/>
      <c r="AE134" s="974"/>
      <c r="AF134" s="974"/>
      <c r="AG134" s="974"/>
      <c r="AH134" s="974"/>
      <c r="AI134" s="1198"/>
      <c r="AJ134" s="974"/>
      <c r="AK134" s="1197"/>
      <c r="AL134" s="974"/>
      <c r="AM134" s="974"/>
      <c r="AN134" s="974"/>
      <c r="AO134" s="974"/>
      <c r="AP134" s="974"/>
      <c r="AQ134" s="974"/>
      <c r="AR134" s="974"/>
      <c r="AS134" s="974"/>
      <c r="AT134" s="974"/>
      <c r="AU134" s="974"/>
      <c r="AV134" s="974"/>
      <c r="AW134" s="1181"/>
      <c r="AX134" s="978"/>
      <c r="AY134" s="898"/>
      <c r="AZ134" s="898"/>
      <c r="BA134" s="898"/>
      <c r="BB134" s="898"/>
      <c r="BC134" s="898"/>
      <c r="BD134" s="898"/>
      <c r="BE134" s="898"/>
      <c r="BF134" s="898"/>
      <c r="BG134" s="898"/>
      <c r="BH134" s="898"/>
      <c r="BI134" s="898"/>
      <c r="BJ134" s="898"/>
      <c r="BK134" s="898"/>
      <c r="BL134" s="898"/>
      <c r="BM134" s="898"/>
      <c r="BN134" s="898"/>
      <c r="BO134" s="898"/>
      <c r="BP134" s="898"/>
      <c r="BQ134" s="898"/>
      <c r="BR134" s="898"/>
      <c r="BS134" s="898"/>
      <c r="BT134" s="898"/>
      <c r="BU134" s="898"/>
      <c r="BV134" s="898"/>
      <c r="BW134" s="898"/>
      <c r="BX134" s="898"/>
      <c r="BY134" s="898"/>
      <c r="BZ134" s="898"/>
      <c r="CA134" s="898"/>
      <c r="CB134" s="898"/>
      <c r="CC134" s="898"/>
      <c r="CD134" s="898"/>
      <c r="CE134" s="898"/>
      <c r="CF134" s="898"/>
      <c r="CG134" s="898"/>
      <c r="CH134" s="898"/>
      <c r="CI134" s="898"/>
      <c r="CJ134" s="898"/>
      <c r="CK134" s="898"/>
      <c r="CL134" s="898"/>
      <c r="CM134" s="898"/>
      <c r="CN134" s="898"/>
      <c r="CO134" s="898"/>
      <c r="CP134" s="898"/>
      <c r="CQ134" s="898"/>
      <c r="CR134" s="898"/>
      <c r="CS134" s="898"/>
      <c r="CT134" s="898"/>
      <c r="CU134" s="898"/>
    </row>
    <row r="135" ht="16.5" customHeight="1">
      <c r="A135" s="718"/>
      <c r="B135" s="1195"/>
      <c r="C135" s="866"/>
      <c r="D135" s="968"/>
      <c r="E135" s="718"/>
      <c r="F135" s="718"/>
      <c r="G135" s="718"/>
      <c r="H135" s="718"/>
      <c r="I135" s="359"/>
      <c r="J135" s="359"/>
      <c r="K135" s="359"/>
      <c r="L135" s="359"/>
      <c r="M135" s="359"/>
      <c r="N135" s="359"/>
      <c r="O135" s="359"/>
      <c r="P135" s="359"/>
      <c r="Q135" s="359"/>
      <c r="R135" s="718"/>
      <c r="S135" s="669"/>
      <c r="T135" s="669"/>
      <c r="U135" s="967"/>
      <c r="V135" s="974"/>
      <c r="W135" s="1197"/>
      <c r="X135" s="974"/>
      <c r="Y135" s="974"/>
      <c r="Z135" s="974"/>
      <c r="AA135" s="974"/>
      <c r="AB135" s="974"/>
      <c r="AC135" s="974"/>
      <c r="AD135" s="974"/>
      <c r="AE135" s="974"/>
      <c r="AF135" s="974"/>
      <c r="AG135" s="974"/>
      <c r="AH135" s="974"/>
      <c r="AI135" s="1198"/>
      <c r="AJ135" s="974"/>
      <c r="AK135" s="1197"/>
      <c r="AL135" s="974"/>
      <c r="AM135" s="974"/>
      <c r="AN135" s="974"/>
      <c r="AO135" s="974"/>
      <c r="AP135" s="974"/>
      <c r="AQ135" s="974"/>
      <c r="AR135" s="974"/>
      <c r="AS135" s="974"/>
      <c r="AT135" s="974"/>
      <c r="AU135" s="974"/>
      <c r="AV135" s="974"/>
      <c r="AW135" s="1181"/>
      <c r="AX135" s="978"/>
      <c r="AY135" s="898"/>
      <c r="AZ135" s="898"/>
      <c r="BA135" s="898"/>
      <c r="BB135" s="898"/>
      <c r="BC135" s="898"/>
      <c r="BD135" s="898"/>
      <c r="BE135" s="898"/>
      <c r="BF135" s="898"/>
      <c r="BG135" s="898"/>
      <c r="BH135" s="898"/>
      <c r="BI135" s="898"/>
      <c r="BJ135" s="898"/>
      <c r="BK135" s="898"/>
      <c r="BL135" s="898"/>
      <c r="BM135" s="898"/>
      <c r="BN135" s="898"/>
      <c r="BO135" s="898"/>
      <c r="BP135" s="898"/>
      <c r="BQ135" s="898"/>
      <c r="BR135" s="898"/>
      <c r="BS135" s="898"/>
      <c r="BT135" s="898"/>
      <c r="BU135" s="898"/>
      <c r="BV135" s="898"/>
      <c r="BW135" s="898"/>
      <c r="BX135" s="898"/>
      <c r="BY135" s="898"/>
      <c r="BZ135" s="898"/>
      <c r="CA135" s="898"/>
      <c r="CB135" s="898"/>
      <c r="CC135" s="898"/>
      <c r="CD135" s="898"/>
      <c r="CE135" s="898"/>
      <c r="CF135" s="898"/>
      <c r="CG135" s="898"/>
      <c r="CH135" s="898"/>
      <c r="CI135" s="898"/>
      <c r="CJ135" s="898"/>
      <c r="CK135" s="898"/>
      <c r="CL135" s="898"/>
      <c r="CM135" s="898"/>
      <c r="CN135" s="898"/>
      <c r="CO135" s="898"/>
      <c r="CP135" s="898"/>
      <c r="CQ135" s="898"/>
      <c r="CR135" s="898"/>
      <c r="CS135" s="898"/>
      <c r="CT135" s="898"/>
      <c r="CU135" s="898"/>
    </row>
    <row r="136" ht="16.5" customHeight="1">
      <c r="A136" s="718"/>
      <c r="B136" s="1195"/>
      <c r="C136" s="866"/>
      <c r="D136" s="968"/>
      <c r="E136" s="718"/>
      <c r="F136" s="718"/>
      <c r="G136" s="718"/>
      <c r="H136" s="718"/>
      <c r="I136" s="359"/>
      <c r="J136" s="359"/>
      <c r="K136" s="359"/>
      <c r="L136" s="359"/>
      <c r="M136" s="359"/>
      <c r="N136" s="359"/>
      <c r="O136" s="359"/>
      <c r="P136" s="359"/>
      <c r="Q136" s="359"/>
      <c r="R136" s="718"/>
      <c r="S136" s="669"/>
      <c r="T136" s="669"/>
      <c r="U136" s="967"/>
      <c r="V136" s="974"/>
      <c r="W136" s="1197"/>
      <c r="X136" s="974"/>
      <c r="Y136" s="974"/>
      <c r="Z136" s="974"/>
      <c r="AA136" s="974"/>
      <c r="AB136" s="974"/>
      <c r="AC136" s="974"/>
      <c r="AD136" s="974"/>
      <c r="AE136" s="974"/>
      <c r="AF136" s="974"/>
      <c r="AG136" s="974"/>
      <c r="AH136" s="974"/>
      <c r="AI136" s="1198"/>
      <c r="AJ136" s="974"/>
      <c r="AK136" s="1197"/>
      <c r="AL136" s="974"/>
      <c r="AM136" s="974"/>
      <c r="AN136" s="974"/>
      <c r="AO136" s="974"/>
      <c r="AP136" s="974"/>
      <c r="AQ136" s="974"/>
      <c r="AR136" s="974"/>
      <c r="AS136" s="974"/>
      <c r="AT136" s="974"/>
      <c r="AU136" s="974"/>
      <c r="AV136" s="974"/>
      <c r="AW136" s="1181"/>
      <c r="AX136" s="978"/>
      <c r="AY136" s="898"/>
      <c r="AZ136" s="898"/>
      <c r="BA136" s="898"/>
      <c r="BB136" s="898"/>
      <c r="BC136" s="898"/>
      <c r="BD136" s="898"/>
      <c r="BE136" s="898"/>
      <c r="BF136" s="898"/>
      <c r="BG136" s="898"/>
      <c r="BH136" s="898"/>
      <c r="BI136" s="898"/>
      <c r="BJ136" s="898"/>
      <c r="BK136" s="898"/>
      <c r="BL136" s="898"/>
      <c r="BM136" s="898"/>
      <c r="BN136" s="898"/>
      <c r="BO136" s="898"/>
      <c r="BP136" s="898"/>
      <c r="BQ136" s="898"/>
      <c r="BR136" s="898"/>
      <c r="BS136" s="898"/>
      <c r="BT136" s="898"/>
      <c r="BU136" s="898"/>
      <c r="BV136" s="898"/>
      <c r="BW136" s="898"/>
      <c r="BX136" s="898"/>
      <c r="BY136" s="898"/>
      <c r="BZ136" s="898"/>
      <c r="CA136" s="898"/>
      <c r="CB136" s="898"/>
      <c r="CC136" s="898"/>
      <c r="CD136" s="898"/>
      <c r="CE136" s="898"/>
      <c r="CF136" s="898"/>
      <c r="CG136" s="898"/>
      <c r="CH136" s="898"/>
      <c r="CI136" s="898"/>
      <c r="CJ136" s="898"/>
      <c r="CK136" s="898"/>
      <c r="CL136" s="898"/>
      <c r="CM136" s="898"/>
      <c r="CN136" s="898"/>
      <c r="CO136" s="898"/>
      <c r="CP136" s="898"/>
      <c r="CQ136" s="898"/>
      <c r="CR136" s="898"/>
      <c r="CS136" s="898"/>
      <c r="CT136" s="898"/>
      <c r="CU136" s="898"/>
    </row>
    <row r="137" ht="16.5" customHeight="1">
      <c r="A137" s="718"/>
      <c r="B137" s="1195"/>
      <c r="C137" s="866"/>
      <c r="D137" s="968"/>
      <c r="E137" s="718"/>
      <c r="F137" s="718"/>
      <c r="G137" s="718"/>
      <c r="H137" s="718"/>
      <c r="I137" s="359"/>
      <c r="J137" s="359"/>
      <c r="K137" s="359"/>
      <c r="L137" s="359"/>
      <c r="M137" s="359"/>
      <c r="N137" s="359"/>
      <c r="O137" s="359"/>
      <c r="P137" s="359"/>
      <c r="Q137" s="359"/>
      <c r="R137" s="718"/>
      <c r="S137" s="669"/>
      <c r="T137" s="669"/>
      <c r="U137" s="967"/>
      <c r="V137" s="974"/>
      <c r="W137" s="1197"/>
      <c r="X137" s="974"/>
      <c r="Y137" s="974"/>
      <c r="Z137" s="974"/>
      <c r="AA137" s="974"/>
      <c r="AB137" s="974"/>
      <c r="AC137" s="974"/>
      <c r="AD137" s="974"/>
      <c r="AE137" s="974"/>
      <c r="AF137" s="974"/>
      <c r="AG137" s="974"/>
      <c r="AH137" s="974"/>
      <c r="AI137" s="1198"/>
      <c r="AJ137" s="974"/>
      <c r="AK137" s="1197"/>
      <c r="AL137" s="974"/>
      <c r="AM137" s="974"/>
      <c r="AN137" s="974"/>
      <c r="AO137" s="974"/>
      <c r="AP137" s="974"/>
      <c r="AQ137" s="974"/>
      <c r="AR137" s="974"/>
      <c r="AS137" s="974"/>
      <c r="AT137" s="974"/>
      <c r="AU137" s="974"/>
      <c r="AV137" s="974"/>
      <c r="AW137" s="1181"/>
      <c r="AX137" s="978"/>
      <c r="AY137" s="898"/>
      <c r="AZ137" s="898"/>
      <c r="BA137" s="898"/>
      <c r="BB137" s="898"/>
      <c r="BC137" s="898"/>
      <c r="BD137" s="898"/>
      <c r="BE137" s="898"/>
      <c r="BF137" s="898"/>
      <c r="BG137" s="898"/>
      <c r="BH137" s="898"/>
      <c r="BI137" s="898"/>
      <c r="BJ137" s="898"/>
      <c r="BK137" s="898"/>
      <c r="BL137" s="898"/>
      <c r="BM137" s="898"/>
      <c r="BN137" s="898"/>
      <c r="BO137" s="898"/>
      <c r="BP137" s="898"/>
      <c r="BQ137" s="898"/>
      <c r="BR137" s="898"/>
      <c r="BS137" s="898"/>
      <c r="BT137" s="898"/>
      <c r="BU137" s="898"/>
      <c r="BV137" s="898"/>
      <c r="BW137" s="898"/>
      <c r="BX137" s="898"/>
      <c r="BY137" s="898"/>
      <c r="BZ137" s="898"/>
      <c r="CA137" s="898"/>
      <c r="CB137" s="898"/>
      <c r="CC137" s="898"/>
      <c r="CD137" s="898"/>
      <c r="CE137" s="898"/>
      <c r="CF137" s="898"/>
      <c r="CG137" s="898"/>
      <c r="CH137" s="898"/>
      <c r="CI137" s="898"/>
      <c r="CJ137" s="898"/>
      <c r="CK137" s="898"/>
      <c r="CL137" s="898"/>
      <c r="CM137" s="898"/>
      <c r="CN137" s="898"/>
      <c r="CO137" s="898"/>
      <c r="CP137" s="898"/>
      <c r="CQ137" s="898"/>
      <c r="CR137" s="898"/>
      <c r="CS137" s="898"/>
      <c r="CT137" s="898"/>
      <c r="CU137" s="898"/>
    </row>
    <row r="138" ht="16.5" customHeight="1">
      <c r="A138" s="718"/>
      <c r="B138" s="1195"/>
      <c r="C138" s="866"/>
      <c r="D138" s="968"/>
      <c r="E138" s="718"/>
      <c r="F138" s="718"/>
      <c r="G138" s="718"/>
      <c r="H138" s="718"/>
      <c r="I138" s="359"/>
      <c r="J138" s="359"/>
      <c r="K138" s="359"/>
      <c r="L138" s="359"/>
      <c r="M138" s="359"/>
      <c r="N138" s="359"/>
      <c r="O138" s="359"/>
      <c r="P138" s="359"/>
      <c r="Q138" s="359"/>
      <c r="R138" s="718"/>
      <c r="S138" s="669"/>
      <c r="T138" s="669"/>
      <c r="U138" s="967"/>
      <c r="V138" s="974"/>
      <c r="W138" s="1197"/>
      <c r="X138" s="974"/>
      <c r="Y138" s="974"/>
      <c r="Z138" s="974"/>
      <c r="AA138" s="974"/>
      <c r="AB138" s="974"/>
      <c r="AC138" s="974"/>
      <c r="AD138" s="974"/>
      <c r="AE138" s="974"/>
      <c r="AF138" s="974"/>
      <c r="AG138" s="974"/>
      <c r="AH138" s="974"/>
      <c r="AI138" s="1198"/>
      <c r="AJ138" s="974"/>
      <c r="AK138" s="1197"/>
      <c r="AL138" s="974"/>
      <c r="AM138" s="974"/>
      <c r="AN138" s="974"/>
      <c r="AO138" s="974"/>
      <c r="AP138" s="974"/>
      <c r="AQ138" s="974"/>
      <c r="AR138" s="974"/>
      <c r="AS138" s="974"/>
      <c r="AT138" s="974"/>
      <c r="AU138" s="974"/>
      <c r="AV138" s="974"/>
      <c r="AW138" s="1181"/>
      <c r="AX138" s="978"/>
      <c r="AY138" s="898"/>
      <c r="AZ138" s="898"/>
      <c r="BA138" s="898"/>
      <c r="BB138" s="898"/>
      <c r="BC138" s="898"/>
      <c r="BD138" s="898"/>
      <c r="BE138" s="898"/>
      <c r="BF138" s="898"/>
      <c r="BG138" s="898"/>
      <c r="BH138" s="898"/>
      <c r="BI138" s="898"/>
      <c r="BJ138" s="898"/>
      <c r="BK138" s="898"/>
      <c r="BL138" s="898"/>
      <c r="BM138" s="898"/>
      <c r="BN138" s="898"/>
      <c r="BO138" s="898"/>
      <c r="BP138" s="898"/>
      <c r="BQ138" s="898"/>
      <c r="BR138" s="898"/>
      <c r="BS138" s="898"/>
      <c r="BT138" s="898"/>
      <c r="BU138" s="898"/>
      <c r="BV138" s="898"/>
      <c r="BW138" s="898"/>
      <c r="BX138" s="898"/>
      <c r="BY138" s="898"/>
      <c r="BZ138" s="898"/>
      <c r="CA138" s="898"/>
      <c r="CB138" s="898"/>
      <c r="CC138" s="898"/>
      <c r="CD138" s="898"/>
      <c r="CE138" s="898"/>
      <c r="CF138" s="898"/>
      <c r="CG138" s="898"/>
      <c r="CH138" s="898"/>
      <c r="CI138" s="898"/>
      <c r="CJ138" s="898"/>
      <c r="CK138" s="898"/>
      <c r="CL138" s="898"/>
      <c r="CM138" s="898"/>
      <c r="CN138" s="898"/>
      <c r="CO138" s="898"/>
      <c r="CP138" s="898"/>
      <c r="CQ138" s="898"/>
      <c r="CR138" s="898"/>
      <c r="CS138" s="898"/>
      <c r="CT138" s="898"/>
      <c r="CU138" s="898"/>
    </row>
    <row r="139" ht="16.5" customHeight="1">
      <c r="A139" s="718"/>
      <c r="B139" s="1195"/>
      <c r="C139" s="866"/>
      <c r="D139" s="968"/>
      <c r="E139" s="718"/>
      <c r="F139" s="718"/>
      <c r="G139" s="718"/>
      <c r="H139" s="718"/>
      <c r="I139" s="359"/>
      <c r="J139" s="359"/>
      <c r="K139" s="359"/>
      <c r="L139" s="359"/>
      <c r="M139" s="359"/>
      <c r="N139" s="359"/>
      <c r="O139" s="359"/>
      <c r="P139" s="359"/>
      <c r="Q139" s="359"/>
      <c r="R139" s="718"/>
      <c r="S139" s="669"/>
      <c r="T139" s="669"/>
      <c r="U139" s="967"/>
      <c r="V139" s="974"/>
      <c r="W139" s="1197"/>
      <c r="X139" s="974"/>
      <c r="Y139" s="974"/>
      <c r="Z139" s="974"/>
      <c r="AA139" s="974"/>
      <c r="AB139" s="974"/>
      <c r="AC139" s="974"/>
      <c r="AD139" s="974"/>
      <c r="AE139" s="974"/>
      <c r="AF139" s="974"/>
      <c r="AG139" s="974"/>
      <c r="AH139" s="974"/>
      <c r="AI139" s="1198"/>
      <c r="AJ139" s="974"/>
      <c r="AK139" s="1197"/>
      <c r="AL139" s="974"/>
      <c r="AM139" s="974"/>
      <c r="AN139" s="974"/>
      <c r="AO139" s="974"/>
      <c r="AP139" s="974"/>
      <c r="AQ139" s="974"/>
      <c r="AR139" s="974"/>
      <c r="AS139" s="974"/>
      <c r="AT139" s="974"/>
      <c r="AU139" s="974"/>
      <c r="AV139" s="974"/>
      <c r="AW139" s="1181"/>
      <c r="AX139" s="978"/>
      <c r="AY139" s="898"/>
      <c r="AZ139" s="898"/>
      <c r="BA139" s="898"/>
      <c r="BB139" s="898"/>
      <c r="BC139" s="898"/>
      <c r="BD139" s="898"/>
      <c r="BE139" s="898"/>
      <c r="BF139" s="898"/>
      <c r="BG139" s="898"/>
      <c r="BH139" s="898"/>
      <c r="BI139" s="898"/>
      <c r="BJ139" s="898"/>
      <c r="BK139" s="898"/>
      <c r="BL139" s="898"/>
      <c r="BM139" s="898"/>
      <c r="BN139" s="898"/>
      <c r="BO139" s="898"/>
      <c r="BP139" s="898"/>
      <c r="BQ139" s="898"/>
      <c r="BR139" s="898"/>
      <c r="BS139" s="898"/>
      <c r="BT139" s="898"/>
      <c r="BU139" s="898"/>
      <c r="BV139" s="898"/>
      <c r="BW139" s="898"/>
      <c r="BX139" s="898"/>
      <c r="BY139" s="898"/>
      <c r="BZ139" s="898"/>
      <c r="CA139" s="898"/>
      <c r="CB139" s="898"/>
      <c r="CC139" s="898"/>
      <c r="CD139" s="898"/>
      <c r="CE139" s="898"/>
      <c r="CF139" s="898"/>
      <c r="CG139" s="898"/>
      <c r="CH139" s="898"/>
      <c r="CI139" s="898"/>
      <c r="CJ139" s="898"/>
      <c r="CK139" s="898"/>
      <c r="CL139" s="898"/>
      <c r="CM139" s="898"/>
      <c r="CN139" s="898"/>
      <c r="CO139" s="898"/>
      <c r="CP139" s="898"/>
      <c r="CQ139" s="898"/>
      <c r="CR139" s="898"/>
      <c r="CS139" s="898"/>
      <c r="CT139" s="898"/>
      <c r="CU139" s="898"/>
    </row>
    <row r="140" ht="16.5" customHeight="1">
      <c r="A140" s="718"/>
      <c r="B140" s="1195"/>
      <c r="C140" s="866"/>
      <c r="D140" s="968"/>
      <c r="E140" s="718"/>
      <c r="F140" s="718"/>
      <c r="G140" s="718"/>
      <c r="H140" s="718"/>
      <c r="I140" s="359"/>
      <c r="J140" s="359"/>
      <c r="K140" s="359"/>
      <c r="L140" s="359"/>
      <c r="M140" s="359"/>
      <c r="N140" s="359"/>
      <c r="O140" s="359"/>
      <c r="P140" s="359"/>
      <c r="Q140" s="359"/>
      <c r="R140" s="718"/>
      <c r="S140" s="669"/>
      <c r="T140" s="669"/>
      <c r="U140" s="967"/>
      <c r="V140" s="974"/>
      <c r="W140" s="1197"/>
      <c r="X140" s="974"/>
      <c r="Y140" s="974"/>
      <c r="Z140" s="974"/>
      <c r="AA140" s="974"/>
      <c r="AB140" s="974"/>
      <c r="AC140" s="974"/>
      <c r="AD140" s="974"/>
      <c r="AE140" s="974"/>
      <c r="AF140" s="974"/>
      <c r="AG140" s="974"/>
      <c r="AH140" s="974"/>
      <c r="AI140" s="1198"/>
      <c r="AJ140" s="974"/>
      <c r="AK140" s="1197"/>
      <c r="AL140" s="974"/>
      <c r="AM140" s="974"/>
      <c r="AN140" s="974"/>
      <c r="AO140" s="974"/>
      <c r="AP140" s="974"/>
      <c r="AQ140" s="974"/>
      <c r="AR140" s="974"/>
      <c r="AS140" s="974"/>
      <c r="AT140" s="974"/>
      <c r="AU140" s="974"/>
      <c r="AV140" s="974"/>
      <c r="AW140" s="1181"/>
      <c r="AX140" s="978"/>
      <c r="AY140" s="898"/>
      <c r="AZ140" s="898"/>
      <c r="BA140" s="898"/>
      <c r="BB140" s="898"/>
      <c r="BC140" s="898"/>
      <c r="BD140" s="898"/>
      <c r="BE140" s="898"/>
      <c r="BF140" s="898"/>
      <c r="BG140" s="898"/>
      <c r="BH140" s="898"/>
      <c r="BI140" s="898"/>
      <c r="BJ140" s="898"/>
      <c r="BK140" s="898"/>
      <c r="BL140" s="898"/>
      <c r="BM140" s="898"/>
      <c r="BN140" s="898"/>
      <c r="BO140" s="898"/>
      <c r="BP140" s="898"/>
      <c r="BQ140" s="898"/>
      <c r="BR140" s="898"/>
      <c r="BS140" s="898"/>
      <c r="BT140" s="898"/>
      <c r="BU140" s="898"/>
      <c r="BV140" s="898"/>
      <c r="BW140" s="898"/>
      <c r="BX140" s="898"/>
      <c r="BY140" s="898"/>
      <c r="BZ140" s="898"/>
      <c r="CA140" s="898"/>
      <c r="CB140" s="898"/>
      <c r="CC140" s="898"/>
      <c r="CD140" s="898"/>
      <c r="CE140" s="898"/>
      <c r="CF140" s="898"/>
      <c r="CG140" s="898"/>
      <c r="CH140" s="898"/>
      <c r="CI140" s="898"/>
      <c r="CJ140" s="898"/>
      <c r="CK140" s="898"/>
      <c r="CL140" s="898"/>
      <c r="CM140" s="898"/>
      <c r="CN140" s="898"/>
      <c r="CO140" s="898"/>
      <c r="CP140" s="898"/>
      <c r="CQ140" s="898"/>
      <c r="CR140" s="898"/>
      <c r="CS140" s="898"/>
      <c r="CT140" s="898"/>
      <c r="CU140" s="898"/>
    </row>
    <row r="141" ht="16.5" customHeight="1">
      <c r="A141" s="718"/>
      <c r="B141" s="1195"/>
      <c r="C141" s="866"/>
      <c r="D141" s="968"/>
      <c r="E141" s="718"/>
      <c r="F141" s="718"/>
      <c r="G141" s="718"/>
      <c r="H141" s="718"/>
      <c r="I141" s="359"/>
      <c r="J141" s="359"/>
      <c r="K141" s="359"/>
      <c r="L141" s="359"/>
      <c r="M141" s="359"/>
      <c r="N141" s="359"/>
      <c r="O141" s="359"/>
      <c r="P141" s="359"/>
      <c r="Q141" s="359"/>
      <c r="R141" s="718"/>
      <c r="S141" s="669"/>
      <c r="T141" s="669"/>
      <c r="U141" s="967"/>
      <c r="V141" s="974"/>
      <c r="W141" s="1197"/>
      <c r="X141" s="974"/>
      <c r="Y141" s="974"/>
      <c r="Z141" s="974"/>
      <c r="AA141" s="974"/>
      <c r="AB141" s="974"/>
      <c r="AC141" s="974"/>
      <c r="AD141" s="974"/>
      <c r="AE141" s="974"/>
      <c r="AF141" s="974"/>
      <c r="AG141" s="974"/>
      <c r="AH141" s="974"/>
      <c r="AI141" s="1198"/>
      <c r="AJ141" s="974"/>
      <c r="AK141" s="1197"/>
      <c r="AL141" s="974"/>
      <c r="AM141" s="974"/>
      <c r="AN141" s="974"/>
      <c r="AO141" s="974"/>
      <c r="AP141" s="974"/>
      <c r="AQ141" s="974"/>
      <c r="AR141" s="974"/>
      <c r="AS141" s="974"/>
      <c r="AT141" s="974"/>
      <c r="AU141" s="974"/>
      <c r="AV141" s="974"/>
      <c r="AW141" s="1181"/>
      <c r="AX141" s="978"/>
      <c r="AY141" s="898"/>
      <c r="AZ141" s="898"/>
      <c r="BA141" s="898"/>
      <c r="BB141" s="898"/>
      <c r="BC141" s="898"/>
      <c r="BD141" s="898"/>
      <c r="BE141" s="898"/>
      <c r="BF141" s="898"/>
      <c r="BG141" s="898"/>
      <c r="BH141" s="898"/>
      <c r="BI141" s="898"/>
      <c r="BJ141" s="898"/>
      <c r="BK141" s="898"/>
      <c r="BL141" s="898"/>
      <c r="BM141" s="898"/>
      <c r="BN141" s="898"/>
      <c r="BO141" s="898"/>
      <c r="BP141" s="898"/>
      <c r="BQ141" s="898"/>
      <c r="BR141" s="898"/>
      <c r="BS141" s="898"/>
      <c r="BT141" s="898"/>
      <c r="BU141" s="898"/>
      <c r="BV141" s="898"/>
      <c r="BW141" s="898"/>
      <c r="BX141" s="898"/>
      <c r="BY141" s="898"/>
      <c r="BZ141" s="898"/>
      <c r="CA141" s="898"/>
      <c r="CB141" s="898"/>
      <c r="CC141" s="898"/>
      <c r="CD141" s="898"/>
      <c r="CE141" s="898"/>
      <c r="CF141" s="898"/>
      <c r="CG141" s="898"/>
      <c r="CH141" s="898"/>
      <c r="CI141" s="898"/>
      <c r="CJ141" s="898"/>
      <c r="CK141" s="898"/>
      <c r="CL141" s="898"/>
      <c r="CM141" s="898"/>
      <c r="CN141" s="898"/>
      <c r="CO141" s="898"/>
      <c r="CP141" s="898"/>
      <c r="CQ141" s="898"/>
      <c r="CR141" s="898"/>
      <c r="CS141" s="898"/>
      <c r="CT141" s="898"/>
      <c r="CU141" s="898"/>
    </row>
    <row r="142" ht="16.5" customHeight="1">
      <c r="A142" s="718"/>
      <c r="B142" s="1195"/>
      <c r="C142" s="866"/>
      <c r="D142" s="968"/>
      <c r="E142" s="718"/>
      <c r="F142" s="718"/>
      <c r="G142" s="718"/>
      <c r="H142" s="718"/>
      <c r="I142" s="359"/>
      <c r="J142" s="359"/>
      <c r="K142" s="359"/>
      <c r="L142" s="359"/>
      <c r="M142" s="359"/>
      <c r="N142" s="359"/>
      <c r="O142" s="359"/>
      <c r="P142" s="359"/>
      <c r="Q142" s="359"/>
      <c r="R142" s="718"/>
      <c r="S142" s="669"/>
      <c r="T142" s="669"/>
      <c r="U142" s="967"/>
      <c r="V142" s="974"/>
      <c r="W142" s="1197"/>
      <c r="X142" s="974"/>
      <c r="Y142" s="974"/>
      <c r="Z142" s="974"/>
      <c r="AA142" s="974"/>
      <c r="AB142" s="974"/>
      <c r="AC142" s="974"/>
      <c r="AD142" s="974"/>
      <c r="AE142" s="974"/>
      <c r="AF142" s="974"/>
      <c r="AG142" s="974"/>
      <c r="AH142" s="974"/>
      <c r="AI142" s="1198"/>
      <c r="AJ142" s="974"/>
      <c r="AK142" s="1197"/>
      <c r="AL142" s="974"/>
      <c r="AM142" s="974"/>
      <c r="AN142" s="974"/>
      <c r="AO142" s="974"/>
      <c r="AP142" s="974"/>
      <c r="AQ142" s="974"/>
      <c r="AR142" s="974"/>
      <c r="AS142" s="974"/>
      <c r="AT142" s="974"/>
      <c r="AU142" s="974"/>
      <c r="AV142" s="974"/>
      <c r="AW142" s="1181"/>
      <c r="AX142" s="978"/>
      <c r="AY142" s="898"/>
      <c r="AZ142" s="898"/>
      <c r="BA142" s="898"/>
      <c r="BB142" s="898"/>
      <c r="BC142" s="898"/>
      <c r="BD142" s="898"/>
      <c r="BE142" s="898"/>
      <c r="BF142" s="898"/>
      <c r="BG142" s="898"/>
      <c r="BH142" s="898"/>
      <c r="BI142" s="898"/>
      <c r="BJ142" s="898"/>
      <c r="BK142" s="898"/>
      <c r="BL142" s="898"/>
      <c r="BM142" s="898"/>
      <c r="BN142" s="898"/>
      <c r="BO142" s="898"/>
      <c r="BP142" s="898"/>
      <c r="BQ142" s="898"/>
      <c r="BR142" s="898"/>
      <c r="BS142" s="898"/>
      <c r="BT142" s="898"/>
      <c r="BU142" s="898"/>
      <c r="BV142" s="898"/>
      <c r="BW142" s="898"/>
      <c r="BX142" s="898"/>
      <c r="BY142" s="898"/>
      <c r="BZ142" s="898"/>
      <c r="CA142" s="898"/>
      <c r="CB142" s="898"/>
      <c r="CC142" s="898"/>
      <c r="CD142" s="898"/>
      <c r="CE142" s="898"/>
      <c r="CF142" s="898"/>
      <c r="CG142" s="898"/>
      <c r="CH142" s="898"/>
      <c r="CI142" s="898"/>
      <c r="CJ142" s="898"/>
      <c r="CK142" s="898"/>
      <c r="CL142" s="898"/>
      <c r="CM142" s="898"/>
      <c r="CN142" s="898"/>
      <c r="CO142" s="898"/>
      <c r="CP142" s="898"/>
      <c r="CQ142" s="898"/>
      <c r="CR142" s="898"/>
      <c r="CS142" s="898"/>
      <c r="CT142" s="898"/>
      <c r="CU142" s="898"/>
    </row>
    <row r="143" ht="16.5" customHeight="1">
      <c r="A143" s="718"/>
      <c r="B143" s="1195"/>
      <c r="C143" s="866"/>
      <c r="D143" s="968"/>
      <c r="E143" s="718"/>
      <c r="F143" s="718"/>
      <c r="G143" s="718"/>
      <c r="H143" s="718"/>
      <c r="I143" s="359"/>
      <c r="J143" s="359"/>
      <c r="K143" s="359"/>
      <c r="L143" s="359"/>
      <c r="M143" s="359"/>
      <c r="N143" s="359"/>
      <c r="O143" s="359"/>
      <c r="P143" s="359"/>
      <c r="Q143" s="359"/>
      <c r="R143" s="718"/>
      <c r="S143" s="669"/>
      <c r="T143" s="669"/>
      <c r="U143" s="967"/>
      <c r="V143" s="974"/>
      <c r="W143" s="1197"/>
      <c r="X143" s="974"/>
      <c r="Y143" s="974"/>
      <c r="Z143" s="974"/>
      <c r="AA143" s="974"/>
      <c r="AB143" s="974"/>
      <c r="AC143" s="974"/>
      <c r="AD143" s="974"/>
      <c r="AE143" s="974"/>
      <c r="AF143" s="974"/>
      <c r="AG143" s="974"/>
      <c r="AH143" s="974"/>
      <c r="AI143" s="1198"/>
      <c r="AJ143" s="974"/>
      <c r="AK143" s="1197"/>
      <c r="AL143" s="974"/>
      <c r="AM143" s="974"/>
      <c r="AN143" s="974"/>
      <c r="AO143" s="974"/>
      <c r="AP143" s="974"/>
      <c r="AQ143" s="974"/>
      <c r="AR143" s="974"/>
      <c r="AS143" s="974"/>
      <c r="AT143" s="974"/>
      <c r="AU143" s="974"/>
      <c r="AV143" s="974"/>
      <c r="AW143" s="1181"/>
      <c r="AX143" s="978"/>
      <c r="AY143" s="898"/>
      <c r="AZ143" s="898"/>
      <c r="BA143" s="898"/>
      <c r="BB143" s="898"/>
      <c r="BC143" s="898"/>
      <c r="BD143" s="898"/>
      <c r="BE143" s="898"/>
      <c r="BF143" s="898"/>
      <c r="BG143" s="898"/>
      <c r="BH143" s="898"/>
      <c r="BI143" s="898"/>
      <c r="BJ143" s="898"/>
      <c r="BK143" s="898"/>
      <c r="BL143" s="898"/>
      <c r="BM143" s="898"/>
      <c r="BN143" s="898"/>
      <c r="BO143" s="898"/>
      <c r="BP143" s="898"/>
      <c r="BQ143" s="898"/>
      <c r="BR143" s="898"/>
      <c r="BS143" s="898"/>
      <c r="BT143" s="898"/>
      <c r="BU143" s="898"/>
      <c r="BV143" s="898"/>
      <c r="BW143" s="898"/>
      <c r="BX143" s="898"/>
      <c r="BY143" s="898"/>
      <c r="BZ143" s="898"/>
      <c r="CA143" s="898"/>
      <c r="CB143" s="898"/>
      <c r="CC143" s="898"/>
      <c r="CD143" s="898"/>
      <c r="CE143" s="898"/>
      <c r="CF143" s="898"/>
      <c r="CG143" s="898"/>
      <c r="CH143" s="898"/>
      <c r="CI143" s="898"/>
      <c r="CJ143" s="898"/>
      <c r="CK143" s="898"/>
      <c r="CL143" s="898"/>
      <c r="CM143" s="898"/>
      <c r="CN143" s="898"/>
      <c r="CO143" s="898"/>
      <c r="CP143" s="898"/>
      <c r="CQ143" s="898"/>
      <c r="CR143" s="898"/>
      <c r="CS143" s="898"/>
      <c r="CT143" s="898"/>
      <c r="CU143" s="898"/>
    </row>
    <row r="144" ht="16.5" customHeight="1">
      <c r="A144" s="718"/>
      <c r="B144" s="1195"/>
      <c r="C144" s="866"/>
      <c r="D144" s="968"/>
      <c r="E144" s="718"/>
      <c r="F144" s="718"/>
      <c r="G144" s="718"/>
      <c r="H144" s="718"/>
      <c r="I144" s="359"/>
      <c r="J144" s="359"/>
      <c r="K144" s="359"/>
      <c r="L144" s="359"/>
      <c r="M144" s="359"/>
      <c r="N144" s="359"/>
      <c r="O144" s="359"/>
      <c r="P144" s="359"/>
      <c r="Q144" s="359"/>
      <c r="R144" s="718"/>
      <c r="S144" s="669"/>
      <c r="T144" s="669"/>
      <c r="U144" s="967"/>
      <c r="V144" s="974"/>
      <c r="W144" s="1197"/>
      <c r="X144" s="974"/>
      <c r="Y144" s="974"/>
      <c r="Z144" s="974"/>
      <c r="AA144" s="974"/>
      <c r="AB144" s="974"/>
      <c r="AC144" s="974"/>
      <c r="AD144" s="974"/>
      <c r="AE144" s="974"/>
      <c r="AF144" s="974"/>
      <c r="AG144" s="974"/>
      <c r="AH144" s="974"/>
      <c r="AI144" s="1198"/>
      <c r="AJ144" s="974"/>
      <c r="AK144" s="1197"/>
      <c r="AL144" s="974"/>
      <c r="AM144" s="974"/>
      <c r="AN144" s="974"/>
      <c r="AO144" s="974"/>
      <c r="AP144" s="974"/>
      <c r="AQ144" s="974"/>
      <c r="AR144" s="974"/>
      <c r="AS144" s="974"/>
      <c r="AT144" s="974"/>
      <c r="AU144" s="974"/>
      <c r="AV144" s="974"/>
      <c r="AW144" s="1181"/>
      <c r="AX144" s="978"/>
      <c r="AY144" s="898"/>
      <c r="AZ144" s="898"/>
      <c r="BA144" s="898"/>
      <c r="BB144" s="898"/>
      <c r="BC144" s="898"/>
      <c r="BD144" s="898"/>
      <c r="BE144" s="898"/>
      <c r="BF144" s="898"/>
      <c r="BG144" s="898"/>
      <c r="BH144" s="898"/>
      <c r="BI144" s="898"/>
      <c r="BJ144" s="898"/>
      <c r="BK144" s="898"/>
      <c r="BL144" s="898"/>
      <c r="BM144" s="898"/>
      <c r="BN144" s="898"/>
      <c r="BO144" s="898"/>
      <c r="BP144" s="898"/>
      <c r="BQ144" s="898"/>
      <c r="BR144" s="898"/>
      <c r="BS144" s="898"/>
      <c r="BT144" s="898"/>
      <c r="BU144" s="898"/>
      <c r="BV144" s="898"/>
      <c r="BW144" s="898"/>
      <c r="BX144" s="898"/>
      <c r="BY144" s="898"/>
      <c r="BZ144" s="898"/>
      <c r="CA144" s="898"/>
      <c r="CB144" s="898"/>
      <c r="CC144" s="898"/>
      <c r="CD144" s="898"/>
      <c r="CE144" s="898"/>
      <c r="CF144" s="898"/>
      <c r="CG144" s="898"/>
      <c r="CH144" s="898"/>
      <c r="CI144" s="898"/>
      <c r="CJ144" s="898"/>
      <c r="CK144" s="898"/>
      <c r="CL144" s="898"/>
      <c r="CM144" s="898"/>
      <c r="CN144" s="898"/>
      <c r="CO144" s="898"/>
      <c r="CP144" s="898"/>
      <c r="CQ144" s="898"/>
      <c r="CR144" s="898"/>
      <c r="CS144" s="898"/>
      <c r="CT144" s="898"/>
      <c r="CU144" s="898"/>
    </row>
    <row r="145" ht="16.5" customHeight="1">
      <c r="A145" s="718"/>
      <c r="B145" s="1195"/>
      <c r="C145" s="866"/>
      <c r="D145" s="968"/>
      <c r="E145" s="718"/>
      <c r="F145" s="718"/>
      <c r="G145" s="718"/>
      <c r="H145" s="718"/>
      <c r="I145" s="359"/>
      <c r="J145" s="359"/>
      <c r="K145" s="359"/>
      <c r="L145" s="359"/>
      <c r="M145" s="359"/>
      <c r="N145" s="359"/>
      <c r="O145" s="359"/>
      <c r="P145" s="359"/>
      <c r="Q145" s="359"/>
      <c r="R145" s="718"/>
      <c r="S145" s="669"/>
      <c r="T145" s="669"/>
      <c r="U145" s="967"/>
      <c r="V145" s="974"/>
      <c r="W145" s="1197"/>
      <c r="X145" s="974"/>
      <c r="Y145" s="974"/>
      <c r="Z145" s="974"/>
      <c r="AA145" s="974"/>
      <c r="AB145" s="974"/>
      <c r="AC145" s="974"/>
      <c r="AD145" s="974"/>
      <c r="AE145" s="974"/>
      <c r="AF145" s="974"/>
      <c r="AG145" s="974"/>
      <c r="AH145" s="974"/>
      <c r="AI145" s="1198"/>
      <c r="AJ145" s="974"/>
      <c r="AK145" s="1197"/>
      <c r="AL145" s="974"/>
      <c r="AM145" s="974"/>
      <c r="AN145" s="974"/>
      <c r="AO145" s="974"/>
      <c r="AP145" s="974"/>
      <c r="AQ145" s="974"/>
      <c r="AR145" s="974"/>
      <c r="AS145" s="974"/>
      <c r="AT145" s="974"/>
      <c r="AU145" s="974"/>
      <c r="AV145" s="974"/>
      <c r="AW145" s="1181"/>
      <c r="AX145" s="978"/>
      <c r="AY145" s="898"/>
      <c r="AZ145" s="898"/>
      <c r="BA145" s="898"/>
      <c r="BB145" s="898"/>
      <c r="BC145" s="898"/>
      <c r="BD145" s="898"/>
      <c r="BE145" s="898"/>
      <c r="BF145" s="898"/>
      <c r="BG145" s="898"/>
      <c r="BH145" s="898"/>
      <c r="BI145" s="898"/>
      <c r="BJ145" s="898"/>
      <c r="BK145" s="898"/>
      <c r="BL145" s="898"/>
      <c r="BM145" s="898"/>
      <c r="BN145" s="898"/>
      <c r="BO145" s="898"/>
      <c r="BP145" s="898"/>
      <c r="BQ145" s="898"/>
      <c r="BR145" s="898"/>
      <c r="BS145" s="898"/>
      <c r="BT145" s="898"/>
      <c r="BU145" s="898"/>
      <c r="BV145" s="898"/>
      <c r="BW145" s="898"/>
      <c r="BX145" s="898"/>
      <c r="BY145" s="898"/>
      <c r="BZ145" s="898"/>
      <c r="CA145" s="898"/>
      <c r="CB145" s="898"/>
      <c r="CC145" s="898"/>
      <c r="CD145" s="898"/>
      <c r="CE145" s="898"/>
      <c r="CF145" s="898"/>
      <c r="CG145" s="898"/>
      <c r="CH145" s="898"/>
      <c r="CI145" s="898"/>
      <c r="CJ145" s="898"/>
      <c r="CK145" s="898"/>
      <c r="CL145" s="898"/>
      <c r="CM145" s="898"/>
      <c r="CN145" s="898"/>
      <c r="CO145" s="898"/>
      <c r="CP145" s="898"/>
      <c r="CQ145" s="898"/>
      <c r="CR145" s="898"/>
      <c r="CS145" s="898"/>
      <c r="CT145" s="898"/>
      <c r="CU145" s="898"/>
    </row>
    <row r="146" ht="16.5" customHeight="1">
      <c r="A146" s="718"/>
      <c r="B146" s="1195"/>
      <c r="C146" s="866"/>
      <c r="D146" s="968"/>
      <c r="E146" s="718"/>
      <c r="F146" s="718"/>
      <c r="G146" s="718"/>
      <c r="H146" s="718"/>
      <c r="I146" s="359"/>
      <c r="J146" s="359"/>
      <c r="K146" s="359"/>
      <c r="L146" s="359"/>
      <c r="M146" s="359"/>
      <c r="N146" s="359"/>
      <c r="O146" s="359"/>
      <c r="P146" s="359"/>
      <c r="Q146" s="359"/>
      <c r="R146" s="718"/>
      <c r="S146" s="669"/>
      <c r="T146" s="669"/>
      <c r="U146" s="967"/>
      <c r="V146" s="974"/>
      <c r="W146" s="1197"/>
      <c r="X146" s="974"/>
      <c r="Y146" s="974"/>
      <c r="Z146" s="974"/>
      <c r="AA146" s="974"/>
      <c r="AB146" s="974"/>
      <c r="AC146" s="974"/>
      <c r="AD146" s="974"/>
      <c r="AE146" s="974"/>
      <c r="AF146" s="974"/>
      <c r="AG146" s="974"/>
      <c r="AH146" s="974"/>
      <c r="AI146" s="1198"/>
      <c r="AJ146" s="974"/>
      <c r="AK146" s="1197"/>
      <c r="AL146" s="974"/>
      <c r="AM146" s="974"/>
      <c r="AN146" s="974"/>
      <c r="AO146" s="974"/>
      <c r="AP146" s="974"/>
      <c r="AQ146" s="974"/>
      <c r="AR146" s="974"/>
      <c r="AS146" s="974"/>
      <c r="AT146" s="974"/>
      <c r="AU146" s="974"/>
      <c r="AV146" s="974"/>
      <c r="AW146" s="1181"/>
      <c r="AX146" s="978"/>
      <c r="AY146" s="898"/>
      <c r="AZ146" s="898"/>
      <c r="BA146" s="898"/>
      <c r="BB146" s="898"/>
      <c r="BC146" s="898"/>
      <c r="BD146" s="898"/>
      <c r="BE146" s="898"/>
      <c r="BF146" s="898"/>
      <c r="BG146" s="898"/>
      <c r="BH146" s="898"/>
      <c r="BI146" s="898"/>
      <c r="BJ146" s="898"/>
      <c r="BK146" s="898"/>
      <c r="BL146" s="898"/>
      <c r="BM146" s="898"/>
      <c r="BN146" s="898"/>
      <c r="BO146" s="898"/>
      <c r="BP146" s="898"/>
      <c r="BQ146" s="898"/>
      <c r="BR146" s="898"/>
      <c r="BS146" s="898"/>
      <c r="BT146" s="898"/>
      <c r="BU146" s="898"/>
      <c r="BV146" s="898"/>
      <c r="BW146" s="898"/>
      <c r="BX146" s="898"/>
      <c r="BY146" s="898"/>
      <c r="BZ146" s="898"/>
      <c r="CA146" s="898"/>
      <c r="CB146" s="898"/>
      <c r="CC146" s="898"/>
      <c r="CD146" s="898"/>
      <c r="CE146" s="898"/>
      <c r="CF146" s="898"/>
      <c r="CG146" s="898"/>
      <c r="CH146" s="898"/>
      <c r="CI146" s="898"/>
      <c r="CJ146" s="898"/>
      <c r="CK146" s="898"/>
      <c r="CL146" s="898"/>
      <c r="CM146" s="898"/>
      <c r="CN146" s="898"/>
      <c r="CO146" s="898"/>
      <c r="CP146" s="898"/>
      <c r="CQ146" s="898"/>
      <c r="CR146" s="898"/>
      <c r="CS146" s="898"/>
      <c r="CT146" s="898"/>
      <c r="CU146" s="898"/>
    </row>
    <row r="147" ht="16.5" customHeight="1">
      <c r="A147" s="718"/>
      <c r="B147" s="1195"/>
      <c r="C147" s="866"/>
      <c r="D147" s="968"/>
      <c r="E147" s="718"/>
      <c r="F147" s="718"/>
      <c r="G147" s="718"/>
      <c r="H147" s="718"/>
      <c r="I147" s="359"/>
      <c r="J147" s="359"/>
      <c r="K147" s="359"/>
      <c r="L147" s="359"/>
      <c r="M147" s="359"/>
      <c r="N147" s="359"/>
      <c r="O147" s="359"/>
      <c r="P147" s="359"/>
      <c r="Q147" s="359"/>
      <c r="R147" s="718"/>
      <c r="S147" s="669"/>
      <c r="T147" s="669"/>
      <c r="U147" s="967"/>
      <c r="V147" s="974"/>
      <c r="W147" s="1197"/>
      <c r="X147" s="974"/>
      <c r="Y147" s="974"/>
      <c r="Z147" s="974"/>
      <c r="AA147" s="974"/>
      <c r="AB147" s="974"/>
      <c r="AC147" s="974"/>
      <c r="AD147" s="974"/>
      <c r="AE147" s="974"/>
      <c r="AF147" s="974"/>
      <c r="AG147" s="974"/>
      <c r="AH147" s="974"/>
      <c r="AI147" s="1198"/>
      <c r="AJ147" s="974"/>
      <c r="AK147" s="1197"/>
      <c r="AL147" s="974"/>
      <c r="AM147" s="974"/>
      <c r="AN147" s="974"/>
      <c r="AO147" s="974"/>
      <c r="AP147" s="974"/>
      <c r="AQ147" s="974"/>
      <c r="AR147" s="974"/>
      <c r="AS147" s="974"/>
      <c r="AT147" s="974"/>
      <c r="AU147" s="974"/>
      <c r="AV147" s="974"/>
      <c r="AW147" s="1181"/>
      <c r="AX147" s="978"/>
      <c r="AY147" s="898"/>
      <c r="AZ147" s="898"/>
      <c r="BA147" s="898"/>
      <c r="BB147" s="898"/>
      <c r="BC147" s="898"/>
      <c r="BD147" s="898"/>
      <c r="BE147" s="898"/>
      <c r="BF147" s="898"/>
      <c r="BG147" s="898"/>
      <c r="BH147" s="898"/>
      <c r="BI147" s="898"/>
      <c r="BJ147" s="898"/>
      <c r="BK147" s="898"/>
      <c r="BL147" s="898"/>
      <c r="BM147" s="898"/>
      <c r="BN147" s="898"/>
      <c r="BO147" s="898"/>
      <c r="BP147" s="898"/>
      <c r="BQ147" s="898"/>
      <c r="BR147" s="898"/>
      <c r="BS147" s="898"/>
      <c r="BT147" s="898"/>
      <c r="BU147" s="898"/>
      <c r="BV147" s="898"/>
      <c r="BW147" s="898"/>
      <c r="BX147" s="898"/>
      <c r="BY147" s="898"/>
      <c r="BZ147" s="898"/>
      <c r="CA147" s="898"/>
      <c r="CB147" s="898"/>
      <c r="CC147" s="898"/>
      <c r="CD147" s="898"/>
      <c r="CE147" s="898"/>
      <c r="CF147" s="898"/>
      <c r="CG147" s="898"/>
      <c r="CH147" s="898"/>
      <c r="CI147" s="898"/>
      <c r="CJ147" s="898"/>
      <c r="CK147" s="898"/>
      <c r="CL147" s="898"/>
      <c r="CM147" s="898"/>
      <c r="CN147" s="898"/>
      <c r="CO147" s="898"/>
      <c r="CP147" s="898"/>
      <c r="CQ147" s="898"/>
      <c r="CR147" s="898"/>
      <c r="CS147" s="898"/>
      <c r="CT147" s="898"/>
      <c r="CU147" s="898"/>
    </row>
    <row r="148" ht="16.5" customHeight="1">
      <c r="A148" s="718"/>
      <c r="B148" s="1195"/>
      <c r="C148" s="866"/>
      <c r="D148" s="968"/>
      <c r="E148" s="718"/>
      <c r="F148" s="718"/>
      <c r="G148" s="718"/>
      <c r="H148" s="718"/>
      <c r="I148" s="359"/>
      <c r="J148" s="359"/>
      <c r="K148" s="359"/>
      <c r="L148" s="359"/>
      <c r="M148" s="359"/>
      <c r="N148" s="359"/>
      <c r="O148" s="359"/>
      <c r="P148" s="359"/>
      <c r="Q148" s="359"/>
      <c r="R148" s="718"/>
      <c r="S148" s="669"/>
      <c r="T148" s="669"/>
      <c r="U148" s="967"/>
      <c r="V148" s="974"/>
      <c r="W148" s="1197"/>
      <c r="X148" s="974"/>
      <c r="Y148" s="974"/>
      <c r="Z148" s="974"/>
      <c r="AA148" s="974"/>
      <c r="AB148" s="974"/>
      <c r="AC148" s="974"/>
      <c r="AD148" s="974"/>
      <c r="AE148" s="974"/>
      <c r="AF148" s="974"/>
      <c r="AG148" s="974"/>
      <c r="AH148" s="974"/>
      <c r="AI148" s="1198"/>
      <c r="AJ148" s="974"/>
      <c r="AK148" s="1197"/>
      <c r="AL148" s="974"/>
      <c r="AM148" s="974"/>
      <c r="AN148" s="974"/>
      <c r="AO148" s="974"/>
      <c r="AP148" s="974"/>
      <c r="AQ148" s="974"/>
      <c r="AR148" s="974"/>
      <c r="AS148" s="974"/>
      <c r="AT148" s="974"/>
      <c r="AU148" s="974"/>
      <c r="AV148" s="974"/>
      <c r="AW148" s="1181"/>
      <c r="AX148" s="978"/>
      <c r="AY148" s="898"/>
      <c r="AZ148" s="898"/>
      <c r="BA148" s="898"/>
      <c r="BB148" s="898"/>
      <c r="BC148" s="898"/>
      <c r="BD148" s="898"/>
      <c r="BE148" s="898"/>
      <c r="BF148" s="898"/>
      <c r="BG148" s="898"/>
      <c r="BH148" s="898"/>
      <c r="BI148" s="898"/>
      <c r="BJ148" s="898"/>
      <c r="BK148" s="898"/>
      <c r="BL148" s="898"/>
      <c r="BM148" s="898"/>
      <c r="BN148" s="898"/>
      <c r="BO148" s="898"/>
      <c r="BP148" s="898"/>
      <c r="BQ148" s="898"/>
      <c r="BR148" s="898"/>
      <c r="BS148" s="898"/>
      <c r="BT148" s="898"/>
      <c r="BU148" s="898"/>
      <c r="BV148" s="898"/>
      <c r="BW148" s="898"/>
      <c r="BX148" s="898"/>
      <c r="BY148" s="898"/>
      <c r="BZ148" s="898"/>
      <c r="CA148" s="898"/>
      <c r="CB148" s="898"/>
      <c r="CC148" s="898"/>
      <c r="CD148" s="898"/>
      <c r="CE148" s="898"/>
      <c r="CF148" s="898"/>
      <c r="CG148" s="898"/>
      <c r="CH148" s="898"/>
      <c r="CI148" s="898"/>
      <c r="CJ148" s="898"/>
      <c r="CK148" s="898"/>
      <c r="CL148" s="898"/>
      <c r="CM148" s="898"/>
      <c r="CN148" s="898"/>
      <c r="CO148" s="898"/>
      <c r="CP148" s="898"/>
      <c r="CQ148" s="898"/>
      <c r="CR148" s="898"/>
      <c r="CS148" s="898"/>
      <c r="CT148" s="898"/>
      <c r="CU148" s="898"/>
    </row>
    <row r="149" ht="16.5" customHeight="1">
      <c r="A149" s="718"/>
      <c r="B149" s="1195"/>
      <c r="C149" s="866"/>
      <c r="D149" s="968"/>
      <c r="E149" s="718"/>
      <c r="F149" s="718"/>
      <c r="G149" s="718"/>
      <c r="H149" s="718"/>
      <c r="I149" s="359"/>
      <c r="J149" s="359"/>
      <c r="K149" s="359"/>
      <c r="L149" s="359"/>
      <c r="M149" s="359"/>
      <c r="N149" s="359"/>
      <c r="O149" s="359"/>
      <c r="P149" s="359"/>
      <c r="Q149" s="359"/>
      <c r="R149" s="718"/>
      <c r="S149" s="669"/>
      <c r="T149" s="669"/>
      <c r="U149" s="967"/>
      <c r="V149" s="974"/>
      <c r="W149" s="1197"/>
      <c r="X149" s="974"/>
      <c r="Y149" s="974"/>
      <c r="Z149" s="974"/>
      <c r="AA149" s="974"/>
      <c r="AB149" s="974"/>
      <c r="AC149" s="974"/>
      <c r="AD149" s="974"/>
      <c r="AE149" s="974"/>
      <c r="AF149" s="974"/>
      <c r="AG149" s="974"/>
      <c r="AH149" s="974"/>
      <c r="AI149" s="1198"/>
      <c r="AJ149" s="974"/>
      <c r="AK149" s="1197"/>
      <c r="AL149" s="974"/>
      <c r="AM149" s="974"/>
      <c r="AN149" s="974"/>
      <c r="AO149" s="974"/>
      <c r="AP149" s="974"/>
      <c r="AQ149" s="974"/>
      <c r="AR149" s="974"/>
      <c r="AS149" s="974"/>
      <c r="AT149" s="974"/>
      <c r="AU149" s="974"/>
      <c r="AV149" s="974"/>
      <c r="AW149" s="1181"/>
      <c r="AX149" s="978"/>
      <c r="AY149" s="898"/>
      <c r="AZ149" s="898"/>
      <c r="BA149" s="898"/>
      <c r="BB149" s="898"/>
      <c r="BC149" s="898"/>
      <c r="BD149" s="898"/>
      <c r="BE149" s="898"/>
      <c r="BF149" s="898"/>
      <c r="BG149" s="898"/>
      <c r="BH149" s="898"/>
      <c r="BI149" s="898"/>
      <c r="BJ149" s="898"/>
      <c r="BK149" s="898"/>
      <c r="BL149" s="898"/>
      <c r="BM149" s="898"/>
      <c r="BN149" s="898"/>
      <c r="BO149" s="898"/>
      <c r="BP149" s="898"/>
      <c r="BQ149" s="898"/>
      <c r="BR149" s="898"/>
      <c r="BS149" s="898"/>
      <c r="BT149" s="898"/>
      <c r="BU149" s="898"/>
      <c r="BV149" s="898"/>
      <c r="BW149" s="898"/>
      <c r="BX149" s="898"/>
      <c r="BY149" s="898"/>
      <c r="BZ149" s="898"/>
      <c r="CA149" s="898"/>
      <c r="CB149" s="898"/>
      <c r="CC149" s="898"/>
      <c r="CD149" s="898"/>
      <c r="CE149" s="898"/>
      <c r="CF149" s="898"/>
      <c r="CG149" s="898"/>
      <c r="CH149" s="898"/>
      <c r="CI149" s="898"/>
      <c r="CJ149" s="898"/>
      <c r="CK149" s="898"/>
      <c r="CL149" s="898"/>
      <c r="CM149" s="898"/>
      <c r="CN149" s="898"/>
      <c r="CO149" s="898"/>
      <c r="CP149" s="898"/>
      <c r="CQ149" s="898"/>
      <c r="CR149" s="898"/>
      <c r="CS149" s="898"/>
      <c r="CT149" s="898"/>
      <c r="CU149" s="898"/>
    </row>
    <row r="150" ht="16.5" customHeight="1">
      <c r="A150" s="718"/>
      <c r="B150" s="1195"/>
      <c r="C150" s="866"/>
      <c r="D150" s="968"/>
      <c r="E150" s="718"/>
      <c r="F150" s="718"/>
      <c r="G150" s="718"/>
      <c r="H150" s="718"/>
      <c r="I150" s="359"/>
      <c r="J150" s="359"/>
      <c r="K150" s="359"/>
      <c r="L150" s="359"/>
      <c r="M150" s="359"/>
      <c r="N150" s="359"/>
      <c r="O150" s="359"/>
      <c r="P150" s="359"/>
      <c r="Q150" s="359"/>
      <c r="R150" s="718"/>
      <c r="S150" s="669"/>
      <c r="T150" s="669"/>
      <c r="U150" s="967"/>
      <c r="V150" s="974"/>
      <c r="W150" s="1197"/>
      <c r="X150" s="974"/>
      <c r="Y150" s="974"/>
      <c r="Z150" s="974"/>
      <c r="AA150" s="974"/>
      <c r="AB150" s="974"/>
      <c r="AC150" s="974"/>
      <c r="AD150" s="974"/>
      <c r="AE150" s="974"/>
      <c r="AF150" s="974"/>
      <c r="AG150" s="974"/>
      <c r="AH150" s="974"/>
      <c r="AI150" s="1198"/>
      <c r="AJ150" s="974"/>
      <c r="AK150" s="1197"/>
      <c r="AL150" s="974"/>
      <c r="AM150" s="974"/>
      <c r="AN150" s="974"/>
      <c r="AO150" s="974"/>
      <c r="AP150" s="974"/>
      <c r="AQ150" s="974"/>
      <c r="AR150" s="974"/>
      <c r="AS150" s="974"/>
      <c r="AT150" s="974"/>
      <c r="AU150" s="974"/>
      <c r="AV150" s="974"/>
      <c r="AW150" s="1181"/>
      <c r="AX150" s="978"/>
      <c r="AY150" s="898"/>
      <c r="AZ150" s="898"/>
      <c r="BA150" s="898"/>
      <c r="BB150" s="898"/>
      <c r="BC150" s="898"/>
      <c r="BD150" s="898"/>
      <c r="BE150" s="898"/>
      <c r="BF150" s="898"/>
      <c r="BG150" s="898"/>
      <c r="BH150" s="898"/>
      <c r="BI150" s="898"/>
      <c r="BJ150" s="898"/>
      <c r="BK150" s="898"/>
      <c r="BL150" s="898"/>
      <c r="BM150" s="898"/>
      <c r="BN150" s="898"/>
      <c r="BO150" s="898"/>
      <c r="BP150" s="898"/>
      <c r="BQ150" s="898"/>
      <c r="BR150" s="898"/>
      <c r="BS150" s="898"/>
      <c r="BT150" s="898"/>
      <c r="BU150" s="898"/>
      <c r="BV150" s="898"/>
      <c r="BW150" s="898"/>
      <c r="BX150" s="898"/>
      <c r="BY150" s="898"/>
      <c r="BZ150" s="898"/>
      <c r="CA150" s="898"/>
      <c r="CB150" s="898"/>
      <c r="CC150" s="898"/>
      <c r="CD150" s="898"/>
      <c r="CE150" s="898"/>
      <c r="CF150" s="898"/>
      <c r="CG150" s="898"/>
      <c r="CH150" s="898"/>
      <c r="CI150" s="898"/>
      <c r="CJ150" s="898"/>
      <c r="CK150" s="898"/>
      <c r="CL150" s="898"/>
      <c r="CM150" s="898"/>
      <c r="CN150" s="898"/>
      <c r="CO150" s="898"/>
      <c r="CP150" s="898"/>
      <c r="CQ150" s="898"/>
      <c r="CR150" s="898"/>
      <c r="CS150" s="898"/>
      <c r="CT150" s="898"/>
      <c r="CU150" s="898"/>
    </row>
    <row r="151" ht="16.5" customHeight="1">
      <c r="A151" s="718"/>
      <c r="B151" s="1195"/>
      <c r="C151" s="866"/>
      <c r="D151" s="968"/>
      <c r="E151" s="718"/>
      <c r="F151" s="718"/>
      <c r="G151" s="718"/>
      <c r="H151" s="718"/>
      <c r="I151" s="359"/>
      <c r="J151" s="359"/>
      <c r="K151" s="359"/>
      <c r="L151" s="359"/>
      <c r="M151" s="359"/>
      <c r="N151" s="359"/>
      <c r="O151" s="359"/>
      <c r="P151" s="359"/>
      <c r="Q151" s="359"/>
      <c r="R151" s="718"/>
      <c r="S151" s="669"/>
      <c r="T151" s="669"/>
      <c r="U151" s="967"/>
      <c r="V151" s="974"/>
      <c r="W151" s="1197"/>
      <c r="X151" s="974"/>
      <c r="Y151" s="974"/>
      <c r="Z151" s="974"/>
      <c r="AA151" s="974"/>
      <c r="AB151" s="974"/>
      <c r="AC151" s="974"/>
      <c r="AD151" s="974"/>
      <c r="AE151" s="974"/>
      <c r="AF151" s="974"/>
      <c r="AG151" s="974"/>
      <c r="AH151" s="974"/>
      <c r="AI151" s="1198"/>
      <c r="AJ151" s="974"/>
      <c r="AK151" s="1197"/>
      <c r="AL151" s="974"/>
      <c r="AM151" s="974"/>
      <c r="AN151" s="974"/>
      <c r="AO151" s="974"/>
      <c r="AP151" s="974"/>
      <c r="AQ151" s="974"/>
      <c r="AR151" s="974"/>
      <c r="AS151" s="974"/>
      <c r="AT151" s="974"/>
      <c r="AU151" s="974"/>
      <c r="AV151" s="974"/>
      <c r="AW151" s="1181"/>
      <c r="AX151" s="978"/>
      <c r="AY151" s="898"/>
      <c r="AZ151" s="898"/>
      <c r="BA151" s="898"/>
      <c r="BB151" s="898"/>
      <c r="BC151" s="898"/>
      <c r="BD151" s="898"/>
      <c r="BE151" s="898"/>
      <c r="BF151" s="898"/>
      <c r="BG151" s="898"/>
      <c r="BH151" s="898"/>
      <c r="BI151" s="898"/>
      <c r="BJ151" s="898"/>
      <c r="BK151" s="898"/>
      <c r="BL151" s="898"/>
      <c r="BM151" s="898"/>
      <c r="BN151" s="898"/>
      <c r="BO151" s="898"/>
      <c r="BP151" s="898"/>
      <c r="BQ151" s="898"/>
      <c r="BR151" s="898"/>
      <c r="BS151" s="898"/>
      <c r="BT151" s="898"/>
      <c r="BU151" s="898"/>
      <c r="BV151" s="898"/>
      <c r="BW151" s="898"/>
      <c r="BX151" s="898"/>
      <c r="BY151" s="898"/>
      <c r="BZ151" s="898"/>
      <c r="CA151" s="898"/>
      <c r="CB151" s="898"/>
      <c r="CC151" s="898"/>
      <c r="CD151" s="898"/>
      <c r="CE151" s="898"/>
      <c r="CF151" s="898"/>
      <c r="CG151" s="898"/>
      <c r="CH151" s="898"/>
      <c r="CI151" s="898"/>
      <c r="CJ151" s="898"/>
      <c r="CK151" s="898"/>
      <c r="CL151" s="898"/>
      <c r="CM151" s="898"/>
      <c r="CN151" s="898"/>
      <c r="CO151" s="898"/>
      <c r="CP151" s="898"/>
      <c r="CQ151" s="898"/>
      <c r="CR151" s="898"/>
      <c r="CS151" s="898"/>
      <c r="CT151" s="898"/>
      <c r="CU151" s="898"/>
    </row>
    <row r="152" ht="16.5" customHeight="1">
      <c r="A152" s="718"/>
      <c r="B152" s="1195"/>
      <c r="C152" s="866"/>
      <c r="D152" s="968"/>
      <c r="E152" s="718"/>
      <c r="F152" s="718"/>
      <c r="G152" s="718"/>
      <c r="H152" s="718"/>
      <c r="I152" s="359"/>
      <c r="J152" s="359"/>
      <c r="K152" s="359"/>
      <c r="L152" s="359"/>
      <c r="M152" s="359"/>
      <c r="N152" s="359"/>
      <c r="O152" s="359"/>
      <c r="P152" s="359"/>
      <c r="Q152" s="359"/>
      <c r="R152" s="718"/>
      <c r="S152" s="669"/>
      <c r="T152" s="669"/>
      <c r="U152" s="967"/>
      <c r="V152" s="974"/>
      <c r="W152" s="1197"/>
      <c r="X152" s="974"/>
      <c r="Y152" s="974"/>
      <c r="Z152" s="974"/>
      <c r="AA152" s="974"/>
      <c r="AB152" s="974"/>
      <c r="AC152" s="974"/>
      <c r="AD152" s="974"/>
      <c r="AE152" s="974"/>
      <c r="AF152" s="974"/>
      <c r="AG152" s="974"/>
      <c r="AH152" s="974"/>
      <c r="AI152" s="1198"/>
      <c r="AJ152" s="974"/>
      <c r="AK152" s="1197"/>
      <c r="AL152" s="974"/>
      <c r="AM152" s="974"/>
      <c r="AN152" s="974"/>
      <c r="AO152" s="974"/>
      <c r="AP152" s="974"/>
      <c r="AQ152" s="974"/>
      <c r="AR152" s="974"/>
      <c r="AS152" s="974"/>
      <c r="AT152" s="974"/>
      <c r="AU152" s="974"/>
      <c r="AV152" s="974"/>
      <c r="AW152" s="1181"/>
      <c r="AX152" s="978"/>
      <c r="AY152" s="898"/>
      <c r="AZ152" s="898"/>
      <c r="BA152" s="898"/>
      <c r="BB152" s="898"/>
      <c r="BC152" s="898"/>
      <c r="BD152" s="898"/>
      <c r="BE152" s="898"/>
      <c r="BF152" s="898"/>
      <c r="BG152" s="898"/>
      <c r="BH152" s="898"/>
      <c r="BI152" s="898"/>
      <c r="BJ152" s="898"/>
      <c r="BK152" s="898"/>
      <c r="BL152" s="898"/>
      <c r="BM152" s="898"/>
      <c r="BN152" s="898"/>
      <c r="BO152" s="898"/>
      <c r="BP152" s="898"/>
      <c r="BQ152" s="898"/>
      <c r="BR152" s="898"/>
      <c r="BS152" s="898"/>
      <c r="BT152" s="898"/>
      <c r="BU152" s="898"/>
      <c r="BV152" s="898"/>
      <c r="BW152" s="898"/>
      <c r="BX152" s="898"/>
      <c r="BY152" s="898"/>
      <c r="BZ152" s="898"/>
      <c r="CA152" s="898"/>
      <c r="CB152" s="898"/>
      <c r="CC152" s="898"/>
      <c r="CD152" s="898"/>
      <c r="CE152" s="898"/>
      <c r="CF152" s="898"/>
      <c r="CG152" s="898"/>
      <c r="CH152" s="898"/>
      <c r="CI152" s="898"/>
      <c r="CJ152" s="898"/>
      <c r="CK152" s="898"/>
      <c r="CL152" s="898"/>
      <c r="CM152" s="898"/>
      <c r="CN152" s="898"/>
      <c r="CO152" s="898"/>
      <c r="CP152" s="898"/>
      <c r="CQ152" s="898"/>
      <c r="CR152" s="898"/>
      <c r="CS152" s="898"/>
      <c r="CT152" s="898"/>
      <c r="CU152" s="898"/>
    </row>
    <row r="153" ht="16.5" customHeight="1">
      <c r="A153" s="718"/>
      <c r="B153" s="1195"/>
      <c r="C153" s="866"/>
      <c r="D153" s="968"/>
      <c r="E153" s="718"/>
      <c r="F153" s="718"/>
      <c r="G153" s="718"/>
      <c r="H153" s="718"/>
      <c r="I153" s="359"/>
      <c r="J153" s="359"/>
      <c r="K153" s="359"/>
      <c r="L153" s="359"/>
      <c r="M153" s="359"/>
      <c r="N153" s="359"/>
      <c r="O153" s="359"/>
      <c r="P153" s="359"/>
      <c r="Q153" s="359"/>
      <c r="R153" s="718"/>
      <c r="S153" s="669"/>
      <c r="T153" s="669"/>
      <c r="U153" s="967"/>
      <c r="V153" s="974"/>
      <c r="W153" s="1197"/>
      <c r="X153" s="974"/>
      <c r="Y153" s="974"/>
      <c r="Z153" s="974"/>
      <c r="AA153" s="974"/>
      <c r="AB153" s="974"/>
      <c r="AC153" s="974"/>
      <c r="AD153" s="974"/>
      <c r="AE153" s="974"/>
      <c r="AF153" s="974"/>
      <c r="AG153" s="974"/>
      <c r="AH153" s="974"/>
      <c r="AI153" s="1198"/>
      <c r="AJ153" s="974"/>
      <c r="AK153" s="1197"/>
      <c r="AL153" s="974"/>
      <c r="AM153" s="974"/>
      <c r="AN153" s="974"/>
      <c r="AO153" s="974"/>
      <c r="AP153" s="974"/>
      <c r="AQ153" s="974"/>
      <c r="AR153" s="974"/>
      <c r="AS153" s="974"/>
      <c r="AT153" s="974"/>
      <c r="AU153" s="974"/>
      <c r="AV153" s="974"/>
      <c r="AW153" s="1181"/>
      <c r="AX153" s="978"/>
      <c r="AY153" s="898"/>
      <c r="AZ153" s="898"/>
      <c r="BA153" s="898"/>
      <c r="BB153" s="898"/>
      <c r="BC153" s="898"/>
      <c r="BD153" s="898"/>
      <c r="BE153" s="898"/>
      <c r="BF153" s="898"/>
      <c r="BG153" s="898"/>
      <c r="BH153" s="898"/>
      <c r="BI153" s="898"/>
      <c r="BJ153" s="898"/>
      <c r="BK153" s="898"/>
      <c r="BL153" s="898"/>
      <c r="BM153" s="898"/>
      <c r="BN153" s="898"/>
      <c r="BO153" s="898"/>
      <c r="BP153" s="898"/>
      <c r="BQ153" s="898"/>
      <c r="BR153" s="898"/>
      <c r="BS153" s="898"/>
      <c r="BT153" s="898"/>
      <c r="BU153" s="898"/>
      <c r="BV153" s="898"/>
      <c r="BW153" s="898"/>
      <c r="BX153" s="898"/>
      <c r="BY153" s="898"/>
      <c r="BZ153" s="898"/>
      <c r="CA153" s="898"/>
      <c r="CB153" s="898"/>
      <c r="CC153" s="898"/>
      <c r="CD153" s="898"/>
      <c r="CE153" s="898"/>
      <c r="CF153" s="898"/>
      <c r="CG153" s="898"/>
      <c r="CH153" s="898"/>
      <c r="CI153" s="898"/>
      <c r="CJ153" s="898"/>
      <c r="CK153" s="898"/>
      <c r="CL153" s="898"/>
      <c r="CM153" s="898"/>
      <c r="CN153" s="898"/>
      <c r="CO153" s="898"/>
      <c r="CP153" s="898"/>
      <c r="CQ153" s="898"/>
      <c r="CR153" s="898"/>
      <c r="CS153" s="898"/>
      <c r="CT153" s="898"/>
      <c r="CU153" s="898"/>
    </row>
    <row r="154" ht="16.5" customHeight="1">
      <c r="A154" s="718"/>
      <c r="B154" s="1195"/>
      <c r="C154" s="866"/>
      <c r="D154" s="968"/>
      <c r="E154" s="718"/>
      <c r="F154" s="718"/>
      <c r="G154" s="718"/>
      <c r="H154" s="718"/>
      <c r="I154" s="359"/>
      <c r="J154" s="359"/>
      <c r="K154" s="359"/>
      <c r="L154" s="359"/>
      <c r="M154" s="359"/>
      <c r="N154" s="359"/>
      <c r="O154" s="359"/>
      <c r="P154" s="359"/>
      <c r="Q154" s="359"/>
      <c r="R154" s="718"/>
      <c r="S154" s="669"/>
      <c r="T154" s="669"/>
      <c r="U154" s="967"/>
      <c r="V154" s="974"/>
      <c r="W154" s="1197"/>
      <c r="X154" s="974"/>
      <c r="Y154" s="974"/>
      <c r="Z154" s="974"/>
      <c r="AA154" s="974"/>
      <c r="AB154" s="974"/>
      <c r="AC154" s="974"/>
      <c r="AD154" s="974"/>
      <c r="AE154" s="974"/>
      <c r="AF154" s="974"/>
      <c r="AG154" s="974"/>
      <c r="AH154" s="974"/>
      <c r="AI154" s="1198"/>
      <c r="AJ154" s="974"/>
      <c r="AK154" s="1197"/>
      <c r="AL154" s="974"/>
      <c r="AM154" s="974"/>
      <c r="AN154" s="974"/>
      <c r="AO154" s="974"/>
      <c r="AP154" s="974"/>
      <c r="AQ154" s="974"/>
      <c r="AR154" s="974"/>
      <c r="AS154" s="974"/>
      <c r="AT154" s="974"/>
      <c r="AU154" s="974"/>
      <c r="AV154" s="974"/>
      <c r="AW154" s="1181"/>
      <c r="AX154" s="978"/>
      <c r="AY154" s="898"/>
      <c r="AZ154" s="898"/>
      <c r="BA154" s="898"/>
      <c r="BB154" s="898"/>
      <c r="BC154" s="898"/>
      <c r="BD154" s="898"/>
      <c r="BE154" s="898"/>
      <c r="BF154" s="898"/>
      <c r="BG154" s="898"/>
      <c r="BH154" s="898"/>
      <c r="BI154" s="898"/>
      <c r="BJ154" s="898"/>
      <c r="BK154" s="898"/>
      <c r="BL154" s="898"/>
      <c r="BM154" s="898"/>
      <c r="BN154" s="898"/>
      <c r="BO154" s="898"/>
      <c r="BP154" s="898"/>
      <c r="BQ154" s="898"/>
      <c r="BR154" s="898"/>
      <c r="BS154" s="898"/>
      <c r="BT154" s="898"/>
      <c r="BU154" s="898"/>
      <c r="BV154" s="898"/>
      <c r="BW154" s="898"/>
      <c r="BX154" s="898"/>
      <c r="BY154" s="898"/>
      <c r="BZ154" s="898"/>
      <c r="CA154" s="898"/>
      <c r="CB154" s="898"/>
      <c r="CC154" s="898"/>
      <c r="CD154" s="898"/>
      <c r="CE154" s="898"/>
      <c r="CF154" s="898"/>
      <c r="CG154" s="898"/>
      <c r="CH154" s="898"/>
      <c r="CI154" s="898"/>
      <c r="CJ154" s="898"/>
      <c r="CK154" s="898"/>
      <c r="CL154" s="898"/>
      <c r="CM154" s="898"/>
      <c r="CN154" s="898"/>
      <c r="CO154" s="898"/>
      <c r="CP154" s="898"/>
      <c r="CQ154" s="898"/>
      <c r="CR154" s="898"/>
      <c r="CS154" s="898"/>
      <c r="CT154" s="898"/>
      <c r="CU154" s="898"/>
    </row>
    <row r="155" ht="16.5" customHeight="1">
      <c r="A155" s="718"/>
      <c r="B155" s="1195"/>
      <c r="C155" s="866"/>
      <c r="D155" s="968"/>
      <c r="E155" s="718"/>
      <c r="F155" s="718"/>
      <c r="G155" s="718"/>
      <c r="H155" s="718"/>
      <c r="I155" s="359"/>
      <c r="J155" s="359"/>
      <c r="K155" s="359"/>
      <c r="L155" s="359"/>
      <c r="M155" s="359"/>
      <c r="N155" s="359"/>
      <c r="O155" s="359"/>
      <c r="P155" s="359"/>
      <c r="Q155" s="359"/>
      <c r="R155" s="718"/>
      <c r="S155" s="669"/>
      <c r="T155" s="669"/>
      <c r="U155" s="967"/>
      <c r="V155" s="974"/>
      <c r="W155" s="1197"/>
      <c r="X155" s="974"/>
      <c r="Y155" s="974"/>
      <c r="Z155" s="974"/>
      <c r="AA155" s="974"/>
      <c r="AB155" s="974"/>
      <c r="AC155" s="974"/>
      <c r="AD155" s="974"/>
      <c r="AE155" s="974"/>
      <c r="AF155" s="974"/>
      <c r="AG155" s="974"/>
      <c r="AH155" s="974"/>
      <c r="AI155" s="1198"/>
      <c r="AJ155" s="974"/>
      <c r="AK155" s="1197"/>
      <c r="AL155" s="974"/>
      <c r="AM155" s="974"/>
      <c r="AN155" s="974"/>
      <c r="AO155" s="974"/>
      <c r="AP155" s="974"/>
      <c r="AQ155" s="974"/>
      <c r="AR155" s="974"/>
      <c r="AS155" s="974"/>
      <c r="AT155" s="974"/>
      <c r="AU155" s="974"/>
      <c r="AV155" s="974"/>
      <c r="AW155" s="1181"/>
      <c r="AX155" s="978"/>
      <c r="AY155" s="898"/>
      <c r="AZ155" s="898"/>
      <c r="BA155" s="898"/>
      <c r="BB155" s="898"/>
      <c r="BC155" s="898"/>
      <c r="BD155" s="898"/>
      <c r="BE155" s="898"/>
      <c r="BF155" s="898"/>
      <c r="BG155" s="898"/>
      <c r="BH155" s="898"/>
      <c r="BI155" s="898"/>
      <c r="BJ155" s="898"/>
      <c r="BK155" s="898"/>
      <c r="BL155" s="898"/>
      <c r="BM155" s="898"/>
      <c r="BN155" s="898"/>
      <c r="BO155" s="898"/>
      <c r="BP155" s="898"/>
      <c r="BQ155" s="898"/>
      <c r="BR155" s="898"/>
      <c r="BS155" s="898"/>
      <c r="BT155" s="898"/>
      <c r="BU155" s="898"/>
      <c r="BV155" s="898"/>
      <c r="BW155" s="898"/>
      <c r="BX155" s="898"/>
      <c r="BY155" s="898"/>
      <c r="BZ155" s="898"/>
      <c r="CA155" s="898"/>
      <c r="CB155" s="898"/>
      <c r="CC155" s="898"/>
      <c r="CD155" s="898"/>
      <c r="CE155" s="898"/>
      <c r="CF155" s="898"/>
      <c r="CG155" s="898"/>
      <c r="CH155" s="898"/>
      <c r="CI155" s="898"/>
      <c r="CJ155" s="898"/>
      <c r="CK155" s="898"/>
      <c r="CL155" s="898"/>
      <c r="CM155" s="898"/>
      <c r="CN155" s="898"/>
      <c r="CO155" s="898"/>
      <c r="CP155" s="898"/>
      <c r="CQ155" s="898"/>
      <c r="CR155" s="898"/>
      <c r="CS155" s="898"/>
      <c r="CT155" s="898"/>
      <c r="CU155" s="898"/>
    </row>
    <row r="156" ht="16.5" customHeight="1">
      <c r="A156" s="718"/>
      <c r="B156" s="1195"/>
      <c r="C156" s="866"/>
      <c r="D156" s="968"/>
      <c r="E156" s="718"/>
      <c r="F156" s="718"/>
      <c r="G156" s="718"/>
      <c r="H156" s="718"/>
      <c r="I156" s="359"/>
      <c r="J156" s="359"/>
      <c r="K156" s="359"/>
      <c r="L156" s="359"/>
      <c r="M156" s="359"/>
      <c r="N156" s="359"/>
      <c r="O156" s="359"/>
      <c r="P156" s="359"/>
      <c r="Q156" s="359"/>
      <c r="R156" s="718"/>
      <c r="S156" s="669"/>
      <c r="T156" s="669"/>
      <c r="U156" s="967"/>
      <c r="V156" s="974"/>
      <c r="W156" s="1197"/>
      <c r="X156" s="974"/>
      <c r="Y156" s="974"/>
      <c r="Z156" s="974"/>
      <c r="AA156" s="974"/>
      <c r="AB156" s="974"/>
      <c r="AC156" s="974"/>
      <c r="AD156" s="974"/>
      <c r="AE156" s="974"/>
      <c r="AF156" s="974"/>
      <c r="AG156" s="974"/>
      <c r="AH156" s="974"/>
      <c r="AI156" s="1198"/>
      <c r="AJ156" s="974"/>
      <c r="AK156" s="1197"/>
      <c r="AL156" s="974"/>
      <c r="AM156" s="974"/>
      <c r="AN156" s="974"/>
      <c r="AO156" s="974"/>
      <c r="AP156" s="974"/>
      <c r="AQ156" s="974"/>
      <c r="AR156" s="974"/>
      <c r="AS156" s="974"/>
      <c r="AT156" s="974"/>
      <c r="AU156" s="974"/>
      <c r="AV156" s="974"/>
      <c r="AW156" s="1181"/>
      <c r="AX156" s="978"/>
      <c r="AY156" s="898"/>
      <c r="AZ156" s="898"/>
      <c r="BA156" s="898"/>
      <c r="BB156" s="898"/>
      <c r="BC156" s="898"/>
      <c r="BD156" s="898"/>
      <c r="BE156" s="898"/>
      <c r="BF156" s="898"/>
      <c r="BG156" s="898"/>
      <c r="BH156" s="898"/>
      <c r="BI156" s="898"/>
      <c r="BJ156" s="898"/>
      <c r="BK156" s="898"/>
      <c r="BL156" s="898"/>
      <c r="BM156" s="898"/>
      <c r="BN156" s="898"/>
      <c r="BO156" s="898"/>
      <c r="BP156" s="898"/>
      <c r="BQ156" s="898"/>
      <c r="BR156" s="898"/>
      <c r="BS156" s="898"/>
      <c r="BT156" s="898"/>
      <c r="BU156" s="898"/>
      <c r="BV156" s="898"/>
      <c r="BW156" s="898"/>
      <c r="BX156" s="898"/>
      <c r="BY156" s="898"/>
      <c r="BZ156" s="898"/>
      <c r="CA156" s="898"/>
      <c r="CB156" s="898"/>
      <c r="CC156" s="898"/>
      <c r="CD156" s="898"/>
      <c r="CE156" s="898"/>
      <c r="CF156" s="898"/>
      <c r="CG156" s="898"/>
      <c r="CH156" s="898"/>
      <c r="CI156" s="898"/>
      <c r="CJ156" s="898"/>
      <c r="CK156" s="898"/>
      <c r="CL156" s="898"/>
      <c r="CM156" s="898"/>
      <c r="CN156" s="898"/>
      <c r="CO156" s="898"/>
      <c r="CP156" s="898"/>
      <c r="CQ156" s="898"/>
      <c r="CR156" s="898"/>
      <c r="CS156" s="898"/>
      <c r="CT156" s="898"/>
      <c r="CU156" s="898"/>
    </row>
    <row r="157" ht="16.5" customHeight="1">
      <c r="A157" s="718"/>
      <c r="B157" s="1195"/>
      <c r="C157" s="866"/>
      <c r="D157" s="968"/>
      <c r="E157" s="718"/>
      <c r="F157" s="718"/>
      <c r="G157" s="718"/>
      <c r="H157" s="718"/>
      <c r="I157" s="359"/>
      <c r="J157" s="359"/>
      <c r="K157" s="359"/>
      <c r="L157" s="359"/>
      <c r="M157" s="359"/>
      <c r="N157" s="359"/>
      <c r="O157" s="359"/>
      <c r="P157" s="359"/>
      <c r="Q157" s="359"/>
      <c r="R157" s="718"/>
      <c r="S157" s="669"/>
      <c r="T157" s="669"/>
      <c r="U157" s="967"/>
      <c r="V157" s="974"/>
      <c r="W157" s="1197"/>
      <c r="X157" s="974"/>
      <c r="Y157" s="974"/>
      <c r="Z157" s="974"/>
      <c r="AA157" s="974"/>
      <c r="AB157" s="974"/>
      <c r="AC157" s="974"/>
      <c r="AD157" s="974"/>
      <c r="AE157" s="974"/>
      <c r="AF157" s="974"/>
      <c r="AG157" s="974"/>
      <c r="AH157" s="974"/>
      <c r="AI157" s="1198"/>
      <c r="AJ157" s="974"/>
      <c r="AK157" s="1197"/>
      <c r="AL157" s="974"/>
      <c r="AM157" s="974"/>
      <c r="AN157" s="974"/>
      <c r="AO157" s="974"/>
      <c r="AP157" s="974"/>
      <c r="AQ157" s="974"/>
      <c r="AR157" s="974"/>
      <c r="AS157" s="974"/>
      <c r="AT157" s="974"/>
      <c r="AU157" s="974"/>
      <c r="AV157" s="974"/>
      <c r="AW157" s="1181"/>
      <c r="AX157" s="978"/>
      <c r="AY157" s="898"/>
      <c r="AZ157" s="898"/>
      <c r="BA157" s="898"/>
      <c r="BB157" s="898"/>
      <c r="BC157" s="898"/>
      <c r="BD157" s="898"/>
      <c r="BE157" s="898"/>
      <c r="BF157" s="898"/>
      <c r="BG157" s="898"/>
      <c r="BH157" s="898"/>
      <c r="BI157" s="898"/>
      <c r="BJ157" s="898"/>
      <c r="BK157" s="898"/>
      <c r="BL157" s="898"/>
      <c r="BM157" s="898"/>
      <c r="BN157" s="898"/>
      <c r="BO157" s="898"/>
      <c r="BP157" s="898"/>
      <c r="BQ157" s="898"/>
      <c r="BR157" s="898"/>
      <c r="BS157" s="898"/>
      <c r="BT157" s="898"/>
      <c r="BU157" s="898"/>
      <c r="BV157" s="898"/>
      <c r="BW157" s="898"/>
      <c r="BX157" s="898"/>
      <c r="BY157" s="898"/>
      <c r="BZ157" s="898"/>
      <c r="CA157" s="898"/>
      <c r="CB157" s="898"/>
      <c r="CC157" s="898"/>
      <c r="CD157" s="898"/>
      <c r="CE157" s="898"/>
      <c r="CF157" s="898"/>
      <c r="CG157" s="898"/>
      <c r="CH157" s="898"/>
      <c r="CI157" s="898"/>
      <c r="CJ157" s="898"/>
      <c r="CK157" s="898"/>
      <c r="CL157" s="898"/>
      <c r="CM157" s="898"/>
      <c r="CN157" s="898"/>
      <c r="CO157" s="898"/>
      <c r="CP157" s="898"/>
      <c r="CQ157" s="898"/>
      <c r="CR157" s="898"/>
      <c r="CS157" s="898"/>
      <c r="CT157" s="898"/>
      <c r="CU157" s="898"/>
    </row>
    <row r="158" ht="16.5" customHeight="1">
      <c r="A158" s="718"/>
      <c r="B158" s="1195"/>
      <c r="C158" s="866"/>
      <c r="D158" s="968"/>
      <c r="E158" s="718"/>
      <c r="F158" s="718"/>
      <c r="G158" s="718"/>
      <c r="H158" s="718"/>
      <c r="I158" s="359"/>
      <c r="J158" s="359"/>
      <c r="K158" s="359"/>
      <c r="L158" s="359"/>
      <c r="M158" s="359"/>
      <c r="N158" s="359"/>
      <c r="O158" s="359"/>
      <c r="P158" s="359"/>
      <c r="Q158" s="359"/>
      <c r="R158" s="718"/>
      <c r="S158" s="669"/>
      <c r="T158" s="669"/>
      <c r="U158" s="967"/>
      <c r="V158" s="974"/>
      <c r="W158" s="1197"/>
      <c r="X158" s="974"/>
      <c r="Y158" s="974"/>
      <c r="Z158" s="974"/>
      <c r="AA158" s="974"/>
      <c r="AB158" s="974"/>
      <c r="AC158" s="974"/>
      <c r="AD158" s="974"/>
      <c r="AE158" s="974"/>
      <c r="AF158" s="974"/>
      <c r="AG158" s="974"/>
      <c r="AH158" s="974"/>
      <c r="AI158" s="1198"/>
      <c r="AJ158" s="974"/>
      <c r="AK158" s="1197"/>
      <c r="AL158" s="974"/>
      <c r="AM158" s="974"/>
      <c r="AN158" s="974"/>
      <c r="AO158" s="974"/>
      <c r="AP158" s="974"/>
      <c r="AQ158" s="974"/>
      <c r="AR158" s="974"/>
      <c r="AS158" s="974"/>
      <c r="AT158" s="974"/>
      <c r="AU158" s="974"/>
      <c r="AV158" s="974"/>
      <c r="AW158" s="1181"/>
      <c r="AX158" s="978"/>
      <c r="AY158" s="898"/>
      <c r="AZ158" s="898"/>
      <c r="BA158" s="898"/>
      <c r="BB158" s="898"/>
      <c r="BC158" s="898"/>
      <c r="BD158" s="898"/>
      <c r="BE158" s="898"/>
      <c r="BF158" s="898"/>
      <c r="BG158" s="898"/>
      <c r="BH158" s="898"/>
      <c r="BI158" s="898"/>
      <c r="BJ158" s="898"/>
      <c r="BK158" s="898"/>
      <c r="BL158" s="898"/>
      <c r="BM158" s="898"/>
      <c r="BN158" s="898"/>
      <c r="BO158" s="898"/>
      <c r="BP158" s="898"/>
      <c r="BQ158" s="898"/>
      <c r="BR158" s="898"/>
      <c r="BS158" s="898"/>
      <c r="BT158" s="898"/>
      <c r="BU158" s="898"/>
      <c r="BV158" s="898"/>
      <c r="BW158" s="898"/>
      <c r="BX158" s="898"/>
      <c r="BY158" s="898"/>
      <c r="BZ158" s="898"/>
      <c r="CA158" s="898"/>
      <c r="CB158" s="898"/>
      <c r="CC158" s="898"/>
      <c r="CD158" s="898"/>
      <c r="CE158" s="898"/>
      <c r="CF158" s="898"/>
      <c r="CG158" s="898"/>
      <c r="CH158" s="898"/>
      <c r="CI158" s="898"/>
      <c r="CJ158" s="898"/>
      <c r="CK158" s="898"/>
      <c r="CL158" s="898"/>
      <c r="CM158" s="898"/>
      <c r="CN158" s="898"/>
      <c r="CO158" s="898"/>
      <c r="CP158" s="898"/>
      <c r="CQ158" s="898"/>
      <c r="CR158" s="898"/>
      <c r="CS158" s="898"/>
      <c r="CT158" s="898"/>
      <c r="CU158" s="898"/>
    </row>
    <row r="159" ht="16.5" customHeight="1">
      <c r="A159" s="718"/>
      <c r="B159" s="1195"/>
      <c r="C159" s="866"/>
      <c r="D159" s="968"/>
      <c r="E159" s="718"/>
      <c r="F159" s="718"/>
      <c r="G159" s="718"/>
      <c r="H159" s="718"/>
      <c r="I159" s="359"/>
      <c r="J159" s="359"/>
      <c r="K159" s="359"/>
      <c r="L159" s="359"/>
      <c r="M159" s="359"/>
      <c r="N159" s="359"/>
      <c r="O159" s="359"/>
      <c r="P159" s="359"/>
      <c r="Q159" s="359"/>
      <c r="R159" s="718"/>
      <c r="S159" s="669"/>
      <c r="T159" s="669"/>
      <c r="U159" s="967"/>
      <c r="V159" s="974"/>
      <c r="W159" s="1197"/>
      <c r="X159" s="974"/>
      <c r="Y159" s="974"/>
      <c r="Z159" s="974"/>
      <c r="AA159" s="974"/>
      <c r="AB159" s="974"/>
      <c r="AC159" s="974"/>
      <c r="AD159" s="974"/>
      <c r="AE159" s="974"/>
      <c r="AF159" s="974"/>
      <c r="AG159" s="974"/>
      <c r="AH159" s="974"/>
      <c r="AI159" s="1198"/>
      <c r="AJ159" s="974"/>
      <c r="AK159" s="1197"/>
      <c r="AL159" s="974"/>
      <c r="AM159" s="974"/>
      <c r="AN159" s="974"/>
      <c r="AO159" s="974"/>
      <c r="AP159" s="974"/>
      <c r="AQ159" s="974"/>
      <c r="AR159" s="974"/>
      <c r="AS159" s="974"/>
      <c r="AT159" s="974"/>
      <c r="AU159" s="974"/>
      <c r="AV159" s="974"/>
      <c r="AW159" s="1181"/>
      <c r="AX159" s="978"/>
      <c r="AY159" s="898"/>
      <c r="AZ159" s="898"/>
      <c r="BA159" s="898"/>
      <c r="BB159" s="898"/>
      <c r="BC159" s="898"/>
      <c r="BD159" s="898"/>
      <c r="BE159" s="898"/>
      <c r="BF159" s="898"/>
      <c r="BG159" s="898"/>
      <c r="BH159" s="898"/>
      <c r="BI159" s="898"/>
      <c r="BJ159" s="898"/>
      <c r="BK159" s="898"/>
      <c r="BL159" s="898"/>
      <c r="BM159" s="898"/>
      <c r="BN159" s="898"/>
      <c r="BO159" s="898"/>
      <c r="BP159" s="898"/>
      <c r="BQ159" s="898"/>
      <c r="BR159" s="898"/>
      <c r="BS159" s="898"/>
      <c r="BT159" s="898"/>
      <c r="BU159" s="898"/>
      <c r="BV159" s="898"/>
      <c r="BW159" s="898"/>
      <c r="BX159" s="898"/>
      <c r="BY159" s="898"/>
      <c r="BZ159" s="898"/>
      <c r="CA159" s="898"/>
      <c r="CB159" s="898"/>
      <c r="CC159" s="898"/>
      <c r="CD159" s="898"/>
      <c r="CE159" s="898"/>
      <c r="CF159" s="898"/>
      <c r="CG159" s="898"/>
      <c r="CH159" s="898"/>
      <c r="CI159" s="898"/>
      <c r="CJ159" s="898"/>
      <c r="CK159" s="898"/>
      <c r="CL159" s="898"/>
      <c r="CM159" s="898"/>
      <c r="CN159" s="898"/>
      <c r="CO159" s="898"/>
      <c r="CP159" s="898"/>
      <c r="CQ159" s="898"/>
      <c r="CR159" s="898"/>
      <c r="CS159" s="898"/>
      <c r="CT159" s="898"/>
      <c r="CU159" s="898"/>
    </row>
    <row r="160" ht="16.5" customHeight="1">
      <c r="A160" s="718"/>
      <c r="B160" s="1195"/>
      <c r="C160" s="866"/>
      <c r="D160" s="968"/>
      <c r="E160" s="718"/>
      <c r="F160" s="718"/>
      <c r="G160" s="718"/>
      <c r="H160" s="718"/>
      <c r="I160" s="359"/>
      <c r="J160" s="359"/>
      <c r="K160" s="359"/>
      <c r="L160" s="359"/>
      <c r="M160" s="359"/>
      <c r="N160" s="359"/>
      <c r="O160" s="359"/>
      <c r="P160" s="359"/>
      <c r="Q160" s="359"/>
      <c r="R160" s="718"/>
      <c r="S160" s="669"/>
      <c r="T160" s="669"/>
      <c r="U160" s="967"/>
      <c r="V160" s="974"/>
      <c r="W160" s="1197"/>
      <c r="X160" s="974"/>
      <c r="Y160" s="974"/>
      <c r="Z160" s="974"/>
      <c r="AA160" s="974"/>
      <c r="AB160" s="974"/>
      <c r="AC160" s="974"/>
      <c r="AD160" s="974"/>
      <c r="AE160" s="974"/>
      <c r="AF160" s="974"/>
      <c r="AG160" s="974"/>
      <c r="AH160" s="974"/>
      <c r="AI160" s="1198"/>
      <c r="AJ160" s="974"/>
      <c r="AK160" s="1197"/>
      <c r="AL160" s="974"/>
      <c r="AM160" s="974"/>
      <c r="AN160" s="974"/>
      <c r="AO160" s="974"/>
      <c r="AP160" s="974"/>
      <c r="AQ160" s="974"/>
      <c r="AR160" s="974"/>
      <c r="AS160" s="974"/>
      <c r="AT160" s="974"/>
      <c r="AU160" s="974"/>
      <c r="AV160" s="974"/>
      <c r="AW160" s="1181"/>
      <c r="AX160" s="978"/>
      <c r="AY160" s="898"/>
      <c r="AZ160" s="898"/>
      <c r="BA160" s="898"/>
      <c r="BB160" s="898"/>
      <c r="BC160" s="898"/>
      <c r="BD160" s="898"/>
      <c r="BE160" s="898"/>
      <c r="BF160" s="898"/>
      <c r="BG160" s="898"/>
      <c r="BH160" s="898"/>
      <c r="BI160" s="898"/>
      <c r="BJ160" s="898"/>
      <c r="BK160" s="898"/>
      <c r="BL160" s="898"/>
      <c r="BM160" s="898"/>
      <c r="BN160" s="898"/>
      <c r="BO160" s="898"/>
      <c r="BP160" s="898"/>
      <c r="BQ160" s="898"/>
      <c r="BR160" s="898"/>
      <c r="BS160" s="898"/>
      <c r="BT160" s="898"/>
      <c r="BU160" s="898"/>
      <c r="BV160" s="898"/>
      <c r="BW160" s="898"/>
      <c r="BX160" s="898"/>
      <c r="BY160" s="898"/>
      <c r="BZ160" s="898"/>
      <c r="CA160" s="898"/>
      <c r="CB160" s="898"/>
      <c r="CC160" s="898"/>
      <c r="CD160" s="898"/>
      <c r="CE160" s="898"/>
      <c r="CF160" s="898"/>
      <c r="CG160" s="898"/>
      <c r="CH160" s="898"/>
      <c r="CI160" s="898"/>
      <c r="CJ160" s="898"/>
      <c r="CK160" s="898"/>
      <c r="CL160" s="898"/>
      <c r="CM160" s="898"/>
      <c r="CN160" s="898"/>
      <c r="CO160" s="898"/>
      <c r="CP160" s="898"/>
      <c r="CQ160" s="898"/>
      <c r="CR160" s="898"/>
      <c r="CS160" s="898"/>
      <c r="CT160" s="898"/>
      <c r="CU160" s="898"/>
    </row>
    <row r="161" ht="16.5" customHeight="1">
      <c r="A161" s="718"/>
      <c r="B161" s="1195"/>
      <c r="C161" s="866"/>
      <c r="D161" s="968"/>
      <c r="E161" s="718"/>
      <c r="F161" s="718"/>
      <c r="G161" s="718"/>
      <c r="H161" s="718"/>
      <c r="I161" s="359"/>
      <c r="J161" s="359"/>
      <c r="K161" s="359"/>
      <c r="L161" s="359"/>
      <c r="M161" s="359"/>
      <c r="N161" s="359"/>
      <c r="O161" s="359"/>
      <c r="P161" s="359"/>
      <c r="Q161" s="359"/>
      <c r="R161" s="718"/>
      <c r="S161" s="669"/>
      <c r="T161" s="669"/>
      <c r="U161" s="967"/>
      <c r="V161" s="974"/>
      <c r="W161" s="1197"/>
      <c r="X161" s="974"/>
      <c r="Y161" s="974"/>
      <c r="Z161" s="974"/>
      <c r="AA161" s="974"/>
      <c r="AB161" s="974"/>
      <c r="AC161" s="974"/>
      <c r="AD161" s="974"/>
      <c r="AE161" s="974"/>
      <c r="AF161" s="974"/>
      <c r="AG161" s="974"/>
      <c r="AH161" s="974"/>
      <c r="AI161" s="1198"/>
      <c r="AJ161" s="974"/>
      <c r="AK161" s="1197"/>
      <c r="AL161" s="974"/>
      <c r="AM161" s="974"/>
      <c r="AN161" s="974"/>
      <c r="AO161" s="974"/>
      <c r="AP161" s="974"/>
      <c r="AQ161" s="974"/>
      <c r="AR161" s="974"/>
      <c r="AS161" s="974"/>
      <c r="AT161" s="974"/>
      <c r="AU161" s="974"/>
      <c r="AV161" s="974"/>
      <c r="AW161" s="1181"/>
      <c r="AX161" s="978"/>
      <c r="AY161" s="898"/>
      <c r="AZ161" s="898"/>
      <c r="BA161" s="898"/>
      <c r="BB161" s="898"/>
      <c r="BC161" s="898"/>
      <c r="BD161" s="898"/>
      <c r="BE161" s="898"/>
      <c r="BF161" s="898"/>
      <c r="BG161" s="898"/>
      <c r="BH161" s="898"/>
      <c r="BI161" s="898"/>
      <c r="BJ161" s="898"/>
      <c r="BK161" s="898"/>
      <c r="BL161" s="898"/>
      <c r="BM161" s="898"/>
      <c r="BN161" s="898"/>
      <c r="BO161" s="898"/>
      <c r="BP161" s="898"/>
      <c r="BQ161" s="898"/>
      <c r="BR161" s="898"/>
      <c r="BS161" s="898"/>
      <c r="BT161" s="898"/>
      <c r="BU161" s="898"/>
      <c r="BV161" s="898"/>
      <c r="BW161" s="898"/>
      <c r="BX161" s="898"/>
      <c r="BY161" s="898"/>
      <c r="BZ161" s="898"/>
      <c r="CA161" s="898"/>
      <c r="CB161" s="898"/>
      <c r="CC161" s="898"/>
      <c r="CD161" s="898"/>
      <c r="CE161" s="898"/>
      <c r="CF161" s="898"/>
      <c r="CG161" s="898"/>
      <c r="CH161" s="898"/>
      <c r="CI161" s="898"/>
      <c r="CJ161" s="898"/>
      <c r="CK161" s="898"/>
      <c r="CL161" s="898"/>
      <c r="CM161" s="898"/>
      <c r="CN161" s="898"/>
      <c r="CO161" s="898"/>
      <c r="CP161" s="898"/>
      <c r="CQ161" s="898"/>
      <c r="CR161" s="898"/>
      <c r="CS161" s="898"/>
      <c r="CT161" s="898"/>
      <c r="CU161" s="898"/>
    </row>
    <row r="162" ht="16.5" customHeight="1">
      <c r="A162" s="718"/>
      <c r="B162" s="1195"/>
      <c r="C162" s="866"/>
      <c r="D162" s="968"/>
      <c r="E162" s="718"/>
      <c r="F162" s="718"/>
      <c r="G162" s="718"/>
      <c r="H162" s="718"/>
      <c r="I162" s="359"/>
      <c r="J162" s="359"/>
      <c r="K162" s="359"/>
      <c r="L162" s="359"/>
      <c r="M162" s="359"/>
      <c r="N162" s="359"/>
      <c r="O162" s="359"/>
      <c r="P162" s="359"/>
      <c r="Q162" s="359"/>
      <c r="R162" s="718"/>
      <c r="S162" s="669"/>
      <c r="T162" s="669"/>
      <c r="U162" s="967"/>
      <c r="V162" s="974"/>
      <c r="W162" s="1197"/>
      <c r="X162" s="974"/>
      <c r="Y162" s="974"/>
      <c r="Z162" s="974"/>
      <c r="AA162" s="974"/>
      <c r="AB162" s="974"/>
      <c r="AC162" s="974"/>
      <c r="AD162" s="974"/>
      <c r="AE162" s="974"/>
      <c r="AF162" s="974"/>
      <c r="AG162" s="974"/>
      <c r="AH162" s="974"/>
      <c r="AI162" s="1198"/>
      <c r="AJ162" s="974"/>
      <c r="AK162" s="1197"/>
      <c r="AL162" s="974"/>
      <c r="AM162" s="974"/>
      <c r="AN162" s="974"/>
      <c r="AO162" s="974"/>
      <c r="AP162" s="974"/>
      <c r="AQ162" s="974"/>
      <c r="AR162" s="974"/>
      <c r="AS162" s="974"/>
      <c r="AT162" s="974"/>
      <c r="AU162" s="974"/>
      <c r="AV162" s="974"/>
      <c r="AW162" s="1181"/>
      <c r="AX162" s="978"/>
      <c r="AY162" s="898"/>
      <c r="AZ162" s="898"/>
      <c r="BA162" s="898"/>
      <c r="BB162" s="898"/>
      <c r="BC162" s="898"/>
      <c r="BD162" s="898"/>
      <c r="BE162" s="898"/>
      <c r="BF162" s="898"/>
      <c r="BG162" s="898"/>
      <c r="BH162" s="898"/>
      <c r="BI162" s="898"/>
      <c r="BJ162" s="898"/>
      <c r="BK162" s="898"/>
      <c r="BL162" s="898"/>
      <c r="BM162" s="898"/>
      <c r="BN162" s="898"/>
      <c r="BO162" s="898"/>
      <c r="BP162" s="898"/>
      <c r="BQ162" s="898"/>
      <c r="BR162" s="898"/>
      <c r="BS162" s="898"/>
      <c r="BT162" s="898"/>
      <c r="BU162" s="898"/>
      <c r="BV162" s="898"/>
      <c r="BW162" s="898"/>
      <c r="BX162" s="898"/>
      <c r="BY162" s="898"/>
      <c r="BZ162" s="898"/>
      <c r="CA162" s="898"/>
      <c r="CB162" s="898"/>
      <c r="CC162" s="898"/>
      <c r="CD162" s="898"/>
      <c r="CE162" s="898"/>
      <c r="CF162" s="898"/>
      <c r="CG162" s="898"/>
      <c r="CH162" s="898"/>
      <c r="CI162" s="898"/>
      <c r="CJ162" s="898"/>
      <c r="CK162" s="898"/>
      <c r="CL162" s="898"/>
      <c r="CM162" s="898"/>
      <c r="CN162" s="898"/>
      <c r="CO162" s="898"/>
      <c r="CP162" s="898"/>
      <c r="CQ162" s="898"/>
      <c r="CR162" s="898"/>
      <c r="CS162" s="898"/>
      <c r="CT162" s="898"/>
      <c r="CU162" s="898"/>
    </row>
    <row r="163" ht="16.5" customHeight="1">
      <c r="A163" s="718"/>
      <c r="B163" s="1195"/>
      <c r="C163" s="866"/>
      <c r="D163" s="968"/>
      <c r="E163" s="718"/>
      <c r="F163" s="718"/>
      <c r="G163" s="718"/>
      <c r="H163" s="718"/>
      <c r="I163" s="359"/>
      <c r="J163" s="359"/>
      <c r="K163" s="359"/>
      <c r="L163" s="359"/>
      <c r="M163" s="359"/>
      <c r="N163" s="359"/>
      <c r="O163" s="359"/>
      <c r="P163" s="359"/>
      <c r="Q163" s="359"/>
      <c r="R163" s="718"/>
      <c r="S163" s="669"/>
      <c r="T163" s="669"/>
      <c r="U163" s="967"/>
      <c r="V163" s="974"/>
      <c r="W163" s="1197"/>
      <c r="X163" s="974"/>
      <c r="Y163" s="974"/>
      <c r="Z163" s="974"/>
      <c r="AA163" s="974"/>
      <c r="AB163" s="974"/>
      <c r="AC163" s="974"/>
      <c r="AD163" s="974"/>
      <c r="AE163" s="974"/>
      <c r="AF163" s="974"/>
      <c r="AG163" s="974"/>
      <c r="AH163" s="974"/>
      <c r="AI163" s="1198"/>
      <c r="AJ163" s="974"/>
      <c r="AK163" s="1197"/>
      <c r="AL163" s="974"/>
      <c r="AM163" s="974"/>
      <c r="AN163" s="974"/>
      <c r="AO163" s="974"/>
      <c r="AP163" s="974"/>
      <c r="AQ163" s="974"/>
      <c r="AR163" s="974"/>
      <c r="AS163" s="974"/>
      <c r="AT163" s="974"/>
      <c r="AU163" s="974"/>
      <c r="AV163" s="974"/>
      <c r="AW163" s="1181"/>
      <c r="AX163" s="978"/>
      <c r="AY163" s="898"/>
      <c r="AZ163" s="898"/>
      <c r="BA163" s="898"/>
      <c r="BB163" s="898"/>
      <c r="BC163" s="898"/>
      <c r="BD163" s="898"/>
      <c r="BE163" s="898"/>
      <c r="BF163" s="898"/>
      <c r="BG163" s="898"/>
      <c r="BH163" s="898"/>
      <c r="BI163" s="898"/>
      <c r="BJ163" s="898"/>
      <c r="BK163" s="898"/>
      <c r="BL163" s="898"/>
      <c r="BM163" s="898"/>
      <c r="BN163" s="898"/>
      <c r="BO163" s="898"/>
      <c r="BP163" s="898"/>
      <c r="BQ163" s="898"/>
      <c r="BR163" s="898"/>
      <c r="BS163" s="898"/>
      <c r="BT163" s="898"/>
      <c r="BU163" s="898"/>
      <c r="BV163" s="898"/>
      <c r="BW163" s="898"/>
      <c r="BX163" s="898"/>
      <c r="BY163" s="898"/>
      <c r="BZ163" s="898"/>
      <c r="CA163" s="898"/>
      <c r="CB163" s="898"/>
      <c r="CC163" s="898"/>
      <c r="CD163" s="898"/>
      <c r="CE163" s="898"/>
      <c r="CF163" s="898"/>
      <c r="CG163" s="898"/>
      <c r="CH163" s="898"/>
      <c r="CI163" s="898"/>
      <c r="CJ163" s="898"/>
      <c r="CK163" s="898"/>
      <c r="CL163" s="898"/>
      <c r="CM163" s="898"/>
      <c r="CN163" s="898"/>
      <c r="CO163" s="898"/>
      <c r="CP163" s="898"/>
      <c r="CQ163" s="898"/>
      <c r="CR163" s="898"/>
      <c r="CS163" s="898"/>
      <c r="CT163" s="898"/>
      <c r="CU163" s="898"/>
    </row>
    <row r="164" ht="16.5" customHeight="1">
      <c r="A164" s="718"/>
      <c r="B164" s="1195"/>
      <c r="C164" s="866"/>
      <c r="D164" s="968"/>
      <c r="E164" s="718"/>
      <c r="F164" s="718"/>
      <c r="G164" s="718"/>
      <c r="H164" s="718"/>
      <c r="I164" s="359"/>
      <c r="J164" s="359"/>
      <c r="K164" s="359"/>
      <c r="L164" s="359"/>
      <c r="M164" s="359"/>
      <c r="N164" s="359"/>
      <c r="O164" s="359"/>
      <c r="P164" s="359"/>
      <c r="Q164" s="359"/>
      <c r="R164" s="718"/>
      <c r="S164" s="669"/>
      <c r="T164" s="669"/>
      <c r="U164" s="967"/>
      <c r="V164" s="974"/>
      <c r="W164" s="1197"/>
      <c r="X164" s="974"/>
      <c r="Y164" s="974"/>
      <c r="Z164" s="974"/>
      <c r="AA164" s="974"/>
      <c r="AB164" s="974"/>
      <c r="AC164" s="974"/>
      <c r="AD164" s="974"/>
      <c r="AE164" s="974"/>
      <c r="AF164" s="974"/>
      <c r="AG164" s="974"/>
      <c r="AH164" s="974"/>
      <c r="AI164" s="1198"/>
      <c r="AJ164" s="974"/>
      <c r="AK164" s="1197"/>
      <c r="AL164" s="974"/>
      <c r="AM164" s="974"/>
      <c r="AN164" s="974"/>
      <c r="AO164" s="974"/>
      <c r="AP164" s="974"/>
      <c r="AQ164" s="974"/>
      <c r="AR164" s="974"/>
      <c r="AS164" s="974"/>
      <c r="AT164" s="974"/>
      <c r="AU164" s="974"/>
      <c r="AV164" s="974"/>
      <c r="AW164" s="1181"/>
      <c r="AX164" s="978"/>
      <c r="AY164" s="898"/>
      <c r="AZ164" s="898"/>
      <c r="BA164" s="898"/>
      <c r="BB164" s="898"/>
      <c r="BC164" s="898"/>
      <c r="BD164" s="898"/>
      <c r="BE164" s="898"/>
      <c r="BF164" s="898"/>
      <c r="BG164" s="898"/>
      <c r="BH164" s="898"/>
      <c r="BI164" s="898"/>
      <c r="BJ164" s="898"/>
      <c r="BK164" s="898"/>
      <c r="BL164" s="898"/>
      <c r="BM164" s="898"/>
      <c r="BN164" s="898"/>
      <c r="BO164" s="898"/>
      <c r="BP164" s="898"/>
      <c r="BQ164" s="898"/>
      <c r="BR164" s="898"/>
      <c r="BS164" s="898"/>
      <c r="BT164" s="898"/>
      <c r="BU164" s="898"/>
      <c r="BV164" s="898"/>
      <c r="BW164" s="898"/>
      <c r="BX164" s="898"/>
      <c r="BY164" s="898"/>
      <c r="BZ164" s="898"/>
      <c r="CA164" s="898"/>
      <c r="CB164" s="898"/>
      <c r="CC164" s="898"/>
      <c r="CD164" s="898"/>
      <c r="CE164" s="898"/>
      <c r="CF164" s="898"/>
      <c r="CG164" s="898"/>
      <c r="CH164" s="898"/>
      <c r="CI164" s="898"/>
      <c r="CJ164" s="898"/>
      <c r="CK164" s="898"/>
      <c r="CL164" s="898"/>
      <c r="CM164" s="898"/>
      <c r="CN164" s="898"/>
      <c r="CO164" s="898"/>
      <c r="CP164" s="898"/>
      <c r="CQ164" s="898"/>
      <c r="CR164" s="898"/>
      <c r="CS164" s="898"/>
      <c r="CT164" s="898"/>
      <c r="CU164" s="898"/>
    </row>
    <row r="165" ht="16.5" customHeight="1">
      <c r="A165" s="718"/>
      <c r="B165" s="1195"/>
      <c r="C165" s="866"/>
      <c r="D165" s="968"/>
      <c r="E165" s="718"/>
      <c r="F165" s="718"/>
      <c r="G165" s="718"/>
      <c r="H165" s="718"/>
      <c r="I165" s="359"/>
      <c r="J165" s="359"/>
      <c r="K165" s="359"/>
      <c r="L165" s="359"/>
      <c r="M165" s="359"/>
      <c r="N165" s="359"/>
      <c r="O165" s="359"/>
      <c r="P165" s="359"/>
      <c r="Q165" s="359"/>
      <c r="R165" s="718"/>
      <c r="S165" s="669"/>
      <c r="T165" s="669"/>
      <c r="U165" s="967"/>
      <c r="V165" s="974"/>
      <c r="W165" s="1197"/>
      <c r="X165" s="974"/>
      <c r="Y165" s="974"/>
      <c r="Z165" s="974"/>
      <c r="AA165" s="974"/>
      <c r="AB165" s="974"/>
      <c r="AC165" s="974"/>
      <c r="AD165" s="974"/>
      <c r="AE165" s="974"/>
      <c r="AF165" s="974"/>
      <c r="AG165" s="974"/>
      <c r="AH165" s="974"/>
      <c r="AI165" s="1198"/>
      <c r="AJ165" s="974"/>
      <c r="AK165" s="1197"/>
      <c r="AL165" s="974"/>
      <c r="AM165" s="974"/>
      <c r="AN165" s="974"/>
      <c r="AO165" s="974"/>
      <c r="AP165" s="974"/>
      <c r="AQ165" s="974"/>
      <c r="AR165" s="974"/>
      <c r="AS165" s="974"/>
      <c r="AT165" s="974"/>
      <c r="AU165" s="974"/>
      <c r="AV165" s="974"/>
      <c r="AW165" s="1181"/>
      <c r="AX165" s="978"/>
      <c r="AY165" s="898"/>
      <c r="AZ165" s="898"/>
      <c r="BA165" s="898"/>
      <c r="BB165" s="898"/>
      <c r="BC165" s="898"/>
      <c r="BD165" s="898"/>
      <c r="BE165" s="898"/>
      <c r="BF165" s="898"/>
      <c r="BG165" s="898"/>
      <c r="BH165" s="898"/>
      <c r="BI165" s="898"/>
      <c r="BJ165" s="898"/>
      <c r="BK165" s="898"/>
      <c r="BL165" s="898"/>
      <c r="BM165" s="898"/>
      <c r="BN165" s="898"/>
      <c r="BO165" s="898"/>
      <c r="BP165" s="898"/>
      <c r="BQ165" s="898"/>
      <c r="BR165" s="898"/>
      <c r="BS165" s="898"/>
      <c r="BT165" s="898"/>
      <c r="BU165" s="898"/>
      <c r="BV165" s="898"/>
      <c r="BW165" s="898"/>
      <c r="BX165" s="898"/>
      <c r="BY165" s="898"/>
      <c r="BZ165" s="898"/>
      <c r="CA165" s="898"/>
      <c r="CB165" s="898"/>
      <c r="CC165" s="898"/>
      <c r="CD165" s="898"/>
      <c r="CE165" s="898"/>
      <c r="CF165" s="898"/>
      <c r="CG165" s="898"/>
      <c r="CH165" s="898"/>
      <c r="CI165" s="898"/>
      <c r="CJ165" s="898"/>
      <c r="CK165" s="898"/>
      <c r="CL165" s="898"/>
      <c r="CM165" s="898"/>
      <c r="CN165" s="898"/>
      <c r="CO165" s="898"/>
      <c r="CP165" s="898"/>
      <c r="CQ165" s="898"/>
      <c r="CR165" s="898"/>
      <c r="CS165" s="898"/>
      <c r="CT165" s="898"/>
      <c r="CU165" s="898"/>
    </row>
    <row r="166" ht="16.5" customHeight="1">
      <c r="A166" s="718"/>
      <c r="B166" s="1195"/>
      <c r="C166" s="866"/>
      <c r="D166" s="968"/>
      <c r="E166" s="718"/>
      <c r="F166" s="718"/>
      <c r="G166" s="718"/>
      <c r="H166" s="718"/>
      <c r="I166" s="359"/>
      <c r="J166" s="359"/>
      <c r="K166" s="359"/>
      <c r="L166" s="359"/>
      <c r="M166" s="359"/>
      <c r="N166" s="359"/>
      <c r="O166" s="359"/>
      <c r="P166" s="359"/>
      <c r="Q166" s="359"/>
      <c r="R166" s="718"/>
      <c r="S166" s="669"/>
      <c r="T166" s="669"/>
      <c r="U166" s="967"/>
      <c r="V166" s="974"/>
      <c r="W166" s="1197"/>
      <c r="X166" s="974"/>
      <c r="Y166" s="974"/>
      <c r="Z166" s="974"/>
      <c r="AA166" s="974"/>
      <c r="AB166" s="974"/>
      <c r="AC166" s="974"/>
      <c r="AD166" s="974"/>
      <c r="AE166" s="974"/>
      <c r="AF166" s="974"/>
      <c r="AG166" s="974"/>
      <c r="AH166" s="974"/>
      <c r="AI166" s="1198"/>
      <c r="AJ166" s="974"/>
      <c r="AK166" s="1197"/>
      <c r="AL166" s="974"/>
      <c r="AM166" s="974"/>
      <c r="AN166" s="974"/>
      <c r="AO166" s="974"/>
      <c r="AP166" s="974"/>
      <c r="AQ166" s="974"/>
      <c r="AR166" s="974"/>
      <c r="AS166" s="974"/>
      <c r="AT166" s="974"/>
      <c r="AU166" s="974"/>
      <c r="AV166" s="974"/>
      <c r="AW166" s="1181"/>
      <c r="AX166" s="978"/>
      <c r="AY166" s="898"/>
      <c r="AZ166" s="898"/>
      <c r="BA166" s="898"/>
      <c r="BB166" s="898"/>
      <c r="BC166" s="898"/>
      <c r="BD166" s="898"/>
      <c r="BE166" s="898"/>
      <c r="BF166" s="898"/>
      <c r="BG166" s="898"/>
      <c r="BH166" s="898"/>
      <c r="BI166" s="898"/>
      <c r="BJ166" s="898"/>
      <c r="BK166" s="898"/>
      <c r="BL166" s="898"/>
      <c r="BM166" s="898"/>
      <c r="BN166" s="898"/>
      <c r="BO166" s="898"/>
      <c r="BP166" s="898"/>
      <c r="BQ166" s="898"/>
      <c r="BR166" s="898"/>
      <c r="BS166" s="898"/>
      <c r="BT166" s="898"/>
      <c r="BU166" s="898"/>
      <c r="BV166" s="898"/>
      <c r="BW166" s="898"/>
      <c r="BX166" s="898"/>
      <c r="BY166" s="898"/>
      <c r="BZ166" s="898"/>
      <c r="CA166" s="898"/>
      <c r="CB166" s="898"/>
      <c r="CC166" s="898"/>
      <c r="CD166" s="898"/>
      <c r="CE166" s="898"/>
      <c r="CF166" s="898"/>
      <c r="CG166" s="898"/>
      <c r="CH166" s="898"/>
      <c r="CI166" s="898"/>
      <c r="CJ166" s="898"/>
      <c r="CK166" s="898"/>
      <c r="CL166" s="898"/>
      <c r="CM166" s="898"/>
      <c r="CN166" s="898"/>
      <c r="CO166" s="898"/>
      <c r="CP166" s="898"/>
      <c r="CQ166" s="898"/>
      <c r="CR166" s="898"/>
      <c r="CS166" s="898"/>
      <c r="CT166" s="898"/>
      <c r="CU166" s="898"/>
    </row>
    <row r="167" ht="16.5" customHeight="1">
      <c r="A167" s="718"/>
      <c r="B167" s="1195"/>
      <c r="C167" s="866"/>
      <c r="D167" s="968"/>
      <c r="E167" s="718"/>
      <c r="F167" s="718"/>
      <c r="G167" s="718"/>
      <c r="H167" s="718"/>
      <c r="I167" s="359"/>
      <c r="J167" s="359"/>
      <c r="K167" s="359"/>
      <c r="L167" s="359"/>
      <c r="M167" s="359"/>
      <c r="N167" s="359"/>
      <c r="O167" s="359"/>
      <c r="P167" s="359"/>
      <c r="Q167" s="359"/>
      <c r="R167" s="718"/>
      <c r="S167" s="669"/>
      <c r="T167" s="669"/>
      <c r="U167" s="967"/>
      <c r="V167" s="974"/>
      <c r="W167" s="1197"/>
      <c r="X167" s="974"/>
      <c r="Y167" s="974"/>
      <c r="Z167" s="974"/>
      <c r="AA167" s="974"/>
      <c r="AB167" s="974"/>
      <c r="AC167" s="974"/>
      <c r="AD167" s="974"/>
      <c r="AE167" s="974"/>
      <c r="AF167" s="974"/>
      <c r="AG167" s="974"/>
      <c r="AH167" s="974"/>
      <c r="AI167" s="1198"/>
      <c r="AJ167" s="974"/>
      <c r="AK167" s="1197"/>
      <c r="AL167" s="974"/>
      <c r="AM167" s="974"/>
      <c r="AN167" s="974"/>
      <c r="AO167" s="974"/>
      <c r="AP167" s="974"/>
      <c r="AQ167" s="974"/>
      <c r="AR167" s="974"/>
      <c r="AS167" s="974"/>
      <c r="AT167" s="974"/>
      <c r="AU167" s="974"/>
      <c r="AV167" s="974"/>
      <c r="AW167" s="1181"/>
      <c r="AX167" s="978"/>
      <c r="AY167" s="898"/>
      <c r="AZ167" s="898"/>
      <c r="BA167" s="898"/>
      <c r="BB167" s="898"/>
      <c r="BC167" s="898"/>
      <c r="BD167" s="898"/>
      <c r="BE167" s="898"/>
      <c r="BF167" s="898"/>
      <c r="BG167" s="898"/>
      <c r="BH167" s="898"/>
      <c r="BI167" s="898"/>
      <c r="BJ167" s="898"/>
      <c r="BK167" s="898"/>
      <c r="BL167" s="898"/>
      <c r="BM167" s="898"/>
      <c r="BN167" s="898"/>
      <c r="BO167" s="898"/>
      <c r="BP167" s="898"/>
      <c r="BQ167" s="898"/>
      <c r="BR167" s="898"/>
      <c r="BS167" s="898"/>
      <c r="BT167" s="898"/>
      <c r="BU167" s="898"/>
      <c r="BV167" s="898"/>
      <c r="BW167" s="898"/>
      <c r="BX167" s="898"/>
      <c r="BY167" s="898"/>
      <c r="BZ167" s="898"/>
      <c r="CA167" s="898"/>
      <c r="CB167" s="898"/>
      <c r="CC167" s="898"/>
      <c r="CD167" s="898"/>
      <c r="CE167" s="898"/>
      <c r="CF167" s="898"/>
      <c r="CG167" s="898"/>
      <c r="CH167" s="898"/>
      <c r="CI167" s="898"/>
      <c r="CJ167" s="898"/>
      <c r="CK167" s="898"/>
      <c r="CL167" s="898"/>
      <c r="CM167" s="898"/>
      <c r="CN167" s="898"/>
      <c r="CO167" s="898"/>
      <c r="CP167" s="898"/>
      <c r="CQ167" s="898"/>
      <c r="CR167" s="898"/>
      <c r="CS167" s="898"/>
      <c r="CT167" s="898"/>
      <c r="CU167" s="898"/>
    </row>
    <row r="168" ht="16.5" customHeight="1">
      <c r="A168" s="718"/>
      <c r="B168" s="1195"/>
      <c r="C168" s="866"/>
      <c r="D168" s="968"/>
      <c r="E168" s="718"/>
      <c r="F168" s="718"/>
      <c r="G168" s="718"/>
      <c r="H168" s="718"/>
      <c r="I168" s="359"/>
      <c r="J168" s="359"/>
      <c r="K168" s="359"/>
      <c r="L168" s="359"/>
      <c r="M168" s="359"/>
      <c r="N168" s="359"/>
      <c r="O168" s="359"/>
      <c r="P168" s="359"/>
      <c r="Q168" s="359"/>
      <c r="R168" s="718"/>
      <c r="S168" s="669"/>
      <c r="T168" s="669"/>
      <c r="U168" s="967"/>
      <c r="V168" s="974"/>
      <c r="W168" s="1197"/>
      <c r="X168" s="974"/>
      <c r="Y168" s="974"/>
      <c r="Z168" s="974"/>
      <c r="AA168" s="974"/>
      <c r="AB168" s="974"/>
      <c r="AC168" s="974"/>
      <c r="AD168" s="974"/>
      <c r="AE168" s="974"/>
      <c r="AF168" s="974"/>
      <c r="AG168" s="974"/>
      <c r="AH168" s="974"/>
      <c r="AI168" s="1198"/>
      <c r="AJ168" s="974"/>
      <c r="AK168" s="1197"/>
      <c r="AL168" s="974"/>
      <c r="AM168" s="974"/>
      <c r="AN168" s="974"/>
      <c r="AO168" s="974"/>
      <c r="AP168" s="974"/>
      <c r="AQ168" s="974"/>
      <c r="AR168" s="974"/>
      <c r="AS168" s="974"/>
      <c r="AT168" s="974"/>
      <c r="AU168" s="974"/>
      <c r="AV168" s="974"/>
      <c r="AW168" s="1181"/>
      <c r="AX168" s="978"/>
      <c r="AY168" s="898"/>
      <c r="AZ168" s="898"/>
      <c r="BA168" s="898"/>
      <c r="BB168" s="898"/>
      <c r="BC168" s="898"/>
      <c r="BD168" s="898"/>
      <c r="BE168" s="898"/>
      <c r="BF168" s="898"/>
      <c r="BG168" s="898"/>
      <c r="BH168" s="898"/>
      <c r="BI168" s="898"/>
      <c r="BJ168" s="898"/>
      <c r="BK168" s="898"/>
      <c r="BL168" s="898"/>
      <c r="BM168" s="898"/>
      <c r="BN168" s="898"/>
      <c r="BO168" s="898"/>
      <c r="BP168" s="898"/>
      <c r="BQ168" s="898"/>
      <c r="BR168" s="898"/>
      <c r="BS168" s="898"/>
      <c r="BT168" s="898"/>
      <c r="BU168" s="898"/>
      <c r="BV168" s="898"/>
      <c r="BW168" s="898"/>
      <c r="BX168" s="898"/>
      <c r="BY168" s="898"/>
      <c r="BZ168" s="898"/>
      <c r="CA168" s="898"/>
      <c r="CB168" s="898"/>
      <c r="CC168" s="898"/>
      <c r="CD168" s="898"/>
      <c r="CE168" s="898"/>
      <c r="CF168" s="898"/>
      <c r="CG168" s="898"/>
      <c r="CH168" s="898"/>
      <c r="CI168" s="898"/>
      <c r="CJ168" s="898"/>
      <c r="CK168" s="898"/>
      <c r="CL168" s="898"/>
      <c r="CM168" s="898"/>
      <c r="CN168" s="898"/>
      <c r="CO168" s="898"/>
      <c r="CP168" s="898"/>
      <c r="CQ168" s="898"/>
      <c r="CR168" s="898"/>
      <c r="CS168" s="898"/>
      <c r="CT168" s="898"/>
      <c r="CU168" s="898"/>
    </row>
    <row r="169" ht="16.5" customHeight="1">
      <c r="A169" s="718"/>
      <c r="B169" s="1195"/>
      <c r="C169" s="866"/>
      <c r="D169" s="968"/>
      <c r="E169" s="718"/>
      <c r="F169" s="718"/>
      <c r="G169" s="718"/>
      <c r="H169" s="718"/>
      <c r="I169" s="359"/>
      <c r="J169" s="359"/>
      <c r="K169" s="359"/>
      <c r="L169" s="359"/>
      <c r="M169" s="359"/>
      <c r="N169" s="359"/>
      <c r="O169" s="359"/>
      <c r="P169" s="359"/>
      <c r="Q169" s="359"/>
      <c r="R169" s="718"/>
      <c r="S169" s="669"/>
      <c r="T169" s="669"/>
      <c r="U169" s="967"/>
      <c r="V169" s="974"/>
      <c r="W169" s="1197"/>
      <c r="X169" s="974"/>
      <c r="Y169" s="974"/>
      <c r="Z169" s="974"/>
      <c r="AA169" s="974"/>
      <c r="AB169" s="974"/>
      <c r="AC169" s="974"/>
      <c r="AD169" s="974"/>
      <c r="AE169" s="974"/>
      <c r="AF169" s="974"/>
      <c r="AG169" s="974"/>
      <c r="AH169" s="974"/>
      <c r="AI169" s="1198"/>
      <c r="AJ169" s="974"/>
      <c r="AK169" s="1197"/>
      <c r="AL169" s="974"/>
      <c r="AM169" s="974"/>
      <c r="AN169" s="974"/>
      <c r="AO169" s="974"/>
      <c r="AP169" s="974"/>
      <c r="AQ169" s="974"/>
      <c r="AR169" s="974"/>
      <c r="AS169" s="974"/>
      <c r="AT169" s="974"/>
      <c r="AU169" s="974"/>
      <c r="AV169" s="974"/>
      <c r="AW169" s="1181"/>
      <c r="AX169" s="978"/>
      <c r="AY169" s="898"/>
      <c r="AZ169" s="898"/>
      <c r="BA169" s="898"/>
      <c r="BB169" s="898"/>
      <c r="BC169" s="898"/>
      <c r="BD169" s="898"/>
      <c r="BE169" s="898"/>
      <c r="BF169" s="898"/>
      <c r="BG169" s="898"/>
      <c r="BH169" s="898"/>
      <c r="BI169" s="898"/>
      <c r="BJ169" s="898"/>
      <c r="BK169" s="898"/>
      <c r="BL169" s="898"/>
      <c r="BM169" s="898"/>
      <c r="BN169" s="898"/>
      <c r="BO169" s="898"/>
      <c r="BP169" s="898"/>
      <c r="BQ169" s="898"/>
      <c r="BR169" s="898"/>
      <c r="BS169" s="898"/>
      <c r="BT169" s="898"/>
      <c r="BU169" s="898"/>
      <c r="BV169" s="898"/>
      <c r="BW169" s="898"/>
      <c r="BX169" s="898"/>
      <c r="BY169" s="898"/>
      <c r="BZ169" s="898"/>
      <c r="CA169" s="898"/>
      <c r="CB169" s="898"/>
      <c r="CC169" s="898"/>
      <c r="CD169" s="898"/>
      <c r="CE169" s="898"/>
      <c r="CF169" s="898"/>
      <c r="CG169" s="898"/>
      <c r="CH169" s="898"/>
      <c r="CI169" s="898"/>
      <c r="CJ169" s="898"/>
      <c r="CK169" s="898"/>
      <c r="CL169" s="898"/>
      <c r="CM169" s="898"/>
      <c r="CN169" s="898"/>
      <c r="CO169" s="898"/>
      <c r="CP169" s="898"/>
      <c r="CQ169" s="898"/>
      <c r="CR169" s="898"/>
      <c r="CS169" s="898"/>
      <c r="CT169" s="898"/>
      <c r="CU169" s="898"/>
    </row>
    <row r="170" ht="16.5" customHeight="1">
      <c r="A170" s="718"/>
      <c r="B170" s="1195"/>
      <c r="C170" s="866"/>
      <c r="D170" s="968"/>
      <c r="E170" s="718"/>
      <c r="F170" s="718"/>
      <c r="G170" s="718"/>
      <c r="H170" s="718"/>
      <c r="I170" s="359"/>
      <c r="J170" s="359"/>
      <c r="K170" s="359"/>
      <c r="L170" s="359"/>
      <c r="M170" s="359"/>
      <c r="N170" s="359"/>
      <c r="O170" s="359"/>
      <c r="P170" s="359"/>
      <c r="Q170" s="359"/>
      <c r="R170" s="718"/>
      <c r="S170" s="669"/>
      <c r="T170" s="669"/>
      <c r="U170" s="967"/>
      <c r="V170" s="974"/>
      <c r="W170" s="1197"/>
      <c r="X170" s="974"/>
      <c r="Y170" s="974"/>
      <c r="Z170" s="974"/>
      <c r="AA170" s="974"/>
      <c r="AB170" s="974"/>
      <c r="AC170" s="974"/>
      <c r="AD170" s="974"/>
      <c r="AE170" s="974"/>
      <c r="AF170" s="974"/>
      <c r="AG170" s="974"/>
      <c r="AH170" s="974"/>
      <c r="AI170" s="1198"/>
      <c r="AJ170" s="974"/>
      <c r="AK170" s="1197"/>
      <c r="AL170" s="974"/>
      <c r="AM170" s="974"/>
      <c r="AN170" s="974"/>
      <c r="AO170" s="974"/>
      <c r="AP170" s="974"/>
      <c r="AQ170" s="974"/>
      <c r="AR170" s="974"/>
      <c r="AS170" s="974"/>
      <c r="AT170" s="974"/>
      <c r="AU170" s="974"/>
      <c r="AV170" s="974"/>
      <c r="AW170" s="1181"/>
      <c r="AX170" s="978"/>
      <c r="AY170" s="898"/>
      <c r="AZ170" s="898"/>
      <c r="BA170" s="898"/>
      <c r="BB170" s="898"/>
      <c r="BC170" s="898"/>
      <c r="BD170" s="898"/>
      <c r="BE170" s="898"/>
      <c r="BF170" s="898"/>
      <c r="BG170" s="898"/>
      <c r="BH170" s="898"/>
      <c r="BI170" s="898"/>
      <c r="BJ170" s="898"/>
      <c r="BK170" s="898"/>
      <c r="BL170" s="898"/>
      <c r="BM170" s="898"/>
      <c r="BN170" s="898"/>
      <c r="BO170" s="898"/>
      <c r="BP170" s="898"/>
      <c r="BQ170" s="898"/>
      <c r="BR170" s="898"/>
      <c r="BS170" s="898"/>
      <c r="BT170" s="898"/>
      <c r="BU170" s="898"/>
      <c r="BV170" s="898"/>
      <c r="BW170" s="898"/>
      <c r="BX170" s="898"/>
      <c r="BY170" s="898"/>
      <c r="BZ170" s="898"/>
      <c r="CA170" s="898"/>
      <c r="CB170" s="898"/>
      <c r="CC170" s="898"/>
      <c r="CD170" s="898"/>
      <c r="CE170" s="898"/>
      <c r="CF170" s="898"/>
      <c r="CG170" s="898"/>
      <c r="CH170" s="898"/>
      <c r="CI170" s="898"/>
      <c r="CJ170" s="898"/>
      <c r="CK170" s="898"/>
      <c r="CL170" s="898"/>
      <c r="CM170" s="898"/>
      <c r="CN170" s="898"/>
      <c r="CO170" s="898"/>
      <c r="CP170" s="898"/>
      <c r="CQ170" s="898"/>
      <c r="CR170" s="898"/>
      <c r="CS170" s="898"/>
      <c r="CT170" s="898"/>
      <c r="CU170" s="898"/>
    </row>
    <row r="171" ht="16.5" customHeight="1">
      <c r="A171" s="718"/>
      <c r="B171" s="1195"/>
      <c r="C171" s="866"/>
      <c r="D171" s="968"/>
      <c r="E171" s="718"/>
      <c r="F171" s="718"/>
      <c r="G171" s="718"/>
      <c r="H171" s="718"/>
      <c r="I171" s="359"/>
      <c r="J171" s="359"/>
      <c r="K171" s="359"/>
      <c r="L171" s="359"/>
      <c r="M171" s="359"/>
      <c r="N171" s="359"/>
      <c r="O171" s="359"/>
      <c r="P171" s="359"/>
      <c r="Q171" s="359"/>
      <c r="R171" s="718"/>
      <c r="S171" s="669"/>
      <c r="T171" s="669"/>
      <c r="U171" s="967"/>
      <c r="V171" s="974"/>
      <c r="W171" s="1197"/>
      <c r="X171" s="974"/>
      <c r="Y171" s="974"/>
      <c r="Z171" s="974"/>
      <c r="AA171" s="974"/>
      <c r="AB171" s="974"/>
      <c r="AC171" s="974"/>
      <c r="AD171" s="974"/>
      <c r="AE171" s="974"/>
      <c r="AF171" s="974"/>
      <c r="AG171" s="974"/>
      <c r="AH171" s="974"/>
      <c r="AI171" s="1198"/>
      <c r="AJ171" s="974"/>
      <c r="AK171" s="1197"/>
      <c r="AL171" s="974"/>
      <c r="AM171" s="974"/>
      <c r="AN171" s="974"/>
      <c r="AO171" s="974"/>
      <c r="AP171" s="974"/>
      <c r="AQ171" s="974"/>
      <c r="AR171" s="974"/>
      <c r="AS171" s="974"/>
      <c r="AT171" s="974"/>
      <c r="AU171" s="974"/>
      <c r="AV171" s="974"/>
      <c r="AW171" s="1181"/>
      <c r="AX171" s="978"/>
      <c r="AY171" s="898"/>
      <c r="AZ171" s="898"/>
      <c r="BA171" s="898"/>
      <c r="BB171" s="898"/>
      <c r="BC171" s="898"/>
      <c r="BD171" s="898"/>
      <c r="BE171" s="898"/>
      <c r="BF171" s="898"/>
      <c r="BG171" s="898"/>
      <c r="BH171" s="898"/>
      <c r="BI171" s="898"/>
      <c r="BJ171" s="898"/>
      <c r="BK171" s="898"/>
      <c r="BL171" s="898"/>
      <c r="BM171" s="898"/>
      <c r="BN171" s="898"/>
      <c r="BO171" s="898"/>
      <c r="BP171" s="898"/>
      <c r="BQ171" s="898"/>
      <c r="BR171" s="898"/>
      <c r="BS171" s="898"/>
      <c r="BT171" s="898"/>
      <c r="BU171" s="898"/>
      <c r="BV171" s="898"/>
      <c r="BW171" s="898"/>
      <c r="BX171" s="898"/>
      <c r="BY171" s="898"/>
      <c r="BZ171" s="898"/>
      <c r="CA171" s="898"/>
      <c r="CB171" s="898"/>
      <c r="CC171" s="898"/>
      <c r="CD171" s="898"/>
      <c r="CE171" s="898"/>
      <c r="CF171" s="898"/>
      <c r="CG171" s="898"/>
      <c r="CH171" s="898"/>
      <c r="CI171" s="898"/>
      <c r="CJ171" s="898"/>
      <c r="CK171" s="898"/>
      <c r="CL171" s="898"/>
      <c r="CM171" s="898"/>
      <c r="CN171" s="898"/>
      <c r="CO171" s="898"/>
      <c r="CP171" s="898"/>
      <c r="CQ171" s="898"/>
      <c r="CR171" s="898"/>
      <c r="CS171" s="898"/>
      <c r="CT171" s="898"/>
      <c r="CU171" s="898"/>
    </row>
    <row r="172" ht="16.5" customHeight="1">
      <c r="A172" s="718"/>
      <c r="B172" s="1195"/>
      <c r="C172" s="866"/>
      <c r="D172" s="968"/>
      <c r="E172" s="718"/>
      <c r="F172" s="718"/>
      <c r="G172" s="718"/>
      <c r="H172" s="718"/>
      <c r="I172" s="359"/>
      <c r="J172" s="359"/>
      <c r="K172" s="359"/>
      <c r="L172" s="359"/>
      <c r="M172" s="359"/>
      <c r="N172" s="359"/>
      <c r="O172" s="359"/>
      <c r="P172" s="359"/>
      <c r="Q172" s="359"/>
      <c r="R172" s="718"/>
      <c r="S172" s="669"/>
      <c r="T172" s="669"/>
      <c r="U172" s="967"/>
      <c r="V172" s="974"/>
      <c r="W172" s="1197"/>
      <c r="X172" s="974"/>
      <c r="Y172" s="974"/>
      <c r="Z172" s="974"/>
      <c r="AA172" s="974"/>
      <c r="AB172" s="974"/>
      <c r="AC172" s="974"/>
      <c r="AD172" s="974"/>
      <c r="AE172" s="974"/>
      <c r="AF172" s="974"/>
      <c r="AG172" s="974"/>
      <c r="AH172" s="974"/>
      <c r="AI172" s="1198"/>
      <c r="AJ172" s="974"/>
      <c r="AK172" s="1197"/>
      <c r="AL172" s="974"/>
      <c r="AM172" s="974"/>
      <c r="AN172" s="974"/>
      <c r="AO172" s="974"/>
      <c r="AP172" s="974"/>
      <c r="AQ172" s="974"/>
      <c r="AR172" s="974"/>
      <c r="AS172" s="974"/>
      <c r="AT172" s="974"/>
      <c r="AU172" s="974"/>
      <c r="AV172" s="974"/>
      <c r="AW172" s="1181"/>
      <c r="AX172" s="978"/>
      <c r="AY172" s="898"/>
      <c r="AZ172" s="898"/>
      <c r="BA172" s="898"/>
      <c r="BB172" s="898"/>
      <c r="BC172" s="898"/>
      <c r="BD172" s="898"/>
      <c r="BE172" s="898"/>
      <c r="BF172" s="898"/>
      <c r="BG172" s="898"/>
      <c r="BH172" s="898"/>
      <c r="BI172" s="898"/>
      <c r="BJ172" s="898"/>
      <c r="BK172" s="898"/>
      <c r="BL172" s="898"/>
      <c r="BM172" s="898"/>
      <c r="BN172" s="898"/>
      <c r="BO172" s="898"/>
      <c r="BP172" s="898"/>
      <c r="BQ172" s="898"/>
      <c r="BR172" s="898"/>
      <c r="BS172" s="898"/>
      <c r="BT172" s="898"/>
      <c r="BU172" s="898"/>
      <c r="BV172" s="898"/>
      <c r="BW172" s="898"/>
      <c r="BX172" s="898"/>
      <c r="BY172" s="898"/>
      <c r="BZ172" s="898"/>
      <c r="CA172" s="898"/>
      <c r="CB172" s="898"/>
      <c r="CC172" s="898"/>
      <c r="CD172" s="898"/>
      <c r="CE172" s="898"/>
      <c r="CF172" s="898"/>
      <c r="CG172" s="898"/>
      <c r="CH172" s="898"/>
      <c r="CI172" s="898"/>
      <c r="CJ172" s="898"/>
      <c r="CK172" s="898"/>
      <c r="CL172" s="898"/>
      <c r="CM172" s="898"/>
      <c r="CN172" s="898"/>
      <c r="CO172" s="898"/>
      <c r="CP172" s="898"/>
      <c r="CQ172" s="898"/>
      <c r="CR172" s="898"/>
      <c r="CS172" s="898"/>
      <c r="CT172" s="898"/>
      <c r="CU172" s="898"/>
    </row>
    <row r="173" ht="16.5" customHeight="1">
      <c r="A173" s="718"/>
      <c r="B173" s="1195"/>
      <c r="C173" s="866"/>
      <c r="D173" s="968"/>
      <c r="E173" s="718"/>
      <c r="F173" s="718"/>
      <c r="G173" s="718"/>
      <c r="H173" s="718"/>
      <c r="I173" s="359"/>
      <c r="J173" s="359"/>
      <c r="K173" s="359"/>
      <c r="L173" s="359"/>
      <c r="M173" s="359"/>
      <c r="N173" s="359"/>
      <c r="O173" s="359"/>
      <c r="P173" s="359"/>
      <c r="Q173" s="359"/>
      <c r="R173" s="718"/>
      <c r="S173" s="669"/>
      <c r="T173" s="669"/>
      <c r="U173" s="967"/>
      <c r="V173" s="974"/>
      <c r="W173" s="1197"/>
      <c r="X173" s="974"/>
      <c r="Y173" s="974"/>
      <c r="Z173" s="974"/>
      <c r="AA173" s="974"/>
      <c r="AB173" s="974"/>
      <c r="AC173" s="974"/>
      <c r="AD173" s="974"/>
      <c r="AE173" s="974"/>
      <c r="AF173" s="974"/>
      <c r="AG173" s="974"/>
      <c r="AH173" s="974"/>
      <c r="AI173" s="1198"/>
      <c r="AJ173" s="974"/>
      <c r="AK173" s="1197"/>
      <c r="AL173" s="974"/>
      <c r="AM173" s="974"/>
      <c r="AN173" s="974"/>
      <c r="AO173" s="974"/>
      <c r="AP173" s="974"/>
      <c r="AQ173" s="974"/>
      <c r="AR173" s="974"/>
      <c r="AS173" s="974"/>
      <c r="AT173" s="974"/>
      <c r="AU173" s="974"/>
      <c r="AV173" s="974"/>
      <c r="AW173" s="1181"/>
      <c r="AX173" s="978"/>
      <c r="AY173" s="898"/>
      <c r="AZ173" s="898"/>
      <c r="BA173" s="898"/>
      <c r="BB173" s="898"/>
      <c r="BC173" s="898"/>
      <c r="BD173" s="898"/>
      <c r="BE173" s="898"/>
      <c r="BF173" s="898"/>
      <c r="BG173" s="898"/>
      <c r="BH173" s="898"/>
      <c r="BI173" s="898"/>
      <c r="BJ173" s="898"/>
      <c r="BK173" s="898"/>
      <c r="BL173" s="898"/>
      <c r="BM173" s="898"/>
      <c r="BN173" s="898"/>
      <c r="BO173" s="898"/>
      <c r="BP173" s="898"/>
      <c r="BQ173" s="898"/>
      <c r="BR173" s="898"/>
      <c r="BS173" s="898"/>
      <c r="BT173" s="898"/>
      <c r="BU173" s="898"/>
      <c r="BV173" s="898"/>
      <c r="BW173" s="898"/>
      <c r="BX173" s="898"/>
      <c r="BY173" s="898"/>
      <c r="BZ173" s="898"/>
      <c r="CA173" s="898"/>
      <c r="CB173" s="898"/>
      <c r="CC173" s="898"/>
      <c r="CD173" s="898"/>
      <c r="CE173" s="898"/>
      <c r="CF173" s="898"/>
      <c r="CG173" s="898"/>
      <c r="CH173" s="898"/>
      <c r="CI173" s="898"/>
      <c r="CJ173" s="898"/>
      <c r="CK173" s="898"/>
      <c r="CL173" s="898"/>
      <c r="CM173" s="898"/>
      <c r="CN173" s="898"/>
      <c r="CO173" s="898"/>
      <c r="CP173" s="898"/>
      <c r="CQ173" s="898"/>
      <c r="CR173" s="898"/>
      <c r="CS173" s="898"/>
      <c r="CT173" s="898"/>
      <c r="CU173" s="898"/>
    </row>
    <row r="174" ht="16.5" customHeight="1">
      <c r="A174" s="718"/>
      <c r="B174" s="1195"/>
      <c r="C174" s="866"/>
      <c r="D174" s="968"/>
      <c r="E174" s="718"/>
      <c r="F174" s="718"/>
      <c r="G174" s="718"/>
      <c r="H174" s="718"/>
      <c r="I174" s="359"/>
      <c r="J174" s="359"/>
      <c r="K174" s="359"/>
      <c r="L174" s="359"/>
      <c r="M174" s="359"/>
      <c r="N174" s="359"/>
      <c r="O174" s="359"/>
      <c r="P174" s="359"/>
      <c r="Q174" s="359"/>
      <c r="R174" s="718"/>
      <c r="S174" s="669"/>
      <c r="T174" s="669"/>
      <c r="U174" s="967"/>
      <c r="V174" s="974"/>
      <c r="W174" s="1197"/>
      <c r="X174" s="974"/>
      <c r="Y174" s="974"/>
      <c r="Z174" s="974"/>
      <c r="AA174" s="974"/>
      <c r="AB174" s="974"/>
      <c r="AC174" s="974"/>
      <c r="AD174" s="974"/>
      <c r="AE174" s="974"/>
      <c r="AF174" s="974"/>
      <c r="AG174" s="974"/>
      <c r="AH174" s="974"/>
      <c r="AI174" s="1198"/>
      <c r="AJ174" s="974"/>
      <c r="AK174" s="1197"/>
      <c r="AL174" s="974"/>
      <c r="AM174" s="974"/>
      <c r="AN174" s="974"/>
      <c r="AO174" s="974"/>
      <c r="AP174" s="974"/>
      <c r="AQ174" s="974"/>
      <c r="AR174" s="974"/>
      <c r="AS174" s="974"/>
      <c r="AT174" s="974"/>
      <c r="AU174" s="974"/>
      <c r="AV174" s="974"/>
      <c r="AW174" s="1181"/>
      <c r="AX174" s="978"/>
      <c r="AY174" s="898"/>
      <c r="AZ174" s="898"/>
      <c r="BA174" s="898"/>
      <c r="BB174" s="898"/>
      <c r="BC174" s="898"/>
      <c r="BD174" s="898"/>
      <c r="BE174" s="898"/>
      <c r="BF174" s="898"/>
      <c r="BG174" s="898"/>
      <c r="BH174" s="898"/>
      <c r="BI174" s="898"/>
      <c r="BJ174" s="898"/>
      <c r="BK174" s="898"/>
      <c r="BL174" s="898"/>
      <c r="BM174" s="898"/>
      <c r="BN174" s="898"/>
      <c r="BO174" s="898"/>
      <c r="BP174" s="898"/>
      <c r="BQ174" s="898"/>
      <c r="BR174" s="898"/>
      <c r="BS174" s="898"/>
      <c r="BT174" s="898"/>
      <c r="BU174" s="898"/>
      <c r="BV174" s="898"/>
      <c r="BW174" s="898"/>
      <c r="BX174" s="898"/>
      <c r="BY174" s="898"/>
      <c r="BZ174" s="898"/>
      <c r="CA174" s="898"/>
      <c r="CB174" s="898"/>
      <c r="CC174" s="898"/>
      <c r="CD174" s="898"/>
      <c r="CE174" s="898"/>
      <c r="CF174" s="898"/>
      <c r="CG174" s="898"/>
      <c r="CH174" s="898"/>
      <c r="CI174" s="898"/>
      <c r="CJ174" s="898"/>
      <c r="CK174" s="898"/>
      <c r="CL174" s="898"/>
      <c r="CM174" s="898"/>
      <c r="CN174" s="898"/>
      <c r="CO174" s="898"/>
      <c r="CP174" s="898"/>
      <c r="CQ174" s="898"/>
      <c r="CR174" s="898"/>
      <c r="CS174" s="898"/>
      <c r="CT174" s="898"/>
      <c r="CU174" s="898"/>
    </row>
    <row r="175" ht="16.5" customHeight="1">
      <c r="A175" s="718"/>
      <c r="B175" s="1195"/>
      <c r="C175" s="866"/>
      <c r="D175" s="968"/>
      <c r="E175" s="718"/>
      <c r="F175" s="718"/>
      <c r="G175" s="718"/>
      <c r="H175" s="718"/>
      <c r="I175" s="359"/>
      <c r="J175" s="359"/>
      <c r="K175" s="359"/>
      <c r="L175" s="359"/>
      <c r="M175" s="359"/>
      <c r="N175" s="359"/>
      <c r="O175" s="359"/>
      <c r="P175" s="359"/>
      <c r="Q175" s="359"/>
      <c r="R175" s="718"/>
      <c r="S175" s="669"/>
      <c r="T175" s="669"/>
      <c r="U175" s="967"/>
      <c r="V175" s="974"/>
      <c r="W175" s="1197"/>
      <c r="X175" s="974"/>
      <c r="Y175" s="974"/>
      <c r="Z175" s="974"/>
      <c r="AA175" s="974"/>
      <c r="AB175" s="974"/>
      <c r="AC175" s="974"/>
      <c r="AD175" s="974"/>
      <c r="AE175" s="974"/>
      <c r="AF175" s="974"/>
      <c r="AG175" s="974"/>
      <c r="AH175" s="974"/>
      <c r="AI175" s="1198"/>
      <c r="AJ175" s="974"/>
      <c r="AK175" s="1197"/>
      <c r="AL175" s="974"/>
      <c r="AM175" s="974"/>
      <c r="AN175" s="974"/>
      <c r="AO175" s="974"/>
      <c r="AP175" s="974"/>
      <c r="AQ175" s="974"/>
      <c r="AR175" s="974"/>
      <c r="AS175" s="974"/>
      <c r="AT175" s="974"/>
      <c r="AU175" s="974"/>
      <c r="AV175" s="974"/>
      <c r="AW175" s="1181"/>
      <c r="AX175" s="978"/>
      <c r="AY175" s="898"/>
      <c r="AZ175" s="898"/>
      <c r="BA175" s="898"/>
      <c r="BB175" s="898"/>
      <c r="BC175" s="898"/>
      <c r="BD175" s="898"/>
      <c r="BE175" s="898"/>
      <c r="BF175" s="898"/>
      <c r="BG175" s="898"/>
      <c r="BH175" s="898"/>
      <c r="BI175" s="898"/>
      <c r="BJ175" s="898"/>
      <c r="BK175" s="898"/>
      <c r="BL175" s="898"/>
      <c r="BM175" s="898"/>
      <c r="BN175" s="898"/>
      <c r="BO175" s="898"/>
      <c r="BP175" s="898"/>
      <c r="BQ175" s="898"/>
      <c r="BR175" s="898"/>
      <c r="BS175" s="898"/>
      <c r="BT175" s="898"/>
      <c r="BU175" s="898"/>
      <c r="BV175" s="898"/>
      <c r="BW175" s="898"/>
      <c r="BX175" s="898"/>
      <c r="BY175" s="898"/>
      <c r="BZ175" s="898"/>
      <c r="CA175" s="898"/>
      <c r="CB175" s="898"/>
      <c r="CC175" s="898"/>
      <c r="CD175" s="898"/>
      <c r="CE175" s="898"/>
      <c r="CF175" s="898"/>
      <c r="CG175" s="898"/>
      <c r="CH175" s="898"/>
      <c r="CI175" s="898"/>
      <c r="CJ175" s="898"/>
      <c r="CK175" s="898"/>
      <c r="CL175" s="898"/>
      <c r="CM175" s="898"/>
      <c r="CN175" s="898"/>
      <c r="CO175" s="898"/>
      <c r="CP175" s="898"/>
      <c r="CQ175" s="898"/>
      <c r="CR175" s="898"/>
      <c r="CS175" s="898"/>
      <c r="CT175" s="898"/>
      <c r="CU175" s="898"/>
    </row>
    <row r="176" ht="16.5" customHeight="1">
      <c r="A176" s="718"/>
      <c r="B176" s="1195"/>
      <c r="C176" s="866"/>
      <c r="D176" s="968"/>
      <c r="E176" s="718"/>
      <c r="F176" s="718"/>
      <c r="G176" s="718"/>
      <c r="H176" s="718"/>
      <c r="I176" s="359"/>
      <c r="J176" s="359"/>
      <c r="K176" s="359"/>
      <c r="L176" s="359"/>
      <c r="M176" s="359"/>
      <c r="N176" s="359"/>
      <c r="O176" s="359"/>
      <c r="P176" s="359"/>
      <c r="Q176" s="359"/>
      <c r="R176" s="718"/>
      <c r="S176" s="669"/>
      <c r="T176" s="669"/>
      <c r="U176" s="967"/>
      <c r="V176" s="974"/>
      <c r="W176" s="1197"/>
      <c r="X176" s="974"/>
      <c r="Y176" s="974"/>
      <c r="Z176" s="974"/>
      <c r="AA176" s="974"/>
      <c r="AB176" s="974"/>
      <c r="AC176" s="974"/>
      <c r="AD176" s="974"/>
      <c r="AE176" s="974"/>
      <c r="AF176" s="974"/>
      <c r="AG176" s="974"/>
      <c r="AH176" s="974"/>
      <c r="AI176" s="1198"/>
      <c r="AJ176" s="974"/>
      <c r="AK176" s="1197"/>
      <c r="AL176" s="974"/>
      <c r="AM176" s="974"/>
      <c r="AN176" s="974"/>
      <c r="AO176" s="974"/>
      <c r="AP176" s="974"/>
      <c r="AQ176" s="974"/>
      <c r="AR176" s="974"/>
      <c r="AS176" s="974"/>
      <c r="AT176" s="974"/>
      <c r="AU176" s="974"/>
      <c r="AV176" s="974"/>
      <c r="AW176" s="1181"/>
      <c r="AX176" s="978"/>
      <c r="AY176" s="898"/>
      <c r="AZ176" s="898"/>
      <c r="BA176" s="898"/>
      <c r="BB176" s="898"/>
      <c r="BC176" s="898"/>
      <c r="BD176" s="898"/>
      <c r="BE176" s="898"/>
      <c r="BF176" s="898"/>
      <c r="BG176" s="898"/>
      <c r="BH176" s="898"/>
      <c r="BI176" s="898"/>
      <c r="BJ176" s="898"/>
      <c r="BK176" s="898"/>
      <c r="BL176" s="898"/>
      <c r="BM176" s="898"/>
      <c r="BN176" s="898"/>
      <c r="BO176" s="898"/>
      <c r="BP176" s="898"/>
      <c r="BQ176" s="898"/>
      <c r="BR176" s="898"/>
      <c r="BS176" s="898"/>
      <c r="BT176" s="898"/>
      <c r="BU176" s="898"/>
      <c r="BV176" s="898"/>
      <c r="BW176" s="898"/>
      <c r="BX176" s="898"/>
      <c r="BY176" s="898"/>
      <c r="BZ176" s="898"/>
      <c r="CA176" s="898"/>
      <c r="CB176" s="898"/>
      <c r="CC176" s="898"/>
      <c r="CD176" s="898"/>
      <c r="CE176" s="898"/>
      <c r="CF176" s="898"/>
      <c r="CG176" s="898"/>
      <c r="CH176" s="898"/>
      <c r="CI176" s="898"/>
      <c r="CJ176" s="898"/>
      <c r="CK176" s="898"/>
      <c r="CL176" s="898"/>
      <c r="CM176" s="898"/>
      <c r="CN176" s="898"/>
      <c r="CO176" s="898"/>
      <c r="CP176" s="898"/>
      <c r="CQ176" s="898"/>
      <c r="CR176" s="898"/>
      <c r="CS176" s="898"/>
      <c r="CT176" s="898"/>
      <c r="CU176" s="898"/>
    </row>
    <row r="177" ht="16.5" customHeight="1">
      <c r="A177" s="718"/>
      <c r="B177" s="1195"/>
      <c r="C177" s="866"/>
      <c r="D177" s="968"/>
      <c r="E177" s="718"/>
      <c r="F177" s="718"/>
      <c r="G177" s="718"/>
      <c r="H177" s="718"/>
      <c r="I177" s="359"/>
      <c r="J177" s="359"/>
      <c r="K177" s="359"/>
      <c r="L177" s="359"/>
      <c r="M177" s="359"/>
      <c r="N177" s="359"/>
      <c r="O177" s="359"/>
      <c r="P177" s="359"/>
      <c r="Q177" s="359"/>
      <c r="R177" s="718"/>
      <c r="S177" s="669"/>
      <c r="T177" s="669"/>
      <c r="U177" s="967"/>
      <c r="V177" s="974"/>
      <c r="W177" s="1197"/>
      <c r="X177" s="974"/>
      <c r="Y177" s="974"/>
      <c r="Z177" s="974"/>
      <c r="AA177" s="974"/>
      <c r="AB177" s="974"/>
      <c r="AC177" s="974"/>
      <c r="AD177" s="974"/>
      <c r="AE177" s="974"/>
      <c r="AF177" s="974"/>
      <c r="AG177" s="974"/>
      <c r="AH177" s="974"/>
      <c r="AI177" s="1198"/>
      <c r="AJ177" s="974"/>
      <c r="AK177" s="1197"/>
      <c r="AL177" s="974"/>
      <c r="AM177" s="974"/>
      <c r="AN177" s="974"/>
      <c r="AO177" s="974"/>
      <c r="AP177" s="974"/>
      <c r="AQ177" s="974"/>
      <c r="AR177" s="974"/>
      <c r="AS177" s="974"/>
      <c r="AT177" s="974"/>
      <c r="AU177" s="974"/>
      <c r="AV177" s="974"/>
      <c r="AW177" s="1181"/>
      <c r="AX177" s="978"/>
      <c r="AY177" s="898"/>
      <c r="AZ177" s="898"/>
      <c r="BA177" s="898"/>
      <c r="BB177" s="898"/>
      <c r="BC177" s="898"/>
      <c r="BD177" s="898"/>
      <c r="BE177" s="898"/>
      <c r="BF177" s="898"/>
      <c r="BG177" s="898"/>
      <c r="BH177" s="898"/>
      <c r="BI177" s="898"/>
      <c r="BJ177" s="898"/>
      <c r="BK177" s="898"/>
      <c r="BL177" s="898"/>
      <c r="BM177" s="898"/>
      <c r="BN177" s="898"/>
      <c r="BO177" s="898"/>
      <c r="BP177" s="898"/>
      <c r="BQ177" s="898"/>
      <c r="BR177" s="898"/>
      <c r="BS177" s="898"/>
      <c r="BT177" s="898"/>
      <c r="BU177" s="898"/>
      <c r="BV177" s="898"/>
      <c r="BW177" s="898"/>
      <c r="BX177" s="898"/>
      <c r="BY177" s="898"/>
      <c r="BZ177" s="898"/>
      <c r="CA177" s="898"/>
      <c r="CB177" s="898"/>
      <c r="CC177" s="898"/>
      <c r="CD177" s="898"/>
      <c r="CE177" s="898"/>
      <c r="CF177" s="898"/>
      <c r="CG177" s="898"/>
      <c r="CH177" s="898"/>
      <c r="CI177" s="898"/>
      <c r="CJ177" s="898"/>
      <c r="CK177" s="898"/>
      <c r="CL177" s="898"/>
      <c r="CM177" s="898"/>
      <c r="CN177" s="898"/>
      <c r="CO177" s="898"/>
      <c r="CP177" s="898"/>
      <c r="CQ177" s="898"/>
      <c r="CR177" s="898"/>
      <c r="CS177" s="898"/>
      <c r="CT177" s="898"/>
      <c r="CU177" s="898"/>
    </row>
    <row r="178" ht="16.5" customHeight="1">
      <c r="A178" s="718"/>
      <c r="B178" s="1195"/>
      <c r="C178" s="866"/>
      <c r="D178" s="968"/>
      <c r="E178" s="718"/>
      <c r="F178" s="718"/>
      <c r="G178" s="718"/>
      <c r="H178" s="718"/>
      <c r="I178" s="359"/>
      <c r="J178" s="359"/>
      <c r="K178" s="359"/>
      <c r="L178" s="359"/>
      <c r="M178" s="359"/>
      <c r="N178" s="359"/>
      <c r="O178" s="359"/>
      <c r="P178" s="359"/>
      <c r="Q178" s="359"/>
      <c r="R178" s="718"/>
      <c r="S178" s="669"/>
      <c r="T178" s="669"/>
      <c r="U178" s="967"/>
      <c r="V178" s="974"/>
      <c r="W178" s="1197"/>
      <c r="X178" s="974"/>
      <c r="Y178" s="974"/>
      <c r="Z178" s="974"/>
      <c r="AA178" s="974"/>
      <c r="AB178" s="974"/>
      <c r="AC178" s="974"/>
      <c r="AD178" s="974"/>
      <c r="AE178" s="974"/>
      <c r="AF178" s="974"/>
      <c r="AG178" s="974"/>
      <c r="AH178" s="974"/>
      <c r="AI178" s="1198"/>
      <c r="AJ178" s="974"/>
      <c r="AK178" s="1197"/>
      <c r="AL178" s="974"/>
      <c r="AM178" s="974"/>
      <c r="AN178" s="974"/>
      <c r="AO178" s="974"/>
      <c r="AP178" s="974"/>
      <c r="AQ178" s="974"/>
      <c r="AR178" s="974"/>
      <c r="AS178" s="974"/>
      <c r="AT178" s="974"/>
      <c r="AU178" s="974"/>
      <c r="AV178" s="974"/>
      <c r="AW178" s="1181"/>
      <c r="AX178" s="978"/>
      <c r="AY178" s="898"/>
      <c r="AZ178" s="898"/>
      <c r="BA178" s="898"/>
      <c r="BB178" s="898"/>
      <c r="BC178" s="898"/>
      <c r="BD178" s="898"/>
      <c r="BE178" s="898"/>
      <c r="BF178" s="898"/>
      <c r="BG178" s="898"/>
      <c r="BH178" s="898"/>
      <c r="BI178" s="898"/>
      <c r="BJ178" s="898"/>
      <c r="BK178" s="898"/>
      <c r="BL178" s="898"/>
      <c r="BM178" s="898"/>
      <c r="BN178" s="898"/>
      <c r="BO178" s="898"/>
      <c r="BP178" s="898"/>
      <c r="BQ178" s="898"/>
      <c r="BR178" s="898"/>
      <c r="BS178" s="898"/>
      <c r="BT178" s="898"/>
      <c r="BU178" s="898"/>
      <c r="BV178" s="898"/>
      <c r="BW178" s="898"/>
      <c r="BX178" s="898"/>
      <c r="BY178" s="898"/>
      <c r="BZ178" s="898"/>
      <c r="CA178" s="898"/>
      <c r="CB178" s="898"/>
      <c r="CC178" s="898"/>
      <c r="CD178" s="898"/>
      <c r="CE178" s="898"/>
      <c r="CF178" s="898"/>
      <c r="CG178" s="898"/>
      <c r="CH178" s="898"/>
      <c r="CI178" s="898"/>
      <c r="CJ178" s="898"/>
      <c r="CK178" s="898"/>
      <c r="CL178" s="898"/>
      <c r="CM178" s="898"/>
      <c r="CN178" s="898"/>
      <c r="CO178" s="898"/>
      <c r="CP178" s="898"/>
      <c r="CQ178" s="898"/>
      <c r="CR178" s="898"/>
      <c r="CS178" s="898"/>
      <c r="CT178" s="898"/>
      <c r="CU178" s="898"/>
    </row>
    <row r="179" ht="16.5" customHeight="1">
      <c r="A179" s="718"/>
      <c r="B179" s="1195"/>
      <c r="C179" s="866"/>
      <c r="D179" s="968"/>
      <c r="E179" s="718"/>
      <c r="F179" s="718"/>
      <c r="G179" s="718"/>
      <c r="H179" s="718"/>
      <c r="I179" s="359"/>
      <c r="J179" s="359"/>
      <c r="K179" s="359"/>
      <c r="L179" s="359"/>
      <c r="M179" s="359"/>
      <c r="N179" s="359"/>
      <c r="O179" s="359"/>
      <c r="P179" s="359"/>
      <c r="Q179" s="359"/>
      <c r="R179" s="718"/>
      <c r="S179" s="669"/>
      <c r="T179" s="669"/>
      <c r="U179" s="967"/>
      <c r="V179" s="974"/>
      <c r="W179" s="1197"/>
      <c r="X179" s="974"/>
      <c r="Y179" s="974"/>
      <c r="Z179" s="974"/>
      <c r="AA179" s="974"/>
      <c r="AB179" s="974"/>
      <c r="AC179" s="974"/>
      <c r="AD179" s="974"/>
      <c r="AE179" s="974"/>
      <c r="AF179" s="974"/>
      <c r="AG179" s="974"/>
      <c r="AH179" s="974"/>
      <c r="AI179" s="1198"/>
      <c r="AJ179" s="974"/>
      <c r="AK179" s="1197"/>
      <c r="AL179" s="974"/>
      <c r="AM179" s="974"/>
      <c r="AN179" s="974"/>
      <c r="AO179" s="974"/>
      <c r="AP179" s="974"/>
      <c r="AQ179" s="974"/>
      <c r="AR179" s="974"/>
      <c r="AS179" s="974"/>
      <c r="AT179" s="974"/>
      <c r="AU179" s="974"/>
      <c r="AV179" s="974"/>
      <c r="AW179" s="1181"/>
      <c r="AX179" s="978"/>
      <c r="AY179" s="898"/>
      <c r="AZ179" s="898"/>
      <c r="BA179" s="898"/>
      <c r="BB179" s="898"/>
      <c r="BC179" s="898"/>
      <c r="BD179" s="898"/>
      <c r="BE179" s="898"/>
      <c r="BF179" s="898"/>
      <c r="BG179" s="898"/>
      <c r="BH179" s="898"/>
      <c r="BI179" s="898"/>
      <c r="BJ179" s="898"/>
      <c r="BK179" s="898"/>
      <c r="BL179" s="898"/>
      <c r="BM179" s="898"/>
      <c r="BN179" s="898"/>
      <c r="BO179" s="898"/>
      <c r="BP179" s="898"/>
      <c r="BQ179" s="898"/>
      <c r="BR179" s="898"/>
      <c r="BS179" s="898"/>
      <c r="BT179" s="898"/>
      <c r="BU179" s="898"/>
      <c r="BV179" s="898"/>
      <c r="BW179" s="898"/>
      <c r="BX179" s="898"/>
      <c r="BY179" s="898"/>
      <c r="BZ179" s="898"/>
      <c r="CA179" s="898"/>
      <c r="CB179" s="898"/>
      <c r="CC179" s="898"/>
      <c r="CD179" s="898"/>
      <c r="CE179" s="898"/>
      <c r="CF179" s="898"/>
      <c r="CG179" s="898"/>
      <c r="CH179" s="898"/>
      <c r="CI179" s="898"/>
      <c r="CJ179" s="898"/>
      <c r="CK179" s="898"/>
      <c r="CL179" s="898"/>
      <c r="CM179" s="898"/>
      <c r="CN179" s="898"/>
      <c r="CO179" s="898"/>
      <c r="CP179" s="898"/>
      <c r="CQ179" s="898"/>
      <c r="CR179" s="898"/>
      <c r="CS179" s="898"/>
      <c r="CT179" s="898"/>
      <c r="CU179" s="898"/>
    </row>
    <row r="180" ht="16.5" customHeight="1">
      <c r="A180" s="718"/>
      <c r="B180" s="1195"/>
      <c r="C180" s="866"/>
      <c r="D180" s="968"/>
      <c r="E180" s="718"/>
      <c r="F180" s="718"/>
      <c r="G180" s="718"/>
      <c r="H180" s="718"/>
      <c r="I180" s="359"/>
      <c r="J180" s="359"/>
      <c r="K180" s="359"/>
      <c r="L180" s="359"/>
      <c r="M180" s="359"/>
      <c r="N180" s="359"/>
      <c r="O180" s="359"/>
      <c r="P180" s="359"/>
      <c r="Q180" s="359"/>
      <c r="R180" s="718"/>
      <c r="S180" s="669"/>
      <c r="T180" s="669"/>
      <c r="U180" s="967"/>
      <c r="V180" s="974"/>
      <c r="W180" s="1197"/>
      <c r="X180" s="974"/>
      <c r="Y180" s="974"/>
      <c r="Z180" s="974"/>
      <c r="AA180" s="974"/>
      <c r="AB180" s="974"/>
      <c r="AC180" s="974"/>
      <c r="AD180" s="974"/>
      <c r="AE180" s="974"/>
      <c r="AF180" s="974"/>
      <c r="AG180" s="974"/>
      <c r="AH180" s="974"/>
      <c r="AI180" s="1198"/>
      <c r="AJ180" s="974"/>
      <c r="AK180" s="1197"/>
      <c r="AL180" s="974"/>
      <c r="AM180" s="974"/>
      <c r="AN180" s="974"/>
      <c r="AO180" s="974"/>
      <c r="AP180" s="974"/>
      <c r="AQ180" s="974"/>
      <c r="AR180" s="974"/>
      <c r="AS180" s="974"/>
      <c r="AT180" s="974"/>
      <c r="AU180" s="974"/>
      <c r="AV180" s="974"/>
      <c r="AW180" s="1181"/>
      <c r="AX180" s="978"/>
      <c r="AY180" s="898"/>
      <c r="AZ180" s="898"/>
      <c r="BA180" s="898"/>
      <c r="BB180" s="898"/>
      <c r="BC180" s="898"/>
      <c r="BD180" s="898"/>
      <c r="BE180" s="898"/>
      <c r="BF180" s="898"/>
      <c r="BG180" s="898"/>
      <c r="BH180" s="898"/>
      <c r="BI180" s="898"/>
      <c r="BJ180" s="898"/>
      <c r="BK180" s="898"/>
      <c r="BL180" s="898"/>
      <c r="BM180" s="898"/>
      <c r="BN180" s="898"/>
      <c r="BO180" s="898"/>
      <c r="BP180" s="898"/>
      <c r="BQ180" s="898"/>
      <c r="BR180" s="898"/>
      <c r="BS180" s="898"/>
      <c r="BT180" s="898"/>
      <c r="BU180" s="898"/>
      <c r="BV180" s="898"/>
      <c r="BW180" s="898"/>
      <c r="BX180" s="898"/>
      <c r="BY180" s="898"/>
      <c r="BZ180" s="898"/>
      <c r="CA180" s="898"/>
      <c r="CB180" s="898"/>
      <c r="CC180" s="898"/>
      <c r="CD180" s="898"/>
      <c r="CE180" s="898"/>
      <c r="CF180" s="898"/>
      <c r="CG180" s="898"/>
      <c r="CH180" s="898"/>
      <c r="CI180" s="898"/>
      <c r="CJ180" s="898"/>
      <c r="CK180" s="898"/>
      <c r="CL180" s="898"/>
      <c r="CM180" s="898"/>
      <c r="CN180" s="898"/>
      <c r="CO180" s="898"/>
      <c r="CP180" s="898"/>
      <c r="CQ180" s="898"/>
      <c r="CR180" s="898"/>
      <c r="CS180" s="898"/>
      <c r="CT180" s="898"/>
      <c r="CU180" s="898"/>
    </row>
    <row r="181" ht="16.5" customHeight="1">
      <c r="A181" s="718"/>
      <c r="B181" s="1195"/>
      <c r="C181" s="866"/>
      <c r="D181" s="968"/>
      <c r="E181" s="718"/>
      <c r="F181" s="718"/>
      <c r="G181" s="718"/>
      <c r="H181" s="718"/>
      <c r="I181" s="359"/>
      <c r="J181" s="359"/>
      <c r="K181" s="359"/>
      <c r="L181" s="359"/>
      <c r="M181" s="359"/>
      <c r="N181" s="359"/>
      <c r="O181" s="359"/>
      <c r="P181" s="359"/>
      <c r="Q181" s="359"/>
      <c r="R181" s="718"/>
      <c r="S181" s="669"/>
      <c r="T181" s="669"/>
      <c r="U181" s="967"/>
      <c r="V181" s="974"/>
      <c r="W181" s="1197"/>
      <c r="X181" s="974"/>
      <c r="Y181" s="974"/>
      <c r="Z181" s="974"/>
      <c r="AA181" s="974"/>
      <c r="AB181" s="974"/>
      <c r="AC181" s="974"/>
      <c r="AD181" s="974"/>
      <c r="AE181" s="974"/>
      <c r="AF181" s="974"/>
      <c r="AG181" s="974"/>
      <c r="AH181" s="974"/>
      <c r="AI181" s="1198"/>
      <c r="AJ181" s="974"/>
      <c r="AK181" s="1197"/>
      <c r="AL181" s="974"/>
      <c r="AM181" s="974"/>
      <c r="AN181" s="974"/>
      <c r="AO181" s="974"/>
      <c r="AP181" s="974"/>
      <c r="AQ181" s="974"/>
      <c r="AR181" s="974"/>
      <c r="AS181" s="974"/>
      <c r="AT181" s="974"/>
      <c r="AU181" s="974"/>
      <c r="AV181" s="974"/>
      <c r="AW181" s="1181"/>
      <c r="AX181" s="978"/>
      <c r="AY181" s="898"/>
      <c r="AZ181" s="898"/>
      <c r="BA181" s="898"/>
      <c r="BB181" s="898"/>
      <c r="BC181" s="898"/>
      <c r="BD181" s="898"/>
      <c r="BE181" s="898"/>
      <c r="BF181" s="898"/>
      <c r="BG181" s="898"/>
      <c r="BH181" s="898"/>
      <c r="BI181" s="898"/>
      <c r="BJ181" s="898"/>
      <c r="BK181" s="898"/>
      <c r="BL181" s="898"/>
      <c r="BM181" s="898"/>
      <c r="BN181" s="898"/>
      <c r="BO181" s="898"/>
      <c r="BP181" s="898"/>
      <c r="BQ181" s="898"/>
      <c r="BR181" s="898"/>
      <c r="BS181" s="898"/>
      <c r="BT181" s="898"/>
      <c r="BU181" s="898"/>
      <c r="BV181" s="898"/>
      <c r="BW181" s="898"/>
      <c r="BX181" s="898"/>
      <c r="BY181" s="898"/>
      <c r="BZ181" s="898"/>
      <c r="CA181" s="898"/>
      <c r="CB181" s="898"/>
      <c r="CC181" s="898"/>
      <c r="CD181" s="898"/>
      <c r="CE181" s="898"/>
      <c r="CF181" s="898"/>
      <c r="CG181" s="898"/>
      <c r="CH181" s="898"/>
      <c r="CI181" s="898"/>
      <c r="CJ181" s="898"/>
      <c r="CK181" s="898"/>
      <c r="CL181" s="898"/>
      <c r="CM181" s="898"/>
      <c r="CN181" s="898"/>
      <c r="CO181" s="898"/>
      <c r="CP181" s="898"/>
      <c r="CQ181" s="898"/>
      <c r="CR181" s="898"/>
      <c r="CS181" s="898"/>
      <c r="CT181" s="898"/>
      <c r="CU181" s="898"/>
    </row>
    <row r="182" ht="16.5" customHeight="1">
      <c r="A182" s="718"/>
      <c r="B182" s="1195"/>
      <c r="C182" s="866"/>
      <c r="D182" s="968"/>
      <c r="E182" s="718"/>
      <c r="F182" s="718"/>
      <c r="G182" s="718"/>
      <c r="H182" s="718"/>
      <c r="I182" s="359"/>
      <c r="J182" s="359"/>
      <c r="K182" s="359"/>
      <c r="L182" s="359"/>
      <c r="M182" s="359"/>
      <c r="N182" s="359"/>
      <c r="O182" s="359"/>
      <c r="P182" s="359"/>
      <c r="Q182" s="359"/>
      <c r="R182" s="718"/>
      <c r="S182" s="669"/>
      <c r="T182" s="669"/>
      <c r="U182" s="967"/>
      <c r="V182" s="974"/>
      <c r="W182" s="1197"/>
      <c r="X182" s="974"/>
      <c r="Y182" s="974"/>
      <c r="Z182" s="974"/>
      <c r="AA182" s="974"/>
      <c r="AB182" s="974"/>
      <c r="AC182" s="974"/>
      <c r="AD182" s="974"/>
      <c r="AE182" s="974"/>
      <c r="AF182" s="974"/>
      <c r="AG182" s="974"/>
      <c r="AH182" s="974"/>
      <c r="AI182" s="1198"/>
      <c r="AJ182" s="974"/>
      <c r="AK182" s="1197"/>
      <c r="AL182" s="974"/>
      <c r="AM182" s="974"/>
      <c r="AN182" s="974"/>
      <c r="AO182" s="974"/>
      <c r="AP182" s="974"/>
      <c r="AQ182" s="974"/>
      <c r="AR182" s="974"/>
      <c r="AS182" s="974"/>
      <c r="AT182" s="974"/>
      <c r="AU182" s="974"/>
      <c r="AV182" s="974"/>
      <c r="AW182" s="1181"/>
      <c r="AX182" s="978"/>
      <c r="AY182" s="898"/>
      <c r="AZ182" s="898"/>
      <c r="BA182" s="898"/>
      <c r="BB182" s="898"/>
      <c r="BC182" s="898"/>
      <c r="BD182" s="898"/>
      <c r="BE182" s="898"/>
      <c r="BF182" s="898"/>
      <c r="BG182" s="898"/>
      <c r="BH182" s="898"/>
      <c r="BI182" s="898"/>
      <c r="BJ182" s="898"/>
      <c r="BK182" s="898"/>
      <c r="BL182" s="898"/>
      <c r="BM182" s="898"/>
      <c r="BN182" s="898"/>
      <c r="BO182" s="898"/>
      <c r="BP182" s="898"/>
      <c r="BQ182" s="898"/>
      <c r="BR182" s="898"/>
      <c r="BS182" s="898"/>
      <c r="BT182" s="898"/>
      <c r="BU182" s="898"/>
      <c r="BV182" s="898"/>
      <c r="BW182" s="898"/>
      <c r="BX182" s="898"/>
      <c r="BY182" s="898"/>
      <c r="BZ182" s="898"/>
      <c r="CA182" s="898"/>
      <c r="CB182" s="898"/>
      <c r="CC182" s="898"/>
      <c r="CD182" s="898"/>
      <c r="CE182" s="898"/>
      <c r="CF182" s="898"/>
      <c r="CG182" s="898"/>
      <c r="CH182" s="898"/>
      <c r="CI182" s="898"/>
      <c r="CJ182" s="898"/>
      <c r="CK182" s="898"/>
      <c r="CL182" s="898"/>
      <c r="CM182" s="898"/>
      <c r="CN182" s="898"/>
      <c r="CO182" s="898"/>
      <c r="CP182" s="898"/>
      <c r="CQ182" s="898"/>
      <c r="CR182" s="898"/>
      <c r="CS182" s="898"/>
      <c r="CT182" s="898"/>
      <c r="CU182" s="898"/>
    </row>
    <row r="183" ht="16.5" customHeight="1">
      <c r="A183" s="718"/>
      <c r="B183" s="1195"/>
      <c r="C183" s="866"/>
      <c r="D183" s="968"/>
      <c r="E183" s="718"/>
      <c r="F183" s="718"/>
      <c r="G183" s="718"/>
      <c r="H183" s="718"/>
      <c r="I183" s="359"/>
      <c r="J183" s="359"/>
      <c r="K183" s="359"/>
      <c r="L183" s="359"/>
      <c r="M183" s="359"/>
      <c r="N183" s="359"/>
      <c r="O183" s="359"/>
      <c r="P183" s="359"/>
      <c r="Q183" s="359"/>
      <c r="R183" s="718"/>
      <c r="S183" s="669"/>
      <c r="T183" s="669"/>
      <c r="U183" s="967"/>
      <c r="V183" s="974"/>
      <c r="W183" s="1197"/>
      <c r="X183" s="974"/>
      <c r="Y183" s="974"/>
      <c r="Z183" s="974"/>
      <c r="AA183" s="974"/>
      <c r="AB183" s="974"/>
      <c r="AC183" s="974"/>
      <c r="AD183" s="974"/>
      <c r="AE183" s="974"/>
      <c r="AF183" s="974"/>
      <c r="AG183" s="974"/>
      <c r="AH183" s="974"/>
      <c r="AI183" s="1198"/>
      <c r="AJ183" s="974"/>
      <c r="AK183" s="1197"/>
      <c r="AL183" s="974"/>
      <c r="AM183" s="974"/>
      <c r="AN183" s="974"/>
      <c r="AO183" s="974"/>
      <c r="AP183" s="974"/>
      <c r="AQ183" s="974"/>
      <c r="AR183" s="974"/>
      <c r="AS183" s="974"/>
      <c r="AT183" s="974"/>
      <c r="AU183" s="974"/>
      <c r="AV183" s="974"/>
      <c r="AW183" s="1181"/>
      <c r="AX183" s="978"/>
      <c r="AY183" s="898"/>
      <c r="AZ183" s="898"/>
      <c r="BA183" s="898"/>
      <c r="BB183" s="898"/>
      <c r="BC183" s="898"/>
      <c r="BD183" s="898"/>
      <c r="BE183" s="898"/>
      <c r="BF183" s="898"/>
      <c r="BG183" s="898"/>
      <c r="BH183" s="898"/>
      <c r="BI183" s="898"/>
      <c r="BJ183" s="898"/>
      <c r="BK183" s="898"/>
      <c r="BL183" s="898"/>
      <c r="BM183" s="898"/>
      <c r="BN183" s="898"/>
      <c r="BO183" s="898"/>
      <c r="BP183" s="898"/>
      <c r="BQ183" s="898"/>
      <c r="BR183" s="898"/>
      <c r="BS183" s="898"/>
      <c r="BT183" s="898"/>
      <c r="BU183" s="898"/>
      <c r="BV183" s="898"/>
      <c r="BW183" s="898"/>
      <c r="BX183" s="898"/>
      <c r="BY183" s="898"/>
      <c r="BZ183" s="898"/>
      <c r="CA183" s="898"/>
      <c r="CB183" s="898"/>
      <c r="CC183" s="898"/>
      <c r="CD183" s="898"/>
      <c r="CE183" s="898"/>
      <c r="CF183" s="898"/>
      <c r="CG183" s="898"/>
      <c r="CH183" s="898"/>
      <c r="CI183" s="898"/>
      <c r="CJ183" s="898"/>
      <c r="CK183" s="898"/>
      <c r="CL183" s="898"/>
      <c r="CM183" s="898"/>
      <c r="CN183" s="898"/>
      <c r="CO183" s="898"/>
      <c r="CP183" s="898"/>
      <c r="CQ183" s="898"/>
      <c r="CR183" s="898"/>
      <c r="CS183" s="898"/>
      <c r="CT183" s="898"/>
      <c r="CU183" s="898"/>
    </row>
    <row r="184" ht="16.5" customHeight="1">
      <c r="A184" s="718"/>
      <c r="B184" s="1195"/>
      <c r="C184" s="866"/>
      <c r="D184" s="968"/>
      <c r="E184" s="718"/>
      <c r="F184" s="718"/>
      <c r="G184" s="718"/>
      <c r="H184" s="718"/>
      <c r="I184" s="359"/>
      <c r="J184" s="359"/>
      <c r="K184" s="359"/>
      <c r="L184" s="359"/>
      <c r="M184" s="359"/>
      <c r="N184" s="359"/>
      <c r="O184" s="359"/>
      <c r="P184" s="359"/>
      <c r="Q184" s="359"/>
      <c r="R184" s="718"/>
      <c r="S184" s="669"/>
      <c r="T184" s="669"/>
      <c r="U184" s="967"/>
      <c r="V184" s="974"/>
      <c r="W184" s="1197"/>
      <c r="X184" s="974"/>
      <c r="Y184" s="974"/>
      <c r="Z184" s="974"/>
      <c r="AA184" s="974"/>
      <c r="AB184" s="974"/>
      <c r="AC184" s="974"/>
      <c r="AD184" s="974"/>
      <c r="AE184" s="974"/>
      <c r="AF184" s="974"/>
      <c r="AG184" s="974"/>
      <c r="AH184" s="974"/>
      <c r="AI184" s="1198"/>
      <c r="AJ184" s="974"/>
      <c r="AK184" s="1197"/>
      <c r="AL184" s="974"/>
      <c r="AM184" s="974"/>
      <c r="AN184" s="974"/>
      <c r="AO184" s="974"/>
      <c r="AP184" s="974"/>
      <c r="AQ184" s="974"/>
      <c r="AR184" s="974"/>
      <c r="AS184" s="974"/>
      <c r="AT184" s="974"/>
      <c r="AU184" s="974"/>
      <c r="AV184" s="974"/>
      <c r="AW184" s="1181"/>
      <c r="AX184" s="978"/>
      <c r="AY184" s="898"/>
      <c r="AZ184" s="898"/>
      <c r="BA184" s="898"/>
      <c r="BB184" s="898"/>
      <c r="BC184" s="898"/>
      <c r="BD184" s="898"/>
      <c r="BE184" s="898"/>
      <c r="BF184" s="898"/>
      <c r="BG184" s="898"/>
      <c r="BH184" s="898"/>
      <c r="BI184" s="898"/>
      <c r="BJ184" s="898"/>
      <c r="BK184" s="898"/>
      <c r="BL184" s="898"/>
      <c r="BM184" s="898"/>
      <c r="BN184" s="898"/>
      <c r="BO184" s="898"/>
      <c r="BP184" s="898"/>
      <c r="BQ184" s="898"/>
      <c r="BR184" s="898"/>
      <c r="BS184" s="898"/>
      <c r="BT184" s="898"/>
      <c r="BU184" s="898"/>
      <c r="BV184" s="898"/>
      <c r="BW184" s="898"/>
      <c r="BX184" s="898"/>
      <c r="BY184" s="898"/>
      <c r="BZ184" s="898"/>
      <c r="CA184" s="898"/>
      <c r="CB184" s="898"/>
      <c r="CC184" s="898"/>
      <c r="CD184" s="898"/>
      <c r="CE184" s="898"/>
      <c r="CF184" s="898"/>
      <c r="CG184" s="898"/>
      <c r="CH184" s="898"/>
      <c r="CI184" s="898"/>
      <c r="CJ184" s="898"/>
      <c r="CK184" s="898"/>
      <c r="CL184" s="898"/>
      <c r="CM184" s="898"/>
      <c r="CN184" s="898"/>
      <c r="CO184" s="898"/>
      <c r="CP184" s="898"/>
      <c r="CQ184" s="898"/>
      <c r="CR184" s="898"/>
      <c r="CS184" s="898"/>
      <c r="CT184" s="898"/>
      <c r="CU184" s="898"/>
    </row>
    <row r="185" ht="16.5" customHeight="1">
      <c r="A185" s="718"/>
      <c r="B185" s="1195"/>
      <c r="C185" s="866"/>
      <c r="D185" s="968"/>
      <c r="E185" s="718"/>
      <c r="F185" s="718"/>
      <c r="G185" s="718"/>
      <c r="H185" s="718"/>
      <c r="I185" s="359"/>
      <c r="J185" s="359"/>
      <c r="K185" s="359"/>
      <c r="L185" s="359"/>
      <c r="M185" s="359"/>
      <c r="N185" s="359"/>
      <c r="O185" s="359"/>
      <c r="P185" s="359"/>
      <c r="Q185" s="359"/>
      <c r="R185" s="718"/>
      <c r="S185" s="669"/>
      <c r="T185" s="669"/>
      <c r="U185" s="967"/>
      <c r="V185" s="974"/>
      <c r="W185" s="1197"/>
      <c r="X185" s="974"/>
      <c r="Y185" s="974"/>
      <c r="Z185" s="974"/>
      <c r="AA185" s="974"/>
      <c r="AB185" s="974"/>
      <c r="AC185" s="974"/>
      <c r="AD185" s="974"/>
      <c r="AE185" s="974"/>
      <c r="AF185" s="974"/>
      <c r="AG185" s="974"/>
      <c r="AH185" s="974"/>
      <c r="AI185" s="1198"/>
      <c r="AJ185" s="974"/>
      <c r="AK185" s="1197"/>
      <c r="AL185" s="974"/>
      <c r="AM185" s="974"/>
      <c r="AN185" s="974"/>
      <c r="AO185" s="974"/>
      <c r="AP185" s="974"/>
      <c r="AQ185" s="974"/>
      <c r="AR185" s="974"/>
      <c r="AS185" s="974"/>
      <c r="AT185" s="974"/>
      <c r="AU185" s="974"/>
      <c r="AV185" s="974"/>
      <c r="AW185" s="1181"/>
      <c r="AX185" s="978"/>
      <c r="AY185" s="898"/>
      <c r="AZ185" s="898"/>
      <c r="BA185" s="898"/>
      <c r="BB185" s="898"/>
      <c r="BC185" s="898"/>
      <c r="BD185" s="898"/>
      <c r="BE185" s="898"/>
      <c r="BF185" s="898"/>
      <c r="BG185" s="898"/>
      <c r="BH185" s="898"/>
      <c r="BI185" s="898"/>
      <c r="BJ185" s="898"/>
      <c r="BK185" s="898"/>
      <c r="BL185" s="898"/>
      <c r="BM185" s="898"/>
      <c r="BN185" s="898"/>
      <c r="BO185" s="898"/>
      <c r="BP185" s="898"/>
      <c r="BQ185" s="898"/>
      <c r="BR185" s="898"/>
      <c r="BS185" s="898"/>
      <c r="BT185" s="898"/>
      <c r="BU185" s="898"/>
      <c r="BV185" s="898"/>
      <c r="BW185" s="898"/>
      <c r="BX185" s="898"/>
      <c r="BY185" s="898"/>
      <c r="BZ185" s="898"/>
      <c r="CA185" s="898"/>
      <c r="CB185" s="898"/>
      <c r="CC185" s="898"/>
      <c r="CD185" s="898"/>
      <c r="CE185" s="898"/>
      <c r="CF185" s="898"/>
      <c r="CG185" s="898"/>
      <c r="CH185" s="898"/>
      <c r="CI185" s="898"/>
      <c r="CJ185" s="898"/>
      <c r="CK185" s="898"/>
      <c r="CL185" s="898"/>
      <c r="CM185" s="898"/>
      <c r="CN185" s="898"/>
      <c r="CO185" s="898"/>
      <c r="CP185" s="898"/>
      <c r="CQ185" s="898"/>
      <c r="CR185" s="898"/>
      <c r="CS185" s="898"/>
      <c r="CT185" s="898"/>
      <c r="CU185" s="898"/>
    </row>
    <row r="186" ht="16.5" customHeight="1">
      <c r="A186" s="718"/>
      <c r="B186" s="1195"/>
      <c r="C186" s="866"/>
      <c r="D186" s="968"/>
      <c r="E186" s="718"/>
      <c r="F186" s="718"/>
      <c r="G186" s="718"/>
      <c r="H186" s="718"/>
      <c r="I186" s="359"/>
      <c r="J186" s="359"/>
      <c r="K186" s="359"/>
      <c r="L186" s="359"/>
      <c r="M186" s="359"/>
      <c r="N186" s="359"/>
      <c r="O186" s="359"/>
      <c r="P186" s="359"/>
      <c r="Q186" s="359"/>
      <c r="R186" s="718"/>
      <c r="S186" s="669"/>
      <c r="T186" s="669"/>
      <c r="U186" s="967"/>
      <c r="V186" s="974"/>
      <c r="W186" s="1197"/>
      <c r="X186" s="974"/>
      <c r="Y186" s="974"/>
      <c r="Z186" s="974"/>
      <c r="AA186" s="974"/>
      <c r="AB186" s="974"/>
      <c r="AC186" s="974"/>
      <c r="AD186" s="974"/>
      <c r="AE186" s="974"/>
      <c r="AF186" s="974"/>
      <c r="AG186" s="974"/>
      <c r="AH186" s="974"/>
      <c r="AI186" s="1198"/>
      <c r="AJ186" s="974"/>
      <c r="AK186" s="1197"/>
      <c r="AL186" s="974"/>
      <c r="AM186" s="974"/>
      <c r="AN186" s="974"/>
      <c r="AO186" s="974"/>
      <c r="AP186" s="974"/>
      <c r="AQ186" s="974"/>
      <c r="AR186" s="974"/>
      <c r="AS186" s="974"/>
      <c r="AT186" s="974"/>
      <c r="AU186" s="974"/>
      <c r="AV186" s="974"/>
      <c r="AW186" s="1181"/>
      <c r="AX186" s="978"/>
      <c r="AY186" s="898"/>
      <c r="AZ186" s="898"/>
      <c r="BA186" s="898"/>
      <c r="BB186" s="898"/>
      <c r="BC186" s="898"/>
      <c r="BD186" s="898"/>
      <c r="BE186" s="898"/>
      <c r="BF186" s="898"/>
      <c r="BG186" s="898"/>
      <c r="BH186" s="898"/>
      <c r="BI186" s="898"/>
      <c r="BJ186" s="898"/>
      <c r="BK186" s="898"/>
      <c r="BL186" s="898"/>
      <c r="BM186" s="898"/>
      <c r="BN186" s="898"/>
      <c r="BO186" s="898"/>
      <c r="BP186" s="898"/>
      <c r="BQ186" s="898"/>
      <c r="BR186" s="898"/>
      <c r="BS186" s="898"/>
      <c r="BT186" s="898"/>
      <c r="BU186" s="898"/>
      <c r="BV186" s="898"/>
      <c r="BW186" s="898"/>
      <c r="BX186" s="898"/>
      <c r="BY186" s="898"/>
      <c r="BZ186" s="898"/>
      <c r="CA186" s="898"/>
      <c r="CB186" s="898"/>
      <c r="CC186" s="898"/>
      <c r="CD186" s="898"/>
      <c r="CE186" s="898"/>
      <c r="CF186" s="898"/>
      <c r="CG186" s="898"/>
      <c r="CH186" s="898"/>
      <c r="CI186" s="898"/>
      <c r="CJ186" s="898"/>
      <c r="CK186" s="898"/>
      <c r="CL186" s="898"/>
      <c r="CM186" s="898"/>
      <c r="CN186" s="898"/>
      <c r="CO186" s="898"/>
      <c r="CP186" s="898"/>
      <c r="CQ186" s="898"/>
      <c r="CR186" s="898"/>
      <c r="CS186" s="898"/>
      <c r="CT186" s="898"/>
      <c r="CU186" s="898"/>
    </row>
    <row r="187" ht="16.5" customHeight="1">
      <c r="A187" s="718"/>
      <c r="B187" s="1195"/>
      <c r="C187" s="866"/>
      <c r="D187" s="968"/>
      <c r="E187" s="718"/>
      <c r="F187" s="718"/>
      <c r="G187" s="718"/>
      <c r="H187" s="718"/>
      <c r="I187" s="359"/>
      <c r="J187" s="359"/>
      <c r="K187" s="359"/>
      <c r="L187" s="359"/>
      <c r="M187" s="359"/>
      <c r="N187" s="359"/>
      <c r="O187" s="359"/>
      <c r="P187" s="359"/>
      <c r="Q187" s="359"/>
      <c r="R187" s="718"/>
      <c r="S187" s="669"/>
      <c r="T187" s="669"/>
      <c r="U187" s="967"/>
      <c r="V187" s="974"/>
      <c r="W187" s="1197"/>
      <c r="X187" s="974"/>
      <c r="Y187" s="974"/>
      <c r="Z187" s="974"/>
      <c r="AA187" s="974"/>
      <c r="AB187" s="974"/>
      <c r="AC187" s="974"/>
      <c r="AD187" s="974"/>
      <c r="AE187" s="974"/>
      <c r="AF187" s="974"/>
      <c r="AG187" s="974"/>
      <c r="AH187" s="974"/>
      <c r="AI187" s="1198"/>
      <c r="AJ187" s="974"/>
      <c r="AK187" s="1197"/>
      <c r="AL187" s="974"/>
      <c r="AM187" s="974"/>
      <c r="AN187" s="974"/>
      <c r="AO187" s="974"/>
      <c r="AP187" s="974"/>
      <c r="AQ187" s="974"/>
      <c r="AR187" s="974"/>
      <c r="AS187" s="974"/>
      <c r="AT187" s="974"/>
      <c r="AU187" s="974"/>
      <c r="AV187" s="974"/>
      <c r="AW187" s="1181"/>
      <c r="AX187" s="978"/>
      <c r="AY187" s="898"/>
      <c r="AZ187" s="898"/>
      <c r="BA187" s="898"/>
      <c r="BB187" s="898"/>
      <c r="BC187" s="898"/>
      <c r="BD187" s="898"/>
      <c r="BE187" s="898"/>
      <c r="BF187" s="898"/>
      <c r="BG187" s="898"/>
      <c r="BH187" s="898"/>
      <c r="BI187" s="898"/>
      <c r="BJ187" s="898"/>
      <c r="BK187" s="898"/>
      <c r="BL187" s="898"/>
      <c r="BM187" s="898"/>
      <c r="BN187" s="898"/>
      <c r="BO187" s="898"/>
      <c r="BP187" s="898"/>
      <c r="BQ187" s="898"/>
      <c r="BR187" s="898"/>
      <c r="BS187" s="898"/>
      <c r="BT187" s="898"/>
      <c r="BU187" s="898"/>
      <c r="BV187" s="898"/>
      <c r="BW187" s="898"/>
      <c r="BX187" s="898"/>
      <c r="BY187" s="898"/>
      <c r="BZ187" s="898"/>
      <c r="CA187" s="898"/>
      <c r="CB187" s="898"/>
      <c r="CC187" s="898"/>
      <c r="CD187" s="898"/>
      <c r="CE187" s="898"/>
      <c r="CF187" s="898"/>
      <c r="CG187" s="898"/>
      <c r="CH187" s="898"/>
      <c r="CI187" s="898"/>
      <c r="CJ187" s="898"/>
      <c r="CK187" s="898"/>
      <c r="CL187" s="898"/>
      <c r="CM187" s="898"/>
      <c r="CN187" s="898"/>
      <c r="CO187" s="898"/>
      <c r="CP187" s="898"/>
      <c r="CQ187" s="898"/>
      <c r="CR187" s="898"/>
      <c r="CS187" s="898"/>
      <c r="CT187" s="898"/>
      <c r="CU187" s="898"/>
    </row>
    <row r="188" ht="16.5" customHeight="1">
      <c r="A188" s="718"/>
      <c r="B188" s="1195"/>
      <c r="C188" s="866"/>
      <c r="D188" s="968"/>
      <c r="E188" s="718"/>
      <c r="F188" s="718"/>
      <c r="G188" s="718"/>
      <c r="H188" s="718"/>
      <c r="I188" s="359"/>
      <c r="J188" s="359"/>
      <c r="K188" s="359"/>
      <c r="L188" s="359"/>
      <c r="M188" s="359"/>
      <c r="N188" s="359"/>
      <c r="O188" s="359"/>
      <c r="P188" s="359"/>
      <c r="Q188" s="359"/>
      <c r="R188" s="718"/>
      <c r="S188" s="669"/>
      <c r="T188" s="669"/>
      <c r="U188" s="967"/>
      <c r="V188" s="974"/>
      <c r="W188" s="1197"/>
      <c r="X188" s="974"/>
      <c r="Y188" s="974"/>
      <c r="Z188" s="974"/>
      <c r="AA188" s="974"/>
      <c r="AB188" s="974"/>
      <c r="AC188" s="974"/>
      <c r="AD188" s="974"/>
      <c r="AE188" s="974"/>
      <c r="AF188" s="974"/>
      <c r="AG188" s="974"/>
      <c r="AH188" s="974"/>
      <c r="AI188" s="1198"/>
      <c r="AJ188" s="974"/>
      <c r="AK188" s="1197"/>
      <c r="AL188" s="974"/>
      <c r="AM188" s="974"/>
      <c r="AN188" s="974"/>
      <c r="AO188" s="974"/>
      <c r="AP188" s="974"/>
      <c r="AQ188" s="974"/>
      <c r="AR188" s="974"/>
      <c r="AS188" s="974"/>
      <c r="AT188" s="974"/>
      <c r="AU188" s="974"/>
      <c r="AV188" s="974"/>
      <c r="AW188" s="1181"/>
      <c r="AX188" s="978"/>
      <c r="AY188" s="898"/>
      <c r="AZ188" s="898"/>
      <c r="BA188" s="898"/>
      <c r="BB188" s="898"/>
      <c r="BC188" s="898"/>
      <c r="BD188" s="898"/>
      <c r="BE188" s="898"/>
      <c r="BF188" s="898"/>
      <c r="BG188" s="898"/>
      <c r="BH188" s="898"/>
      <c r="BI188" s="898"/>
      <c r="BJ188" s="898"/>
      <c r="BK188" s="898"/>
      <c r="BL188" s="898"/>
      <c r="BM188" s="898"/>
      <c r="BN188" s="898"/>
      <c r="BO188" s="898"/>
      <c r="BP188" s="898"/>
      <c r="BQ188" s="898"/>
      <c r="BR188" s="898"/>
      <c r="BS188" s="898"/>
      <c r="BT188" s="898"/>
      <c r="BU188" s="898"/>
      <c r="BV188" s="898"/>
      <c r="BW188" s="898"/>
      <c r="BX188" s="898"/>
      <c r="BY188" s="898"/>
      <c r="BZ188" s="898"/>
      <c r="CA188" s="898"/>
      <c r="CB188" s="898"/>
      <c r="CC188" s="898"/>
      <c r="CD188" s="898"/>
      <c r="CE188" s="898"/>
      <c r="CF188" s="898"/>
      <c r="CG188" s="898"/>
      <c r="CH188" s="898"/>
      <c r="CI188" s="898"/>
      <c r="CJ188" s="898"/>
      <c r="CK188" s="898"/>
      <c r="CL188" s="898"/>
      <c r="CM188" s="898"/>
      <c r="CN188" s="898"/>
      <c r="CO188" s="898"/>
      <c r="CP188" s="898"/>
      <c r="CQ188" s="898"/>
      <c r="CR188" s="898"/>
      <c r="CS188" s="898"/>
      <c r="CT188" s="898"/>
      <c r="CU188" s="898"/>
    </row>
    <row r="189" ht="16.5" customHeight="1">
      <c r="A189" s="718"/>
      <c r="B189" s="1195"/>
      <c r="C189" s="866"/>
      <c r="D189" s="968"/>
      <c r="E189" s="718"/>
      <c r="F189" s="718"/>
      <c r="G189" s="718"/>
      <c r="H189" s="718"/>
      <c r="I189" s="359"/>
      <c r="J189" s="359"/>
      <c r="K189" s="359"/>
      <c r="L189" s="359"/>
      <c r="M189" s="359"/>
      <c r="N189" s="359"/>
      <c r="O189" s="359"/>
      <c r="P189" s="359"/>
      <c r="Q189" s="359"/>
      <c r="R189" s="718"/>
      <c r="S189" s="669"/>
      <c r="T189" s="669"/>
      <c r="U189" s="967"/>
      <c r="V189" s="974"/>
      <c r="W189" s="1197"/>
      <c r="X189" s="974"/>
      <c r="Y189" s="974"/>
      <c r="Z189" s="974"/>
      <c r="AA189" s="974"/>
      <c r="AB189" s="974"/>
      <c r="AC189" s="974"/>
      <c r="AD189" s="974"/>
      <c r="AE189" s="974"/>
      <c r="AF189" s="974"/>
      <c r="AG189" s="974"/>
      <c r="AH189" s="974"/>
      <c r="AI189" s="1198"/>
      <c r="AJ189" s="974"/>
      <c r="AK189" s="1197"/>
      <c r="AL189" s="974"/>
      <c r="AM189" s="974"/>
      <c r="AN189" s="974"/>
      <c r="AO189" s="974"/>
      <c r="AP189" s="974"/>
      <c r="AQ189" s="974"/>
      <c r="AR189" s="974"/>
      <c r="AS189" s="974"/>
      <c r="AT189" s="974"/>
      <c r="AU189" s="974"/>
      <c r="AV189" s="974"/>
      <c r="AW189" s="1181"/>
      <c r="AX189" s="978"/>
      <c r="AY189" s="898"/>
      <c r="AZ189" s="898"/>
      <c r="BA189" s="898"/>
      <c r="BB189" s="898"/>
      <c r="BC189" s="898"/>
      <c r="BD189" s="898"/>
      <c r="BE189" s="898"/>
      <c r="BF189" s="898"/>
      <c r="BG189" s="898"/>
      <c r="BH189" s="898"/>
      <c r="BI189" s="898"/>
      <c r="BJ189" s="898"/>
      <c r="BK189" s="898"/>
      <c r="BL189" s="898"/>
      <c r="BM189" s="898"/>
      <c r="BN189" s="898"/>
      <c r="BO189" s="898"/>
      <c r="BP189" s="898"/>
      <c r="BQ189" s="898"/>
      <c r="BR189" s="898"/>
      <c r="BS189" s="898"/>
      <c r="BT189" s="898"/>
      <c r="BU189" s="898"/>
      <c r="BV189" s="898"/>
      <c r="BW189" s="898"/>
      <c r="BX189" s="898"/>
      <c r="BY189" s="898"/>
      <c r="BZ189" s="898"/>
      <c r="CA189" s="898"/>
      <c r="CB189" s="898"/>
      <c r="CC189" s="898"/>
      <c r="CD189" s="898"/>
      <c r="CE189" s="898"/>
      <c r="CF189" s="898"/>
      <c r="CG189" s="898"/>
      <c r="CH189" s="898"/>
      <c r="CI189" s="898"/>
      <c r="CJ189" s="898"/>
      <c r="CK189" s="898"/>
      <c r="CL189" s="898"/>
      <c r="CM189" s="898"/>
      <c r="CN189" s="898"/>
      <c r="CO189" s="898"/>
      <c r="CP189" s="898"/>
      <c r="CQ189" s="898"/>
      <c r="CR189" s="898"/>
      <c r="CS189" s="898"/>
      <c r="CT189" s="898"/>
      <c r="CU189" s="898"/>
    </row>
    <row r="190" ht="16.5" customHeight="1">
      <c r="A190" s="718"/>
      <c r="B190" s="1195"/>
      <c r="C190" s="866"/>
      <c r="D190" s="968"/>
      <c r="E190" s="718"/>
      <c r="F190" s="718"/>
      <c r="G190" s="718"/>
      <c r="H190" s="718"/>
      <c r="I190" s="359"/>
      <c r="J190" s="359"/>
      <c r="K190" s="359"/>
      <c r="L190" s="359"/>
      <c r="M190" s="359"/>
      <c r="N190" s="359"/>
      <c r="O190" s="359"/>
      <c r="P190" s="359"/>
      <c r="Q190" s="359"/>
      <c r="R190" s="718"/>
      <c r="S190" s="669"/>
      <c r="T190" s="669"/>
      <c r="U190" s="967"/>
      <c r="V190" s="974"/>
      <c r="W190" s="1197"/>
      <c r="X190" s="974"/>
      <c r="Y190" s="974"/>
      <c r="Z190" s="974"/>
      <c r="AA190" s="974"/>
      <c r="AB190" s="974"/>
      <c r="AC190" s="974"/>
      <c r="AD190" s="974"/>
      <c r="AE190" s="974"/>
      <c r="AF190" s="974"/>
      <c r="AG190" s="974"/>
      <c r="AH190" s="974"/>
      <c r="AI190" s="1198"/>
      <c r="AJ190" s="974"/>
      <c r="AK190" s="1197"/>
      <c r="AL190" s="974"/>
      <c r="AM190" s="974"/>
      <c r="AN190" s="974"/>
      <c r="AO190" s="974"/>
      <c r="AP190" s="974"/>
      <c r="AQ190" s="974"/>
      <c r="AR190" s="974"/>
      <c r="AS190" s="974"/>
      <c r="AT190" s="974"/>
      <c r="AU190" s="974"/>
      <c r="AV190" s="974"/>
      <c r="AW190" s="1181"/>
      <c r="AX190" s="978"/>
      <c r="AY190" s="898"/>
      <c r="AZ190" s="898"/>
      <c r="BA190" s="898"/>
      <c r="BB190" s="898"/>
      <c r="BC190" s="898"/>
      <c r="BD190" s="898"/>
      <c r="BE190" s="898"/>
      <c r="BF190" s="898"/>
      <c r="BG190" s="898"/>
      <c r="BH190" s="898"/>
      <c r="BI190" s="898"/>
      <c r="BJ190" s="898"/>
      <c r="BK190" s="898"/>
      <c r="BL190" s="898"/>
      <c r="BM190" s="898"/>
      <c r="BN190" s="898"/>
      <c r="BO190" s="898"/>
      <c r="BP190" s="898"/>
      <c r="BQ190" s="898"/>
      <c r="BR190" s="898"/>
      <c r="BS190" s="898"/>
      <c r="BT190" s="898"/>
      <c r="BU190" s="898"/>
      <c r="BV190" s="898"/>
      <c r="BW190" s="898"/>
      <c r="BX190" s="898"/>
      <c r="BY190" s="898"/>
      <c r="BZ190" s="898"/>
      <c r="CA190" s="898"/>
      <c r="CB190" s="898"/>
      <c r="CC190" s="898"/>
      <c r="CD190" s="898"/>
      <c r="CE190" s="898"/>
      <c r="CF190" s="898"/>
      <c r="CG190" s="898"/>
      <c r="CH190" s="898"/>
      <c r="CI190" s="898"/>
      <c r="CJ190" s="898"/>
      <c r="CK190" s="898"/>
      <c r="CL190" s="898"/>
      <c r="CM190" s="898"/>
      <c r="CN190" s="898"/>
      <c r="CO190" s="898"/>
      <c r="CP190" s="898"/>
      <c r="CQ190" s="898"/>
      <c r="CR190" s="898"/>
      <c r="CS190" s="898"/>
      <c r="CT190" s="898"/>
      <c r="CU190" s="898"/>
    </row>
    <row r="191" ht="16.5" customHeight="1">
      <c r="A191" s="718"/>
      <c r="B191" s="1195"/>
      <c r="C191" s="866"/>
      <c r="D191" s="968"/>
      <c r="E191" s="718"/>
      <c r="F191" s="718"/>
      <c r="G191" s="718"/>
      <c r="H191" s="718"/>
      <c r="I191" s="359"/>
      <c r="J191" s="359"/>
      <c r="K191" s="359"/>
      <c r="L191" s="359"/>
      <c r="M191" s="359"/>
      <c r="N191" s="359"/>
      <c r="O191" s="359"/>
      <c r="P191" s="359"/>
      <c r="Q191" s="359"/>
      <c r="R191" s="718"/>
      <c r="S191" s="669"/>
      <c r="T191" s="669"/>
      <c r="U191" s="967"/>
      <c r="V191" s="974"/>
      <c r="W191" s="1197"/>
      <c r="X191" s="974"/>
      <c r="Y191" s="974"/>
      <c r="Z191" s="974"/>
      <c r="AA191" s="974"/>
      <c r="AB191" s="974"/>
      <c r="AC191" s="974"/>
      <c r="AD191" s="974"/>
      <c r="AE191" s="974"/>
      <c r="AF191" s="974"/>
      <c r="AG191" s="974"/>
      <c r="AH191" s="974"/>
      <c r="AI191" s="1198"/>
      <c r="AJ191" s="974"/>
      <c r="AK191" s="1197"/>
      <c r="AL191" s="974"/>
      <c r="AM191" s="974"/>
      <c r="AN191" s="974"/>
      <c r="AO191" s="974"/>
      <c r="AP191" s="974"/>
      <c r="AQ191" s="974"/>
      <c r="AR191" s="974"/>
      <c r="AS191" s="974"/>
      <c r="AT191" s="974"/>
      <c r="AU191" s="974"/>
      <c r="AV191" s="974"/>
      <c r="AW191" s="1181"/>
      <c r="AX191" s="978"/>
      <c r="AY191" s="898"/>
      <c r="AZ191" s="898"/>
      <c r="BA191" s="898"/>
      <c r="BB191" s="898"/>
      <c r="BC191" s="898"/>
      <c r="BD191" s="898"/>
      <c r="BE191" s="898"/>
      <c r="BF191" s="898"/>
      <c r="BG191" s="898"/>
      <c r="BH191" s="898"/>
      <c r="BI191" s="898"/>
      <c r="BJ191" s="898"/>
      <c r="BK191" s="898"/>
      <c r="BL191" s="898"/>
      <c r="BM191" s="898"/>
      <c r="BN191" s="898"/>
      <c r="BO191" s="898"/>
      <c r="BP191" s="898"/>
      <c r="BQ191" s="898"/>
      <c r="BR191" s="898"/>
      <c r="BS191" s="898"/>
      <c r="BT191" s="898"/>
      <c r="BU191" s="898"/>
      <c r="BV191" s="898"/>
      <c r="BW191" s="898"/>
      <c r="BX191" s="898"/>
      <c r="BY191" s="898"/>
      <c r="BZ191" s="898"/>
      <c r="CA191" s="898"/>
      <c r="CB191" s="898"/>
      <c r="CC191" s="898"/>
      <c r="CD191" s="898"/>
      <c r="CE191" s="898"/>
      <c r="CF191" s="898"/>
      <c r="CG191" s="898"/>
      <c r="CH191" s="898"/>
      <c r="CI191" s="898"/>
      <c r="CJ191" s="898"/>
      <c r="CK191" s="898"/>
      <c r="CL191" s="898"/>
      <c r="CM191" s="898"/>
      <c r="CN191" s="898"/>
      <c r="CO191" s="898"/>
      <c r="CP191" s="898"/>
      <c r="CQ191" s="898"/>
      <c r="CR191" s="898"/>
      <c r="CS191" s="898"/>
      <c r="CT191" s="898"/>
      <c r="CU191" s="898"/>
    </row>
    <row r="192" ht="16.5" customHeight="1">
      <c r="A192" s="718"/>
      <c r="B192" s="1195"/>
      <c r="C192" s="866"/>
      <c r="D192" s="968"/>
      <c r="E192" s="718"/>
      <c r="F192" s="718"/>
      <c r="G192" s="718"/>
      <c r="H192" s="718"/>
      <c r="I192" s="359"/>
      <c r="J192" s="359"/>
      <c r="K192" s="359"/>
      <c r="L192" s="359"/>
      <c r="M192" s="359"/>
      <c r="N192" s="359"/>
      <c r="O192" s="359"/>
      <c r="P192" s="359"/>
      <c r="Q192" s="359"/>
      <c r="R192" s="718"/>
      <c r="S192" s="669"/>
      <c r="T192" s="669"/>
      <c r="U192" s="967"/>
      <c r="V192" s="974"/>
      <c r="W192" s="1197"/>
      <c r="X192" s="974"/>
      <c r="Y192" s="974"/>
      <c r="Z192" s="974"/>
      <c r="AA192" s="974"/>
      <c r="AB192" s="974"/>
      <c r="AC192" s="974"/>
      <c r="AD192" s="974"/>
      <c r="AE192" s="974"/>
      <c r="AF192" s="974"/>
      <c r="AG192" s="974"/>
      <c r="AH192" s="974"/>
      <c r="AI192" s="1198"/>
      <c r="AJ192" s="974"/>
      <c r="AK192" s="1197"/>
      <c r="AL192" s="974"/>
      <c r="AM192" s="974"/>
      <c r="AN192" s="974"/>
      <c r="AO192" s="974"/>
      <c r="AP192" s="974"/>
      <c r="AQ192" s="974"/>
      <c r="AR192" s="974"/>
      <c r="AS192" s="974"/>
      <c r="AT192" s="974"/>
      <c r="AU192" s="974"/>
      <c r="AV192" s="974"/>
      <c r="AW192" s="1181"/>
      <c r="AX192" s="978"/>
      <c r="AY192" s="898"/>
      <c r="AZ192" s="898"/>
      <c r="BA192" s="898"/>
      <c r="BB192" s="898"/>
      <c r="BC192" s="898"/>
      <c r="BD192" s="898"/>
      <c r="BE192" s="898"/>
      <c r="BF192" s="898"/>
      <c r="BG192" s="898"/>
      <c r="BH192" s="898"/>
      <c r="BI192" s="898"/>
      <c r="BJ192" s="898"/>
      <c r="BK192" s="898"/>
      <c r="BL192" s="898"/>
      <c r="BM192" s="898"/>
      <c r="BN192" s="898"/>
      <c r="BO192" s="898"/>
      <c r="BP192" s="898"/>
      <c r="BQ192" s="898"/>
      <c r="BR192" s="898"/>
      <c r="BS192" s="898"/>
      <c r="BT192" s="898"/>
      <c r="BU192" s="898"/>
      <c r="BV192" s="898"/>
      <c r="BW192" s="898"/>
      <c r="BX192" s="898"/>
      <c r="BY192" s="898"/>
      <c r="BZ192" s="898"/>
      <c r="CA192" s="898"/>
      <c r="CB192" s="898"/>
      <c r="CC192" s="898"/>
      <c r="CD192" s="898"/>
      <c r="CE192" s="898"/>
      <c r="CF192" s="898"/>
      <c r="CG192" s="898"/>
      <c r="CH192" s="898"/>
      <c r="CI192" s="898"/>
      <c r="CJ192" s="898"/>
      <c r="CK192" s="898"/>
      <c r="CL192" s="898"/>
      <c r="CM192" s="898"/>
      <c r="CN192" s="898"/>
      <c r="CO192" s="898"/>
      <c r="CP192" s="898"/>
      <c r="CQ192" s="898"/>
      <c r="CR192" s="898"/>
      <c r="CS192" s="898"/>
      <c r="CT192" s="898"/>
      <c r="CU192" s="898"/>
    </row>
    <row r="193" ht="16.5" customHeight="1">
      <c r="A193" s="718"/>
      <c r="B193" s="1195"/>
      <c r="C193" s="866"/>
      <c r="D193" s="968"/>
      <c r="E193" s="718"/>
      <c r="F193" s="718"/>
      <c r="G193" s="718"/>
      <c r="H193" s="718"/>
      <c r="I193" s="359"/>
      <c r="J193" s="359"/>
      <c r="K193" s="359"/>
      <c r="L193" s="359"/>
      <c r="M193" s="359"/>
      <c r="N193" s="359"/>
      <c r="O193" s="359"/>
      <c r="P193" s="359"/>
      <c r="Q193" s="359"/>
      <c r="R193" s="718"/>
      <c r="S193" s="669"/>
      <c r="T193" s="669"/>
      <c r="U193" s="967"/>
      <c r="V193" s="974"/>
      <c r="W193" s="1197"/>
      <c r="X193" s="974"/>
      <c r="Y193" s="974"/>
      <c r="Z193" s="974"/>
      <c r="AA193" s="974"/>
      <c r="AB193" s="974"/>
      <c r="AC193" s="974"/>
      <c r="AD193" s="974"/>
      <c r="AE193" s="974"/>
      <c r="AF193" s="974"/>
      <c r="AG193" s="974"/>
      <c r="AH193" s="974"/>
      <c r="AI193" s="1198"/>
      <c r="AJ193" s="974"/>
      <c r="AK193" s="1197"/>
      <c r="AL193" s="974"/>
      <c r="AM193" s="974"/>
      <c r="AN193" s="974"/>
      <c r="AO193" s="974"/>
      <c r="AP193" s="974"/>
      <c r="AQ193" s="974"/>
      <c r="AR193" s="974"/>
      <c r="AS193" s="974"/>
      <c r="AT193" s="974"/>
      <c r="AU193" s="974"/>
      <c r="AV193" s="974"/>
      <c r="AW193" s="1181"/>
      <c r="AX193" s="978"/>
      <c r="AY193" s="898"/>
      <c r="AZ193" s="898"/>
      <c r="BA193" s="898"/>
      <c r="BB193" s="898"/>
      <c r="BC193" s="898"/>
      <c r="BD193" s="898"/>
      <c r="BE193" s="898"/>
      <c r="BF193" s="898"/>
      <c r="BG193" s="898"/>
      <c r="BH193" s="898"/>
      <c r="BI193" s="898"/>
      <c r="BJ193" s="898"/>
      <c r="BK193" s="898"/>
      <c r="BL193" s="898"/>
      <c r="BM193" s="898"/>
      <c r="BN193" s="898"/>
      <c r="BO193" s="898"/>
      <c r="BP193" s="898"/>
      <c r="BQ193" s="898"/>
      <c r="BR193" s="898"/>
      <c r="BS193" s="898"/>
      <c r="BT193" s="898"/>
      <c r="BU193" s="898"/>
      <c r="BV193" s="898"/>
      <c r="BW193" s="898"/>
      <c r="BX193" s="898"/>
      <c r="BY193" s="898"/>
      <c r="BZ193" s="898"/>
      <c r="CA193" s="898"/>
      <c r="CB193" s="898"/>
      <c r="CC193" s="898"/>
      <c r="CD193" s="898"/>
      <c r="CE193" s="898"/>
      <c r="CF193" s="898"/>
      <c r="CG193" s="898"/>
      <c r="CH193" s="898"/>
      <c r="CI193" s="898"/>
      <c r="CJ193" s="898"/>
      <c r="CK193" s="898"/>
      <c r="CL193" s="898"/>
      <c r="CM193" s="898"/>
      <c r="CN193" s="898"/>
      <c r="CO193" s="898"/>
      <c r="CP193" s="898"/>
      <c r="CQ193" s="898"/>
      <c r="CR193" s="898"/>
      <c r="CS193" s="898"/>
      <c r="CT193" s="898"/>
      <c r="CU193" s="898"/>
    </row>
    <row r="194" ht="16.5" customHeight="1">
      <c r="A194" s="718"/>
      <c r="B194" s="1195"/>
      <c r="C194" s="866"/>
      <c r="D194" s="968"/>
      <c r="E194" s="718"/>
      <c r="F194" s="718"/>
      <c r="G194" s="718"/>
      <c r="H194" s="718"/>
      <c r="I194" s="359"/>
      <c r="J194" s="359"/>
      <c r="K194" s="359"/>
      <c r="L194" s="359"/>
      <c r="M194" s="359"/>
      <c r="N194" s="359"/>
      <c r="O194" s="359"/>
      <c r="P194" s="359"/>
      <c r="Q194" s="359"/>
      <c r="R194" s="718"/>
      <c r="S194" s="669"/>
      <c r="T194" s="669"/>
      <c r="U194" s="967"/>
      <c r="V194" s="974"/>
      <c r="W194" s="1197"/>
      <c r="X194" s="974"/>
      <c r="Y194" s="974"/>
      <c r="Z194" s="974"/>
      <c r="AA194" s="974"/>
      <c r="AB194" s="974"/>
      <c r="AC194" s="974"/>
      <c r="AD194" s="974"/>
      <c r="AE194" s="974"/>
      <c r="AF194" s="974"/>
      <c r="AG194" s="974"/>
      <c r="AH194" s="974"/>
      <c r="AI194" s="1198"/>
      <c r="AJ194" s="974"/>
      <c r="AK194" s="1197"/>
      <c r="AL194" s="974"/>
      <c r="AM194" s="974"/>
      <c r="AN194" s="974"/>
      <c r="AO194" s="974"/>
      <c r="AP194" s="974"/>
      <c r="AQ194" s="974"/>
      <c r="AR194" s="974"/>
      <c r="AS194" s="974"/>
      <c r="AT194" s="974"/>
      <c r="AU194" s="974"/>
      <c r="AV194" s="974"/>
      <c r="AW194" s="1181"/>
      <c r="AX194" s="978"/>
      <c r="AY194" s="898"/>
      <c r="AZ194" s="898"/>
      <c r="BA194" s="898"/>
      <c r="BB194" s="898"/>
      <c r="BC194" s="898"/>
      <c r="BD194" s="898"/>
      <c r="BE194" s="898"/>
      <c r="BF194" s="898"/>
      <c r="BG194" s="898"/>
      <c r="BH194" s="898"/>
      <c r="BI194" s="898"/>
      <c r="BJ194" s="898"/>
      <c r="BK194" s="898"/>
      <c r="BL194" s="898"/>
      <c r="BM194" s="898"/>
      <c r="BN194" s="898"/>
      <c r="BO194" s="898"/>
      <c r="BP194" s="898"/>
      <c r="BQ194" s="898"/>
      <c r="BR194" s="898"/>
      <c r="BS194" s="898"/>
      <c r="BT194" s="898"/>
      <c r="BU194" s="898"/>
      <c r="BV194" s="898"/>
      <c r="BW194" s="898"/>
      <c r="BX194" s="898"/>
      <c r="BY194" s="898"/>
      <c r="BZ194" s="898"/>
      <c r="CA194" s="898"/>
      <c r="CB194" s="898"/>
      <c r="CC194" s="898"/>
      <c r="CD194" s="898"/>
      <c r="CE194" s="898"/>
      <c r="CF194" s="898"/>
      <c r="CG194" s="898"/>
      <c r="CH194" s="898"/>
      <c r="CI194" s="898"/>
      <c r="CJ194" s="898"/>
      <c r="CK194" s="898"/>
      <c r="CL194" s="898"/>
      <c r="CM194" s="898"/>
      <c r="CN194" s="898"/>
      <c r="CO194" s="898"/>
      <c r="CP194" s="898"/>
      <c r="CQ194" s="898"/>
      <c r="CR194" s="898"/>
      <c r="CS194" s="898"/>
      <c r="CT194" s="898"/>
      <c r="CU194" s="898"/>
    </row>
    <row r="195" ht="16.5" customHeight="1">
      <c r="A195" s="718"/>
      <c r="B195" s="1195"/>
      <c r="C195" s="866"/>
      <c r="D195" s="968"/>
      <c r="E195" s="718"/>
      <c r="F195" s="718"/>
      <c r="G195" s="718"/>
      <c r="H195" s="718"/>
      <c r="I195" s="359"/>
      <c r="J195" s="359"/>
      <c r="K195" s="359"/>
      <c r="L195" s="359"/>
      <c r="M195" s="359"/>
      <c r="N195" s="359"/>
      <c r="O195" s="359"/>
      <c r="P195" s="359"/>
      <c r="Q195" s="359"/>
      <c r="R195" s="718"/>
      <c r="S195" s="669"/>
      <c r="T195" s="669"/>
      <c r="U195" s="967"/>
      <c r="V195" s="974"/>
      <c r="W195" s="1197"/>
      <c r="X195" s="974"/>
      <c r="Y195" s="974"/>
      <c r="Z195" s="974"/>
      <c r="AA195" s="974"/>
      <c r="AB195" s="974"/>
      <c r="AC195" s="974"/>
      <c r="AD195" s="974"/>
      <c r="AE195" s="974"/>
      <c r="AF195" s="974"/>
      <c r="AG195" s="974"/>
      <c r="AH195" s="974"/>
      <c r="AI195" s="1198"/>
      <c r="AJ195" s="974"/>
      <c r="AK195" s="1197"/>
      <c r="AL195" s="974"/>
      <c r="AM195" s="974"/>
      <c r="AN195" s="974"/>
      <c r="AO195" s="974"/>
      <c r="AP195" s="974"/>
      <c r="AQ195" s="974"/>
      <c r="AR195" s="974"/>
      <c r="AS195" s="974"/>
      <c r="AT195" s="974"/>
      <c r="AU195" s="974"/>
      <c r="AV195" s="974"/>
      <c r="AW195" s="1181"/>
      <c r="AX195" s="978"/>
      <c r="AY195" s="898"/>
      <c r="AZ195" s="898"/>
      <c r="BA195" s="898"/>
      <c r="BB195" s="898"/>
      <c r="BC195" s="898"/>
      <c r="BD195" s="898"/>
      <c r="BE195" s="898"/>
      <c r="BF195" s="898"/>
      <c r="BG195" s="898"/>
      <c r="BH195" s="898"/>
      <c r="BI195" s="898"/>
      <c r="BJ195" s="898"/>
      <c r="BK195" s="898"/>
      <c r="BL195" s="898"/>
      <c r="BM195" s="898"/>
      <c r="BN195" s="898"/>
      <c r="BO195" s="898"/>
      <c r="BP195" s="898"/>
      <c r="BQ195" s="898"/>
      <c r="BR195" s="898"/>
      <c r="BS195" s="898"/>
      <c r="BT195" s="898"/>
      <c r="BU195" s="898"/>
      <c r="BV195" s="898"/>
      <c r="BW195" s="898"/>
      <c r="BX195" s="898"/>
      <c r="BY195" s="898"/>
      <c r="BZ195" s="898"/>
      <c r="CA195" s="898"/>
      <c r="CB195" s="898"/>
      <c r="CC195" s="898"/>
      <c r="CD195" s="898"/>
      <c r="CE195" s="898"/>
      <c r="CF195" s="898"/>
      <c r="CG195" s="898"/>
      <c r="CH195" s="898"/>
      <c r="CI195" s="898"/>
      <c r="CJ195" s="898"/>
      <c r="CK195" s="898"/>
      <c r="CL195" s="898"/>
      <c r="CM195" s="898"/>
      <c r="CN195" s="898"/>
      <c r="CO195" s="898"/>
      <c r="CP195" s="898"/>
      <c r="CQ195" s="898"/>
      <c r="CR195" s="898"/>
      <c r="CS195" s="898"/>
      <c r="CT195" s="898"/>
      <c r="CU195" s="898"/>
    </row>
    <row r="196" ht="16.5" customHeight="1">
      <c r="A196" s="718"/>
      <c r="B196" s="1195"/>
      <c r="C196" s="866"/>
      <c r="D196" s="968"/>
      <c r="E196" s="718"/>
      <c r="F196" s="718"/>
      <c r="G196" s="718"/>
      <c r="H196" s="718"/>
      <c r="I196" s="359"/>
      <c r="J196" s="359"/>
      <c r="K196" s="359"/>
      <c r="L196" s="359"/>
      <c r="M196" s="359"/>
      <c r="N196" s="359"/>
      <c r="O196" s="359"/>
      <c r="P196" s="359"/>
      <c r="Q196" s="359"/>
      <c r="R196" s="718"/>
      <c r="S196" s="669"/>
      <c r="T196" s="669"/>
      <c r="U196" s="967"/>
      <c r="V196" s="974"/>
      <c r="W196" s="1197"/>
      <c r="X196" s="974"/>
      <c r="Y196" s="974"/>
      <c r="Z196" s="974"/>
      <c r="AA196" s="974"/>
      <c r="AB196" s="974"/>
      <c r="AC196" s="974"/>
      <c r="AD196" s="974"/>
      <c r="AE196" s="974"/>
      <c r="AF196" s="974"/>
      <c r="AG196" s="974"/>
      <c r="AH196" s="974"/>
      <c r="AI196" s="1198"/>
      <c r="AJ196" s="974"/>
      <c r="AK196" s="1197"/>
      <c r="AL196" s="974"/>
      <c r="AM196" s="974"/>
      <c r="AN196" s="974"/>
      <c r="AO196" s="974"/>
      <c r="AP196" s="974"/>
      <c r="AQ196" s="974"/>
      <c r="AR196" s="974"/>
      <c r="AS196" s="974"/>
      <c r="AT196" s="974"/>
      <c r="AU196" s="974"/>
      <c r="AV196" s="974"/>
      <c r="AW196" s="1181"/>
      <c r="AX196" s="978"/>
      <c r="AY196" s="898"/>
      <c r="AZ196" s="898"/>
      <c r="BA196" s="898"/>
      <c r="BB196" s="898"/>
      <c r="BC196" s="898"/>
      <c r="BD196" s="898"/>
      <c r="BE196" s="898"/>
      <c r="BF196" s="898"/>
      <c r="BG196" s="898"/>
      <c r="BH196" s="898"/>
      <c r="BI196" s="898"/>
      <c r="BJ196" s="898"/>
      <c r="BK196" s="898"/>
      <c r="BL196" s="898"/>
      <c r="BM196" s="898"/>
      <c r="BN196" s="898"/>
      <c r="BO196" s="898"/>
      <c r="BP196" s="898"/>
      <c r="BQ196" s="898"/>
      <c r="BR196" s="898"/>
      <c r="BS196" s="898"/>
      <c r="BT196" s="898"/>
      <c r="BU196" s="898"/>
      <c r="BV196" s="898"/>
      <c r="BW196" s="898"/>
      <c r="BX196" s="898"/>
      <c r="BY196" s="898"/>
      <c r="BZ196" s="898"/>
      <c r="CA196" s="898"/>
      <c r="CB196" s="898"/>
      <c r="CC196" s="898"/>
      <c r="CD196" s="898"/>
      <c r="CE196" s="898"/>
      <c r="CF196" s="898"/>
      <c r="CG196" s="898"/>
      <c r="CH196" s="898"/>
      <c r="CI196" s="898"/>
      <c r="CJ196" s="898"/>
      <c r="CK196" s="898"/>
      <c r="CL196" s="898"/>
      <c r="CM196" s="898"/>
      <c r="CN196" s="898"/>
      <c r="CO196" s="898"/>
      <c r="CP196" s="898"/>
      <c r="CQ196" s="898"/>
      <c r="CR196" s="898"/>
      <c r="CS196" s="898"/>
      <c r="CT196" s="898"/>
      <c r="CU196" s="898"/>
    </row>
    <row r="197" ht="16.5" customHeight="1">
      <c r="A197" s="718"/>
      <c r="B197" s="1195"/>
      <c r="C197" s="866"/>
      <c r="D197" s="968"/>
      <c r="E197" s="718"/>
      <c r="F197" s="718"/>
      <c r="G197" s="718"/>
      <c r="H197" s="718"/>
      <c r="I197" s="359"/>
      <c r="J197" s="359"/>
      <c r="K197" s="359"/>
      <c r="L197" s="359"/>
      <c r="M197" s="359"/>
      <c r="N197" s="359"/>
      <c r="O197" s="359"/>
      <c r="P197" s="359"/>
      <c r="Q197" s="359"/>
      <c r="R197" s="718"/>
      <c r="S197" s="669"/>
      <c r="T197" s="669"/>
      <c r="U197" s="967"/>
      <c r="V197" s="974"/>
      <c r="W197" s="1197"/>
      <c r="X197" s="974"/>
      <c r="Y197" s="974"/>
      <c r="Z197" s="974"/>
      <c r="AA197" s="974"/>
      <c r="AB197" s="974"/>
      <c r="AC197" s="974"/>
      <c r="AD197" s="974"/>
      <c r="AE197" s="974"/>
      <c r="AF197" s="974"/>
      <c r="AG197" s="974"/>
      <c r="AH197" s="974"/>
      <c r="AI197" s="1198"/>
      <c r="AJ197" s="974"/>
      <c r="AK197" s="1197"/>
      <c r="AL197" s="974"/>
      <c r="AM197" s="974"/>
      <c r="AN197" s="974"/>
      <c r="AO197" s="974"/>
      <c r="AP197" s="974"/>
      <c r="AQ197" s="974"/>
      <c r="AR197" s="974"/>
      <c r="AS197" s="974"/>
      <c r="AT197" s="974"/>
      <c r="AU197" s="974"/>
      <c r="AV197" s="974"/>
      <c r="AW197" s="1181"/>
      <c r="AX197" s="978"/>
      <c r="AY197" s="898"/>
      <c r="AZ197" s="898"/>
      <c r="BA197" s="898"/>
      <c r="BB197" s="898"/>
      <c r="BC197" s="898"/>
      <c r="BD197" s="898"/>
      <c r="BE197" s="898"/>
      <c r="BF197" s="898"/>
      <c r="BG197" s="898"/>
      <c r="BH197" s="898"/>
      <c r="BI197" s="898"/>
      <c r="BJ197" s="898"/>
      <c r="BK197" s="898"/>
      <c r="BL197" s="898"/>
      <c r="BM197" s="898"/>
      <c r="BN197" s="898"/>
      <c r="BO197" s="898"/>
      <c r="BP197" s="898"/>
      <c r="BQ197" s="898"/>
      <c r="BR197" s="898"/>
      <c r="BS197" s="898"/>
      <c r="BT197" s="898"/>
      <c r="BU197" s="898"/>
      <c r="BV197" s="898"/>
      <c r="BW197" s="898"/>
      <c r="BX197" s="898"/>
      <c r="BY197" s="898"/>
      <c r="BZ197" s="898"/>
      <c r="CA197" s="898"/>
      <c r="CB197" s="898"/>
      <c r="CC197" s="898"/>
      <c r="CD197" s="898"/>
      <c r="CE197" s="898"/>
      <c r="CF197" s="898"/>
      <c r="CG197" s="898"/>
      <c r="CH197" s="898"/>
      <c r="CI197" s="898"/>
      <c r="CJ197" s="898"/>
      <c r="CK197" s="898"/>
      <c r="CL197" s="898"/>
      <c r="CM197" s="898"/>
      <c r="CN197" s="898"/>
      <c r="CO197" s="898"/>
      <c r="CP197" s="898"/>
      <c r="CQ197" s="898"/>
      <c r="CR197" s="898"/>
      <c r="CS197" s="898"/>
      <c r="CT197" s="898"/>
      <c r="CU197" s="898"/>
    </row>
    <row r="198" ht="16.5" customHeight="1">
      <c r="A198" s="718"/>
      <c r="B198" s="1195"/>
      <c r="C198" s="866"/>
      <c r="D198" s="968"/>
      <c r="E198" s="718"/>
      <c r="F198" s="718"/>
      <c r="G198" s="718"/>
      <c r="H198" s="718"/>
      <c r="I198" s="359"/>
      <c r="J198" s="359"/>
      <c r="K198" s="359"/>
      <c r="L198" s="359"/>
      <c r="M198" s="359"/>
      <c r="N198" s="359"/>
      <c r="O198" s="359"/>
      <c r="P198" s="359"/>
      <c r="Q198" s="359"/>
      <c r="R198" s="718"/>
      <c r="S198" s="669"/>
      <c r="T198" s="669"/>
      <c r="U198" s="967"/>
      <c r="V198" s="974"/>
      <c r="W198" s="1197"/>
      <c r="X198" s="974"/>
      <c r="Y198" s="974"/>
      <c r="Z198" s="974"/>
      <c r="AA198" s="974"/>
      <c r="AB198" s="974"/>
      <c r="AC198" s="974"/>
      <c r="AD198" s="974"/>
      <c r="AE198" s="974"/>
      <c r="AF198" s="974"/>
      <c r="AG198" s="974"/>
      <c r="AH198" s="974"/>
      <c r="AI198" s="1198"/>
      <c r="AJ198" s="974"/>
      <c r="AK198" s="1197"/>
      <c r="AL198" s="974"/>
      <c r="AM198" s="974"/>
      <c r="AN198" s="974"/>
      <c r="AO198" s="974"/>
      <c r="AP198" s="974"/>
      <c r="AQ198" s="974"/>
      <c r="AR198" s="974"/>
      <c r="AS198" s="974"/>
      <c r="AT198" s="974"/>
      <c r="AU198" s="974"/>
      <c r="AV198" s="974"/>
      <c r="AW198" s="1181"/>
      <c r="AX198" s="978"/>
      <c r="AY198" s="898"/>
      <c r="AZ198" s="898"/>
      <c r="BA198" s="898"/>
      <c r="BB198" s="898"/>
      <c r="BC198" s="898"/>
      <c r="BD198" s="898"/>
      <c r="BE198" s="898"/>
      <c r="BF198" s="898"/>
      <c r="BG198" s="898"/>
      <c r="BH198" s="898"/>
      <c r="BI198" s="898"/>
      <c r="BJ198" s="898"/>
      <c r="BK198" s="898"/>
      <c r="BL198" s="898"/>
      <c r="BM198" s="898"/>
      <c r="BN198" s="898"/>
      <c r="BO198" s="898"/>
      <c r="BP198" s="898"/>
      <c r="BQ198" s="898"/>
      <c r="BR198" s="898"/>
      <c r="BS198" s="898"/>
      <c r="BT198" s="898"/>
      <c r="BU198" s="898"/>
      <c r="BV198" s="898"/>
      <c r="BW198" s="898"/>
      <c r="BX198" s="898"/>
      <c r="BY198" s="898"/>
      <c r="BZ198" s="898"/>
      <c r="CA198" s="898"/>
      <c r="CB198" s="898"/>
      <c r="CC198" s="898"/>
      <c r="CD198" s="898"/>
      <c r="CE198" s="898"/>
      <c r="CF198" s="898"/>
      <c r="CG198" s="898"/>
      <c r="CH198" s="898"/>
      <c r="CI198" s="898"/>
      <c r="CJ198" s="898"/>
      <c r="CK198" s="898"/>
      <c r="CL198" s="898"/>
      <c r="CM198" s="898"/>
      <c r="CN198" s="898"/>
      <c r="CO198" s="898"/>
      <c r="CP198" s="898"/>
      <c r="CQ198" s="898"/>
      <c r="CR198" s="898"/>
      <c r="CS198" s="898"/>
      <c r="CT198" s="898"/>
      <c r="CU198" s="898"/>
    </row>
    <row r="199" ht="16.5" customHeight="1">
      <c r="A199" s="718"/>
      <c r="B199" s="1195"/>
      <c r="C199" s="866"/>
      <c r="D199" s="968"/>
      <c r="E199" s="718"/>
      <c r="F199" s="718"/>
      <c r="G199" s="718"/>
      <c r="H199" s="718"/>
      <c r="I199" s="359"/>
      <c r="J199" s="359"/>
      <c r="K199" s="359"/>
      <c r="L199" s="359"/>
      <c r="M199" s="359"/>
      <c r="N199" s="359"/>
      <c r="O199" s="359"/>
      <c r="P199" s="359"/>
      <c r="Q199" s="359"/>
      <c r="R199" s="718"/>
      <c r="S199" s="669"/>
      <c r="T199" s="669"/>
      <c r="U199" s="967"/>
      <c r="V199" s="974"/>
      <c r="W199" s="1197"/>
      <c r="X199" s="974"/>
      <c r="Y199" s="974"/>
      <c r="Z199" s="974"/>
      <c r="AA199" s="974"/>
      <c r="AB199" s="974"/>
      <c r="AC199" s="974"/>
      <c r="AD199" s="974"/>
      <c r="AE199" s="974"/>
      <c r="AF199" s="974"/>
      <c r="AG199" s="974"/>
      <c r="AH199" s="974"/>
      <c r="AI199" s="1198"/>
      <c r="AJ199" s="974"/>
      <c r="AK199" s="1197"/>
      <c r="AL199" s="974"/>
      <c r="AM199" s="974"/>
      <c r="AN199" s="974"/>
      <c r="AO199" s="974"/>
      <c r="AP199" s="974"/>
      <c r="AQ199" s="974"/>
      <c r="AR199" s="974"/>
      <c r="AS199" s="974"/>
      <c r="AT199" s="974"/>
      <c r="AU199" s="974"/>
      <c r="AV199" s="974"/>
      <c r="AW199" s="1181"/>
      <c r="AX199" s="978"/>
      <c r="AY199" s="898"/>
      <c r="AZ199" s="898"/>
      <c r="BA199" s="898"/>
      <c r="BB199" s="898"/>
      <c r="BC199" s="898"/>
      <c r="BD199" s="898"/>
      <c r="BE199" s="898"/>
      <c r="BF199" s="898"/>
      <c r="BG199" s="898"/>
      <c r="BH199" s="898"/>
      <c r="BI199" s="898"/>
      <c r="BJ199" s="898"/>
      <c r="BK199" s="898"/>
      <c r="BL199" s="898"/>
      <c r="BM199" s="898"/>
      <c r="BN199" s="898"/>
      <c r="BO199" s="898"/>
      <c r="BP199" s="898"/>
      <c r="BQ199" s="898"/>
      <c r="BR199" s="898"/>
      <c r="BS199" s="898"/>
      <c r="BT199" s="898"/>
      <c r="BU199" s="898"/>
      <c r="BV199" s="898"/>
      <c r="BW199" s="898"/>
      <c r="BX199" s="898"/>
      <c r="BY199" s="898"/>
      <c r="BZ199" s="898"/>
      <c r="CA199" s="898"/>
      <c r="CB199" s="898"/>
      <c r="CC199" s="898"/>
      <c r="CD199" s="898"/>
      <c r="CE199" s="898"/>
      <c r="CF199" s="898"/>
      <c r="CG199" s="898"/>
      <c r="CH199" s="898"/>
      <c r="CI199" s="898"/>
      <c r="CJ199" s="898"/>
      <c r="CK199" s="898"/>
      <c r="CL199" s="898"/>
      <c r="CM199" s="898"/>
      <c r="CN199" s="898"/>
      <c r="CO199" s="898"/>
      <c r="CP199" s="898"/>
      <c r="CQ199" s="898"/>
      <c r="CR199" s="898"/>
      <c r="CS199" s="898"/>
      <c r="CT199" s="898"/>
      <c r="CU199" s="898"/>
    </row>
    <row r="200" ht="16.5" customHeight="1">
      <c r="A200" s="718"/>
      <c r="B200" s="1195"/>
      <c r="C200" s="866"/>
      <c r="D200" s="968"/>
      <c r="E200" s="718"/>
      <c r="F200" s="718"/>
      <c r="G200" s="718"/>
      <c r="H200" s="718"/>
      <c r="I200" s="359"/>
      <c r="J200" s="359"/>
      <c r="K200" s="359"/>
      <c r="L200" s="359"/>
      <c r="M200" s="359"/>
      <c r="N200" s="359"/>
      <c r="O200" s="359"/>
      <c r="P200" s="359"/>
      <c r="Q200" s="359"/>
      <c r="R200" s="718"/>
      <c r="S200" s="669"/>
      <c r="T200" s="669"/>
      <c r="U200" s="967"/>
      <c r="V200" s="974"/>
      <c r="W200" s="1197"/>
      <c r="X200" s="974"/>
      <c r="Y200" s="974"/>
      <c r="Z200" s="974"/>
      <c r="AA200" s="974"/>
      <c r="AB200" s="974"/>
      <c r="AC200" s="974"/>
      <c r="AD200" s="974"/>
      <c r="AE200" s="974"/>
      <c r="AF200" s="974"/>
      <c r="AG200" s="974"/>
      <c r="AH200" s="974"/>
      <c r="AI200" s="1198"/>
      <c r="AJ200" s="974"/>
      <c r="AK200" s="1197"/>
      <c r="AL200" s="974"/>
      <c r="AM200" s="974"/>
      <c r="AN200" s="974"/>
      <c r="AO200" s="974"/>
      <c r="AP200" s="974"/>
      <c r="AQ200" s="974"/>
      <c r="AR200" s="974"/>
      <c r="AS200" s="974"/>
      <c r="AT200" s="974"/>
      <c r="AU200" s="974"/>
      <c r="AV200" s="974"/>
      <c r="AW200" s="1181"/>
      <c r="AX200" s="978"/>
      <c r="AY200" s="898"/>
      <c r="AZ200" s="898"/>
      <c r="BA200" s="898"/>
      <c r="BB200" s="898"/>
      <c r="BC200" s="898"/>
      <c r="BD200" s="898"/>
      <c r="BE200" s="898"/>
      <c r="BF200" s="898"/>
      <c r="BG200" s="898"/>
      <c r="BH200" s="898"/>
      <c r="BI200" s="898"/>
      <c r="BJ200" s="898"/>
      <c r="BK200" s="898"/>
      <c r="BL200" s="898"/>
      <c r="BM200" s="898"/>
      <c r="BN200" s="898"/>
      <c r="BO200" s="898"/>
      <c r="BP200" s="898"/>
      <c r="BQ200" s="898"/>
      <c r="BR200" s="898"/>
      <c r="BS200" s="898"/>
      <c r="BT200" s="898"/>
      <c r="BU200" s="898"/>
      <c r="BV200" s="898"/>
      <c r="BW200" s="898"/>
      <c r="BX200" s="898"/>
      <c r="BY200" s="898"/>
      <c r="BZ200" s="898"/>
      <c r="CA200" s="898"/>
      <c r="CB200" s="898"/>
      <c r="CC200" s="898"/>
      <c r="CD200" s="898"/>
      <c r="CE200" s="898"/>
      <c r="CF200" s="898"/>
      <c r="CG200" s="898"/>
      <c r="CH200" s="898"/>
      <c r="CI200" s="898"/>
      <c r="CJ200" s="898"/>
      <c r="CK200" s="898"/>
      <c r="CL200" s="898"/>
      <c r="CM200" s="898"/>
      <c r="CN200" s="898"/>
      <c r="CO200" s="898"/>
      <c r="CP200" s="898"/>
      <c r="CQ200" s="898"/>
      <c r="CR200" s="898"/>
      <c r="CS200" s="898"/>
      <c r="CT200" s="898"/>
      <c r="CU200" s="898"/>
    </row>
    <row r="201" ht="16.5" customHeight="1">
      <c r="A201" s="718"/>
      <c r="B201" s="1195"/>
      <c r="C201" s="866"/>
      <c r="D201" s="968"/>
      <c r="E201" s="718"/>
      <c r="F201" s="718"/>
      <c r="G201" s="718"/>
      <c r="H201" s="718"/>
      <c r="I201" s="359"/>
      <c r="J201" s="359"/>
      <c r="K201" s="359"/>
      <c r="L201" s="359"/>
      <c r="M201" s="359"/>
      <c r="N201" s="359"/>
      <c r="O201" s="359"/>
      <c r="P201" s="359"/>
      <c r="Q201" s="359"/>
      <c r="R201" s="718"/>
      <c r="S201" s="669"/>
      <c r="T201" s="669"/>
      <c r="U201" s="967"/>
      <c r="V201" s="974"/>
      <c r="W201" s="1197"/>
      <c r="X201" s="974"/>
      <c r="Y201" s="974"/>
      <c r="Z201" s="974"/>
      <c r="AA201" s="974"/>
      <c r="AB201" s="974"/>
      <c r="AC201" s="974"/>
      <c r="AD201" s="974"/>
      <c r="AE201" s="974"/>
      <c r="AF201" s="974"/>
      <c r="AG201" s="974"/>
      <c r="AH201" s="974"/>
      <c r="AI201" s="1198"/>
      <c r="AJ201" s="974"/>
      <c r="AK201" s="1197"/>
      <c r="AL201" s="974"/>
      <c r="AM201" s="974"/>
      <c r="AN201" s="974"/>
      <c r="AO201" s="974"/>
      <c r="AP201" s="974"/>
      <c r="AQ201" s="974"/>
      <c r="AR201" s="974"/>
      <c r="AS201" s="974"/>
      <c r="AT201" s="974"/>
      <c r="AU201" s="974"/>
      <c r="AV201" s="974"/>
      <c r="AW201" s="1181"/>
      <c r="AX201" s="978"/>
      <c r="AY201" s="898"/>
      <c r="AZ201" s="898"/>
      <c r="BA201" s="898"/>
      <c r="BB201" s="898"/>
      <c r="BC201" s="898"/>
      <c r="BD201" s="898"/>
      <c r="BE201" s="898"/>
      <c r="BF201" s="898"/>
      <c r="BG201" s="898"/>
      <c r="BH201" s="898"/>
      <c r="BI201" s="898"/>
      <c r="BJ201" s="898"/>
      <c r="BK201" s="898"/>
      <c r="BL201" s="898"/>
      <c r="BM201" s="898"/>
      <c r="BN201" s="898"/>
      <c r="BO201" s="898"/>
      <c r="BP201" s="898"/>
      <c r="BQ201" s="898"/>
      <c r="BR201" s="898"/>
      <c r="BS201" s="898"/>
      <c r="BT201" s="898"/>
      <c r="BU201" s="898"/>
      <c r="BV201" s="898"/>
      <c r="BW201" s="898"/>
      <c r="BX201" s="898"/>
      <c r="BY201" s="898"/>
      <c r="BZ201" s="898"/>
      <c r="CA201" s="898"/>
      <c r="CB201" s="898"/>
      <c r="CC201" s="898"/>
      <c r="CD201" s="898"/>
      <c r="CE201" s="898"/>
      <c r="CF201" s="898"/>
      <c r="CG201" s="898"/>
      <c r="CH201" s="898"/>
      <c r="CI201" s="898"/>
      <c r="CJ201" s="898"/>
      <c r="CK201" s="898"/>
      <c r="CL201" s="898"/>
      <c r="CM201" s="898"/>
      <c r="CN201" s="898"/>
      <c r="CO201" s="898"/>
      <c r="CP201" s="898"/>
      <c r="CQ201" s="898"/>
      <c r="CR201" s="898"/>
      <c r="CS201" s="898"/>
      <c r="CT201" s="898"/>
      <c r="CU201" s="898"/>
    </row>
    <row r="202" ht="16.5" customHeight="1">
      <c r="A202" s="718"/>
      <c r="B202" s="1195"/>
      <c r="C202" s="866"/>
      <c r="D202" s="968"/>
      <c r="E202" s="718"/>
      <c r="F202" s="718"/>
      <c r="G202" s="718"/>
      <c r="H202" s="718"/>
      <c r="I202" s="359"/>
      <c r="J202" s="359"/>
      <c r="K202" s="359"/>
      <c r="L202" s="359"/>
      <c r="M202" s="359"/>
      <c r="N202" s="359"/>
      <c r="O202" s="359"/>
      <c r="P202" s="359"/>
      <c r="Q202" s="359"/>
      <c r="R202" s="718"/>
      <c r="S202" s="669"/>
      <c r="T202" s="669"/>
      <c r="U202" s="967"/>
      <c r="V202" s="974"/>
      <c r="W202" s="1197"/>
      <c r="X202" s="974"/>
      <c r="Y202" s="974"/>
      <c r="Z202" s="974"/>
      <c r="AA202" s="974"/>
      <c r="AB202" s="974"/>
      <c r="AC202" s="974"/>
      <c r="AD202" s="974"/>
      <c r="AE202" s="974"/>
      <c r="AF202" s="974"/>
      <c r="AG202" s="974"/>
      <c r="AH202" s="974"/>
      <c r="AI202" s="1198"/>
      <c r="AJ202" s="974"/>
      <c r="AK202" s="1197"/>
      <c r="AL202" s="974"/>
      <c r="AM202" s="974"/>
      <c r="AN202" s="974"/>
      <c r="AO202" s="974"/>
      <c r="AP202" s="974"/>
      <c r="AQ202" s="974"/>
      <c r="AR202" s="974"/>
      <c r="AS202" s="974"/>
      <c r="AT202" s="974"/>
      <c r="AU202" s="974"/>
      <c r="AV202" s="974"/>
      <c r="AW202" s="1181"/>
      <c r="AX202" s="978"/>
      <c r="AY202" s="898"/>
      <c r="AZ202" s="898"/>
      <c r="BA202" s="898"/>
      <c r="BB202" s="898"/>
      <c r="BC202" s="898"/>
      <c r="BD202" s="898"/>
      <c r="BE202" s="898"/>
      <c r="BF202" s="898"/>
      <c r="BG202" s="898"/>
      <c r="BH202" s="898"/>
      <c r="BI202" s="898"/>
      <c r="BJ202" s="898"/>
      <c r="BK202" s="898"/>
      <c r="BL202" s="898"/>
      <c r="BM202" s="898"/>
      <c r="BN202" s="898"/>
      <c r="BO202" s="898"/>
      <c r="BP202" s="898"/>
      <c r="BQ202" s="898"/>
      <c r="BR202" s="898"/>
      <c r="BS202" s="898"/>
      <c r="BT202" s="898"/>
      <c r="BU202" s="898"/>
      <c r="BV202" s="898"/>
      <c r="BW202" s="898"/>
      <c r="BX202" s="898"/>
      <c r="BY202" s="898"/>
      <c r="BZ202" s="898"/>
      <c r="CA202" s="898"/>
      <c r="CB202" s="898"/>
      <c r="CC202" s="898"/>
      <c r="CD202" s="898"/>
      <c r="CE202" s="898"/>
      <c r="CF202" s="898"/>
      <c r="CG202" s="898"/>
      <c r="CH202" s="898"/>
      <c r="CI202" s="898"/>
      <c r="CJ202" s="898"/>
      <c r="CK202" s="898"/>
      <c r="CL202" s="898"/>
      <c r="CM202" s="898"/>
      <c r="CN202" s="898"/>
      <c r="CO202" s="898"/>
      <c r="CP202" s="898"/>
      <c r="CQ202" s="898"/>
      <c r="CR202" s="898"/>
      <c r="CS202" s="898"/>
      <c r="CT202" s="898"/>
      <c r="CU202" s="898"/>
    </row>
    <row r="203" ht="16.5" customHeight="1">
      <c r="A203" s="718"/>
      <c r="B203" s="1195"/>
      <c r="C203" s="866"/>
      <c r="D203" s="968"/>
      <c r="E203" s="718"/>
      <c r="F203" s="718"/>
      <c r="G203" s="718"/>
      <c r="H203" s="718"/>
      <c r="I203" s="359"/>
      <c r="J203" s="359"/>
      <c r="K203" s="359"/>
      <c r="L203" s="359"/>
      <c r="M203" s="359"/>
      <c r="N203" s="359"/>
      <c r="O203" s="359"/>
      <c r="P203" s="359"/>
      <c r="Q203" s="359"/>
      <c r="R203" s="718"/>
      <c r="S203" s="669"/>
      <c r="T203" s="669"/>
      <c r="U203" s="967"/>
      <c r="V203" s="974"/>
      <c r="W203" s="1197"/>
      <c r="X203" s="974"/>
      <c r="Y203" s="974"/>
      <c r="Z203" s="974"/>
      <c r="AA203" s="974"/>
      <c r="AB203" s="974"/>
      <c r="AC203" s="974"/>
      <c r="AD203" s="974"/>
      <c r="AE203" s="974"/>
      <c r="AF203" s="974"/>
      <c r="AG203" s="974"/>
      <c r="AH203" s="974"/>
      <c r="AI203" s="1198"/>
      <c r="AJ203" s="974"/>
      <c r="AK203" s="1197"/>
      <c r="AL203" s="974"/>
      <c r="AM203" s="974"/>
      <c r="AN203" s="974"/>
      <c r="AO203" s="974"/>
      <c r="AP203" s="974"/>
      <c r="AQ203" s="974"/>
      <c r="AR203" s="974"/>
      <c r="AS203" s="974"/>
      <c r="AT203" s="974"/>
      <c r="AU203" s="974"/>
      <c r="AV203" s="974"/>
      <c r="AW203" s="1181"/>
      <c r="AX203" s="978"/>
      <c r="AY203" s="898"/>
      <c r="AZ203" s="898"/>
      <c r="BA203" s="898"/>
      <c r="BB203" s="898"/>
      <c r="BC203" s="898"/>
      <c r="BD203" s="898"/>
      <c r="BE203" s="898"/>
      <c r="BF203" s="898"/>
      <c r="BG203" s="898"/>
      <c r="BH203" s="898"/>
      <c r="BI203" s="898"/>
      <c r="BJ203" s="898"/>
      <c r="BK203" s="898"/>
      <c r="BL203" s="898"/>
      <c r="BM203" s="898"/>
      <c r="BN203" s="898"/>
      <c r="BO203" s="898"/>
      <c r="BP203" s="898"/>
      <c r="BQ203" s="898"/>
      <c r="BR203" s="898"/>
      <c r="BS203" s="898"/>
      <c r="BT203" s="898"/>
      <c r="BU203" s="898"/>
      <c r="BV203" s="898"/>
      <c r="BW203" s="898"/>
      <c r="BX203" s="898"/>
      <c r="BY203" s="898"/>
      <c r="BZ203" s="898"/>
      <c r="CA203" s="898"/>
      <c r="CB203" s="898"/>
      <c r="CC203" s="898"/>
      <c r="CD203" s="898"/>
      <c r="CE203" s="898"/>
      <c r="CF203" s="898"/>
      <c r="CG203" s="898"/>
      <c r="CH203" s="898"/>
      <c r="CI203" s="898"/>
      <c r="CJ203" s="898"/>
      <c r="CK203" s="898"/>
      <c r="CL203" s="898"/>
      <c r="CM203" s="898"/>
      <c r="CN203" s="898"/>
      <c r="CO203" s="898"/>
      <c r="CP203" s="898"/>
      <c r="CQ203" s="898"/>
      <c r="CR203" s="898"/>
      <c r="CS203" s="898"/>
      <c r="CT203" s="898"/>
      <c r="CU203" s="898"/>
    </row>
    <row r="204" ht="16.5" customHeight="1">
      <c r="A204" s="718"/>
      <c r="B204" s="1195"/>
      <c r="C204" s="866"/>
      <c r="D204" s="968"/>
      <c r="E204" s="718"/>
      <c r="F204" s="718"/>
      <c r="G204" s="718"/>
      <c r="H204" s="718"/>
      <c r="I204" s="359"/>
      <c r="J204" s="359"/>
      <c r="K204" s="359"/>
      <c r="L204" s="359"/>
      <c r="M204" s="359"/>
      <c r="N204" s="359"/>
      <c r="O204" s="359"/>
      <c r="P204" s="359"/>
      <c r="Q204" s="359"/>
      <c r="R204" s="718"/>
      <c r="S204" s="669"/>
      <c r="T204" s="669"/>
      <c r="U204" s="967"/>
      <c r="V204" s="974"/>
      <c r="W204" s="1197"/>
      <c r="X204" s="974"/>
      <c r="Y204" s="974"/>
      <c r="Z204" s="974"/>
      <c r="AA204" s="974"/>
      <c r="AB204" s="974"/>
      <c r="AC204" s="974"/>
      <c r="AD204" s="974"/>
      <c r="AE204" s="974"/>
      <c r="AF204" s="974"/>
      <c r="AG204" s="974"/>
      <c r="AH204" s="974"/>
      <c r="AI204" s="1198"/>
      <c r="AJ204" s="974"/>
      <c r="AK204" s="1197"/>
      <c r="AL204" s="974"/>
      <c r="AM204" s="974"/>
      <c r="AN204" s="974"/>
      <c r="AO204" s="974"/>
      <c r="AP204" s="974"/>
      <c r="AQ204" s="974"/>
      <c r="AR204" s="974"/>
      <c r="AS204" s="974"/>
      <c r="AT204" s="974"/>
      <c r="AU204" s="974"/>
      <c r="AV204" s="974"/>
      <c r="AW204" s="1181"/>
      <c r="AX204" s="978"/>
      <c r="AY204" s="898"/>
      <c r="AZ204" s="898"/>
      <c r="BA204" s="898"/>
      <c r="BB204" s="898"/>
      <c r="BC204" s="898"/>
      <c r="BD204" s="898"/>
      <c r="BE204" s="898"/>
      <c r="BF204" s="898"/>
      <c r="BG204" s="898"/>
      <c r="BH204" s="898"/>
      <c r="BI204" s="898"/>
      <c r="BJ204" s="898"/>
      <c r="BK204" s="898"/>
      <c r="BL204" s="898"/>
      <c r="BM204" s="898"/>
      <c r="BN204" s="898"/>
      <c r="BO204" s="898"/>
      <c r="BP204" s="898"/>
      <c r="BQ204" s="898"/>
      <c r="BR204" s="898"/>
      <c r="BS204" s="898"/>
      <c r="BT204" s="898"/>
      <c r="BU204" s="898"/>
      <c r="BV204" s="898"/>
      <c r="BW204" s="898"/>
      <c r="BX204" s="898"/>
      <c r="BY204" s="898"/>
      <c r="BZ204" s="898"/>
      <c r="CA204" s="898"/>
      <c r="CB204" s="898"/>
      <c r="CC204" s="898"/>
      <c r="CD204" s="898"/>
      <c r="CE204" s="898"/>
      <c r="CF204" s="898"/>
      <c r="CG204" s="898"/>
      <c r="CH204" s="898"/>
      <c r="CI204" s="898"/>
      <c r="CJ204" s="898"/>
      <c r="CK204" s="898"/>
      <c r="CL204" s="898"/>
      <c r="CM204" s="898"/>
      <c r="CN204" s="898"/>
      <c r="CO204" s="898"/>
      <c r="CP204" s="898"/>
      <c r="CQ204" s="898"/>
      <c r="CR204" s="898"/>
      <c r="CS204" s="898"/>
      <c r="CT204" s="898"/>
      <c r="CU204" s="898"/>
    </row>
    <row r="205" ht="16.5" customHeight="1">
      <c r="A205" s="718"/>
      <c r="B205" s="1195"/>
      <c r="C205" s="866"/>
      <c r="D205" s="968"/>
      <c r="E205" s="718"/>
      <c r="F205" s="718"/>
      <c r="G205" s="718"/>
      <c r="H205" s="718"/>
      <c r="I205" s="359"/>
      <c r="J205" s="359"/>
      <c r="K205" s="359"/>
      <c r="L205" s="359"/>
      <c r="M205" s="359"/>
      <c r="N205" s="359"/>
      <c r="O205" s="359"/>
      <c r="P205" s="359"/>
      <c r="Q205" s="359"/>
      <c r="R205" s="718"/>
      <c r="S205" s="669"/>
      <c r="T205" s="669"/>
      <c r="U205" s="967"/>
      <c r="V205" s="974"/>
      <c r="W205" s="1197"/>
      <c r="X205" s="974"/>
      <c r="Y205" s="974"/>
      <c r="Z205" s="974"/>
      <c r="AA205" s="974"/>
      <c r="AB205" s="974"/>
      <c r="AC205" s="974"/>
      <c r="AD205" s="974"/>
      <c r="AE205" s="974"/>
      <c r="AF205" s="974"/>
      <c r="AG205" s="974"/>
      <c r="AH205" s="974"/>
      <c r="AI205" s="1198"/>
      <c r="AJ205" s="974"/>
      <c r="AK205" s="1197"/>
      <c r="AL205" s="974"/>
      <c r="AM205" s="974"/>
      <c r="AN205" s="974"/>
      <c r="AO205" s="974"/>
      <c r="AP205" s="974"/>
      <c r="AQ205" s="974"/>
      <c r="AR205" s="974"/>
      <c r="AS205" s="974"/>
      <c r="AT205" s="974"/>
      <c r="AU205" s="974"/>
      <c r="AV205" s="974"/>
      <c r="AW205" s="1181"/>
      <c r="AX205" s="978"/>
      <c r="AY205" s="898"/>
      <c r="AZ205" s="898"/>
      <c r="BA205" s="898"/>
      <c r="BB205" s="898"/>
      <c r="BC205" s="898"/>
      <c r="BD205" s="898"/>
      <c r="BE205" s="898"/>
      <c r="BF205" s="898"/>
      <c r="BG205" s="898"/>
      <c r="BH205" s="898"/>
      <c r="BI205" s="898"/>
      <c r="BJ205" s="898"/>
      <c r="BK205" s="898"/>
      <c r="BL205" s="898"/>
      <c r="BM205" s="898"/>
      <c r="BN205" s="898"/>
      <c r="BO205" s="898"/>
      <c r="BP205" s="898"/>
      <c r="BQ205" s="898"/>
      <c r="BR205" s="898"/>
      <c r="BS205" s="898"/>
      <c r="BT205" s="898"/>
      <c r="BU205" s="898"/>
      <c r="BV205" s="898"/>
      <c r="BW205" s="898"/>
      <c r="BX205" s="898"/>
      <c r="BY205" s="898"/>
      <c r="BZ205" s="898"/>
      <c r="CA205" s="898"/>
      <c r="CB205" s="898"/>
      <c r="CC205" s="898"/>
      <c r="CD205" s="898"/>
      <c r="CE205" s="898"/>
      <c r="CF205" s="898"/>
      <c r="CG205" s="898"/>
      <c r="CH205" s="898"/>
      <c r="CI205" s="898"/>
      <c r="CJ205" s="898"/>
      <c r="CK205" s="898"/>
      <c r="CL205" s="898"/>
      <c r="CM205" s="898"/>
      <c r="CN205" s="898"/>
      <c r="CO205" s="898"/>
      <c r="CP205" s="898"/>
      <c r="CQ205" s="898"/>
      <c r="CR205" s="898"/>
      <c r="CS205" s="898"/>
      <c r="CT205" s="898"/>
      <c r="CU205" s="898"/>
    </row>
    <row r="206" ht="16.5" customHeight="1">
      <c r="A206" s="718"/>
      <c r="B206" s="1195"/>
      <c r="C206" s="866"/>
      <c r="D206" s="968"/>
      <c r="E206" s="718"/>
      <c r="F206" s="718"/>
      <c r="G206" s="718"/>
      <c r="H206" s="718"/>
      <c r="I206" s="359"/>
      <c r="J206" s="359"/>
      <c r="K206" s="359"/>
      <c r="L206" s="359"/>
      <c r="M206" s="359"/>
      <c r="N206" s="359"/>
      <c r="O206" s="359"/>
      <c r="P206" s="359"/>
      <c r="Q206" s="359"/>
      <c r="R206" s="718"/>
      <c r="S206" s="669"/>
      <c r="T206" s="669"/>
      <c r="U206" s="967"/>
      <c r="V206" s="974"/>
      <c r="W206" s="1197"/>
      <c r="X206" s="974"/>
      <c r="Y206" s="974"/>
      <c r="Z206" s="974"/>
      <c r="AA206" s="974"/>
      <c r="AB206" s="974"/>
      <c r="AC206" s="974"/>
      <c r="AD206" s="974"/>
      <c r="AE206" s="974"/>
      <c r="AF206" s="974"/>
      <c r="AG206" s="974"/>
      <c r="AH206" s="974"/>
      <c r="AI206" s="1198"/>
      <c r="AJ206" s="974"/>
      <c r="AK206" s="1197"/>
      <c r="AL206" s="974"/>
      <c r="AM206" s="974"/>
      <c r="AN206" s="974"/>
      <c r="AO206" s="974"/>
      <c r="AP206" s="974"/>
      <c r="AQ206" s="974"/>
      <c r="AR206" s="974"/>
      <c r="AS206" s="974"/>
      <c r="AT206" s="974"/>
      <c r="AU206" s="974"/>
      <c r="AV206" s="974"/>
      <c r="AW206" s="1181"/>
      <c r="AX206" s="978"/>
      <c r="AY206" s="898"/>
      <c r="AZ206" s="898"/>
      <c r="BA206" s="898"/>
      <c r="BB206" s="898"/>
      <c r="BC206" s="898"/>
      <c r="BD206" s="898"/>
      <c r="BE206" s="898"/>
      <c r="BF206" s="898"/>
      <c r="BG206" s="898"/>
      <c r="BH206" s="898"/>
      <c r="BI206" s="898"/>
      <c r="BJ206" s="898"/>
      <c r="BK206" s="898"/>
      <c r="BL206" s="898"/>
      <c r="BM206" s="898"/>
      <c r="BN206" s="898"/>
      <c r="BO206" s="898"/>
      <c r="BP206" s="898"/>
      <c r="BQ206" s="898"/>
      <c r="BR206" s="898"/>
      <c r="BS206" s="898"/>
      <c r="BT206" s="898"/>
      <c r="BU206" s="898"/>
      <c r="BV206" s="898"/>
      <c r="BW206" s="898"/>
      <c r="BX206" s="898"/>
      <c r="BY206" s="898"/>
      <c r="BZ206" s="898"/>
      <c r="CA206" s="898"/>
      <c r="CB206" s="898"/>
      <c r="CC206" s="898"/>
      <c r="CD206" s="898"/>
      <c r="CE206" s="898"/>
      <c r="CF206" s="898"/>
      <c r="CG206" s="898"/>
      <c r="CH206" s="898"/>
      <c r="CI206" s="898"/>
      <c r="CJ206" s="898"/>
      <c r="CK206" s="898"/>
      <c r="CL206" s="898"/>
      <c r="CM206" s="898"/>
      <c r="CN206" s="898"/>
      <c r="CO206" s="898"/>
      <c r="CP206" s="898"/>
      <c r="CQ206" s="898"/>
      <c r="CR206" s="898"/>
      <c r="CS206" s="898"/>
      <c r="CT206" s="898"/>
      <c r="CU206" s="898"/>
    </row>
    <row r="207" ht="16.5" customHeight="1">
      <c r="A207" s="718"/>
      <c r="B207" s="1195"/>
      <c r="C207" s="866"/>
      <c r="D207" s="968"/>
      <c r="E207" s="718"/>
      <c r="F207" s="718"/>
      <c r="G207" s="718"/>
      <c r="H207" s="718"/>
      <c r="I207" s="359"/>
      <c r="J207" s="359"/>
      <c r="K207" s="359"/>
      <c r="L207" s="359"/>
      <c r="M207" s="359"/>
      <c r="N207" s="359"/>
      <c r="O207" s="359"/>
      <c r="P207" s="359"/>
      <c r="Q207" s="359"/>
      <c r="R207" s="718"/>
      <c r="S207" s="669"/>
      <c r="T207" s="669"/>
      <c r="U207" s="967"/>
      <c r="V207" s="974"/>
      <c r="W207" s="1197"/>
      <c r="X207" s="974"/>
      <c r="Y207" s="974"/>
      <c r="Z207" s="974"/>
      <c r="AA207" s="974"/>
      <c r="AB207" s="974"/>
      <c r="AC207" s="974"/>
      <c r="AD207" s="974"/>
      <c r="AE207" s="974"/>
      <c r="AF207" s="974"/>
      <c r="AG207" s="974"/>
      <c r="AH207" s="974"/>
      <c r="AI207" s="1198"/>
      <c r="AJ207" s="974"/>
      <c r="AK207" s="1197"/>
      <c r="AL207" s="974"/>
      <c r="AM207" s="974"/>
      <c r="AN207" s="974"/>
      <c r="AO207" s="974"/>
      <c r="AP207" s="974"/>
      <c r="AQ207" s="974"/>
      <c r="AR207" s="974"/>
      <c r="AS207" s="974"/>
      <c r="AT207" s="974"/>
      <c r="AU207" s="974"/>
      <c r="AV207" s="974"/>
      <c r="AW207" s="1181"/>
      <c r="AX207" s="978"/>
      <c r="AY207" s="898"/>
      <c r="AZ207" s="898"/>
      <c r="BA207" s="898"/>
      <c r="BB207" s="898"/>
      <c r="BC207" s="898"/>
      <c r="BD207" s="898"/>
      <c r="BE207" s="898"/>
      <c r="BF207" s="898"/>
      <c r="BG207" s="898"/>
      <c r="BH207" s="898"/>
      <c r="BI207" s="898"/>
      <c r="BJ207" s="898"/>
      <c r="BK207" s="898"/>
      <c r="BL207" s="898"/>
      <c r="BM207" s="898"/>
      <c r="BN207" s="898"/>
      <c r="BO207" s="898"/>
      <c r="BP207" s="898"/>
      <c r="BQ207" s="898"/>
      <c r="BR207" s="898"/>
      <c r="BS207" s="898"/>
      <c r="BT207" s="898"/>
      <c r="BU207" s="898"/>
      <c r="BV207" s="898"/>
      <c r="BW207" s="898"/>
      <c r="BX207" s="898"/>
      <c r="BY207" s="898"/>
      <c r="BZ207" s="898"/>
      <c r="CA207" s="898"/>
      <c r="CB207" s="898"/>
      <c r="CC207" s="898"/>
      <c r="CD207" s="898"/>
      <c r="CE207" s="898"/>
      <c r="CF207" s="898"/>
      <c r="CG207" s="898"/>
      <c r="CH207" s="898"/>
      <c r="CI207" s="898"/>
      <c r="CJ207" s="898"/>
      <c r="CK207" s="898"/>
      <c r="CL207" s="898"/>
      <c r="CM207" s="898"/>
      <c r="CN207" s="898"/>
      <c r="CO207" s="898"/>
      <c r="CP207" s="898"/>
      <c r="CQ207" s="898"/>
      <c r="CR207" s="898"/>
      <c r="CS207" s="898"/>
      <c r="CT207" s="898"/>
      <c r="CU207" s="898"/>
    </row>
    <row r="208" ht="16.5" customHeight="1">
      <c r="A208" s="718"/>
      <c r="B208" s="1195"/>
      <c r="C208" s="866"/>
      <c r="D208" s="968"/>
      <c r="E208" s="718"/>
      <c r="F208" s="718"/>
      <c r="G208" s="718"/>
      <c r="H208" s="718"/>
      <c r="I208" s="359"/>
      <c r="J208" s="359"/>
      <c r="K208" s="359"/>
      <c r="L208" s="359"/>
      <c r="M208" s="359"/>
      <c r="N208" s="359"/>
      <c r="O208" s="359"/>
      <c r="P208" s="359"/>
      <c r="Q208" s="359"/>
      <c r="R208" s="718"/>
      <c r="S208" s="669"/>
      <c r="T208" s="669"/>
      <c r="U208" s="967"/>
      <c r="V208" s="974"/>
      <c r="W208" s="1197"/>
      <c r="X208" s="974"/>
      <c r="Y208" s="974"/>
      <c r="Z208" s="974"/>
      <c r="AA208" s="974"/>
      <c r="AB208" s="974"/>
      <c r="AC208" s="974"/>
      <c r="AD208" s="974"/>
      <c r="AE208" s="974"/>
      <c r="AF208" s="974"/>
      <c r="AG208" s="974"/>
      <c r="AH208" s="974"/>
      <c r="AI208" s="1198"/>
      <c r="AJ208" s="974"/>
      <c r="AK208" s="1197"/>
      <c r="AL208" s="974"/>
      <c r="AM208" s="974"/>
      <c r="AN208" s="974"/>
      <c r="AO208" s="974"/>
      <c r="AP208" s="974"/>
      <c r="AQ208" s="974"/>
      <c r="AR208" s="974"/>
      <c r="AS208" s="974"/>
      <c r="AT208" s="974"/>
      <c r="AU208" s="974"/>
      <c r="AV208" s="974"/>
      <c r="AW208" s="1181"/>
      <c r="AX208" s="978"/>
      <c r="AY208" s="898"/>
      <c r="AZ208" s="898"/>
      <c r="BA208" s="898"/>
      <c r="BB208" s="898"/>
      <c r="BC208" s="898"/>
      <c r="BD208" s="898"/>
      <c r="BE208" s="898"/>
      <c r="BF208" s="898"/>
      <c r="BG208" s="898"/>
      <c r="BH208" s="898"/>
      <c r="BI208" s="898"/>
      <c r="BJ208" s="898"/>
      <c r="BK208" s="898"/>
      <c r="BL208" s="898"/>
      <c r="BM208" s="898"/>
      <c r="BN208" s="898"/>
      <c r="BO208" s="898"/>
      <c r="BP208" s="898"/>
      <c r="BQ208" s="898"/>
      <c r="BR208" s="898"/>
      <c r="BS208" s="898"/>
      <c r="BT208" s="898"/>
      <c r="BU208" s="898"/>
      <c r="BV208" s="898"/>
      <c r="BW208" s="898"/>
      <c r="BX208" s="898"/>
      <c r="BY208" s="898"/>
      <c r="BZ208" s="898"/>
      <c r="CA208" s="898"/>
      <c r="CB208" s="898"/>
      <c r="CC208" s="898"/>
      <c r="CD208" s="898"/>
      <c r="CE208" s="898"/>
      <c r="CF208" s="898"/>
      <c r="CG208" s="898"/>
      <c r="CH208" s="898"/>
      <c r="CI208" s="898"/>
      <c r="CJ208" s="898"/>
      <c r="CK208" s="898"/>
      <c r="CL208" s="898"/>
      <c r="CM208" s="898"/>
      <c r="CN208" s="898"/>
      <c r="CO208" s="898"/>
      <c r="CP208" s="898"/>
      <c r="CQ208" s="898"/>
      <c r="CR208" s="898"/>
      <c r="CS208" s="898"/>
      <c r="CT208" s="898"/>
      <c r="CU208" s="898"/>
    </row>
    <row r="209" ht="16.5" customHeight="1">
      <c r="A209" s="718"/>
      <c r="B209" s="1195"/>
      <c r="C209" s="866"/>
      <c r="D209" s="968"/>
      <c r="E209" s="718"/>
      <c r="F209" s="718"/>
      <c r="G209" s="718"/>
      <c r="H209" s="718"/>
      <c r="I209" s="359"/>
      <c r="J209" s="359"/>
      <c r="K209" s="359"/>
      <c r="L209" s="359"/>
      <c r="M209" s="359"/>
      <c r="N209" s="359"/>
      <c r="O209" s="359"/>
      <c r="P209" s="359"/>
      <c r="Q209" s="359"/>
      <c r="R209" s="718"/>
      <c r="S209" s="669"/>
      <c r="T209" s="669"/>
      <c r="U209" s="967"/>
      <c r="V209" s="974"/>
      <c r="W209" s="1197"/>
      <c r="X209" s="974"/>
      <c r="Y209" s="974"/>
      <c r="Z209" s="974"/>
      <c r="AA209" s="974"/>
      <c r="AB209" s="974"/>
      <c r="AC209" s="974"/>
      <c r="AD209" s="974"/>
      <c r="AE209" s="974"/>
      <c r="AF209" s="974"/>
      <c r="AG209" s="974"/>
      <c r="AH209" s="974"/>
      <c r="AI209" s="1198"/>
      <c r="AJ209" s="974"/>
      <c r="AK209" s="1197"/>
      <c r="AL209" s="974"/>
      <c r="AM209" s="974"/>
      <c r="AN209" s="974"/>
      <c r="AO209" s="974"/>
      <c r="AP209" s="974"/>
      <c r="AQ209" s="974"/>
      <c r="AR209" s="974"/>
      <c r="AS209" s="974"/>
      <c r="AT209" s="974"/>
      <c r="AU209" s="974"/>
      <c r="AV209" s="974"/>
      <c r="AW209" s="1181"/>
      <c r="AX209" s="978"/>
      <c r="AY209" s="898"/>
      <c r="AZ209" s="898"/>
      <c r="BA209" s="898"/>
      <c r="BB209" s="898"/>
      <c r="BC209" s="898"/>
      <c r="BD209" s="898"/>
      <c r="BE209" s="898"/>
      <c r="BF209" s="898"/>
      <c r="BG209" s="898"/>
      <c r="BH209" s="898"/>
      <c r="BI209" s="898"/>
      <c r="BJ209" s="898"/>
      <c r="BK209" s="898"/>
      <c r="BL209" s="898"/>
      <c r="BM209" s="898"/>
      <c r="BN209" s="898"/>
      <c r="BO209" s="898"/>
      <c r="BP209" s="898"/>
      <c r="BQ209" s="898"/>
      <c r="BR209" s="898"/>
      <c r="BS209" s="898"/>
      <c r="BT209" s="898"/>
      <c r="BU209" s="898"/>
      <c r="BV209" s="898"/>
      <c r="BW209" s="898"/>
      <c r="BX209" s="898"/>
      <c r="BY209" s="898"/>
      <c r="BZ209" s="898"/>
      <c r="CA209" s="898"/>
      <c r="CB209" s="898"/>
      <c r="CC209" s="898"/>
      <c r="CD209" s="898"/>
      <c r="CE209" s="898"/>
      <c r="CF209" s="898"/>
      <c r="CG209" s="898"/>
      <c r="CH209" s="898"/>
      <c r="CI209" s="898"/>
      <c r="CJ209" s="898"/>
      <c r="CK209" s="898"/>
      <c r="CL209" s="898"/>
      <c r="CM209" s="898"/>
      <c r="CN209" s="898"/>
      <c r="CO209" s="898"/>
      <c r="CP209" s="898"/>
      <c r="CQ209" s="898"/>
      <c r="CR209" s="898"/>
      <c r="CS209" s="898"/>
      <c r="CT209" s="898"/>
      <c r="CU209" s="898"/>
    </row>
    <row r="210" ht="16.5" customHeight="1">
      <c r="A210" s="718"/>
      <c r="B210" s="1195"/>
      <c r="C210" s="866"/>
      <c r="D210" s="968"/>
      <c r="E210" s="718"/>
      <c r="F210" s="718"/>
      <c r="G210" s="718"/>
      <c r="H210" s="718"/>
      <c r="I210" s="359"/>
      <c r="J210" s="359"/>
      <c r="K210" s="359"/>
      <c r="L210" s="359"/>
      <c r="M210" s="359"/>
      <c r="N210" s="359"/>
      <c r="O210" s="359"/>
      <c r="P210" s="359"/>
      <c r="Q210" s="359"/>
      <c r="R210" s="718"/>
      <c r="S210" s="669"/>
      <c r="T210" s="669"/>
      <c r="U210" s="967"/>
      <c r="V210" s="974"/>
      <c r="W210" s="1197"/>
      <c r="X210" s="974"/>
      <c r="Y210" s="974"/>
      <c r="Z210" s="974"/>
      <c r="AA210" s="974"/>
      <c r="AB210" s="974"/>
      <c r="AC210" s="974"/>
      <c r="AD210" s="974"/>
      <c r="AE210" s="974"/>
      <c r="AF210" s="974"/>
      <c r="AG210" s="974"/>
      <c r="AH210" s="974"/>
      <c r="AI210" s="1198"/>
      <c r="AJ210" s="974"/>
      <c r="AK210" s="1197"/>
      <c r="AL210" s="974"/>
      <c r="AM210" s="974"/>
      <c r="AN210" s="974"/>
      <c r="AO210" s="974"/>
      <c r="AP210" s="974"/>
      <c r="AQ210" s="974"/>
      <c r="AR210" s="974"/>
      <c r="AS210" s="974"/>
      <c r="AT210" s="974"/>
      <c r="AU210" s="974"/>
      <c r="AV210" s="974"/>
      <c r="AW210" s="1181"/>
      <c r="AX210" s="978"/>
      <c r="AY210" s="898"/>
      <c r="AZ210" s="898"/>
      <c r="BA210" s="898"/>
      <c r="BB210" s="898"/>
      <c r="BC210" s="898"/>
      <c r="BD210" s="898"/>
      <c r="BE210" s="898"/>
      <c r="BF210" s="898"/>
      <c r="BG210" s="898"/>
      <c r="BH210" s="898"/>
      <c r="BI210" s="898"/>
      <c r="BJ210" s="898"/>
      <c r="BK210" s="898"/>
      <c r="BL210" s="898"/>
      <c r="BM210" s="898"/>
      <c r="BN210" s="898"/>
      <c r="BO210" s="898"/>
      <c r="BP210" s="898"/>
      <c r="BQ210" s="898"/>
      <c r="BR210" s="898"/>
      <c r="BS210" s="898"/>
      <c r="BT210" s="898"/>
      <c r="BU210" s="898"/>
      <c r="BV210" s="898"/>
      <c r="BW210" s="898"/>
      <c r="BX210" s="898"/>
      <c r="BY210" s="898"/>
      <c r="BZ210" s="898"/>
      <c r="CA210" s="898"/>
      <c r="CB210" s="898"/>
      <c r="CC210" s="898"/>
      <c r="CD210" s="898"/>
      <c r="CE210" s="898"/>
      <c r="CF210" s="898"/>
      <c r="CG210" s="898"/>
      <c r="CH210" s="898"/>
      <c r="CI210" s="898"/>
      <c r="CJ210" s="898"/>
      <c r="CK210" s="898"/>
      <c r="CL210" s="898"/>
      <c r="CM210" s="898"/>
      <c r="CN210" s="898"/>
      <c r="CO210" s="898"/>
      <c r="CP210" s="898"/>
      <c r="CQ210" s="898"/>
      <c r="CR210" s="898"/>
      <c r="CS210" s="898"/>
      <c r="CT210" s="898"/>
      <c r="CU210" s="898"/>
    </row>
    <row r="211" ht="16.5" customHeight="1">
      <c r="A211" s="718"/>
      <c r="B211" s="1195"/>
      <c r="C211" s="866"/>
      <c r="D211" s="968"/>
      <c r="E211" s="718"/>
      <c r="F211" s="718"/>
      <c r="G211" s="718"/>
      <c r="H211" s="718"/>
      <c r="I211" s="359"/>
      <c r="J211" s="359"/>
      <c r="K211" s="359"/>
      <c r="L211" s="359"/>
      <c r="M211" s="359"/>
      <c r="N211" s="359"/>
      <c r="O211" s="359"/>
      <c r="P211" s="359"/>
      <c r="Q211" s="359"/>
      <c r="R211" s="718"/>
      <c r="S211" s="669"/>
      <c r="T211" s="669"/>
      <c r="U211" s="967"/>
      <c r="V211" s="974"/>
      <c r="W211" s="1197"/>
      <c r="X211" s="974"/>
      <c r="Y211" s="974"/>
      <c r="Z211" s="974"/>
      <c r="AA211" s="974"/>
      <c r="AB211" s="974"/>
      <c r="AC211" s="974"/>
      <c r="AD211" s="974"/>
      <c r="AE211" s="974"/>
      <c r="AF211" s="974"/>
      <c r="AG211" s="974"/>
      <c r="AH211" s="974"/>
      <c r="AI211" s="1198"/>
      <c r="AJ211" s="974"/>
      <c r="AK211" s="1197"/>
      <c r="AL211" s="974"/>
      <c r="AM211" s="974"/>
      <c r="AN211" s="974"/>
      <c r="AO211" s="974"/>
      <c r="AP211" s="974"/>
      <c r="AQ211" s="974"/>
      <c r="AR211" s="974"/>
      <c r="AS211" s="974"/>
      <c r="AT211" s="974"/>
      <c r="AU211" s="974"/>
      <c r="AV211" s="974"/>
      <c r="AW211" s="1181"/>
      <c r="AX211" s="978"/>
      <c r="AY211" s="898"/>
      <c r="AZ211" s="898"/>
      <c r="BA211" s="898"/>
      <c r="BB211" s="898"/>
      <c r="BC211" s="898"/>
      <c r="BD211" s="898"/>
      <c r="BE211" s="898"/>
      <c r="BF211" s="898"/>
      <c r="BG211" s="898"/>
      <c r="BH211" s="898"/>
      <c r="BI211" s="898"/>
      <c r="BJ211" s="898"/>
      <c r="BK211" s="898"/>
      <c r="BL211" s="898"/>
      <c r="BM211" s="898"/>
      <c r="BN211" s="898"/>
      <c r="BO211" s="898"/>
      <c r="BP211" s="898"/>
      <c r="BQ211" s="898"/>
      <c r="BR211" s="898"/>
      <c r="BS211" s="898"/>
      <c r="BT211" s="898"/>
      <c r="BU211" s="898"/>
      <c r="BV211" s="898"/>
      <c r="BW211" s="898"/>
      <c r="BX211" s="898"/>
      <c r="BY211" s="898"/>
      <c r="BZ211" s="898"/>
      <c r="CA211" s="898"/>
      <c r="CB211" s="898"/>
      <c r="CC211" s="898"/>
      <c r="CD211" s="898"/>
      <c r="CE211" s="898"/>
      <c r="CF211" s="898"/>
      <c r="CG211" s="898"/>
      <c r="CH211" s="898"/>
      <c r="CI211" s="898"/>
      <c r="CJ211" s="898"/>
      <c r="CK211" s="898"/>
      <c r="CL211" s="898"/>
      <c r="CM211" s="898"/>
      <c r="CN211" s="898"/>
      <c r="CO211" s="898"/>
      <c r="CP211" s="898"/>
      <c r="CQ211" s="898"/>
      <c r="CR211" s="898"/>
      <c r="CS211" s="898"/>
      <c r="CT211" s="898"/>
      <c r="CU211" s="898"/>
    </row>
    <row r="212" ht="16.5" customHeight="1">
      <c r="A212" s="718"/>
      <c r="B212" s="1195"/>
      <c r="C212" s="866"/>
      <c r="D212" s="968"/>
      <c r="E212" s="718"/>
      <c r="F212" s="718"/>
      <c r="G212" s="718"/>
      <c r="H212" s="718"/>
      <c r="I212" s="359"/>
      <c r="J212" s="359"/>
      <c r="K212" s="359"/>
      <c r="L212" s="359"/>
      <c r="M212" s="359"/>
      <c r="N212" s="359"/>
      <c r="O212" s="359"/>
      <c r="P212" s="359"/>
      <c r="Q212" s="359"/>
      <c r="R212" s="718"/>
      <c r="S212" s="669"/>
      <c r="T212" s="669"/>
      <c r="U212" s="967"/>
      <c r="V212" s="974"/>
      <c r="W212" s="1197"/>
      <c r="X212" s="974"/>
      <c r="Y212" s="974"/>
      <c r="Z212" s="974"/>
      <c r="AA212" s="974"/>
      <c r="AB212" s="974"/>
      <c r="AC212" s="974"/>
      <c r="AD212" s="974"/>
      <c r="AE212" s="974"/>
      <c r="AF212" s="974"/>
      <c r="AG212" s="974"/>
      <c r="AH212" s="974"/>
      <c r="AI212" s="1198"/>
      <c r="AJ212" s="974"/>
      <c r="AK212" s="1197"/>
      <c r="AL212" s="974"/>
      <c r="AM212" s="974"/>
      <c r="AN212" s="974"/>
      <c r="AO212" s="974"/>
      <c r="AP212" s="974"/>
      <c r="AQ212" s="974"/>
      <c r="AR212" s="974"/>
      <c r="AS212" s="974"/>
      <c r="AT212" s="974"/>
      <c r="AU212" s="974"/>
      <c r="AV212" s="974"/>
      <c r="AW212" s="1181"/>
      <c r="AX212" s="978"/>
      <c r="AY212" s="898"/>
      <c r="AZ212" s="898"/>
      <c r="BA212" s="898"/>
      <c r="BB212" s="898"/>
      <c r="BC212" s="898"/>
      <c r="BD212" s="898"/>
      <c r="BE212" s="898"/>
      <c r="BF212" s="898"/>
      <c r="BG212" s="898"/>
      <c r="BH212" s="898"/>
      <c r="BI212" s="898"/>
      <c r="BJ212" s="898"/>
      <c r="BK212" s="898"/>
      <c r="BL212" s="898"/>
      <c r="BM212" s="898"/>
      <c r="BN212" s="898"/>
      <c r="BO212" s="898"/>
      <c r="BP212" s="898"/>
      <c r="BQ212" s="898"/>
      <c r="BR212" s="898"/>
      <c r="BS212" s="898"/>
      <c r="BT212" s="898"/>
      <c r="BU212" s="898"/>
      <c r="BV212" s="898"/>
      <c r="BW212" s="898"/>
      <c r="BX212" s="898"/>
      <c r="BY212" s="898"/>
      <c r="BZ212" s="898"/>
      <c r="CA212" s="898"/>
      <c r="CB212" s="898"/>
      <c r="CC212" s="898"/>
      <c r="CD212" s="898"/>
      <c r="CE212" s="898"/>
      <c r="CF212" s="898"/>
      <c r="CG212" s="898"/>
      <c r="CH212" s="898"/>
      <c r="CI212" s="898"/>
      <c r="CJ212" s="898"/>
      <c r="CK212" s="898"/>
      <c r="CL212" s="898"/>
      <c r="CM212" s="898"/>
      <c r="CN212" s="898"/>
      <c r="CO212" s="898"/>
      <c r="CP212" s="898"/>
      <c r="CQ212" s="898"/>
      <c r="CR212" s="898"/>
      <c r="CS212" s="898"/>
      <c r="CT212" s="898"/>
      <c r="CU212" s="898"/>
    </row>
    <row r="213" ht="16.5" customHeight="1">
      <c r="A213" s="718"/>
      <c r="B213" s="1195"/>
      <c r="C213" s="866"/>
      <c r="D213" s="968"/>
      <c r="E213" s="718"/>
      <c r="F213" s="718"/>
      <c r="G213" s="718"/>
      <c r="H213" s="718"/>
      <c r="I213" s="359"/>
      <c r="J213" s="359"/>
      <c r="K213" s="359"/>
      <c r="L213" s="359"/>
      <c r="M213" s="359"/>
      <c r="N213" s="359"/>
      <c r="O213" s="359"/>
      <c r="P213" s="359"/>
      <c r="Q213" s="359"/>
      <c r="R213" s="718"/>
      <c r="S213" s="669"/>
      <c r="T213" s="669"/>
      <c r="U213" s="967"/>
      <c r="V213" s="974"/>
      <c r="W213" s="1197"/>
      <c r="X213" s="974"/>
      <c r="Y213" s="974"/>
      <c r="Z213" s="974"/>
      <c r="AA213" s="974"/>
      <c r="AB213" s="974"/>
      <c r="AC213" s="974"/>
      <c r="AD213" s="974"/>
      <c r="AE213" s="974"/>
      <c r="AF213" s="974"/>
      <c r="AG213" s="974"/>
      <c r="AH213" s="974"/>
      <c r="AI213" s="1198"/>
      <c r="AJ213" s="974"/>
      <c r="AK213" s="1197"/>
      <c r="AL213" s="974"/>
      <c r="AM213" s="974"/>
      <c r="AN213" s="974"/>
      <c r="AO213" s="974"/>
      <c r="AP213" s="974"/>
      <c r="AQ213" s="974"/>
      <c r="AR213" s="974"/>
      <c r="AS213" s="974"/>
      <c r="AT213" s="974"/>
      <c r="AU213" s="974"/>
      <c r="AV213" s="974"/>
      <c r="AW213" s="1181"/>
      <c r="AX213" s="978"/>
      <c r="AY213" s="898"/>
      <c r="AZ213" s="898"/>
      <c r="BA213" s="898"/>
      <c r="BB213" s="898"/>
      <c r="BC213" s="898"/>
      <c r="BD213" s="898"/>
      <c r="BE213" s="898"/>
      <c r="BF213" s="898"/>
      <c r="BG213" s="898"/>
      <c r="BH213" s="898"/>
      <c r="BI213" s="898"/>
      <c r="BJ213" s="898"/>
      <c r="BK213" s="898"/>
      <c r="BL213" s="898"/>
      <c r="BM213" s="898"/>
      <c r="BN213" s="898"/>
      <c r="BO213" s="898"/>
      <c r="BP213" s="898"/>
      <c r="BQ213" s="898"/>
      <c r="BR213" s="898"/>
      <c r="BS213" s="898"/>
      <c r="BT213" s="898"/>
      <c r="BU213" s="898"/>
      <c r="BV213" s="898"/>
      <c r="BW213" s="898"/>
      <c r="BX213" s="898"/>
      <c r="BY213" s="898"/>
      <c r="BZ213" s="898"/>
      <c r="CA213" s="898"/>
      <c r="CB213" s="898"/>
      <c r="CC213" s="898"/>
      <c r="CD213" s="898"/>
      <c r="CE213" s="898"/>
      <c r="CF213" s="898"/>
      <c r="CG213" s="898"/>
      <c r="CH213" s="898"/>
      <c r="CI213" s="898"/>
      <c r="CJ213" s="898"/>
      <c r="CK213" s="898"/>
      <c r="CL213" s="898"/>
      <c r="CM213" s="898"/>
      <c r="CN213" s="898"/>
      <c r="CO213" s="898"/>
      <c r="CP213" s="898"/>
      <c r="CQ213" s="898"/>
      <c r="CR213" s="898"/>
      <c r="CS213" s="898"/>
      <c r="CT213" s="898"/>
      <c r="CU213" s="898"/>
    </row>
    <row r="214" ht="16.5" customHeight="1">
      <c r="A214" s="718"/>
      <c r="B214" s="1195"/>
      <c r="C214" s="866"/>
      <c r="D214" s="968"/>
      <c r="E214" s="718"/>
      <c r="F214" s="718"/>
      <c r="G214" s="718"/>
      <c r="H214" s="718"/>
      <c r="I214" s="359"/>
      <c r="J214" s="359"/>
      <c r="K214" s="359"/>
      <c r="L214" s="359"/>
      <c r="M214" s="359"/>
      <c r="N214" s="359"/>
      <c r="O214" s="359"/>
      <c r="P214" s="359"/>
      <c r="Q214" s="359"/>
      <c r="R214" s="718"/>
      <c r="S214" s="669"/>
      <c r="T214" s="669"/>
      <c r="U214" s="967"/>
      <c r="V214" s="974"/>
      <c r="W214" s="1197"/>
      <c r="X214" s="974"/>
      <c r="Y214" s="974"/>
      <c r="Z214" s="974"/>
      <c r="AA214" s="974"/>
      <c r="AB214" s="974"/>
      <c r="AC214" s="974"/>
      <c r="AD214" s="974"/>
      <c r="AE214" s="974"/>
      <c r="AF214" s="974"/>
      <c r="AG214" s="974"/>
      <c r="AH214" s="974"/>
      <c r="AI214" s="1198"/>
      <c r="AJ214" s="974"/>
      <c r="AK214" s="1197"/>
      <c r="AL214" s="974"/>
      <c r="AM214" s="974"/>
      <c r="AN214" s="974"/>
      <c r="AO214" s="974"/>
      <c r="AP214" s="974"/>
      <c r="AQ214" s="974"/>
      <c r="AR214" s="974"/>
      <c r="AS214" s="974"/>
      <c r="AT214" s="974"/>
      <c r="AU214" s="974"/>
      <c r="AV214" s="974"/>
      <c r="AW214" s="1181"/>
      <c r="AX214" s="978"/>
      <c r="AY214" s="898"/>
      <c r="AZ214" s="898"/>
      <c r="BA214" s="898"/>
      <c r="BB214" s="898"/>
      <c r="BC214" s="898"/>
      <c r="BD214" s="898"/>
      <c r="BE214" s="898"/>
      <c r="BF214" s="898"/>
      <c r="BG214" s="898"/>
      <c r="BH214" s="898"/>
      <c r="BI214" s="898"/>
      <c r="BJ214" s="898"/>
      <c r="BK214" s="898"/>
      <c r="BL214" s="898"/>
      <c r="BM214" s="898"/>
      <c r="BN214" s="898"/>
      <c r="BO214" s="898"/>
      <c r="BP214" s="898"/>
      <c r="BQ214" s="898"/>
      <c r="BR214" s="898"/>
      <c r="BS214" s="898"/>
      <c r="BT214" s="898"/>
      <c r="BU214" s="898"/>
      <c r="BV214" s="898"/>
      <c r="BW214" s="898"/>
      <c r="BX214" s="898"/>
      <c r="BY214" s="898"/>
      <c r="BZ214" s="898"/>
      <c r="CA214" s="898"/>
      <c r="CB214" s="898"/>
      <c r="CC214" s="898"/>
      <c r="CD214" s="898"/>
      <c r="CE214" s="898"/>
      <c r="CF214" s="898"/>
      <c r="CG214" s="898"/>
      <c r="CH214" s="898"/>
      <c r="CI214" s="898"/>
      <c r="CJ214" s="898"/>
      <c r="CK214" s="898"/>
      <c r="CL214" s="898"/>
      <c r="CM214" s="898"/>
      <c r="CN214" s="898"/>
      <c r="CO214" s="898"/>
      <c r="CP214" s="898"/>
      <c r="CQ214" s="898"/>
      <c r="CR214" s="898"/>
      <c r="CS214" s="898"/>
      <c r="CT214" s="898"/>
      <c r="CU214" s="898"/>
    </row>
    <row r="215" ht="16.5" customHeight="1">
      <c r="A215" s="718"/>
      <c r="B215" s="1195"/>
      <c r="C215" s="866"/>
      <c r="D215" s="968"/>
      <c r="E215" s="718"/>
      <c r="F215" s="718"/>
      <c r="G215" s="718"/>
      <c r="H215" s="718"/>
      <c r="I215" s="359"/>
      <c r="J215" s="359"/>
      <c r="K215" s="359"/>
      <c r="L215" s="359"/>
      <c r="M215" s="359"/>
      <c r="N215" s="359"/>
      <c r="O215" s="359"/>
      <c r="P215" s="359"/>
      <c r="Q215" s="359"/>
      <c r="R215" s="718"/>
      <c r="S215" s="669"/>
      <c r="T215" s="669"/>
      <c r="U215" s="967"/>
      <c r="V215" s="974"/>
      <c r="W215" s="1197"/>
      <c r="X215" s="974"/>
      <c r="Y215" s="974"/>
      <c r="Z215" s="974"/>
      <c r="AA215" s="974"/>
      <c r="AB215" s="974"/>
      <c r="AC215" s="974"/>
      <c r="AD215" s="974"/>
      <c r="AE215" s="974"/>
      <c r="AF215" s="974"/>
      <c r="AG215" s="974"/>
      <c r="AH215" s="974"/>
      <c r="AI215" s="1198"/>
      <c r="AJ215" s="974"/>
      <c r="AK215" s="1197"/>
      <c r="AL215" s="974"/>
      <c r="AM215" s="974"/>
      <c r="AN215" s="974"/>
      <c r="AO215" s="974"/>
      <c r="AP215" s="974"/>
      <c r="AQ215" s="974"/>
      <c r="AR215" s="974"/>
      <c r="AS215" s="974"/>
      <c r="AT215" s="974"/>
      <c r="AU215" s="974"/>
      <c r="AV215" s="974"/>
      <c r="AW215" s="1181"/>
      <c r="AX215" s="978"/>
      <c r="AY215" s="898"/>
      <c r="AZ215" s="898"/>
      <c r="BA215" s="898"/>
      <c r="BB215" s="898"/>
      <c r="BC215" s="898"/>
      <c r="BD215" s="898"/>
      <c r="BE215" s="898"/>
      <c r="BF215" s="898"/>
      <c r="BG215" s="898"/>
      <c r="BH215" s="898"/>
      <c r="BI215" s="898"/>
      <c r="BJ215" s="898"/>
      <c r="BK215" s="898"/>
      <c r="BL215" s="898"/>
      <c r="BM215" s="898"/>
      <c r="BN215" s="898"/>
      <c r="BO215" s="898"/>
      <c r="BP215" s="898"/>
      <c r="BQ215" s="898"/>
      <c r="BR215" s="898"/>
      <c r="BS215" s="898"/>
      <c r="BT215" s="898"/>
      <c r="BU215" s="898"/>
      <c r="BV215" s="898"/>
      <c r="BW215" s="898"/>
      <c r="BX215" s="898"/>
      <c r="BY215" s="898"/>
      <c r="BZ215" s="898"/>
      <c r="CA215" s="898"/>
      <c r="CB215" s="898"/>
      <c r="CC215" s="898"/>
      <c r="CD215" s="898"/>
      <c r="CE215" s="898"/>
      <c r="CF215" s="898"/>
      <c r="CG215" s="898"/>
      <c r="CH215" s="898"/>
      <c r="CI215" s="898"/>
      <c r="CJ215" s="898"/>
      <c r="CK215" s="898"/>
      <c r="CL215" s="898"/>
      <c r="CM215" s="898"/>
      <c r="CN215" s="898"/>
      <c r="CO215" s="898"/>
      <c r="CP215" s="898"/>
      <c r="CQ215" s="898"/>
      <c r="CR215" s="898"/>
      <c r="CS215" s="898"/>
      <c r="CT215" s="898"/>
      <c r="CU215" s="898"/>
    </row>
    <row r="216" ht="16.5" customHeight="1">
      <c r="A216" s="718"/>
      <c r="B216" s="1195"/>
      <c r="C216" s="866"/>
      <c r="D216" s="968"/>
      <c r="E216" s="718"/>
      <c r="F216" s="718"/>
      <c r="G216" s="718"/>
      <c r="H216" s="718"/>
      <c r="I216" s="359"/>
      <c r="J216" s="359"/>
      <c r="K216" s="359"/>
      <c r="L216" s="359"/>
      <c r="M216" s="359"/>
      <c r="N216" s="359"/>
      <c r="O216" s="359"/>
      <c r="P216" s="359"/>
      <c r="Q216" s="359"/>
      <c r="R216" s="718"/>
      <c r="S216" s="669"/>
      <c r="T216" s="669"/>
      <c r="U216" s="967"/>
      <c r="V216" s="974"/>
      <c r="W216" s="1197"/>
      <c r="X216" s="974"/>
      <c r="Y216" s="974"/>
      <c r="Z216" s="974"/>
      <c r="AA216" s="974"/>
      <c r="AB216" s="974"/>
      <c r="AC216" s="974"/>
      <c r="AD216" s="974"/>
      <c r="AE216" s="974"/>
      <c r="AF216" s="974"/>
      <c r="AG216" s="974"/>
      <c r="AH216" s="974"/>
      <c r="AI216" s="1198"/>
      <c r="AJ216" s="974"/>
      <c r="AK216" s="1197"/>
      <c r="AL216" s="974"/>
      <c r="AM216" s="974"/>
      <c r="AN216" s="974"/>
      <c r="AO216" s="974"/>
      <c r="AP216" s="974"/>
      <c r="AQ216" s="974"/>
      <c r="AR216" s="974"/>
      <c r="AS216" s="974"/>
      <c r="AT216" s="974"/>
      <c r="AU216" s="974"/>
      <c r="AV216" s="974"/>
      <c r="AW216" s="1181"/>
      <c r="AX216" s="978"/>
      <c r="AY216" s="898"/>
      <c r="AZ216" s="898"/>
      <c r="BA216" s="898"/>
      <c r="BB216" s="898"/>
      <c r="BC216" s="898"/>
      <c r="BD216" s="898"/>
      <c r="BE216" s="898"/>
      <c r="BF216" s="898"/>
      <c r="BG216" s="898"/>
      <c r="BH216" s="898"/>
      <c r="BI216" s="898"/>
      <c r="BJ216" s="898"/>
      <c r="BK216" s="898"/>
      <c r="BL216" s="898"/>
      <c r="BM216" s="898"/>
      <c r="BN216" s="898"/>
      <c r="BO216" s="898"/>
      <c r="BP216" s="898"/>
      <c r="BQ216" s="898"/>
      <c r="BR216" s="898"/>
      <c r="BS216" s="898"/>
      <c r="BT216" s="898"/>
      <c r="BU216" s="898"/>
      <c r="BV216" s="898"/>
      <c r="BW216" s="898"/>
      <c r="BX216" s="898"/>
      <c r="BY216" s="898"/>
      <c r="BZ216" s="898"/>
      <c r="CA216" s="898"/>
      <c r="CB216" s="898"/>
      <c r="CC216" s="898"/>
      <c r="CD216" s="898"/>
      <c r="CE216" s="898"/>
      <c r="CF216" s="898"/>
      <c r="CG216" s="898"/>
      <c r="CH216" s="898"/>
      <c r="CI216" s="898"/>
      <c r="CJ216" s="898"/>
      <c r="CK216" s="898"/>
      <c r="CL216" s="898"/>
      <c r="CM216" s="898"/>
      <c r="CN216" s="898"/>
      <c r="CO216" s="898"/>
      <c r="CP216" s="898"/>
      <c r="CQ216" s="898"/>
      <c r="CR216" s="898"/>
      <c r="CS216" s="898"/>
      <c r="CT216" s="898"/>
      <c r="CU216" s="898"/>
    </row>
    <row r="217" ht="16.5" customHeight="1">
      <c r="A217" s="718"/>
      <c r="B217" s="1195"/>
      <c r="C217" s="866"/>
      <c r="D217" s="968"/>
      <c r="E217" s="718"/>
      <c r="F217" s="718"/>
      <c r="G217" s="718"/>
      <c r="H217" s="718"/>
      <c r="I217" s="359"/>
      <c r="J217" s="359"/>
      <c r="K217" s="359"/>
      <c r="L217" s="359"/>
      <c r="M217" s="359"/>
      <c r="N217" s="359"/>
      <c r="O217" s="359"/>
      <c r="P217" s="359"/>
      <c r="Q217" s="359"/>
      <c r="R217" s="718"/>
      <c r="S217" s="669"/>
      <c r="T217" s="669"/>
      <c r="U217" s="967"/>
      <c r="V217" s="974"/>
      <c r="W217" s="1197"/>
      <c r="X217" s="974"/>
      <c r="Y217" s="974"/>
      <c r="Z217" s="974"/>
      <c r="AA217" s="974"/>
      <c r="AB217" s="974"/>
      <c r="AC217" s="974"/>
      <c r="AD217" s="974"/>
      <c r="AE217" s="974"/>
      <c r="AF217" s="974"/>
      <c r="AG217" s="974"/>
      <c r="AH217" s="974"/>
      <c r="AI217" s="1198"/>
      <c r="AJ217" s="974"/>
      <c r="AK217" s="1197"/>
      <c r="AL217" s="974"/>
      <c r="AM217" s="974"/>
      <c r="AN217" s="974"/>
      <c r="AO217" s="974"/>
      <c r="AP217" s="974"/>
      <c r="AQ217" s="974"/>
      <c r="AR217" s="974"/>
      <c r="AS217" s="974"/>
      <c r="AT217" s="974"/>
      <c r="AU217" s="974"/>
      <c r="AV217" s="974"/>
      <c r="AW217" s="1181"/>
      <c r="AX217" s="978"/>
      <c r="AY217" s="898"/>
      <c r="AZ217" s="898"/>
      <c r="BA217" s="898"/>
      <c r="BB217" s="898"/>
      <c r="BC217" s="898"/>
      <c r="BD217" s="898"/>
      <c r="BE217" s="898"/>
      <c r="BF217" s="898"/>
      <c r="BG217" s="898"/>
      <c r="BH217" s="898"/>
      <c r="BI217" s="898"/>
      <c r="BJ217" s="898"/>
      <c r="BK217" s="898"/>
      <c r="BL217" s="898"/>
      <c r="BM217" s="898"/>
      <c r="BN217" s="898"/>
      <c r="BO217" s="898"/>
      <c r="BP217" s="898"/>
      <c r="BQ217" s="898"/>
      <c r="BR217" s="898"/>
      <c r="BS217" s="898"/>
      <c r="BT217" s="898"/>
      <c r="BU217" s="898"/>
      <c r="BV217" s="898"/>
      <c r="BW217" s="898"/>
      <c r="BX217" s="898"/>
      <c r="BY217" s="898"/>
      <c r="BZ217" s="898"/>
      <c r="CA217" s="898"/>
      <c r="CB217" s="898"/>
      <c r="CC217" s="898"/>
      <c r="CD217" s="898"/>
      <c r="CE217" s="898"/>
      <c r="CF217" s="898"/>
      <c r="CG217" s="898"/>
      <c r="CH217" s="898"/>
      <c r="CI217" s="898"/>
      <c r="CJ217" s="898"/>
      <c r="CK217" s="898"/>
      <c r="CL217" s="898"/>
      <c r="CM217" s="898"/>
      <c r="CN217" s="898"/>
      <c r="CO217" s="898"/>
      <c r="CP217" s="898"/>
      <c r="CQ217" s="898"/>
      <c r="CR217" s="898"/>
      <c r="CS217" s="898"/>
      <c r="CT217" s="898"/>
      <c r="CU217" s="898"/>
    </row>
    <row r="218" ht="16.5" customHeight="1">
      <c r="A218" s="718"/>
      <c r="B218" s="1195"/>
      <c r="C218" s="866"/>
      <c r="D218" s="968"/>
      <c r="E218" s="718"/>
      <c r="F218" s="718"/>
      <c r="G218" s="718"/>
      <c r="H218" s="718"/>
      <c r="I218" s="359"/>
      <c r="J218" s="359"/>
      <c r="K218" s="359"/>
      <c r="L218" s="359"/>
      <c r="M218" s="359"/>
      <c r="N218" s="359"/>
      <c r="O218" s="359"/>
      <c r="P218" s="359"/>
      <c r="Q218" s="359"/>
      <c r="R218" s="718"/>
      <c r="S218" s="669"/>
      <c r="T218" s="669"/>
      <c r="U218" s="967"/>
      <c r="V218" s="974"/>
      <c r="W218" s="1197"/>
      <c r="X218" s="974"/>
      <c r="Y218" s="974"/>
      <c r="Z218" s="974"/>
      <c r="AA218" s="974"/>
      <c r="AB218" s="974"/>
      <c r="AC218" s="974"/>
      <c r="AD218" s="974"/>
      <c r="AE218" s="974"/>
      <c r="AF218" s="974"/>
      <c r="AG218" s="974"/>
      <c r="AH218" s="974"/>
      <c r="AI218" s="1198"/>
      <c r="AJ218" s="974"/>
      <c r="AK218" s="1197"/>
      <c r="AL218" s="974"/>
      <c r="AM218" s="974"/>
      <c r="AN218" s="974"/>
      <c r="AO218" s="974"/>
      <c r="AP218" s="974"/>
      <c r="AQ218" s="974"/>
      <c r="AR218" s="974"/>
      <c r="AS218" s="974"/>
      <c r="AT218" s="974"/>
      <c r="AU218" s="974"/>
      <c r="AV218" s="974"/>
      <c r="AW218" s="1181"/>
      <c r="AX218" s="978"/>
      <c r="AY218" s="898"/>
      <c r="AZ218" s="898"/>
      <c r="BA218" s="898"/>
      <c r="BB218" s="898"/>
      <c r="BC218" s="898"/>
      <c r="BD218" s="898"/>
      <c r="BE218" s="898"/>
      <c r="BF218" s="898"/>
      <c r="BG218" s="898"/>
      <c r="BH218" s="898"/>
      <c r="BI218" s="898"/>
      <c r="BJ218" s="898"/>
      <c r="BK218" s="898"/>
      <c r="BL218" s="898"/>
      <c r="BM218" s="898"/>
      <c r="BN218" s="898"/>
      <c r="BO218" s="898"/>
      <c r="BP218" s="898"/>
      <c r="BQ218" s="898"/>
      <c r="BR218" s="898"/>
      <c r="BS218" s="898"/>
      <c r="BT218" s="898"/>
      <c r="BU218" s="898"/>
      <c r="BV218" s="898"/>
      <c r="BW218" s="898"/>
      <c r="BX218" s="898"/>
      <c r="BY218" s="898"/>
      <c r="BZ218" s="898"/>
      <c r="CA218" s="898"/>
      <c r="CB218" s="898"/>
      <c r="CC218" s="898"/>
      <c r="CD218" s="898"/>
      <c r="CE218" s="898"/>
      <c r="CF218" s="898"/>
      <c r="CG218" s="898"/>
      <c r="CH218" s="898"/>
      <c r="CI218" s="898"/>
      <c r="CJ218" s="898"/>
      <c r="CK218" s="898"/>
      <c r="CL218" s="898"/>
      <c r="CM218" s="898"/>
      <c r="CN218" s="898"/>
      <c r="CO218" s="898"/>
      <c r="CP218" s="898"/>
      <c r="CQ218" s="898"/>
      <c r="CR218" s="898"/>
      <c r="CS218" s="898"/>
      <c r="CT218" s="898"/>
      <c r="CU218" s="898"/>
    </row>
    <row r="219" ht="16.5" customHeight="1">
      <c r="A219" s="718"/>
      <c r="B219" s="1195"/>
      <c r="C219" s="866"/>
      <c r="D219" s="968"/>
      <c r="E219" s="718"/>
      <c r="F219" s="718"/>
      <c r="G219" s="718"/>
      <c r="H219" s="718"/>
      <c r="I219" s="359"/>
      <c r="J219" s="359"/>
      <c r="K219" s="359"/>
      <c r="L219" s="359"/>
      <c r="M219" s="359"/>
      <c r="N219" s="359"/>
      <c r="O219" s="359"/>
      <c r="P219" s="359"/>
      <c r="Q219" s="359"/>
      <c r="R219" s="718"/>
      <c r="S219" s="669"/>
      <c r="T219" s="669"/>
      <c r="U219" s="967"/>
      <c r="V219" s="974"/>
      <c r="W219" s="1197"/>
      <c r="X219" s="974"/>
      <c r="Y219" s="974"/>
      <c r="Z219" s="974"/>
      <c r="AA219" s="974"/>
      <c r="AB219" s="974"/>
      <c r="AC219" s="974"/>
      <c r="AD219" s="974"/>
      <c r="AE219" s="974"/>
      <c r="AF219" s="974"/>
      <c r="AG219" s="974"/>
      <c r="AH219" s="974"/>
      <c r="AI219" s="1198"/>
      <c r="AJ219" s="974"/>
      <c r="AK219" s="1197"/>
      <c r="AL219" s="974"/>
      <c r="AM219" s="974"/>
      <c r="AN219" s="974"/>
      <c r="AO219" s="974"/>
      <c r="AP219" s="974"/>
      <c r="AQ219" s="974"/>
      <c r="AR219" s="974"/>
      <c r="AS219" s="974"/>
      <c r="AT219" s="974"/>
      <c r="AU219" s="974"/>
      <c r="AV219" s="974"/>
      <c r="AW219" s="1181"/>
      <c r="AX219" s="978"/>
      <c r="AY219" s="898"/>
      <c r="AZ219" s="898"/>
      <c r="BA219" s="898"/>
      <c r="BB219" s="898"/>
      <c r="BC219" s="898"/>
      <c r="BD219" s="898"/>
      <c r="BE219" s="898"/>
      <c r="BF219" s="898"/>
      <c r="BG219" s="898"/>
      <c r="BH219" s="898"/>
      <c r="BI219" s="898"/>
      <c r="BJ219" s="898"/>
      <c r="BK219" s="898"/>
      <c r="BL219" s="898"/>
      <c r="BM219" s="898"/>
      <c r="BN219" s="898"/>
      <c r="BO219" s="898"/>
      <c r="BP219" s="898"/>
      <c r="BQ219" s="898"/>
      <c r="BR219" s="898"/>
      <c r="BS219" s="898"/>
      <c r="BT219" s="898"/>
      <c r="BU219" s="898"/>
      <c r="BV219" s="898"/>
      <c r="BW219" s="898"/>
      <c r="BX219" s="898"/>
      <c r="BY219" s="898"/>
      <c r="BZ219" s="898"/>
      <c r="CA219" s="898"/>
      <c r="CB219" s="898"/>
      <c r="CC219" s="898"/>
      <c r="CD219" s="898"/>
      <c r="CE219" s="898"/>
      <c r="CF219" s="898"/>
      <c r="CG219" s="898"/>
      <c r="CH219" s="898"/>
      <c r="CI219" s="898"/>
      <c r="CJ219" s="898"/>
      <c r="CK219" s="898"/>
      <c r="CL219" s="898"/>
      <c r="CM219" s="898"/>
      <c r="CN219" s="898"/>
      <c r="CO219" s="898"/>
      <c r="CP219" s="898"/>
      <c r="CQ219" s="898"/>
      <c r="CR219" s="898"/>
      <c r="CS219" s="898"/>
      <c r="CT219" s="898"/>
      <c r="CU219" s="898"/>
    </row>
    <row r="220" ht="16.5" customHeight="1">
      <c r="A220" s="718"/>
      <c r="B220" s="1195"/>
      <c r="C220" s="866"/>
      <c r="D220" s="968"/>
      <c r="E220" s="718"/>
      <c r="F220" s="718"/>
      <c r="G220" s="718"/>
      <c r="H220" s="718"/>
      <c r="I220" s="359"/>
      <c r="J220" s="359"/>
      <c r="K220" s="359"/>
      <c r="L220" s="359"/>
      <c r="M220" s="359"/>
      <c r="N220" s="359"/>
      <c r="O220" s="359"/>
      <c r="P220" s="359"/>
      <c r="Q220" s="359"/>
      <c r="R220" s="718"/>
      <c r="S220" s="669"/>
      <c r="T220" s="669"/>
      <c r="U220" s="967"/>
      <c r="V220" s="974"/>
      <c r="W220" s="1197"/>
      <c r="X220" s="974"/>
      <c r="Y220" s="974"/>
      <c r="Z220" s="974"/>
      <c r="AA220" s="974"/>
      <c r="AB220" s="974"/>
      <c r="AC220" s="974"/>
      <c r="AD220" s="974"/>
      <c r="AE220" s="974"/>
      <c r="AF220" s="974"/>
      <c r="AG220" s="974"/>
      <c r="AH220" s="974"/>
      <c r="AI220" s="1198"/>
      <c r="AJ220" s="974"/>
      <c r="AK220" s="1197"/>
      <c r="AL220" s="974"/>
      <c r="AM220" s="974"/>
      <c r="AN220" s="974"/>
      <c r="AO220" s="974"/>
      <c r="AP220" s="974"/>
      <c r="AQ220" s="974"/>
      <c r="AR220" s="974"/>
      <c r="AS220" s="974"/>
      <c r="AT220" s="974"/>
      <c r="AU220" s="974"/>
      <c r="AV220" s="974"/>
      <c r="AW220" s="1181"/>
      <c r="AX220" s="978"/>
      <c r="AY220" s="898"/>
      <c r="AZ220" s="898"/>
      <c r="BA220" s="898"/>
      <c r="BB220" s="898"/>
      <c r="BC220" s="898"/>
      <c r="BD220" s="898"/>
      <c r="BE220" s="898"/>
      <c r="BF220" s="898"/>
      <c r="BG220" s="898"/>
      <c r="BH220" s="898"/>
      <c r="BI220" s="898"/>
      <c r="BJ220" s="898"/>
      <c r="BK220" s="898"/>
      <c r="BL220" s="898"/>
      <c r="BM220" s="898"/>
      <c r="BN220" s="898"/>
      <c r="BO220" s="898"/>
      <c r="BP220" s="898"/>
      <c r="BQ220" s="898"/>
      <c r="BR220" s="898"/>
      <c r="BS220" s="898"/>
      <c r="BT220" s="898"/>
      <c r="BU220" s="898"/>
      <c r="BV220" s="898"/>
      <c r="BW220" s="898"/>
      <c r="BX220" s="898"/>
      <c r="BY220" s="898"/>
      <c r="BZ220" s="898"/>
      <c r="CA220" s="898"/>
      <c r="CB220" s="898"/>
      <c r="CC220" s="898"/>
      <c r="CD220" s="898"/>
      <c r="CE220" s="898"/>
      <c r="CF220" s="898"/>
      <c r="CG220" s="898"/>
      <c r="CH220" s="898"/>
      <c r="CI220" s="898"/>
      <c r="CJ220" s="898"/>
      <c r="CK220" s="898"/>
      <c r="CL220" s="898"/>
      <c r="CM220" s="898"/>
      <c r="CN220" s="898"/>
      <c r="CO220" s="898"/>
      <c r="CP220" s="898"/>
      <c r="CQ220" s="898"/>
      <c r="CR220" s="898"/>
      <c r="CS220" s="898"/>
      <c r="CT220" s="898"/>
      <c r="CU220" s="898"/>
    </row>
    <row r="221" ht="16.5" customHeight="1">
      <c r="A221" s="718"/>
      <c r="B221" s="1195"/>
      <c r="C221" s="866"/>
      <c r="D221" s="968"/>
      <c r="E221" s="718"/>
      <c r="F221" s="718"/>
      <c r="G221" s="718"/>
      <c r="H221" s="718"/>
      <c r="I221" s="359"/>
      <c r="J221" s="359"/>
      <c r="K221" s="359"/>
      <c r="L221" s="359"/>
      <c r="M221" s="359"/>
      <c r="N221" s="359"/>
      <c r="O221" s="359"/>
      <c r="P221" s="359"/>
      <c r="Q221" s="359"/>
      <c r="R221" s="718"/>
      <c r="S221" s="669"/>
      <c r="T221" s="669"/>
      <c r="U221" s="967"/>
      <c r="V221" s="974"/>
      <c r="W221" s="1197"/>
      <c r="X221" s="974"/>
      <c r="Y221" s="974"/>
      <c r="Z221" s="974"/>
      <c r="AA221" s="974"/>
      <c r="AB221" s="974"/>
      <c r="AC221" s="974"/>
      <c r="AD221" s="974"/>
      <c r="AE221" s="974"/>
      <c r="AF221" s="974"/>
      <c r="AG221" s="974"/>
      <c r="AH221" s="974"/>
      <c r="AI221" s="1198"/>
      <c r="AJ221" s="974"/>
      <c r="AK221" s="1197"/>
      <c r="AL221" s="974"/>
      <c r="AM221" s="974"/>
      <c r="AN221" s="974"/>
      <c r="AO221" s="974"/>
      <c r="AP221" s="974"/>
      <c r="AQ221" s="974"/>
      <c r="AR221" s="974"/>
      <c r="AS221" s="974"/>
      <c r="AT221" s="974"/>
      <c r="AU221" s="974"/>
      <c r="AV221" s="974"/>
      <c r="AW221" s="1181"/>
      <c r="AX221" s="978"/>
      <c r="AY221" s="898"/>
      <c r="AZ221" s="898"/>
      <c r="BA221" s="898"/>
      <c r="BB221" s="898"/>
      <c r="BC221" s="898"/>
      <c r="BD221" s="898"/>
      <c r="BE221" s="898"/>
      <c r="BF221" s="898"/>
      <c r="BG221" s="898"/>
      <c r="BH221" s="898"/>
      <c r="BI221" s="898"/>
      <c r="BJ221" s="898"/>
      <c r="BK221" s="898"/>
      <c r="BL221" s="898"/>
      <c r="BM221" s="898"/>
      <c r="BN221" s="898"/>
      <c r="BO221" s="898"/>
      <c r="BP221" s="898"/>
      <c r="BQ221" s="898"/>
      <c r="BR221" s="898"/>
      <c r="BS221" s="898"/>
      <c r="BT221" s="898"/>
      <c r="BU221" s="898"/>
      <c r="BV221" s="898"/>
      <c r="BW221" s="898"/>
      <c r="BX221" s="898"/>
      <c r="BY221" s="898"/>
      <c r="BZ221" s="898"/>
      <c r="CA221" s="898"/>
      <c r="CB221" s="898"/>
      <c r="CC221" s="898"/>
      <c r="CD221" s="898"/>
      <c r="CE221" s="898"/>
      <c r="CF221" s="898"/>
      <c r="CG221" s="898"/>
      <c r="CH221" s="898"/>
      <c r="CI221" s="898"/>
      <c r="CJ221" s="898"/>
      <c r="CK221" s="898"/>
      <c r="CL221" s="898"/>
      <c r="CM221" s="898"/>
      <c r="CN221" s="898"/>
      <c r="CO221" s="898"/>
      <c r="CP221" s="898"/>
      <c r="CQ221" s="898"/>
      <c r="CR221" s="898"/>
      <c r="CS221" s="898"/>
      <c r="CT221" s="898"/>
      <c r="CU221" s="898"/>
    </row>
    <row r="222" ht="16.5" customHeight="1">
      <c r="A222" s="718"/>
      <c r="B222" s="1195"/>
      <c r="C222" s="866"/>
      <c r="D222" s="968"/>
      <c r="E222" s="718"/>
      <c r="F222" s="718"/>
      <c r="G222" s="718"/>
      <c r="H222" s="718"/>
      <c r="I222" s="359"/>
      <c r="J222" s="359"/>
      <c r="K222" s="359"/>
      <c r="L222" s="359"/>
      <c r="M222" s="359"/>
      <c r="N222" s="359"/>
      <c r="O222" s="359"/>
      <c r="P222" s="359"/>
      <c r="Q222" s="359"/>
      <c r="R222" s="718"/>
      <c r="S222" s="669"/>
      <c r="T222" s="669"/>
      <c r="U222" s="967"/>
      <c r="V222" s="974"/>
      <c r="W222" s="1197"/>
      <c r="X222" s="974"/>
      <c r="Y222" s="974"/>
      <c r="Z222" s="974"/>
      <c r="AA222" s="974"/>
      <c r="AB222" s="974"/>
      <c r="AC222" s="974"/>
      <c r="AD222" s="974"/>
      <c r="AE222" s="974"/>
      <c r="AF222" s="974"/>
      <c r="AG222" s="974"/>
      <c r="AH222" s="974"/>
      <c r="AI222" s="1198"/>
      <c r="AJ222" s="974"/>
      <c r="AK222" s="1197"/>
      <c r="AL222" s="974"/>
      <c r="AM222" s="974"/>
      <c r="AN222" s="974"/>
      <c r="AO222" s="974"/>
      <c r="AP222" s="974"/>
      <c r="AQ222" s="974"/>
      <c r="AR222" s="974"/>
      <c r="AS222" s="974"/>
      <c r="AT222" s="974"/>
      <c r="AU222" s="974"/>
      <c r="AV222" s="974"/>
      <c r="AW222" s="1181"/>
      <c r="AX222" s="978"/>
      <c r="AY222" s="898"/>
      <c r="AZ222" s="898"/>
      <c r="BA222" s="898"/>
      <c r="BB222" s="898"/>
      <c r="BC222" s="898"/>
      <c r="BD222" s="898"/>
      <c r="BE222" s="898"/>
      <c r="BF222" s="898"/>
      <c r="BG222" s="898"/>
      <c r="BH222" s="898"/>
      <c r="BI222" s="898"/>
      <c r="BJ222" s="898"/>
      <c r="BK222" s="898"/>
      <c r="BL222" s="898"/>
      <c r="BM222" s="898"/>
      <c r="BN222" s="898"/>
      <c r="BO222" s="898"/>
      <c r="BP222" s="898"/>
      <c r="BQ222" s="898"/>
      <c r="BR222" s="898"/>
      <c r="BS222" s="898"/>
      <c r="BT222" s="898"/>
      <c r="BU222" s="898"/>
      <c r="BV222" s="898"/>
      <c r="BW222" s="898"/>
      <c r="BX222" s="898"/>
      <c r="BY222" s="898"/>
      <c r="BZ222" s="898"/>
      <c r="CA222" s="898"/>
      <c r="CB222" s="898"/>
      <c r="CC222" s="898"/>
      <c r="CD222" s="898"/>
      <c r="CE222" s="898"/>
      <c r="CF222" s="898"/>
      <c r="CG222" s="898"/>
      <c r="CH222" s="898"/>
      <c r="CI222" s="898"/>
      <c r="CJ222" s="898"/>
      <c r="CK222" s="898"/>
      <c r="CL222" s="898"/>
      <c r="CM222" s="898"/>
      <c r="CN222" s="898"/>
      <c r="CO222" s="898"/>
      <c r="CP222" s="898"/>
      <c r="CQ222" s="898"/>
      <c r="CR222" s="898"/>
      <c r="CS222" s="898"/>
      <c r="CT222" s="898"/>
      <c r="CU222" s="898"/>
    </row>
    <row r="223" ht="16.5" customHeight="1">
      <c r="A223" s="718"/>
      <c r="B223" s="1195"/>
      <c r="C223" s="866"/>
      <c r="D223" s="968"/>
      <c r="E223" s="718"/>
      <c r="F223" s="718"/>
      <c r="G223" s="718"/>
      <c r="H223" s="718"/>
      <c r="I223" s="359"/>
      <c r="J223" s="359"/>
      <c r="K223" s="359"/>
      <c r="L223" s="359"/>
      <c r="M223" s="359"/>
      <c r="N223" s="359"/>
      <c r="O223" s="359"/>
      <c r="P223" s="359"/>
      <c r="Q223" s="359"/>
      <c r="R223" s="718"/>
      <c r="S223" s="669"/>
      <c r="T223" s="669"/>
      <c r="U223" s="967"/>
      <c r="V223" s="974"/>
      <c r="W223" s="1197"/>
      <c r="X223" s="974"/>
      <c r="Y223" s="974"/>
      <c r="Z223" s="974"/>
      <c r="AA223" s="974"/>
      <c r="AB223" s="974"/>
      <c r="AC223" s="974"/>
      <c r="AD223" s="974"/>
      <c r="AE223" s="974"/>
      <c r="AF223" s="974"/>
      <c r="AG223" s="974"/>
      <c r="AH223" s="974"/>
      <c r="AI223" s="1198"/>
      <c r="AJ223" s="974"/>
      <c r="AK223" s="1197"/>
      <c r="AL223" s="974"/>
      <c r="AM223" s="974"/>
      <c r="AN223" s="974"/>
      <c r="AO223" s="974"/>
      <c r="AP223" s="974"/>
      <c r="AQ223" s="974"/>
      <c r="AR223" s="974"/>
      <c r="AS223" s="974"/>
      <c r="AT223" s="974"/>
      <c r="AU223" s="974"/>
      <c r="AV223" s="974"/>
      <c r="AW223" s="1181"/>
      <c r="AX223" s="978"/>
      <c r="AY223" s="898"/>
      <c r="AZ223" s="898"/>
      <c r="BA223" s="898"/>
      <c r="BB223" s="898"/>
      <c r="BC223" s="898"/>
      <c r="BD223" s="898"/>
      <c r="BE223" s="898"/>
      <c r="BF223" s="898"/>
      <c r="BG223" s="898"/>
      <c r="BH223" s="898"/>
      <c r="BI223" s="898"/>
      <c r="BJ223" s="898"/>
      <c r="BK223" s="898"/>
      <c r="BL223" s="898"/>
      <c r="BM223" s="898"/>
      <c r="BN223" s="898"/>
      <c r="BO223" s="898"/>
      <c r="BP223" s="898"/>
      <c r="BQ223" s="898"/>
      <c r="BR223" s="898"/>
      <c r="BS223" s="898"/>
      <c r="BT223" s="898"/>
      <c r="BU223" s="898"/>
      <c r="BV223" s="898"/>
      <c r="BW223" s="898"/>
      <c r="BX223" s="898"/>
      <c r="BY223" s="898"/>
      <c r="BZ223" s="898"/>
      <c r="CA223" s="898"/>
      <c r="CB223" s="898"/>
      <c r="CC223" s="898"/>
      <c r="CD223" s="898"/>
      <c r="CE223" s="898"/>
      <c r="CF223" s="898"/>
      <c r="CG223" s="898"/>
      <c r="CH223" s="898"/>
      <c r="CI223" s="898"/>
      <c r="CJ223" s="898"/>
      <c r="CK223" s="898"/>
      <c r="CL223" s="898"/>
      <c r="CM223" s="898"/>
      <c r="CN223" s="898"/>
      <c r="CO223" s="898"/>
      <c r="CP223" s="898"/>
      <c r="CQ223" s="898"/>
      <c r="CR223" s="898"/>
      <c r="CS223" s="898"/>
      <c r="CT223" s="898"/>
      <c r="CU223" s="898"/>
    </row>
    <row r="224" ht="16.5" customHeight="1">
      <c r="A224" s="718"/>
      <c r="B224" s="1195"/>
      <c r="C224" s="866"/>
      <c r="D224" s="968"/>
      <c r="E224" s="718"/>
      <c r="F224" s="718"/>
      <c r="G224" s="718"/>
      <c r="H224" s="718"/>
      <c r="I224" s="359"/>
      <c r="J224" s="359"/>
      <c r="K224" s="359"/>
      <c r="L224" s="359"/>
      <c r="M224" s="359"/>
      <c r="N224" s="359"/>
      <c r="O224" s="359"/>
      <c r="P224" s="359"/>
      <c r="Q224" s="359"/>
      <c r="R224" s="718"/>
      <c r="S224" s="669"/>
      <c r="T224" s="669"/>
      <c r="U224" s="967"/>
      <c r="V224" s="974"/>
      <c r="W224" s="1197"/>
      <c r="X224" s="974"/>
      <c r="Y224" s="974"/>
      <c r="Z224" s="974"/>
      <c r="AA224" s="974"/>
      <c r="AB224" s="974"/>
      <c r="AC224" s="974"/>
      <c r="AD224" s="974"/>
      <c r="AE224" s="974"/>
      <c r="AF224" s="974"/>
      <c r="AG224" s="974"/>
      <c r="AH224" s="974"/>
      <c r="AI224" s="1198"/>
      <c r="AJ224" s="974"/>
      <c r="AK224" s="1197"/>
      <c r="AL224" s="974"/>
      <c r="AM224" s="974"/>
      <c r="AN224" s="974"/>
      <c r="AO224" s="974"/>
      <c r="AP224" s="974"/>
      <c r="AQ224" s="974"/>
      <c r="AR224" s="974"/>
      <c r="AS224" s="974"/>
      <c r="AT224" s="974"/>
      <c r="AU224" s="974"/>
      <c r="AV224" s="974"/>
      <c r="AW224" s="1181"/>
      <c r="AX224" s="978"/>
      <c r="AY224" s="898"/>
      <c r="AZ224" s="898"/>
      <c r="BA224" s="898"/>
      <c r="BB224" s="898"/>
      <c r="BC224" s="898"/>
      <c r="BD224" s="898"/>
      <c r="BE224" s="898"/>
      <c r="BF224" s="898"/>
      <c r="BG224" s="898"/>
      <c r="BH224" s="898"/>
      <c r="BI224" s="898"/>
      <c r="BJ224" s="898"/>
      <c r="BK224" s="898"/>
      <c r="BL224" s="898"/>
      <c r="BM224" s="898"/>
      <c r="BN224" s="898"/>
      <c r="BO224" s="898"/>
      <c r="BP224" s="898"/>
      <c r="BQ224" s="898"/>
      <c r="BR224" s="898"/>
      <c r="BS224" s="898"/>
      <c r="BT224" s="898"/>
      <c r="BU224" s="898"/>
      <c r="BV224" s="898"/>
      <c r="BW224" s="898"/>
      <c r="BX224" s="898"/>
      <c r="BY224" s="898"/>
      <c r="BZ224" s="898"/>
      <c r="CA224" s="898"/>
      <c r="CB224" s="898"/>
      <c r="CC224" s="898"/>
      <c r="CD224" s="898"/>
      <c r="CE224" s="898"/>
      <c r="CF224" s="898"/>
      <c r="CG224" s="898"/>
      <c r="CH224" s="898"/>
      <c r="CI224" s="898"/>
      <c r="CJ224" s="898"/>
      <c r="CK224" s="898"/>
      <c r="CL224" s="898"/>
      <c r="CM224" s="898"/>
      <c r="CN224" s="898"/>
      <c r="CO224" s="898"/>
      <c r="CP224" s="898"/>
      <c r="CQ224" s="898"/>
      <c r="CR224" s="898"/>
      <c r="CS224" s="898"/>
      <c r="CT224" s="898"/>
      <c r="CU224" s="898"/>
    </row>
    <row r="225" ht="16.5" customHeight="1">
      <c r="A225" s="718"/>
      <c r="B225" s="1195"/>
      <c r="C225" s="866"/>
      <c r="D225" s="968"/>
      <c r="E225" s="718"/>
      <c r="F225" s="718"/>
      <c r="G225" s="718"/>
      <c r="H225" s="718"/>
      <c r="I225" s="359"/>
      <c r="J225" s="359"/>
      <c r="K225" s="359"/>
      <c r="L225" s="359"/>
      <c r="M225" s="359"/>
      <c r="N225" s="359"/>
      <c r="O225" s="359"/>
      <c r="P225" s="359"/>
      <c r="Q225" s="359"/>
      <c r="R225" s="718"/>
      <c r="S225" s="669"/>
      <c r="T225" s="669"/>
      <c r="U225" s="967"/>
      <c r="V225" s="974"/>
      <c r="W225" s="1197"/>
      <c r="X225" s="974"/>
      <c r="Y225" s="974"/>
      <c r="Z225" s="974"/>
      <c r="AA225" s="974"/>
      <c r="AB225" s="974"/>
      <c r="AC225" s="974"/>
      <c r="AD225" s="974"/>
      <c r="AE225" s="974"/>
      <c r="AF225" s="974"/>
      <c r="AG225" s="974"/>
      <c r="AH225" s="974"/>
      <c r="AI225" s="1198"/>
      <c r="AJ225" s="974"/>
      <c r="AK225" s="1197"/>
      <c r="AL225" s="974"/>
      <c r="AM225" s="974"/>
      <c r="AN225" s="974"/>
      <c r="AO225" s="974"/>
      <c r="AP225" s="974"/>
      <c r="AQ225" s="974"/>
      <c r="AR225" s="974"/>
      <c r="AS225" s="974"/>
      <c r="AT225" s="974"/>
      <c r="AU225" s="974"/>
      <c r="AV225" s="974"/>
      <c r="AW225" s="1181"/>
      <c r="AX225" s="978"/>
      <c r="AY225" s="898"/>
      <c r="AZ225" s="898"/>
      <c r="BA225" s="898"/>
      <c r="BB225" s="898"/>
      <c r="BC225" s="898"/>
      <c r="BD225" s="898"/>
      <c r="BE225" s="898"/>
      <c r="BF225" s="898"/>
      <c r="BG225" s="898"/>
      <c r="BH225" s="898"/>
      <c r="BI225" s="898"/>
      <c r="BJ225" s="898"/>
      <c r="BK225" s="898"/>
      <c r="BL225" s="898"/>
      <c r="BM225" s="898"/>
      <c r="BN225" s="898"/>
      <c r="BO225" s="898"/>
      <c r="BP225" s="898"/>
      <c r="BQ225" s="898"/>
      <c r="BR225" s="898"/>
      <c r="BS225" s="898"/>
      <c r="BT225" s="898"/>
      <c r="BU225" s="898"/>
      <c r="BV225" s="898"/>
      <c r="BW225" s="898"/>
      <c r="BX225" s="898"/>
      <c r="BY225" s="898"/>
      <c r="BZ225" s="898"/>
      <c r="CA225" s="898"/>
      <c r="CB225" s="898"/>
      <c r="CC225" s="898"/>
      <c r="CD225" s="898"/>
      <c r="CE225" s="898"/>
      <c r="CF225" s="898"/>
      <c r="CG225" s="898"/>
      <c r="CH225" s="898"/>
      <c r="CI225" s="898"/>
      <c r="CJ225" s="898"/>
      <c r="CK225" s="898"/>
      <c r="CL225" s="898"/>
      <c r="CM225" s="898"/>
      <c r="CN225" s="898"/>
      <c r="CO225" s="898"/>
      <c r="CP225" s="898"/>
      <c r="CQ225" s="898"/>
      <c r="CR225" s="898"/>
      <c r="CS225" s="898"/>
      <c r="CT225" s="898"/>
      <c r="CU225" s="898"/>
    </row>
    <row r="226" ht="16.5" customHeight="1">
      <c r="A226" s="718"/>
      <c r="B226" s="1195"/>
      <c r="C226" s="866"/>
      <c r="D226" s="968"/>
      <c r="E226" s="718"/>
      <c r="F226" s="718"/>
      <c r="G226" s="718"/>
      <c r="H226" s="718"/>
      <c r="I226" s="359"/>
      <c r="J226" s="359"/>
      <c r="K226" s="359"/>
      <c r="L226" s="359"/>
      <c r="M226" s="359"/>
      <c r="N226" s="359"/>
      <c r="O226" s="359"/>
      <c r="P226" s="359"/>
      <c r="Q226" s="359"/>
      <c r="R226" s="718"/>
      <c r="S226" s="669"/>
      <c r="T226" s="669"/>
      <c r="U226" s="967"/>
      <c r="V226" s="974"/>
      <c r="W226" s="1197"/>
      <c r="X226" s="974"/>
      <c r="Y226" s="974"/>
      <c r="Z226" s="974"/>
      <c r="AA226" s="974"/>
      <c r="AB226" s="974"/>
      <c r="AC226" s="974"/>
      <c r="AD226" s="974"/>
      <c r="AE226" s="974"/>
      <c r="AF226" s="974"/>
      <c r="AG226" s="974"/>
      <c r="AH226" s="974"/>
      <c r="AI226" s="1198"/>
      <c r="AJ226" s="974"/>
      <c r="AK226" s="1197"/>
      <c r="AL226" s="974"/>
      <c r="AM226" s="974"/>
      <c r="AN226" s="974"/>
      <c r="AO226" s="974"/>
      <c r="AP226" s="974"/>
      <c r="AQ226" s="974"/>
      <c r="AR226" s="974"/>
      <c r="AS226" s="974"/>
      <c r="AT226" s="974"/>
      <c r="AU226" s="974"/>
      <c r="AV226" s="974"/>
      <c r="AW226" s="1181"/>
      <c r="AX226" s="978"/>
      <c r="AY226" s="898"/>
      <c r="AZ226" s="898"/>
      <c r="BA226" s="898"/>
      <c r="BB226" s="898"/>
      <c r="BC226" s="898"/>
      <c r="BD226" s="898"/>
      <c r="BE226" s="898"/>
      <c r="BF226" s="898"/>
      <c r="BG226" s="898"/>
      <c r="BH226" s="898"/>
      <c r="BI226" s="898"/>
      <c r="BJ226" s="898"/>
      <c r="BK226" s="898"/>
      <c r="BL226" s="898"/>
      <c r="BM226" s="898"/>
      <c r="BN226" s="898"/>
      <c r="BO226" s="898"/>
      <c r="BP226" s="898"/>
      <c r="BQ226" s="898"/>
      <c r="BR226" s="898"/>
      <c r="BS226" s="898"/>
      <c r="BT226" s="898"/>
      <c r="BU226" s="898"/>
      <c r="BV226" s="898"/>
      <c r="BW226" s="898"/>
      <c r="BX226" s="898"/>
      <c r="BY226" s="898"/>
      <c r="BZ226" s="898"/>
      <c r="CA226" s="898"/>
      <c r="CB226" s="898"/>
      <c r="CC226" s="898"/>
      <c r="CD226" s="898"/>
      <c r="CE226" s="898"/>
      <c r="CF226" s="898"/>
      <c r="CG226" s="898"/>
      <c r="CH226" s="898"/>
      <c r="CI226" s="898"/>
      <c r="CJ226" s="898"/>
      <c r="CK226" s="898"/>
      <c r="CL226" s="898"/>
      <c r="CM226" s="898"/>
      <c r="CN226" s="898"/>
      <c r="CO226" s="898"/>
      <c r="CP226" s="898"/>
      <c r="CQ226" s="898"/>
      <c r="CR226" s="898"/>
      <c r="CS226" s="898"/>
      <c r="CT226" s="898"/>
      <c r="CU226" s="898"/>
    </row>
    <row r="227" ht="16.5" customHeight="1">
      <c r="A227" s="718"/>
      <c r="B227" s="1195"/>
      <c r="C227" s="866"/>
      <c r="D227" s="968"/>
      <c r="E227" s="718"/>
      <c r="F227" s="718"/>
      <c r="G227" s="718"/>
      <c r="H227" s="718"/>
      <c r="I227" s="359"/>
      <c r="J227" s="359"/>
      <c r="K227" s="359"/>
      <c r="L227" s="359"/>
      <c r="M227" s="359"/>
      <c r="N227" s="359"/>
      <c r="O227" s="359"/>
      <c r="P227" s="359"/>
      <c r="Q227" s="359"/>
      <c r="R227" s="718"/>
      <c r="S227" s="669"/>
      <c r="T227" s="669"/>
      <c r="U227" s="967"/>
      <c r="V227" s="974"/>
      <c r="W227" s="1197"/>
      <c r="X227" s="974"/>
      <c r="Y227" s="974"/>
      <c r="Z227" s="974"/>
      <c r="AA227" s="974"/>
      <c r="AB227" s="974"/>
      <c r="AC227" s="974"/>
      <c r="AD227" s="974"/>
      <c r="AE227" s="974"/>
      <c r="AF227" s="974"/>
      <c r="AG227" s="974"/>
      <c r="AH227" s="974"/>
      <c r="AI227" s="1198"/>
      <c r="AJ227" s="974"/>
      <c r="AK227" s="1197"/>
      <c r="AL227" s="974"/>
      <c r="AM227" s="974"/>
      <c r="AN227" s="974"/>
      <c r="AO227" s="974"/>
      <c r="AP227" s="974"/>
      <c r="AQ227" s="974"/>
      <c r="AR227" s="974"/>
      <c r="AS227" s="974"/>
      <c r="AT227" s="974"/>
      <c r="AU227" s="974"/>
      <c r="AV227" s="974"/>
      <c r="AW227" s="1181"/>
      <c r="AX227" s="978"/>
      <c r="AY227" s="898"/>
      <c r="AZ227" s="898"/>
      <c r="BA227" s="898"/>
      <c r="BB227" s="898"/>
      <c r="BC227" s="898"/>
      <c r="BD227" s="898"/>
      <c r="BE227" s="898"/>
      <c r="BF227" s="898"/>
      <c r="BG227" s="898"/>
      <c r="BH227" s="898"/>
      <c r="BI227" s="898"/>
      <c r="BJ227" s="898"/>
      <c r="BK227" s="898"/>
      <c r="BL227" s="898"/>
      <c r="BM227" s="898"/>
      <c r="BN227" s="898"/>
      <c r="BO227" s="898"/>
      <c r="BP227" s="898"/>
      <c r="BQ227" s="898"/>
      <c r="BR227" s="898"/>
      <c r="BS227" s="898"/>
      <c r="BT227" s="898"/>
      <c r="BU227" s="898"/>
      <c r="BV227" s="898"/>
      <c r="BW227" s="898"/>
      <c r="BX227" s="898"/>
      <c r="BY227" s="898"/>
      <c r="BZ227" s="898"/>
      <c r="CA227" s="898"/>
      <c r="CB227" s="898"/>
      <c r="CC227" s="898"/>
      <c r="CD227" s="898"/>
      <c r="CE227" s="898"/>
      <c r="CF227" s="898"/>
      <c r="CG227" s="898"/>
      <c r="CH227" s="898"/>
      <c r="CI227" s="898"/>
      <c r="CJ227" s="898"/>
      <c r="CK227" s="898"/>
      <c r="CL227" s="898"/>
      <c r="CM227" s="898"/>
      <c r="CN227" s="898"/>
      <c r="CO227" s="898"/>
      <c r="CP227" s="898"/>
      <c r="CQ227" s="898"/>
      <c r="CR227" s="898"/>
      <c r="CS227" s="898"/>
      <c r="CT227" s="898"/>
      <c r="CU227" s="898"/>
    </row>
    <row r="228" ht="16.5" customHeight="1">
      <c r="A228" s="718"/>
      <c r="B228" s="1195"/>
      <c r="C228" s="866"/>
      <c r="D228" s="968"/>
      <c r="E228" s="718"/>
      <c r="F228" s="718"/>
      <c r="G228" s="718"/>
      <c r="H228" s="718"/>
      <c r="I228" s="359"/>
      <c r="J228" s="359"/>
      <c r="K228" s="359"/>
      <c r="L228" s="359"/>
      <c r="M228" s="359"/>
      <c r="N228" s="359"/>
      <c r="O228" s="359"/>
      <c r="P228" s="359"/>
      <c r="Q228" s="359"/>
      <c r="R228" s="718"/>
      <c r="S228" s="669"/>
      <c r="T228" s="669"/>
      <c r="U228" s="967"/>
      <c r="V228" s="974"/>
      <c r="W228" s="1197"/>
      <c r="X228" s="974"/>
      <c r="Y228" s="974"/>
      <c r="Z228" s="974"/>
      <c r="AA228" s="974"/>
      <c r="AB228" s="974"/>
      <c r="AC228" s="974"/>
      <c r="AD228" s="974"/>
      <c r="AE228" s="974"/>
      <c r="AF228" s="974"/>
      <c r="AG228" s="974"/>
      <c r="AH228" s="974"/>
      <c r="AI228" s="1198"/>
      <c r="AJ228" s="974"/>
      <c r="AK228" s="1197"/>
      <c r="AL228" s="974"/>
      <c r="AM228" s="974"/>
      <c r="AN228" s="974"/>
      <c r="AO228" s="974"/>
      <c r="AP228" s="974"/>
      <c r="AQ228" s="974"/>
      <c r="AR228" s="974"/>
      <c r="AS228" s="974"/>
      <c r="AT228" s="974"/>
      <c r="AU228" s="974"/>
      <c r="AV228" s="974"/>
      <c r="AW228" s="1181"/>
      <c r="AX228" s="978"/>
      <c r="AY228" s="898"/>
      <c r="AZ228" s="898"/>
      <c r="BA228" s="898"/>
      <c r="BB228" s="898"/>
      <c r="BC228" s="898"/>
      <c r="BD228" s="898"/>
      <c r="BE228" s="898"/>
      <c r="BF228" s="898"/>
      <c r="BG228" s="898"/>
      <c r="BH228" s="898"/>
      <c r="BI228" s="898"/>
      <c r="BJ228" s="898"/>
      <c r="BK228" s="898"/>
      <c r="BL228" s="898"/>
      <c r="BM228" s="898"/>
      <c r="BN228" s="898"/>
      <c r="BO228" s="898"/>
      <c r="BP228" s="898"/>
      <c r="BQ228" s="898"/>
      <c r="BR228" s="898"/>
      <c r="BS228" s="898"/>
      <c r="BT228" s="898"/>
      <c r="BU228" s="898"/>
      <c r="BV228" s="898"/>
      <c r="BW228" s="898"/>
      <c r="BX228" s="898"/>
      <c r="BY228" s="898"/>
      <c r="BZ228" s="898"/>
      <c r="CA228" s="898"/>
      <c r="CB228" s="898"/>
      <c r="CC228" s="898"/>
      <c r="CD228" s="898"/>
      <c r="CE228" s="898"/>
      <c r="CF228" s="898"/>
      <c r="CG228" s="898"/>
      <c r="CH228" s="898"/>
      <c r="CI228" s="898"/>
      <c r="CJ228" s="898"/>
      <c r="CK228" s="898"/>
      <c r="CL228" s="898"/>
      <c r="CM228" s="898"/>
      <c r="CN228" s="898"/>
      <c r="CO228" s="898"/>
      <c r="CP228" s="898"/>
      <c r="CQ228" s="898"/>
      <c r="CR228" s="898"/>
      <c r="CS228" s="898"/>
      <c r="CT228" s="898"/>
      <c r="CU228" s="898"/>
    </row>
    <row r="229" ht="16.5" customHeight="1">
      <c r="A229" s="718"/>
      <c r="B229" s="1195"/>
      <c r="C229" s="866"/>
      <c r="D229" s="968"/>
      <c r="E229" s="718"/>
      <c r="F229" s="718"/>
      <c r="G229" s="718"/>
      <c r="H229" s="718"/>
      <c r="I229" s="359"/>
      <c r="J229" s="359"/>
      <c r="K229" s="359"/>
      <c r="L229" s="359"/>
      <c r="M229" s="359"/>
      <c r="N229" s="359"/>
      <c r="O229" s="359"/>
      <c r="P229" s="359"/>
      <c r="Q229" s="359"/>
      <c r="R229" s="718"/>
      <c r="S229" s="669"/>
      <c r="T229" s="669"/>
      <c r="U229" s="967"/>
      <c r="V229" s="974"/>
      <c r="W229" s="1197"/>
      <c r="X229" s="974"/>
      <c r="Y229" s="974"/>
      <c r="Z229" s="974"/>
      <c r="AA229" s="974"/>
      <c r="AB229" s="974"/>
      <c r="AC229" s="974"/>
      <c r="AD229" s="974"/>
      <c r="AE229" s="974"/>
      <c r="AF229" s="974"/>
      <c r="AG229" s="974"/>
      <c r="AH229" s="974"/>
      <c r="AI229" s="1198"/>
      <c r="AJ229" s="974"/>
      <c r="AK229" s="1197"/>
      <c r="AL229" s="974"/>
      <c r="AM229" s="974"/>
      <c r="AN229" s="974"/>
      <c r="AO229" s="974"/>
      <c r="AP229" s="974"/>
      <c r="AQ229" s="974"/>
      <c r="AR229" s="974"/>
      <c r="AS229" s="974"/>
      <c r="AT229" s="974"/>
      <c r="AU229" s="974"/>
      <c r="AV229" s="974"/>
      <c r="AW229" s="1181"/>
      <c r="AX229" s="978"/>
      <c r="AY229" s="898"/>
      <c r="AZ229" s="898"/>
      <c r="BA229" s="898"/>
      <c r="BB229" s="898"/>
      <c r="BC229" s="898"/>
      <c r="BD229" s="898"/>
      <c r="BE229" s="898"/>
      <c r="BF229" s="898"/>
      <c r="BG229" s="898"/>
      <c r="BH229" s="898"/>
      <c r="BI229" s="898"/>
      <c r="BJ229" s="898"/>
      <c r="BK229" s="898"/>
      <c r="BL229" s="898"/>
      <c r="BM229" s="898"/>
      <c r="BN229" s="898"/>
      <c r="BO229" s="898"/>
      <c r="BP229" s="898"/>
      <c r="BQ229" s="898"/>
      <c r="BR229" s="898"/>
      <c r="BS229" s="898"/>
      <c r="BT229" s="898"/>
      <c r="BU229" s="898"/>
      <c r="BV229" s="898"/>
      <c r="BW229" s="898"/>
      <c r="BX229" s="898"/>
      <c r="BY229" s="898"/>
      <c r="BZ229" s="898"/>
      <c r="CA229" s="898"/>
      <c r="CB229" s="898"/>
      <c r="CC229" s="898"/>
      <c r="CD229" s="898"/>
      <c r="CE229" s="898"/>
      <c r="CF229" s="898"/>
      <c r="CG229" s="898"/>
      <c r="CH229" s="898"/>
      <c r="CI229" s="898"/>
      <c r="CJ229" s="898"/>
      <c r="CK229" s="898"/>
      <c r="CL229" s="898"/>
      <c r="CM229" s="898"/>
      <c r="CN229" s="898"/>
      <c r="CO229" s="898"/>
      <c r="CP229" s="898"/>
      <c r="CQ229" s="898"/>
      <c r="CR229" s="898"/>
      <c r="CS229" s="898"/>
      <c r="CT229" s="898"/>
      <c r="CU229" s="898"/>
    </row>
    <row r="230" ht="16.5" customHeight="1">
      <c r="A230" s="718"/>
      <c r="B230" s="1195"/>
      <c r="C230" s="866"/>
      <c r="D230" s="968"/>
      <c r="E230" s="718"/>
      <c r="F230" s="718"/>
      <c r="G230" s="718"/>
      <c r="H230" s="718"/>
      <c r="I230" s="359"/>
      <c r="J230" s="359"/>
      <c r="K230" s="359"/>
      <c r="L230" s="359"/>
      <c r="M230" s="359"/>
      <c r="N230" s="359"/>
      <c r="O230" s="359"/>
      <c r="P230" s="359"/>
      <c r="Q230" s="359"/>
      <c r="R230" s="718"/>
      <c r="S230" s="669"/>
      <c r="T230" s="669"/>
      <c r="U230" s="967"/>
      <c r="V230" s="974"/>
      <c r="W230" s="1197"/>
      <c r="X230" s="974"/>
      <c r="Y230" s="974"/>
      <c r="Z230" s="974"/>
      <c r="AA230" s="974"/>
      <c r="AB230" s="974"/>
      <c r="AC230" s="974"/>
      <c r="AD230" s="974"/>
      <c r="AE230" s="974"/>
      <c r="AF230" s="974"/>
      <c r="AG230" s="974"/>
      <c r="AH230" s="974"/>
      <c r="AI230" s="1198"/>
      <c r="AJ230" s="974"/>
      <c r="AK230" s="1197"/>
      <c r="AL230" s="974"/>
      <c r="AM230" s="974"/>
      <c r="AN230" s="974"/>
      <c r="AO230" s="974"/>
      <c r="AP230" s="974"/>
      <c r="AQ230" s="974"/>
      <c r="AR230" s="974"/>
      <c r="AS230" s="974"/>
      <c r="AT230" s="974"/>
      <c r="AU230" s="974"/>
      <c r="AV230" s="974"/>
      <c r="AW230" s="1181"/>
      <c r="AX230" s="978"/>
      <c r="AY230" s="898"/>
      <c r="AZ230" s="898"/>
      <c r="BA230" s="898"/>
      <c r="BB230" s="898"/>
      <c r="BC230" s="898"/>
      <c r="BD230" s="898"/>
      <c r="BE230" s="898"/>
      <c r="BF230" s="898"/>
      <c r="BG230" s="898"/>
      <c r="BH230" s="898"/>
      <c r="BI230" s="898"/>
      <c r="BJ230" s="898"/>
      <c r="BK230" s="898"/>
      <c r="BL230" s="898"/>
      <c r="BM230" s="898"/>
      <c r="BN230" s="898"/>
      <c r="BO230" s="898"/>
      <c r="BP230" s="898"/>
      <c r="BQ230" s="898"/>
      <c r="BR230" s="898"/>
      <c r="BS230" s="898"/>
      <c r="BT230" s="898"/>
      <c r="BU230" s="898"/>
      <c r="BV230" s="898"/>
      <c r="BW230" s="898"/>
      <c r="BX230" s="898"/>
      <c r="BY230" s="898"/>
      <c r="BZ230" s="898"/>
      <c r="CA230" s="898"/>
      <c r="CB230" s="898"/>
      <c r="CC230" s="898"/>
      <c r="CD230" s="898"/>
      <c r="CE230" s="898"/>
      <c r="CF230" s="898"/>
      <c r="CG230" s="898"/>
      <c r="CH230" s="898"/>
      <c r="CI230" s="898"/>
      <c r="CJ230" s="898"/>
      <c r="CK230" s="898"/>
      <c r="CL230" s="898"/>
      <c r="CM230" s="898"/>
      <c r="CN230" s="898"/>
      <c r="CO230" s="898"/>
      <c r="CP230" s="898"/>
      <c r="CQ230" s="898"/>
      <c r="CR230" s="898"/>
      <c r="CS230" s="898"/>
      <c r="CT230" s="898"/>
      <c r="CU230" s="898"/>
    </row>
    <row r="231" ht="16.5" customHeight="1">
      <c r="A231" s="718"/>
      <c r="B231" s="1195"/>
      <c r="C231" s="866"/>
      <c r="D231" s="968"/>
      <c r="E231" s="718"/>
      <c r="F231" s="718"/>
      <c r="G231" s="718"/>
      <c r="H231" s="718"/>
      <c r="I231" s="359"/>
      <c r="J231" s="359"/>
      <c r="K231" s="359"/>
      <c r="L231" s="359"/>
      <c r="M231" s="359"/>
      <c r="N231" s="359"/>
      <c r="O231" s="359"/>
      <c r="P231" s="359"/>
      <c r="Q231" s="359"/>
      <c r="R231" s="718"/>
      <c r="S231" s="669"/>
      <c r="T231" s="669"/>
      <c r="U231" s="967"/>
      <c r="V231" s="974"/>
      <c r="W231" s="1197"/>
      <c r="X231" s="974"/>
      <c r="Y231" s="974"/>
      <c r="Z231" s="974"/>
      <c r="AA231" s="974"/>
      <c r="AB231" s="974"/>
      <c r="AC231" s="974"/>
      <c r="AD231" s="974"/>
      <c r="AE231" s="974"/>
      <c r="AF231" s="974"/>
      <c r="AG231" s="974"/>
      <c r="AH231" s="974"/>
      <c r="AI231" s="1198"/>
      <c r="AJ231" s="974"/>
      <c r="AK231" s="1197"/>
      <c r="AL231" s="974"/>
      <c r="AM231" s="974"/>
      <c r="AN231" s="974"/>
      <c r="AO231" s="974"/>
      <c r="AP231" s="974"/>
      <c r="AQ231" s="974"/>
      <c r="AR231" s="974"/>
      <c r="AS231" s="974"/>
      <c r="AT231" s="974"/>
      <c r="AU231" s="974"/>
      <c r="AV231" s="974"/>
      <c r="AW231" s="1181"/>
      <c r="AX231" s="978"/>
      <c r="AY231" s="898"/>
      <c r="AZ231" s="898"/>
      <c r="BA231" s="898"/>
      <c r="BB231" s="898"/>
      <c r="BC231" s="898"/>
      <c r="BD231" s="898"/>
      <c r="BE231" s="898"/>
      <c r="BF231" s="898"/>
      <c r="BG231" s="898"/>
      <c r="BH231" s="898"/>
      <c r="BI231" s="898"/>
      <c r="BJ231" s="898"/>
      <c r="BK231" s="898"/>
      <c r="BL231" s="898"/>
      <c r="BM231" s="898"/>
      <c r="BN231" s="898"/>
      <c r="BO231" s="898"/>
      <c r="BP231" s="898"/>
      <c r="BQ231" s="898"/>
      <c r="BR231" s="898"/>
      <c r="BS231" s="898"/>
      <c r="BT231" s="898"/>
      <c r="BU231" s="898"/>
      <c r="BV231" s="898"/>
      <c r="BW231" s="898"/>
      <c r="BX231" s="898"/>
      <c r="BY231" s="898"/>
      <c r="BZ231" s="898"/>
      <c r="CA231" s="898"/>
      <c r="CB231" s="898"/>
      <c r="CC231" s="898"/>
      <c r="CD231" s="898"/>
      <c r="CE231" s="898"/>
      <c r="CF231" s="898"/>
      <c r="CG231" s="898"/>
      <c r="CH231" s="898"/>
      <c r="CI231" s="898"/>
      <c r="CJ231" s="898"/>
      <c r="CK231" s="898"/>
      <c r="CL231" s="898"/>
      <c r="CM231" s="898"/>
      <c r="CN231" s="898"/>
      <c r="CO231" s="898"/>
      <c r="CP231" s="898"/>
      <c r="CQ231" s="898"/>
      <c r="CR231" s="898"/>
      <c r="CS231" s="898"/>
      <c r="CT231" s="898"/>
      <c r="CU231" s="898"/>
    </row>
    <row r="232" ht="16.5" customHeight="1">
      <c r="A232" s="718"/>
      <c r="B232" s="1195"/>
      <c r="C232" s="866"/>
      <c r="D232" s="968"/>
      <c r="E232" s="718"/>
      <c r="F232" s="718"/>
      <c r="G232" s="718"/>
      <c r="H232" s="718"/>
      <c r="I232" s="359"/>
      <c r="J232" s="359"/>
      <c r="K232" s="359"/>
      <c r="L232" s="359"/>
      <c r="M232" s="359"/>
      <c r="N232" s="359"/>
      <c r="O232" s="359"/>
      <c r="P232" s="359"/>
      <c r="Q232" s="359"/>
      <c r="R232" s="718"/>
      <c r="S232" s="669"/>
      <c r="T232" s="669"/>
      <c r="U232" s="967"/>
      <c r="V232" s="974"/>
      <c r="W232" s="1197"/>
      <c r="X232" s="974"/>
      <c r="Y232" s="974"/>
      <c r="Z232" s="974"/>
      <c r="AA232" s="974"/>
      <c r="AB232" s="974"/>
      <c r="AC232" s="974"/>
      <c r="AD232" s="974"/>
      <c r="AE232" s="974"/>
      <c r="AF232" s="974"/>
      <c r="AG232" s="974"/>
      <c r="AH232" s="974"/>
      <c r="AI232" s="1198"/>
      <c r="AJ232" s="974"/>
      <c r="AK232" s="1197"/>
      <c r="AL232" s="974"/>
      <c r="AM232" s="974"/>
      <c r="AN232" s="974"/>
      <c r="AO232" s="974"/>
      <c r="AP232" s="974"/>
      <c r="AQ232" s="974"/>
      <c r="AR232" s="974"/>
      <c r="AS232" s="974"/>
      <c r="AT232" s="974"/>
      <c r="AU232" s="974"/>
      <c r="AV232" s="974"/>
      <c r="AW232" s="1181"/>
      <c r="AX232" s="978"/>
      <c r="AY232" s="898"/>
      <c r="AZ232" s="898"/>
      <c r="BA232" s="898"/>
      <c r="BB232" s="898"/>
      <c r="BC232" s="898"/>
      <c r="BD232" s="898"/>
      <c r="BE232" s="898"/>
      <c r="BF232" s="898"/>
      <c r="BG232" s="898"/>
      <c r="BH232" s="898"/>
      <c r="BI232" s="898"/>
      <c r="BJ232" s="898"/>
      <c r="BK232" s="898"/>
      <c r="BL232" s="898"/>
      <c r="BM232" s="898"/>
      <c r="BN232" s="898"/>
      <c r="BO232" s="898"/>
      <c r="BP232" s="898"/>
      <c r="BQ232" s="898"/>
      <c r="BR232" s="898"/>
      <c r="BS232" s="898"/>
      <c r="BT232" s="898"/>
      <c r="BU232" s="898"/>
      <c r="BV232" s="898"/>
      <c r="BW232" s="898"/>
      <c r="BX232" s="898"/>
      <c r="BY232" s="898"/>
      <c r="BZ232" s="898"/>
      <c r="CA232" s="898"/>
      <c r="CB232" s="898"/>
      <c r="CC232" s="898"/>
      <c r="CD232" s="898"/>
      <c r="CE232" s="898"/>
      <c r="CF232" s="898"/>
      <c r="CG232" s="898"/>
      <c r="CH232" s="898"/>
      <c r="CI232" s="898"/>
      <c r="CJ232" s="898"/>
      <c r="CK232" s="898"/>
      <c r="CL232" s="898"/>
      <c r="CM232" s="898"/>
      <c r="CN232" s="898"/>
      <c r="CO232" s="898"/>
      <c r="CP232" s="898"/>
      <c r="CQ232" s="898"/>
      <c r="CR232" s="898"/>
      <c r="CS232" s="898"/>
      <c r="CT232" s="898"/>
      <c r="CU232" s="898"/>
    </row>
    <row r="233" ht="16.5" customHeight="1">
      <c r="A233" s="718"/>
      <c r="B233" s="1195"/>
      <c r="C233" s="866"/>
      <c r="D233" s="968"/>
      <c r="E233" s="718"/>
      <c r="F233" s="718"/>
      <c r="G233" s="718"/>
      <c r="H233" s="718"/>
      <c r="I233" s="359"/>
      <c r="J233" s="359"/>
      <c r="K233" s="359"/>
      <c r="L233" s="359"/>
      <c r="M233" s="359"/>
      <c r="N233" s="359"/>
      <c r="O233" s="359"/>
      <c r="P233" s="359"/>
      <c r="Q233" s="359"/>
      <c r="R233" s="718"/>
      <c r="S233" s="669"/>
      <c r="T233" s="669"/>
      <c r="U233" s="967"/>
      <c r="V233" s="974"/>
      <c r="W233" s="1197"/>
      <c r="X233" s="974"/>
      <c r="Y233" s="974"/>
      <c r="Z233" s="974"/>
      <c r="AA233" s="974"/>
      <c r="AB233" s="974"/>
      <c r="AC233" s="974"/>
      <c r="AD233" s="974"/>
      <c r="AE233" s="974"/>
      <c r="AF233" s="974"/>
      <c r="AG233" s="974"/>
      <c r="AH233" s="974"/>
      <c r="AI233" s="1198"/>
      <c r="AJ233" s="974"/>
      <c r="AK233" s="1197"/>
      <c r="AL233" s="974"/>
      <c r="AM233" s="974"/>
      <c r="AN233" s="974"/>
      <c r="AO233" s="974"/>
      <c r="AP233" s="974"/>
      <c r="AQ233" s="974"/>
      <c r="AR233" s="974"/>
      <c r="AS233" s="974"/>
      <c r="AT233" s="974"/>
      <c r="AU233" s="974"/>
      <c r="AV233" s="974"/>
      <c r="AW233" s="1181"/>
      <c r="AX233" s="978"/>
      <c r="AY233" s="898"/>
      <c r="AZ233" s="898"/>
      <c r="BA233" s="898"/>
      <c r="BB233" s="898"/>
      <c r="BC233" s="898"/>
      <c r="BD233" s="898"/>
      <c r="BE233" s="898"/>
      <c r="BF233" s="898"/>
      <c r="BG233" s="898"/>
      <c r="BH233" s="898"/>
      <c r="BI233" s="898"/>
      <c r="BJ233" s="898"/>
      <c r="BK233" s="898"/>
      <c r="BL233" s="898"/>
      <c r="BM233" s="898"/>
      <c r="BN233" s="898"/>
      <c r="BO233" s="898"/>
      <c r="BP233" s="898"/>
      <c r="BQ233" s="898"/>
      <c r="BR233" s="898"/>
      <c r="BS233" s="898"/>
      <c r="BT233" s="898"/>
      <c r="BU233" s="898"/>
      <c r="BV233" s="898"/>
      <c r="BW233" s="898"/>
      <c r="BX233" s="898"/>
      <c r="BY233" s="898"/>
      <c r="BZ233" s="898"/>
      <c r="CA233" s="898"/>
      <c r="CB233" s="898"/>
      <c r="CC233" s="898"/>
      <c r="CD233" s="898"/>
      <c r="CE233" s="898"/>
      <c r="CF233" s="898"/>
      <c r="CG233" s="898"/>
      <c r="CH233" s="898"/>
      <c r="CI233" s="898"/>
      <c r="CJ233" s="898"/>
      <c r="CK233" s="898"/>
      <c r="CL233" s="898"/>
      <c r="CM233" s="898"/>
      <c r="CN233" s="898"/>
      <c r="CO233" s="898"/>
      <c r="CP233" s="898"/>
      <c r="CQ233" s="898"/>
      <c r="CR233" s="898"/>
      <c r="CS233" s="898"/>
      <c r="CT233" s="898"/>
      <c r="CU233" s="898"/>
    </row>
    <row r="234" ht="16.5" customHeight="1">
      <c r="A234" s="718"/>
      <c r="B234" s="1195"/>
      <c r="C234" s="866"/>
      <c r="D234" s="968"/>
      <c r="E234" s="718"/>
      <c r="F234" s="718"/>
      <c r="G234" s="718"/>
      <c r="H234" s="718"/>
      <c r="I234" s="359"/>
      <c r="J234" s="359"/>
      <c r="K234" s="359"/>
      <c r="L234" s="359"/>
      <c r="M234" s="359"/>
      <c r="N234" s="359"/>
      <c r="O234" s="359"/>
      <c r="P234" s="359"/>
      <c r="Q234" s="359"/>
      <c r="R234" s="718"/>
      <c r="S234" s="669"/>
      <c r="T234" s="669"/>
      <c r="U234" s="967"/>
      <c r="V234" s="974"/>
      <c r="W234" s="1197"/>
      <c r="X234" s="974"/>
      <c r="Y234" s="974"/>
      <c r="Z234" s="974"/>
      <c r="AA234" s="974"/>
      <c r="AB234" s="974"/>
      <c r="AC234" s="974"/>
      <c r="AD234" s="974"/>
      <c r="AE234" s="974"/>
      <c r="AF234" s="974"/>
      <c r="AG234" s="974"/>
      <c r="AH234" s="974"/>
      <c r="AI234" s="1198"/>
      <c r="AJ234" s="974"/>
      <c r="AK234" s="1197"/>
      <c r="AL234" s="974"/>
      <c r="AM234" s="974"/>
      <c r="AN234" s="974"/>
      <c r="AO234" s="974"/>
      <c r="AP234" s="974"/>
      <c r="AQ234" s="974"/>
      <c r="AR234" s="974"/>
      <c r="AS234" s="974"/>
      <c r="AT234" s="974"/>
      <c r="AU234" s="974"/>
      <c r="AV234" s="974"/>
      <c r="AW234" s="1181"/>
      <c r="AX234" s="978"/>
      <c r="AY234" s="898"/>
      <c r="AZ234" s="898"/>
      <c r="BA234" s="898"/>
      <c r="BB234" s="898"/>
      <c r="BC234" s="898"/>
      <c r="BD234" s="898"/>
      <c r="BE234" s="898"/>
      <c r="BF234" s="898"/>
      <c r="BG234" s="898"/>
      <c r="BH234" s="898"/>
      <c r="BI234" s="898"/>
      <c r="BJ234" s="898"/>
      <c r="BK234" s="898"/>
      <c r="BL234" s="898"/>
      <c r="BM234" s="898"/>
      <c r="BN234" s="898"/>
      <c r="BO234" s="898"/>
      <c r="BP234" s="898"/>
      <c r="BQ234" s="898"/>
      <c r="BR234" s="898"/>
      <c r="BS234" s="898"/>
      <c r="BT234" s="898"/>
      <c r="BU234" s="898"/>
      <c r="BV234" s="898"/>
      <c r="BW234" s="898"/>
      <c r="BX234" s="898"/>
      <c r="BY234" s="898"/>
      <c r="BZ234" s="898"/>
      <c r="CA234" s="898"/>
      <c r="CB234" s="898"/>
      <c r="CC234" s="898"/>
      <c r="CD234" s="898"/>
      <c r="CE234" s="898"/>
      <c r="CF234" s="898"/>
      <c r="CG234" s="898"/>
      <c r="CH234" s="898"/>
      <c r="CI234" s="898"/>
      <c r="CJ234" s="898"/>
      <c r="CK234" s="898"/>
      <c r="CL234" s="898"/>
      <c r="CM234" s="898"/>
      <c r="CN234" s="898"/>
      <c r="CO234" s="898"/>
      <c r="CP234" s="898"/>
      <c r="CQ234" s="898"/>
      <c r="CR234" s="898"/>
      <c r="CS234" s="898"/>
      <c r="CT234" s="898"/>
      <c r="CU234" s="898"/>
    </row>
    <row r="235" ht="16.5" customHeight="1">
      <c r="A235" s="718"/>
      <c r="B235" s="1195"/>
      <c r="C235" s="866"/>
      <c r="D235" s="968"/>
      <c r="E235" s="718"/>
      <c r="F235" s="718"/>
      <c r="G235" s="718"/>
      <c r="H235" s="718"/>
      <c r="I235" s="359"/>
      <c r="J235" s="359"/>
      <c r="K235" s="359"/>
      <c r="L235" s="359"/>
      <c r="M235" s="359"/>
      <c r="N235" s="359"/>
      <c r="O235" s="359"/>
      <c r="P235" s="359"/>
      <c r="Q235" s="359"/>
      <c r="R235" s="718"/>
      <c r="S235" s="669"/>
      <c r="T235" s="669"/>
      <c r="U235" s="967"/>
      <c r="V235" s="974"/>
      <c r="W235" s="1197"/>
      <c r="X235" s="974"/>
      <c r="Y235" s="974"/>
      <c r="Z235" s="974"/>
      <c r="AA235" s="974"/>
      <c r="AB235" s="974"/>
      <c r="AC235" s="974"/>
      <c r="AD235" s="974"/>
      <c r="AE235" s="974"/>
      <c r="AF235" s="974"/>
      <c r="AG235" s="974"/>
      <c r="AH235" s="974"/>
      <c r="AI235" s="1198"/>
      <c r="AJ235" s="974"/>
      <c r="AK235" s="1197"/>
      <c r="AL235" s="974"/>
      <c r="AM235" s="974"/>
      <c r="AN235" s="974"/>
      <c r="AO235" s="974"/>
      <c r="AP235" s="974"/>
      <c r="AQ235" s="974"/>
      <c r="AR235" s="974"/>
      <c r="AS235" s="974"/>
      <c r="AT235" s="974"/>
      <c r="AU235" s="974"/>
      <c r="AV235" s="974"/>
      <c r="AW235" s="1181"/>
      <c r="AX235" s="978"/>
      <c r="AY235" s="898"/>
      <c r="AZ235" s="898"/>
      <c r="BA235" s="898"/>
      <c r="BB235" s="898"/>
      <c r="BC235" s="898"/>
      <c r="BD235" s="898"/>
      <c r="BE235" s="898"/>
      <c r="BF235" s="898"/>
      <c r="BG235" s="898"/>
      <c r="BH235" s="898"/>
      <c r="BI235" s="898"/>
      <c r="BJ235" s="898"/>
      <c r="BK235" s="898"/>
      <c r="BL235" s="898"/>
      <c r="BM235" s="898"/>
      <c r="BN235" s="898"/>
      <c r="BO235" s="898"/>
      <c r="BP235" s="898"/>
      <c r="BQ235" s="898"/>
      <c r="BR235" s="898"/>
      <c r="BS235" s="898"/>
      <c r="BT235" s="898"/>
      <c r="BU235" s="898"/>
      <c r="BV235" s="898"/>
      <c r="BW235" s="898"/>
      <c r="BX235" s="898"/>
      <c r="BY235" s="898"/>
      <c r="BZ235" s="898"/>
      <c r="CA235" s="898"/>
      <c r="CB235" s="898"/>
      <c r="CC235" s="898"/>
      <c r="CD235" s="898"/>
      <c r="CE235" s="898"/>
      <c r="CF235" s="898"/>
      <c r="CG235" s="898"/>
      <c r="CH235" s="898"/>
      <c r="CI235" s="898"/>
      <c r="CJ235" s="898"/>
      <c r="CK235" s="898"/>
      <c r="CL235" s="898"/>
      <c r="CM235" s="898"/>
      <c r="CN235" s="898"/>
      <c r="CO235" s="898"/>
      <c r="CP235" s="898"/>
      <c r="CQ235" s="898"/>
      <c r="CR235" s="898"/>
      <c r="CS235" s="898"/>
      <c r="CT235" s="898"/>
      <c r="CU235" s="898"/>
    </row>
    <row r="236" ht="16.5" customHeight="1">
      <c r="A236" s="718"/>
      <c r="B236" s="1195"/>
      <c r="C236" s="866"/>
      <c r="D236" s="968"/>
      <c r="E236" s="718"/>
      <c r="F236" s="718"/>
      <c r="G236" s="718"/>
      <c r="H236" s="718"/>
      <c r="I236" s="359"/>
      <c r="J236" s="359"/>
      <c r="K236" s="359"/>
      <c r="L236" s="359"/>
      <c r="M236" s="359"/>
      <c r="N236" s="359"/>
      <c r="O236" s="359"/>
      <c r="P236" s="359"/>
      <c r="Q236" s="359"/>
      <c r="R236" s="718"/>
      <c r="S236" s="669"/>
      <c r="T236" s="669"/>
      <c r="U236" s="967"/>
      <c r="V236" s="974"/>
      <c r="W236" s="1197"/>
      <c r="X236" s="974"/>
      <c r="Y236" s="974"/>
      <c r="Z236" s="974"/>
      <c r="AA236" s="974"/>
      <c r="AB236" s="974"/>
      <c r="AC236" s="974"/>
      <c r="AD236" s="974"/>
      <c r="AE236" s="974"/>
      <c r="AF236" s="974"/>
      <c r="AG236" s="974"/>
      <c r="AH236" s="974"/>
      <c r="AI236" s="1198"/>
      <c r="AJ236" s="974"/>
      <c r="AK236" s="1197"/>
      <c r="AL236" s="974"/>
      <c r="AM236" s="974"/>
      <c r="AN236" s="974"/>
      <c r="AO236" s="974"/>
      <c r="AP236" s="974"/>
      <c r="AQ236" s="974"/>
      <c r="AR236" s="974"/>
      <c r="AS236" s="974"/>
      <c r="AT236" s="974"/>
      <c r="AU236" s="974"/>
      <c r="AV236" s="974"/>
      <c r="AW236" s="1181"/>
      <c r="AX236" s="978"/>
      <c r="AY236" s="898"/>
      <c r="AZ236" s="898"/>
      <c r="BA236" s="898"/>
      <c r="BB236" s="898"/>
      <c r="BC236" s="898"/>
      <c r="BD236" s="898"/>
      <c r="BE236" s="898"/>
      <c r="BF236" s="898"/>
      <c r="BG236" s="898"/>
      <c r="BH236" s="898"/>
      <c r="BI236" s="898"/>
      <c r="BJ236" s="898"/>
      <c r="BK236" s="898"/>
      <c r="BL236" s="898"/>
      <c r="BM236" s="898"/>
      <c r="BN236" s="898"/>
      <c r="BO236" s="898"/>
      <c r="BP236" s="898"/>
      <c r="BQ236" s="898"/>
      <c r="BR236" s="898"/>
      <c r="BS236" s="898"/>
      <c r="BT236" s="898"/>
      <c r="BU236" s="898"/>
      <c r="BV236" s="898"/>
      <c r="BW236" s="898"/>
      <c r="BX236" s="898"/>
      <c r="BY236" s="898"/>
      <c r="BZ236" s="898"/>
      <c r="CA236" s="898"/>
      <c r="CB236" s="898"/>
      <c r="CC236" s="898"/>
      <c r="CD236" s="898"/>
      <c r="CE236" s="898"/>
      <c r="CF236" s="898"/>
      <c r="CG236" s="898"/>
      <c r="CH236" s="898"/>
      <c r="CI236" s="898"/>
      <c r="CJ236" s="898"/>
      <c r="CK236" s="898"/>
      <c r="CL236" s="898"/>
      <c r="CM236" s="898"/>
      <c r="CN236" s="898"/>
      <c r="CO236" s="898"/>
      <c r="CP236" s="898"/>
      <c r="CQ236" s="898"/>
      <c r="CR236" s="898"/>
      <c r="CS236" s="898"/>
      <c r="CT236" s="898"/>
      <c r="CU236" s="898"/>
    </row>
    <row r="237" ht="16.5" customHeight="1">
      <c r="A237" s="718"/>
      <c r="B237" s="1195"/>
      <c r="C237" s="866"/>
      <c r="D237" s="968"/>
      <c r="E237" s="718"/>
      <c r="F237" s="718"/>
      <c r="G237" s="718"/>
      <c r="H237" s="718"/>
      <c r="I237" s="359"/>
      <c r="J237" s="359"/>
      <c r="K237" s="359"/>
      <c r="L237" s="359"/>
      <c r="M237" s="359"/>
      <c r="N237" s="359"/>
      <c r="O237" s="359"/>
      <c r="P237" s="359"/>
      <c r="Q237" s="359"/>
      <c r="R237" s="718"/>
      <c r="S237" s="669"/>
      <c r="T237" s="669"/>
      <c r="U237" s="967"/>
      <c r="V237" s="974"/>
      <c r="W237" s="1197"/>
      <c r="X237" s="974"/>
      <c r="Y237" s="974"/>
      <c r="Z237" s="974"/>
      <c r="AA237" s="974"/>
      <c r="AB237" s="974"/>
      <c r="AC237" s="974"/>
      <c r="AD237" s="974"/>
      <c r="AE237" s="974"/>
      <c r="AF237" s="974"/>
      <c r="AG237" s="974"/>
      <c r="AH237" s="974"/>
      <c r="AI237" s="1198"/>
      <c r="AJ237" s="974"/>
      <c r="AK237" s="1197"/>
      <c r="AL237" s="974"/>
      <c r="AM237" s="974"/>
      <c r="AN237" s="974"/>
      <c r="AO237" s="974"/>
      <c r="AP237" s="974"/>
      <c r="AQ237" s="974"/>
      <c r="AR237" s="974"/>
      <c r="AS237" s="974"/>
      <c r="AT237" s="974"/>
      <c r="AU237" s="974"/>
      <c r="AV237" s="974"/>
      <c r="AW237" s="1181"/>
      <c r="AX237" s="978"/>
      <c r="AY237" s="898"/>
      <c r="AZ237" s="898"/>
      <c r="BA237" s="898"/>
      <c r="BB237" s="898"/>
      <c r="BC237" s="898"/>
      <c r="BD237" s="898"/>
      <c r="BE237" s="898"/>
      <c r="BF237" s="898"/>
      <c r="BG237" s="898"/>
      <c r="BH237" s="898"/>
      <c r="BI237" s="898"/>
      <c r="BJ237" s="898"/>
      <c r="BK237" s="898"/>
      <c r="BL237" s="898"/>
      <c r="BM237" s="898"/>
      <c r="BN237" s="898"/>
      <c r="BO237" s="898"/>
      <c r="BP237" s="898"/>
      <c r="BQ237" s="898"/>
      <c r="BR237" s="898"/>
      <c r="BS237" s="898"/>
      <c r="BT237" s="898"/>
      <c r="BU237" s="898"/>
      <c r="BV237" s="898"/>
      <c r="BW237" s="898"/>
      <c r="BX237" s="898"/>
      <c r="BY237" s="898"/>
      <c r="BZ237" s="898"/>
      <c r="CA237" s="898"/>
      <c r="CB237" s="898"/>
      <c r="CC237" s="898"/>
      <c r="CD237" s="898"/>
      <c r="CE237" s="898"/>
      <c r="CF237" s="898"/>
      <c r="CG237" s="898"/>
      <c r="CH237" s="898"/>
      <c r="CI237" s="898"/>
      <c r="CJ237" s="898"/>
      <c r="CK237" s="898"/>
      <c r="CL237" s="898"/>
      <c r="CM237" s="898"/>
      <c r="CN237" s="898"/>
      <c r="CO237" s="898"/>
      <c r="CP237" s="898"/>
      <c r="CQ237" s="898"/>
      <c r="CR237" s="898"/>
      <c r="CS237" s="898"/>
      <c r="CT237" s="898"/>
      <c r="CU237" s="898"/>
    </row>
    <row r="238" ht="16.5" customHeight="1">
      <c r="A238" s="718"/>
      <c r="B238" s="1195"/>
      <c r="C238" s="866"/>
      <c r="D238" s="968"/>
      <c r="E238" s="718"/>
      <c r="F238" s="718"/>
      <c r="G238" s="718"/>
      <c r="H238" s="718"/>
      <c r="I238" s="359"/>
      <c r="J238" s="359"/>
      <c r="K238" s="359"/>
      <c r="L238" s="359"/>
      <c r="M238" s="359"/>
      <c r="N238" s="359"/>
      <c r="O238" s="359"/>
      <c r="P238" s="359"/>
      <c r="Q238" s="359"/>
      <c r="R238" s="718"/>
      <c r="S238" s="669"/>
      <c r="T238" s="669"/>
      <c r="U238" s="967"/>
      <c r="V238" s="974"/>
      <c r="W238" s="1197"/>
      <c r="X238" s="974"/>
      <c r="Y238" s="974"/>
      <c r="Z238" s="974"/>
      <c r="AA238" s="974"/>
      <c r="AB238" s="974"/>
      <c r="AC238" s="974"/>
      <c r="AD238" s="974"/>
      <c r="AE238" s="974"/>
      <c r="AF238" s="974"/>
      <c r="AG238" s="974"/>
      <c r="AH238" s="974"/>
      <c r="AI238" s="1198"/>
      <c r="AJ238" s="974"/>
      <c r="AK238" s="1197"/>
      <c r="AL238" s="974"/>
      <c r="AM238" s="974"/>
      <c r="AN238" s="974"/>
      <c r="AO238" s="974"/>
      <c r="AP238" s="974"/>
      <c r="AQ238" s="974"/>
      <c r="AR238" s="974"/>
      <c r="AS238" s="974"/>
      <c r="AT238" s="974"/>
      <c r="AU238" s="974"/>
      <c r="AV238" s="974"/>
      <c r="AW238" s="1181"/>
      <c r="AX238" s="978"/>
      <c r="AY238" s="898"/>
      <c r="AZ238" s="898"/>
      <c r="BA238" s="898"/>
      <c r="BB238" s="898"/>
      <c r="BC238" s="898"/>
      <c r="BD238" s="898"/>
      <c r="BE238" s="898"/>
      <c r="BF238" s="898"/>
      <c r="BG238" s="898"/>
      <c r="BH238" s="898"/>
      <c r="BI238" s="898"/>
      <c r="BJ238" s="898"/>
      <c r="BK238" s="898"/>
      <c r="BL238" s="898"/>
      <c r="BM238" s="898"/>
      <c r="BN238" s="898"/>
      <c r="BO238" s="898"/>
      <c r="BP238" s="898"/>
      <c r="BQ238" s="898"/>
      <c r="BR238" s="898"/>
      <c r="BS238" s="898"/>
      <c r="BT238" s="898"/>
      <c r="BU238" s="898"/>
      <c r="BV238" s="898"/>
      <c r="BW238" s="898"/>
      <c r="BX238" s="898"/>
      <c r="BY238" s="898"/>
      <c r="BZ238" s="898"/>
      <c r="CA238" s="898"/>
      <c r="CB238" s="898"/>
      <c r="CC238" s="898"/>
      <c r="CD238" s="898"/>
      <c r="CE238" s="898"/>
      <c r="CF238" s="898"/>
      <c r="CG238" s="898"/>
      <c r="CH238" s="898"/>
      <c r="CI238" s="898"/>
      <c r="CJ238" s="898"/>
      <c r="CK238" s="898"/>
      <c r="CL238" s="898"/>
      <c r="CM238" s="898"/>
      <c r="CN238" s="898"/>
      <c r="CO238" s="898"/>
      <c r="CP238" s="898"/>
      <c r="CQ238" s="898"/>
      <c r="CR238" s="898"/>
      <c r="CS238" s="898"/>
      <c r="CT238" s="898"/>
      <c r="CU238" s="898"/>
    </row>
    <row r="239" ht="16.5" customHeight="1">
      <c r="A239" s="718"/>
      <c r="B239" s="1195"/>
      <c r="C239" s="866"/>
      <c r="D239" s="968"/>
      <c r="E239" s="718"/>
      <c r="F239" s="718"/>
      <c r="G239" s="718"/>
      <c r="H239" s="718"/>
      <c r="I239" s="359"/>
      <c r="J239" s="359"/>
      <c r="K239" s="359"/>
      <c r="L239" s="359"/>
      <c r="M239" s="359"/>
      <c r="N239" s="359"/>
      <c r="O239" s="359"/>
      <c r="P239" s="359"/>
      <c r="Q239" s="359"/>
      <c r="R239" s="718"/>
      <c r="S239" s="669"/>
      <c r="T239" s="669"/>
      <c r="U239" s="967"/>
      <c r="V239" s="974"/>
      <c r="W239" s="1197"/>
      <c r="X239" s="974"/>
      <c r="Y239" s="974"/>
      <c r="Z239" s="974"/>
      <c r="AA239" s="974"/>
      <c r="AB239" s="974"/>
      <c r="AC239" s="974"/>
      <c r="AD239" s="974"/>
      <c r="AE239" s="974"/>
      <c r="AF239" s="974"/>
      <c r="AG239" s="974"/>
      <c r="AH239" s="974"/>
      <c r="AI239" s="1198"/>
      <c r="AJ239" s="974"/>
      <c r="AK239" s="1197"/>
      <c r="AL239" s="974"/>
      <c r="AM239" s="974"/>
      <c r="AN239" s="974"/>
      <c r="AO239" s="974"/>
      <c r="AP239" s="974"/>
      <c r="AQ239" s="974"/>
      <c r="AR239" s="974"/>
      <c r="AS239" s="974"/>
      <c r="AT239" s="974"/>
      <c r="AU239" s="974"/>
      <c r="AV239" s="974"/>
      <c r="AW239" s="1181"/>
      <c r="AX239" s="978"/>
      <c r="AY239" s="898"/>
      <c r="AZ239" s="898"/>
      <c r="BA239" s="898"/>
      <c r="BB239" s="898"/>
      <c r="BC239" s="898"/>
      <c r="BD239" s="898"/>
      <c r="BE239" s="898"/>
      <c r="BF239" s="898"/>
      <c r="BG239" s="898"/>
      <c r="BH239" s="898"/>
      <c r="BI239" s="898"/>
      <c r="BJ239" s="898"/>
      <c r="BK239" s="898"/>
      <c r="BL239" s="898"/>
      <c r="BM239" s="898"/>
      <c r="BN239" s="898"/>
      <c r="BO239" s="898"/>
      <c r="BP239" s="898"/>
      <c r="BQ239" s="898"/>
      <c r="BR239" s="898"/>
      <c r="BS239" s="898"/>
      <c r="BT239" s="898"/>
      <c r="BU239" s="898"/>
      <c r="BV239" s="898"/>
      <c r="BW239" s="898"/>
      <c r="BX239" s="898"/>
      <c r="BY239" s="898"/>
      <c r="BZ239" s="898"/>
      <c r="CA239" s="898"/>
      <c r="CB239" s="898"/>
      <c r="CC239" s="898"/>
      <c r="CD239" s="898"/>
      <c r="CE239" s="898"/>
      <c r="CF239" s="898"/>
      <c r="CG239" s="898"/>
      <c r="CH239" s="898"/>
      <c r="CI239" s="898"/>
      <c r="CJ239" s="898"/>
      <c r="CK239" s="898"/>
      <c r="CL239" s="898"/>
      <c r="CM239" s="898"/>
      <c r="CN239" s="898"/>
      <c r="CO239" s="898"/>
      <c r="CP239" s="898"/>
      <c r="CQ239" s="898"/>
      <c r="CR239" s="898"/>
      <c r="CS239" s="898"/>
      <c r="CT239" s="898"/>
      <c r="CU239" s="898"/>
    </row>
    <row r="240" ht="16.5" customHeight="1">
      <c r="A240" s="718"/>
      <c r="B240" s="1195"/>
      <c r="C240" s="866"/>
      <c r="D240" s="968"/>
      <c r="E240" s="718"/>
      <c r="F240" s="718"/>
      <c r="G240" s="718"/>
      <c r="H240" s="718"/>
      <c r="I240" s="359"/>
      <c r="J240" s="359"/>
      <c r="K240" s="359"/>
      <c r="L240" s="359"/>
      <c r="M240" s="359"/>
      <c r="N240" s="359"/>
      <c r="O240" s="359"/>
      <c r="P240" s="359"/>
      <c r="Q240" s="359"/>
      <c r="R240" s="718"/>
      <c r="S240" s="669"/>
      <c r="T240" s="669"/>
      <c r="U240" s="967"/>
      <c r="V240" s="974"/>
      <c r="W240" s="1197"/>
      <c r="X240" s="974"/>
      <c r="Y240" s="974"/>
      <c r="Z240" s="974"/>
      <c r="AA240" s="974"/>
      <c r="AB240" s="974"/>
      <c r="AC240" s="974"/>
      <c r="AD240" s="974"/>
      <c r="AE240" s="974"/>
      <c r="AF240" s="974"/>
      <c r="AG240" s="974"/>
      <c r="AH240" s="974"/>
      <c r="AI240" s="1198"/>
      <c r="AJ240" s="974"/>
      <c r="AK240" s="1197"/>
      <c r="AL240" s="974"/>
      <c r="AM240" s="974"/>
      <c r="AN240" s="974"/>
      <c r="AO240" s="974"/>
      <c r="AP240" s="974"/>
      <c r="AQ240" s="974"/>
      <c r="AR240" s="974"/>
      <c r="AS240" s="974"/>
      <c r="AT240" s="974"/>
      <c r="AU240" s="974"/>
      <c r="AV240" s="974"/>
      <c r="AW240" s="1181"/>
      <c r="AX240" s="978"/>
      <c r="AY240" s="898"/>
      <c r="AZ240" s="898"/>
      <c r="BA240" s="898"/>
      <c r="BB240" s="898"/>
      <c r="BC240" s="898"/>
      <c r="BD240" s="898"/>
      <c r="BE240" s="898"/>
      <c r="BF240" s="898"/>
      <c r="BG240" s="898"/>
      <c r="BH240" s="898"/>
      <c r="BI240" s="898"/>
      <c r="BJ240" s="898"/>
      <c r="BK240" s="898"/>
      <c r="BL240" s="898"/>
      <c r="BM240" s="898"/>
      <c r="BN240" s="898"/>
      <c r="BO240" s="898"/>
      <c r="BP240" s="898"/>
      <c r="BQ240" s="898"/>
      <c r="BR240" s="898"/>
      <c r="BS240" s="898"/>
      <c r="BT240" s="898"/>
      <c r="BU240" s="898"/>
      <c r="BV240" s="898"/>
      <c r="BW240" s="898"/>
      <c r="BX240" s="898"/>
      <c r="BY240" s="898"/>
      <c r="BZ240" s="898"/>
      <c r="CA240" s="898"/>
      <c r="CB240" s="898"/>
      <c r="CC240" s="898"/>
      <c r="CD240" s="898"/>
      <c r="CE240" s="898"/>
      <c r="CF240" s="898"/>
      <c r="CG240" s="898"/>
      <c r="CH240" s="898"/>
      <c r="CI240" s="898"/>
      <c r="CJ240" s="898"/>
      <c r="CK240" s="898"/>
      <c r="CL240" s="898"/>
      <c r="CM240" s="898"/>
      <c r="CN240" s="898"/>
      <c r="CO240" s="898"/>
      <c r="CP240" s="898"/>
      <c r="CQ240" s="898"/>
      <c r="CR240" s="898"/>
      <c r="CS240" s="898"/>
      <c r="CT240" s="898"/>
      <c r="CU240" s="898"/>
    </row>
    <row r="241" ht="16.5" customHeight="1">
      <c r="A241" s="718"/>
      <c r="B241" s="1195"/>
      <c r="C241" s="866"/>
      <c r="D241" s="968"/>
      <c r="E241" s="718"/>
      <c r="F241" s="718"/>
      <c r="G241" s="718"/>
      <c r="H241" s="718"/>
      <c r="I241" s="359"/>
      <c r="J241" s="359"/>
      <c r="K241" s="359"/>
      <c r="L241" s="359"/>
      <c r="M241" s="359"/>
      <c r="N241" s="359"/>
      <c r="O241" s="359"/>
      <c r="P241" s="359"/>
      <c r="Q241" s="359"/>
      <c r="R241" s="718"/>
      <c r="S241" s="669"/>
      <c r="T241" s="669"/>
      <c r="U241" s="967"/>
      <c r="V241" s="974"/>
      <c r="W241" s="1197"/>
      <c r="X241" s="974"/>
      <c r="Y241" s="974"/>
      <c r="Z241" s="974"/>
      <c r="AA241" s="974"/>
      <c r="AB241" s="974"/>
      <c r="AC241" s="974"/>
      <c r="AD241" s="974"/>
      <c r="AE241" s="974"/>
      <c r="AF241" s="974"/>
      <c r="AG241" s="974"/>
      <c r="AH241" s="974"/>
      <c r="AI241" s="1198"/>
      <c r="AJ241" s="974"/>
      <c r="AK241" s="1197"/>
      <c r="AL241" s="974"/>
      <c r="AM241" s="974"/>
      <c r="AN241" s="974"/>
      <c r="AO241" s="974"/>
      <c r="AP241" s="974"/>
      <c r="AQ241" s="974"/>
      <c r="AR241" s="974"/>
      <c r="AS241" s="974"/>
      <c r="AT241" s="974"/>
      <c r="AU241" s="974"/>
      <c r="AV241" s="974"/>
      <c r="AW241" s="1181"/>
      <c r="AX241" s="978"/>
      <c r="AY241" s="898"/>
      <c r="AZ241" s="898"/>
      <c r="BA241" s="898"/>
      <c r="BB241" s="898"/>
      <c r="BC241" s="898"/>
      <c r="BD241" s="898"/>
      <c r="BE241" s="898"/>
      <c r="BF241" s="898"/>
      <c r="BG241" s="898"/>
      <c r="BH241" s="898"/>
      <c r="BI241" s="898"/>
      <c r="BJ241" s="898"/>
      <c r="BK241" s="898"/>
      <c r="BL241" s="898"/>
      <c r="BM241" s="898"/>
      <c r="BN241" s="898"/>
      <c r="BO241" s="898"/>
      <c r="BP241" s="898"/>
      <c r="BQ241" s="898"/>
      <c r="BR241" s="898"/>
      <c r="BS241" s="898"/>
      <c r="BT241" s="898"/>
      <c r="BU241" s="898"/>
      <c r="BV241" s="898"/>
      <c r="BW241" s="898"/>
      <c r="BX241" s="898"/>
      <c r="BY241" s="898"/>
      <c r="BZ241" s="898"/>
      <c r="CA241" s="898"/>
      <c r="CB241" s="898"/>
      <c r="CC241" s="898"/>
      <c r="CD241" s="898"/>
      <c r="CE241" s="898"/>
      <c r="CF241" s="898"/>
      <c r="CG241" s="898"/>
      <c r="CH241" s="898"/>
      <c r="CI241" s="898"/>
      <c r="CJ241" s="898"/>
      <c r="CK241" s="898"/>
      <c r="CL241" s="898"/>
      <c r="CM241" s="898"/>
      <c r="CN241" s="898"/>
      <c r="CO241" s="898"/>
      <c r="CP241" s="898"/>
      <c r="CQ241" s="898"/>
      <c r="CR241" s="898"/>
      <c r="CS241" s="898"/>
      <c r="CT241" s="898"/>
      <c r="CU241" s="898"/>
    </row>
    <row r="242" ht="16.5" customHeight="1">
      <c r="A242" s="718"/>
      <c r="B242" s="1195"/>
      <c r="C242" s="866"/>
      <c r="D242" s="968"/>
      <c r="E242" s="718"/>
      <c r="F242" s="718"/>
      <c r="G242" s="718"/>
      <c r="H242" s="718"/>
      <c r="I242" s="359"/>
      <c r="J242" s="359"/>
      <c r="K242" s="359"/>
      <c r="L242" s="359"/>
      <c r="M242" s="359"/>
      <c r="N242" s="359"/>
      <c r="O242" s="359"/>
      <c r="P242" s="359"/>
      <c r="Q242" s="359"/>
      <c r="R242" s="718"/>
      <c r="S242" s="669"/>
      <c r="T242" s="669"/>
      <c r="U242" s="967"/>
      <c r="V242" s="974"/>
      <c r="W242" s="1197"/>
      <c r="X242" s="974"/>
      <c r="Y242" s="974"/>
      <c r="Z242" s="974"/>
      <c r="AA242" s="974"/>
      <c r="AB242" s="974"/>
      <c r="AC242" s="974"/>
      <c r="AD242" s="974"/>
      <c r="AE242" s="974"/>
      <c r="AF242" s="974"/>
      <c r="AG242" s="974"/>
      <c r="AH242" s="974"/>
      <c r="AI242" s="1198"/>
      <c r="AJ242" s="974"/>
      <c r="AK242" s="1197"/>
      <c r="AL242" s="974"/>
      <c r="AM242" s="974"/>
      <c r="AN242" s="974"/>
      <c r="AO242" s="974"/>
      <c r="AP242" s="974"/>
      <c r="AQ242" s="974"/>
      <c r="AR242" s="974"/>
      <c r="AS242" s="974"/>
      <c r="AT242" s="974"/>
      <c r="AU242" s="974"/>
      <c r="AV242" s="974"/>
      <c r="AW242" s="1181"/>
      <c r="AX242" s="978"/>
      <c r="AY242" s="898"/>
      <c r="AZ242" s="898"/>
      <c r="BA242" s="898"/>
      <c r="BB242" s="898"/>
      <c r="BC242" s="898"/>
      <c r="BD242" s="898"/>
      <c r="BE242" s="898"/>
      <c r="BF242" s="898"/>
      <c r="BG242" s="898"/>
      <c r="BH242" s="898"/>
      <c r="BI242" s="898"/>
      <c r="BJ242" s="898"/>
      <c r="BK242" s="898"/>
      <c r="BL242" s="898"/>
      <c r="BM242" s="898"/>
      <c r="BN242" s="898"/>
      <c r="BO242" s="898"/>
      <c r="BP242" s="898"/>
      <c r="BQ242" s="898"/>
      <c r="BR242" s="898"/>
      <c r="BS242" s="898"/>
      <c r="BT242" s="898"/>
      <c r="BU242" s="898"/>
      <c r="BV242" s="898"/>
      <c r="BW242" s="898"/>
      <c r="BX242" s="898"/>
      <c r="BY242" s="898"/>
      <c r="BZ242" s="898"/>
      <c r="CA242" s="898"/>
      <c r="CB242" s="898"/>
      <c r="CC242" s="898"/>
      <c r="CD242" s="898"/>
      <c r="CE242" s="898"/>
      <c r="CF242" s="898"/>
      <c r="CG242" s="898"/>
      <c r="CH242" s="898"/>
      <c r="CI242" s="898"/>
      <c r="CJ242" s="898"/>
      <c r="CK242" s="898"/>
      <c r="CL242" s="898"/>
      <c r="CM242" s="898"/>
      <c r="CN242" s="898"/>
      <c r="CO242" s="898"/>
      <c r="CP242" s="898"/>
      <c r="CQ242" s="898"/>
      <c r="CR242" s="898"/>
      <c r="CS242" s="898"/>
      <c r="CT242" s="898"/>
      <c r="CU242" s="898"/>
    </row>
    <row r="243" ht="16.5" customHeight="1">
      <c r="A243" s="718"/>
      <c r="B243" s="1195"/>
      <c r="C243" s="866"/>
      <c r="D243" s="968"/>
      <c r="E243" s="718"/>
      <c r="F243" s="718"/>
      <c r="G243" s="718"/>
      <c r="H243" s="718"/>
      <c r="I243" s="359"/>
      <c r="J243" s="359"/>
      <c r="K243" s="359"/>
      <c r="L243" s="359"/>
      <c r="M243" s="359"/>
      <c r="N243" s="359"/>
      <c r="O243" s="359"/>
      <c r="P243" s="359"/>
      <c r="Q243" s="359"/>
      <c r="R243" s="718"/>
      <c r="S243" s="669"/>
      <c r="T243" s="669"/>
      <c r="U243" s="967"/>
      <c r="V243" s="974"/>
      <c r="W243" s="1197"/>
      <c r="X243" s="974"/>
      <c r="Y243" s="974"/>
      <c r="Z243" s="974"/>
      <c r="AA243" s="974"/>
      <c r="AB243" s="974"/>
      <c r="AC243" s="974"/>
      <c r="AD243" s="974"/>
      <c r="AE243" s="974"/>
      <c r="AF243" s="974"/>
      <c r="AG243" s="974"/>
      <c r="AH243" s="974"/>
      <c r="AI243" s="1198"/>
      <c r="AJ243" s="974"/>
      <c r="AK243" s="1197"/>
      <c r="AL243" s="974"/>
      <c r="AM243" s="974"/>
      <c r="AN243" s="974"/>
      <c r="AO243" s="974"/>
      <c r="AP243" s="974"/>
      <c r="AQ243" s="974"/>
      <c r="AR243" s="974"/>
      <c r="AS243" s="974"/>
      <c r="AT243" s="974"/>
      <c r="AU243" s="974"/>
      <c r="AV243" s="974"/>
      <c r="AW243" s="1181"/>
      <c r="AX243" s="978"/>
      <c r="AY243" s="898"/>
      <c r="AZ243" s="898"/>
      <c r="BA243" s="898"/>
      <c r="BB243" s="898"/>
      <c r="BC243" s="898"/>
      <c r="BD243" s="898"/>
      <c r="BE243" s="898"/>
      <c r="BF243" s="898"/>
      <c r="BG243" s="898"/>
      <c r="BH243" s="898"/>
      <c r="BI243" s="898"/>
      <c r="BJ243" s="898"/>
      <c r="BK243" s="898"/>
      <c r="BL243" s="898"/>
      <c r="BM243" s="898"/>
      <c r="BN243" s="898"/>
      <c r="BO243" s="898"/>
      <c r="BP243" s="898"/>
      <c r="BQ243" s="898"/>
      <c r="BR243" s="898"/>
      <c r="BS243" s="898"/>
      <c r="BT243" s="898"/>
      <c r="BU243" s="898"/>
      <c r="BV243" s="898"/>
      <c r="BW243" s="898"/>
      <c r="BX243" s="898"/>
      <c r="BY243" s="898"/>
      <c r="BZ243" s="898"/>
      <c r="CA243" s="898"/>
      <c r="CB243" s="898"/>
      <c r="CC243" s="898"/>
      <c r="CD243" s="898"/>
      <c r="CE243" s="898"/>
      <c r="CF243" s="898"/>
      <c r="CG243" s="898"/>
      <c r="CH243" s="898"/>
      <c r="CI243" s="898"/>
      <c r="CJ243" s="898"/>
      <c r="CK243" s="898"/>
      <c r="CL243" s="898"/>
      <c r="CM243" s="898"/>
      <c r="CN243" s="898"/>
      <c r="CO243" s="898"/>
      <c r="CP243" s="898"/>
      <c r="CQ243" s="898"/>
      <c r="CR243" s="898"/>
      <c r="CS243" s="898"/>
      <c r="CT243" s="898"/>
      <c r="CU243" s="898"/>
    </row>
    <row r="244" ht="16.5" customHeight="1">
      <c r="A244" s="718"/>
      <c r="B244" s="1195"/>
      <c r="C244" s="866"/>
      <c r="D244" s="968"/>
      <c r="E244" s="718"/>
      <c r="F244" s="718"/>
      <c r="G244" s="718"/>
      <c r="H244" s="718"/>
      <c r="I244" s="359"/>
      <c r="J244" s="359"/>
      <c r="K244" s="359"/>
      <c r="L244" s="359"/>
      <c r="M244" s="359"/>
      <c r="N244" s="359"/>
      <c r="O244" s="359"/>
      <c r="P244" s="359"/>
      <c r="Q244" s="359"/>
      <c r="R244" s="718"/>
      <c r="S244" s="669"/>
      <c r="T244" s="669"/>
      <c r="U244" s="967"/>
      <c r="V244" s="974"/>
      <c r="W244" s="1197"/>
      <c r="X244" s="974"/>
      <c r="Y244" s="974"/>
      <c r="Z244" s="974"/>
      <c r="AA244" s="974"/>
      <c r="AB244" s="974"/>
      <c r="AC244" s="974"/>
      <c r="AD244" s="974"/>
      <c r="AE244" s="974"/>
      <c r="AF244" s="974"/>
      <c r="AG244" s="974"/>
      <c r="AH244" s="974"/>
      <c r="AI244" s="1198"/>
      <c r="AJ244" s="974"/>
      <c r="AK244" s="1197"/>
      <c r="AL244" s="974"/>
      <c r="AM244" s="974"/>
      <c r="AN244" s="974"/>
      <c r="AO244" s="974"/>
      <c r="AP244" s="974"/>
      <c r="AQ244" s="974"/>
      <c r="AR244" s="974"/>
      <c r="AS244" s="974"/>
      <c r="AT244" s="974"/>
      <c r="AU244" s="974"/>
      <c r="AV244" s="974"/>
      <c r="AW244" s="1181"/>
      <c r="AX244" s="978"/>
      <c r="AY244" s="898"/>
      <c r="AZ244" s="898"/>
      <c r="BA244" s="898"/>
      <c r="BB244" s="898"/>
      <c r="BC244" s="898"/>
      <c r="BD244" s="898"/>
      <c r="BE244" s="898"/>
      <c r="BF244" s="898"/>
      <c r="BG244" s="898"/>
      <c r="BH244" s="898"/>
      <c r="BI244" s="898"/>
      <c r="BJ244" s="898"/>
      <c r="BK244" s="898"/>
      <c r="BL244" s="898"/>
      <c r="BM244" s="898"/>
      <c r="BN244" s="898"/>
      <c r="BO244" s="898"/>
      <c r="BP244" s="898"/>
      <c r="BQ244" s="898"/>
      <c r="BR244" s="898"/>
      <c r="BS244" s="898"/>
      <c r="BT244" s="898"/>
      <c r="BU244" s="898"/>
      <c r="BV244" s="898"/>
      <c r="BW244" s="898"/>
      <c r="BX244" s="898"/>
      <c r="BY244" s="898"/>
      <c r="BZ244" s="898"/>
      <c r="CA244" s="898"/>
      <c r="CB244" s="898"/>
      <c r="CC244" s="898"/>
      <c r="CD244" s="898"/>
      <c r="CE244" s="898"/>
      <c r="CF244" s="898"/>
      <c r="CG244" s="898"/>
      <c r="CH244" s="898"/>
      <c r="CI244" s="898"/>
      <c r="CJ244" s="898"/>
      <c r="CK244" s="898"/>
      <c r="CL244" s="898"/>
      <c r="CM244" s="898"/>
      <c r="CN244" s="898"/>
      <c r="CO244" s="898"/>
      <c r="CP244" s="898"/>
      <c r="CQ244" s="898"/>
      <c r="CR244" s="898"/>
      <c r="CS244" s="898"/>
      <c r="CT244" s="898"/>
      <c r="CU244" s="898"/>
    </row>
    <row r="245" ht="16.5" customHeight="1">
      <c r="A245" s="718"/>
      <c r="B245" s="1195"/>
      <c r="C245" s="866"/>
      <c r="D245" s="968"/>
      <c r="E245" s="718"/>
      <c r="F245" s="718"/>
      <c r="G245" s="718"/>
      <c r="H245" s="718"/>
      <c r="I245" s="359"/>
      <c r="J245" s="359"/>
      <c r="K245" s="359"/>
      <c r="L245" s="359"/>
      <c r="M245" s="359"/>
      <c r="N245" s="359"/>
      <c r="O245" s="359"/>
      <c r="P245" s="359"/>
      <c r="Q245" s="359"/>
      <c r="R245" s="718"/>
      <c r="S245" s="669"/>
      <c r="T245" s="669"/>
      <c r="U245" s="967"/>
      <c r="V245" s="974"/>
      <c r="W245" s="1197"/>
      <c r="X245" s="974"/>
      <c r="Y245" s="974"/>
      <c r="Z245" s="974"/>
      <c r="AA245" s="974"/>
      <c r="AB245" s="974"/>
      <c r="AC245" s="974"/>
      <c r="AD245" s="974"/>
      <c r="AE245" s="974"/>
      <c r="AF245" s="974"/>
      <c r="AG245" s="974"/>
      <c r="AH245" s="974"/>
      <c r="AI245" s="1198"/>
      <c r="AJ245" s="974"/>
      <c r="AK245" s="1197"/>
      <c r="AL245" s="974"/>
      <c r="AM245" s="974"/>
      <c r="AN245" s="974"/>
      <c r="AO245" s="974"/>
      <c r="AP245" s="974"/>
      <c r="AQ245" s="974"/>
      <c r="AR245" s="974"/>
      <c r="AS245" s="974"/>
      <c r="AT245" s="974"/>
      <c r="AU245" s="974"/>
      <c r="AV245" s="974"/>
      <c r="AW245" s="1181"/>
      <c r="AX245" s="978"/>
      <c r="AY245" s="898"/>
      <c r="AZ245" s="898"/>
      <c r="BA245" s="898"/>
      <c r="BB245" s="898"/>
      <c r="BC245" s="898"/>
      <c r="BD245" s="898"/>
      <c r="BE245" s="898"/>
      <c r="BF245" s="898"/>
      <c r="BG245" s="898"/>
      <c r="BH245" s="898"/>
      <c r="BI245" s="898"/>
      <c r="BJ245" s="898"/>
      <c r="BK245" s="898"/>
      <c r="BL245" s="898"/>
      <c r="BM245" s="898"/>
      <c r="BN245" s="898"/>
      <c r="BO245" s="898"/>
      <c r="BP245" s="898"/>
      <c r="BQ245" s="898"/>
      <c r="BR245" s="898"/>
      <c r="BS245" s="898"/>
      <c r="BT245" s="898"/>
      <c r="BU245" s="898"/>
      <c r="BV245" s="898"/>
      <c r="BW245" s="898"/>
      <c r="BX245" s="898"/>
      <c r="BY245" s="898"/>
      <c r="BZ245" s="898"/>
      <c r="CA245" s="898"/>
      <c r="CB245" s="898"/>
      <c r="CC245" s="898"/>
      <c r="CD245" s="898"/>
      <c r="CE245" s="898"/>
      <c r="CF245" s="898"/>
      <c r="CG245" s="898"/>
      <c r="CH245" s="898"/>
      <c r="CI245" s="898"/>
      <c r="CJ245" s="898"/>
      <c r="CK245" s="898"/>
      <c r="CL245" s="898"/>
      <c r="CM245" s="898"/>
      <c r="CN245" s="898"/>
      <c r="CO245" s="898"/>
      <c r="CP245" s="898"/>
      <c r="CQ245" s="898"/>
      <c r="CR245" s="898"/>
      <c r="CS245" s="898"/>
      <c r="CT245" s="898"/>
      <c r="CU245" s="898"/>
    </row>
    <row r="246" ht="16.5" customHeight="1">
      <c r="A246" s="718"/>
      <c r="B246" s="1195"/>
      <c r="C246" s="866"/>
      <c r="D246" s="968"/>
      <c r="E246" s="718"/>
      <c r="F246" s="718"/>
      <c r="G246" s="718"/>
      <c r="H246" s="718"/>
      <c r="I246" s="359"/>
      <c r="J246" s="359"/>
      <c r="K246" s="359"/>
      <c r="L246" s="359"/>
      <c r="M246" s="359"/>
      <c r="N246" s="359"/>
      <c r="O246" s="359"/>
      <c r="P246" s="359"/>
      <c r="Q246" s="359"/>
      <c r="R246" s="718"/>
      <c r="S246" s="669"/>
      <c r="T246" s="669"/>
      <c r="U246" s="967"/>
      <c r="V246" s="974"/>
      <c r="W246" s="1197"/>
      <c r="X246" s="974"/>
      <c r="Y246" s="974"/>
      <c r="Z246" s="974"/>
      <c r="AA246" s="974"/>
      <c r="AB246" s="974"/>
      <c r="AC246" s="974"/>
      <c r="AD246" s="974"/>
      <c r="AE246" s="974"/>
      <c r="AF246" s="974"/>
      <c r="AG246" s="974"/>
      <c r="AH246" s="974"/>
      <c r="AI246" s="1198"/>
      <c r="AJ246" s="974"/>
      <c r="AK246" s="1197"/>
      <c r="AL246" s="974"/>
      <c r="AM246" s="974"/>
      <c r="AN246" s="974"/>
      <c r="AO246" s="974"/>
      <c r="AP246" s="974"/>
      <c r="AQ246" s="974"/>
      <c r="AR246" s="974"/>
      <c r="AS246" s="974"/>
      <c r="AT246" s="974"/>
      <c r="AU246" s="974"/>
      <c r="AV246" s="974"/>
      <c r="AW246" s="1181"/>
      <c r="AX246" s="978"/>
      <c r="AY246" s="898"/>
      <c r="AZ246" s="898"/>
      <c r="BA246" s="898"/>
      <c r="BB246" s="898"/>
      <c r="BC246" s="898"/>
      <c r="BD246" s="898"/>
      <c r="BE246" s="898"/>
      <c r="BF246" s="898"/>
      <c r="BG246" s="898"/>
      <c r="BH246" s="898"/>
      <c r="BI246" s="898"/>
      <c r="BJ246" s="898"/>
      <c r="BK246" s="898"/>
      <c r="BL246" s="898"/>
      <c r="BM246" s="898"/>
      <c r="BN246" s="898"/>
      <c r="BO246" s="898"/>
      <c r="BP246" s="898"/>
      <c r="BQ246" s="898"/>
      <c r="BR246" s="898"/>
      <c r="BS246" s="898"/>
      <c r="BT246" s="898"/>
      <c r="BU246" s="898"/>
      <c r="BV246" s="898"/>
      <c r="BW246" s="898"/>
      <c r="BX246" s="898"/>
      <c r="BY246" s="898"/>
      <c r="BZ246" s="898"/>
      <c r="CA246" s="898"/>
      <c r="CB246" s="898"/>
      <c r="CC246" s="898"/>
      <c r="CD246" s="898"/>
      <c r="CE246" s="898"/>
      <c r="CF246" s="898"/>
      <c r="CG246" s="898"/>
      <c r="CH246" s="898"/>
      <c r="CI246" s="898"/>
      <c r="CJ246" s="898"/>
      <c r="CK246" s="898"/>
      <c r="CL246" s="898"/>
      <c r="CM246" s="898"/>
      <c r="CN246" s="898"/>
      <c r="CO246" s="898"/>
      <c r="CP246" s="898"/>
      <c r="CQ246" s="898"/>
      <c r="CR246" s="898"/>
      <c r="CS246" s="898"/>
      <c r="CT246" s="898"/>
      <c r="CU246" s="898"/>
    </row>
    <row r="247" ht="16.5" customHeight="1">
      <c r="A247" s="718"/>
      <c r="B247" s="1195"/>
      <c r="C247" s="866"/>
      <c r="D247" s="968"/>
      <c r="E247" s="718"/>
      <c r="F247" s="718"/>
      <c r="G247" s="718"/>
      <c r="H247" s="718"/>
      <c r="I247" s="359"/>
      <c r="J247" s="359"/>
      <c r="K247" s="359"/>
      <c r="L247" s="359"/>
      <c r="M247" s="359"/>
      <c r="N247" s="359"/>
      <c r="O247" s="359"/>
      <c r="P247" s="359"/>
      <c r="Q247" s="359"/>
      <c r="R247" s="718"/>
      <c r="S247" s="669"/>
      <c r="T247" s="669"/>
      <c r="U247" s="967"/>
      <c r="V247" s="974"/>
      <c r="W247" s="1197"/>
      <c r="X247" s="974"/>
      <c r="Y247" s="974"/>
      <c r="Z247" s="974"/>
      <c r="AA247" s="974"/>
      <c r="AB247" s="974"/>
      <c r="AC247" s="974"/>
      <c r="AD247" s="974"/>
      <c r="AE247" s="974"/>
      <c r="AF247" s="974"/>
      <c r="AG247" s="974"/>
      <c r="AH247" s="974"/>
      <c r="AI247" s="1198"/>
      <c r="AJ247" s="974"/>
      <c r="AK247" s="1197"/>
      <c r="AL247" s="974"/>
      <c r="AM247" s="974"/>
      <c r="AN247" s="974"/>
      <c r="AO247" s="974"/>
      <c r="AP247" s="974"/>
      <c r="AQ247" s="974"/>
      <c r="AR247" s="974"/>
      <c r="AS247" s="974"/>
      <c r="AT247" s="974"/>
      <c r="AU247" s="974"/>
      <c r="AV247" s="974"/>
      <c r="AW247" s="1181"/>
      <c r="AX247" s="978"/>
      <c r="AY247" s="898"/>
      <c r="AZ247" s="898"/>
      <c r="BA247" s="898"/>
      <c r="BB247" s="898"/>
      <c r="BC247" s="898"/>
      <c r="BD247" s="898"/>
      <c r="BE247" s="898"/>
      <c r="BF247" s="898"/>
      <c r="BG247" s="898"/>
      <c r="BH247" s="898"/>
      <c r="BI247" s="898"/>
      <c r="BJ247" s="898"/>
      <c r="BK247" s="898"/>
      <c r="BL247" s="898"/>
      <c r="BM247" s="898"/>
      <c r="BN247" s="898"/>
      <c r="BO247" s="898"/>
      <c r="BP247" s="898"/>
      <c r="BQ247" s="898"/>
      <c r="BR247" s="898"/>
      <c r="BS247" s="898"/>
      <c r="BT247" s="898"/>
      <c r="BU247" s="898"/>
      <c r="BV247" s="898"/>
      <c r="BW247" s="898"/>
      <c r="BX247" s="898"/>
      <c r="BY247" s="898"/>
      <c r="BZ247" s="898"/>
      <c r="CA247" s="898"/>
      <c r="CB247" s="898"/>
      <c r="CC247" s="898"/>
      <c r="CD247" s="898"/>
      <c r="CE247" s="898"/>
      <c r="CF247" s="898"/>
      <c r="CG247" s="898"/>
      <c r="CH247" s="898"/>
      <c r="CI247" s="898"/>
      <c r="CJ247" s="898"/>
      <c r="CK247" s="898"/>
      <c r="CL247" s="898"/>
      <c r="CM247" s="898"/>
      <c r="CN247" s="898"/>
      <c r="CO247" s="898"/>
      <c r="CP247" s="898"/>
      <c r="CQ247" s="898"/>
      <c r="CR247" s="898"/>
      <c r="CS247" s="898"/>
      <c r="CT247" s="898"/>
      <c r="CU247" s="898"/>
    </row>
    <row r="248" ht="16.5" customHeight="1">
      <c r="A248" s="718"/>
      <c r="B248" s="1195"/>
      <c r="C248" s="866"/>
      <c r="D248" s="968"/>
      <c r="E248" s="718"/>
      <c r="F248" s="718"/>
      <c r="G248" s="718"/>
      <c r="H248" s="718"/>
      <c r="I248" s="359"/>
      <c r="J248" s="359"/>
      <c r="K248" s="359"/>
      <c r="L248" s="359"/>
      <c r="M248" s="359"/>
      <c r="N248" s="359"/>
      <c r="O248" s="359"/>
      <c r="P248" s="359"/>
      <c r="Q248" s="359"/>
      <c r="R248" s="718"/>
      <c r="S248" s="669"/>
      <c r="T248" s="669"/>
      <c r="U248" s="967"/>
      <c r="V248" s="974"/>
      <c r="W248" s="1197"/>
      <c r="X248" s="974"/>
      <c r="Y248" s="974"/>
      <c r="Z248" s="974"/>
      <c r="AA248" s="974"/>
      <c r="AB248" s="974"/>
      <c r="AC248" s="974"/>
      <c r="AD248" s="974"/>
      <c r="AE248" s="974"/>
      <c r="AF248" s="974"/>
      <c r="AG248" s="974"/>
      <c r="AH248" s="974"/>
      <c r="AI248" s="1198"/>
      <c r="AJ248" s="974"/>
      <c r="AK248" s="1197"/>
      <c r="AL248" s="974"/>
      <c r="AM248" s="974"/>
      <c r="AN248" s="974"/>
      <c r="AO248" s="974"/>
      <c r="AP248" s="974"/>
      <c r="AQ248" s="974"/>
      <c r="AR248" s="974"/>
      <c r="AS248" s="974"/>
      <c r="AT248" s="974"/>
      <c r="AU248" s="974"/>
      <c r="AV248" s="974"/>
      <c r="AW248" s="1181"/>
      <c r="AX248" s="978"/>
      <c r="AY248" s="898"/>
      <c r="AZ248" s="898"/>
      <c r="BA248" s="898"/>
      <c r="BB248" s="898"/>
      <c r="BC248" s="898"/>
      <c r="BD248" s="898"/>
      <c r="BE248" s="898"/>
      <c r="BF248" s="898"/>
      <c r="BG248" s="898"/>
      <c r="BH248" s="898"/>
      <c r="BI248" s="898"/>
      <c r="BJ248" s="898"/>
      <c r="BK248" s="898"/>
      <c r="BL248" s="898"/>
      <c r="BM248" s="898"/>
      <c r="BN248" s="898"/>
      <c r="BO248" s="898"/>
      <c r="BP248" s="898"/>
      <c r="BQ248" s="898"/>
      <c r="BR248" s="898"/>
      <c r="BS248" s="898"/>
      <c r="BT248" s="898"/>
      <c r="BU248" s="898"/>
      <c r="BV248" s="898"/>
      <c r="BW248" s="898"/>
      <c r="BX248" s="898"/>
      <c r="BY248" s="898"/>
      <c r="BZ248" s="898"/>
      <c r="CA248" s="898"/>
      <c r="CB248" s="898"/>
      <c r="CC248" s="898"/>
      <c r="CD248" s="898"/>
      <c r="CE248" s="898"/>
      <c r="CF248" s="898"/>
      <c r="CG248" s="898"/>
      <c r="CH248" s="898"/>
      <c r="CI248" s="898"/>
      <c r="CJ248" s="898"/>
      <c r="CK248" s="898"/>
      <c r="CL248" s="898"/>
      <c r="CM248" s="898"/>
      <c r="CN248" s="898"/>
      <c r="CO248" s="898"/>
      <c r="CP248" s="898"/>
      <c r="CQ248" s="898"/>
      <c r="CR248" s="898"/>
      <c r="CS248" s="898"/>
      <c r="CT248" s="898"/>
      <c r="CU248" s="898"/>
    </row>
    <row r="249" ht="16.5" customHeight="1">
      <c r="A249" s="718"/>
      <c r="B249" s="1195"/>
      <c r="C249" s="866"/>
      <c r="D249" s="968"/>
      <c r="E249" s="718"/>
      <c r="F249" s="718"/>
      <c r="G249" s="718"/>
      <c r="H249" s="718"/>
      <c r="I249" s="359"/>
      <c r="J249" s="359"/>
      <c r="K249" s="359"/>
      <c r="L249" s="359"/>
      <c r="M249" s="359"/>
      <c r="N249" s="359"/>
      <c r="O249" s="359"/>
      <c r="P249" s="359"/>
      <c r="Q249" s="359"/>
      <c r="R249" s="718"/>
      <c r="S249" s="669"/>
      <c r="T249" s="669"/>
      <c r="U249" s="967"/>
      <c r="V249" s="974"/>
      <c r="W249" s="1197"/>
      <c r="X249" s="974"/>
      <c r="Y249" s="974"/>
      <c r="Z249" s="974"/>
      <c r="AA249" s="974"/>
      <c r="AB249" s="974"/>
      <c r="AC249" s="974"/>
      <c r="AD249" s="974"/>
      <c r="AE249" s="974"/>
      <c r="AF249" s="974"/>
      <c r="AG249" s="974"/>
      <c r="AH249" s="974"/>
      <c r="AI249" s="1198"/>
      <c r="AJ249" s="974"/>
      <c r="AK249" s="1197"/>
      <c r="AL249" s="974"/>
      <c r="AM249" s="974"/>
      <c r="AN249" s="974"/>
      <c r="AO249" s="974"/>
      <c r="AP249" s="974"/>
      <c r="AQ249" s="974"/>
      <c r="AR249" s="974"/>
      <c r="AS249" s="974"/>
      <c r="AT249" s="974"/>
      <c r="AU249" s="974"/>
      <c r="AV249" s="974"/>
      <c r="AW249" s="1181"/>
      <c r="AX249" s="978"/>
      <c r="AY249" s="898"/>
      <c r="AZ249" s="898"/>
      <c r="BA249" s="898"/>
      <c r="BB249" s="898"/>
      <c r="BC249" s="898"/>
      <c r="BD249" s="898"/>
      <c r="BE249" s="898"/>
      <c r="BF249" s="898"/>
      <c r="BG249" s="898"/>
      <c r="BH249" s="898"/>
      <c r="BI249" s="898"/>
      <c r="BJ249" s="898"/>
      <c r="BK249" s="898"/>
      <c r="BL249" s="898"/>
      <c r="BM249" s="898"/>
      <c r="BN249" s="898"/>
      <c r="BO249" s="898"/>
      <c r="BP249" s="898"/>
      <c r="BQ249" s="898"/>
      <c r="BR249" s="898"/>
      <c r="BS249" s="898"/>
      <c r="BT249" s="898"/>
      <c r="BU249" s="898"/>
      <c r="BV249" s="898"/>
      <c r="BW249" s="898"/>
      <c r="BX249" s="898"/>
      <c r="BY249" s="898"/>
      <c r="BZ249" s="898"/>
      <c r="CA249" s="898"/>
      <c r="CB249" s="898"/>
      <c r="CC249" s="898"/>
      <c r="CD249" s="898"/>
      <c r="CE249" s="898"/>
      <c r="CF249" s="898"/>
      <c r="CG249" s="898"/>
      <c r="CH249" s="898"/>
      <c r="CI249" s="898"/>
      <c r="CJ249" s="898"/>
      <c r="CK249" s="898"/>
      <c r="CL249" s="898"/>
      <c r="CM249" s="898"/>
      <c r="CN249" s="898"/>
      <c r="CO249" s="898"/>
      <c r="CP249" s="898"/>
      <c r="CQ249" s="898"/>
      <c r="CR249" s="898"/>
      <c r="CS249" s="898"/>
      <c r="CT249" s="898"/>
      <c r="CU249" s="898"/>
    </row>
    <row r="250" ht="16.5" customHeight="1">
      <c r="A250" s="718"/>
      <c r="B250" s="1195"/>
      <c r="C250" s="866"/>
      <c r="D250" s="968"/>
      <c r="E250" s="718"/>
      <c r="F250" s="718"/>
      <c r="G250" s="718"/>
      <c r="H250" s="718"/>
      <c r="I250" s="359"/>
      <c r="J250" s="359"/>
      <c r="K250" s="359"/>
      <c r="L250" s="359"/>
      <c r="M250" s="359"/>
      <c r="N250" s="359"/>
      <c r="O250" s="359"/>
      <c r="P250" s="359"/>
      <c r="Q250" s="359"/>
      <c r="R250" s="718"/>
      <c r="S250" s="669"/>
      <c r="T250" s="669"/>
      <c r="U250" s="967"/>
      <c r="V250" s="974"/>
      <c r="W250" s="1197"/>
      <c r="X250" s="974"/>
      <c r="Y250" s="974"/>
      <c r="Z250" s="974"/>
      <c r="AA250" s="974"/>
      <c r="AB250" s="974"/>
      <c r="AC250" s="974"/>
      <c r="AD250" s="974"/>
      <c r="AE250" s="974"/>
      <c r="AF250" s="974"/>
      <c r="AG250" s="974"/>
      <c r="AH250" s="974"/>
      <c r="AI250" s="1198"/>
      <c r="AJ250" s="974"/>
      <c r="AK250" s="1197"/>
      <c r="AL250" s="974"/>
      <c r="AM250" s="974"/>
      <c r="AN250" s="974"/>
      <c r="AO250" s="974"/>
      <c r="AP250" s="974"/>
      <c r="AQ250" s="974"/>
      <c r="AR250" s="974"/>
      <c r="AS250" s="974"/>
      <c r="AT250" s="974"/>
      <c r="AU250" s="974"/>
      <c r="AV250" s="974"/>
      <c r="AW250" s="1181"/>
      <c r="AX250" s="978"/>
      <c r="AY250" s="898"/>
      <c r="AZ250" s="898"/>
      <c r="BA250" s="898"/>
      <c r="BB250" s="898"/>
      <c r="BC250" s="898"/>
      <c r="BD250" s="898"/>
      <c r="BE250" s="898"/>
      <c r="BF250" s="898"/>
      <c r="BG250" s="898"/>
      <c r="BH250" s="898"/>
      <c r="BI250" s="898"/>
      <c r="BJ250" s="898"/>
      <c r="BK250" s="898"/>
      <c r="BL250" s="898"/>
      <c r="BM250" s="898"/>
      <c r="BN250" s="898"/>
      <c r="BO250" s="898"/>
      <c r="BP250" s="898"/>
      <c r="BQ250" s="898"/>
      <c r="BR250" s="898"/>
      <c r="BS250" s="898"/>
      <c r="BT250" s="898"/>
      <c r="BU250" s="898"/>
      <c r="BV250" s="898"/>
      <c r="BW250" s="898"/>
      <c r="BX250" s="898"/>
      <c r="BY250" s="898"/>
      <c r="BZ250" s="898"/>
      <c r="CA250" s="898"/>
      <c r="CB250" s="898"/>
      <c r="CC250" s="898"/>
      <c r="CD250" s="898"/>
      <c r="CE250" s="898"/>
      <c r="CF250" s="898"/>
      <c r="CG250" s="898"/>
      <c r="CH250" s="898"/>
      <c r="CI250" s="898"/>
      <c r="CJ250" s="898"/>
      <c r="CK250" s="898"/>
      <c r="CL250" s="898"/>
      <c r="CM250" s="898"/>
      <c r="CN250" s="898"/>
      <c r="CO250" s="898"/>
      <c r="CP250" s="898"/>
      <c r="CQ250" s="898"/>
      <c r="CR250" s="898"/>
      <c r="CS250" s="898"/>
      <c r="CT250" s="898"/>
      <c r="CU250" s="898"/>
    </row>
    <row r="251" ht="16.5" customHeight="1">
      <c r="A251" s="718"/>
      <c r="B251" s="1195"/>
      <c r="C251" s="866"/>
      <c r="D251" s="968"/>
      <c r="E251" s="718"/>
      <c r="F251" s="718"/>
      <c r="G251" s="718"/>
      <c r="H251" s="718"/>
      <c r="I251" s="359"/>
      <c r="J251" s="359"/>
      <c r="K251" s="359"/>
      <c r="L251" s="359"/>
      <c r="M251" s="359"/>
      <c r="N251" s="359"/>
      <c r="O251" s="359"/>
      <c r="P251" s="359"/>
      <c r="Q251" s="359"/>
      <c r="R251" s="718"/>
      <c r="S251" s="669"/>
      <c r="T251" s="669"/>
      <c r="U251" s="967"/>
      <c r="V251" s="974"/>
      <c r="W251" s="1197"/>
      <c r="X251" s="974"/>
      <c r="Y251" s="974"/>
      <c r="Z251" s="974"/>
      <c r="AA251" s="974"/>
      <c r="AB251" s="974"/>
      <c r="AC251" s="974"/>
      <c r="AD251" s="974"/>
      <c r="AE251" s="974"/>
      <c r="AF251" s="974"/>
      <c r="AG251" s="974"/>
      <c r="AH251" s="974"/>
      <c r="AI251" s="1198"/>
      <c r="AJ251" s="974"/>
      <c r="AK251" s="1197"/>
      <c r="AL251" s="974"/>
      <c r="AM251" s="974"/>
      <c r="AN251" s="974"/>
      <c r="AO251" s="974"/>
      <c r="AP251" s="974"/>
      <c r="AQ251" s="974"/>
      <c r="AR251" s="974"/>
      <c r="AS251" s="974"/>
      <c r="AT251" s="974"/>
      <c r="AU251" s="974"/>
      <c r="AV251" s="974"/>
      <c r="AW251" s="1181"/>
      <c r="AX251" s="978"/>
      <c r="AY251" s="898"/>
      <c r="AZ251" s="898"/>
      <c r="BA251" s="898"/>
      <c r="BB251" s="898"/>
      <c r="BC251" s="898"/>
      <c r="BD251" s="898"/>
      <c r="BE251" s="898"/>
      <c r="BF251" s="898"/>
      <c r="BG251" s="898"/>
      <c r="BH251" s="898"/>
      <c r="BI251" s="898"/>
      <c r="BJ251" s="898"/>
      <c r="BK251" s="898"/>
      <c r="BL251" s="898"/>
      <c r="BM251" s="898"/>
      <c r="BN251" s="898"/>
      <c r="BO251" s="898"/>
      <c r="BP251" s="898"/>
      <c r="BQ251" s="898"/>
      <c r="BR251" s="898"/>
      <c r="BS251" s="898"/>
      <c r="BT251" s="898"/>
      <c r="BU251" s="898"/>
      <c r="BV251" s="898"/>
      <c r="BW251" s="898"/>
      <c r="BX251" s="898"/>
      <c r="BY251" s="898"/>
      <c r="BZ251" s="898"/>
      <c r="CA251" s="898"/>
      <c r="CB251" s="898"/>
      <c r="CC251" s="898"/>
      <c r="CD251" s="898"/>
      <c r="CE251" s="898"/>
      <c r="CF251" s="898"/>
      <c r="CG251" s="898"/>
      <c r="CH251" s="898"/>
      <c r="CI251" s="898"/>
      <c r="CJ251" s="898"/>
      <c r="CK251" s="898"/>
      <c r="CL251" s="898"/>
      <c r="CM251" s="898"/>
      <c r="CN251" s="898"/>
      <c r="CO251" s="898"/>
      <c r="CP251" s="898"/>
      <c r="CQ251" s="898"/>
      <c r="CR251" s="898"/>
      <c r="CS251" s="898"/>
      <c r="CT251" s="898"/>
      <c r="CU251" s="898"/>
    </row>
    <row r="252" ht="16.5" customHeight="1">
      <c r="A252" s="718"/>
      <c r="B252" s="1195"/>
      <c r="C252" s="866"/>
      <c r="D252" s="968"/>
      <c r="E252" s="718"/>
      <c r="F252" s="718"/>
      <c r="G252" s="718"/>
      <c r="H252" s="718"/>
      <c r="I252" s="359"/>
      <c r="J252" s="359"/>
      <c r="K252" s="359"/>
      <c r="L252" s="359"/>
      <c r="M252" s="359"/>
      <c r="N252" s="359"/>
      <c r="O252" s="359"/>
      <c r="P252" s="359"/>
      <c r="Q252" s="359"/>
      <c r="R252" s="718"/>
      <c r="S252" s="669"/>
      <c r="T252" s="669"/>
      <c r="U252" s="967"/>
      <c r="V252" s="974"/>
      <c r="W252" s="1197"/>
      <c r="X252" s="974"/>
      <c r="Y252" s="974"/>
      <c r="Z252" s="974"/>
      <c r="AA252" s="974"/>
      <c r="AB252" s="974"/>
      <c r="AC252" s="974"/>
      <c r="AD252" s="974"/>
      <c r="AE252" s="974"/>
      <c r="AF252" s="974"/>
      <c r="AG252" s="974"/>
      <c r="AH252" s="974"/>
      <c r="AI252" s="1198"/>
      <c r="AJ252" s="974"/>
      <c r="AK252" s="1197"/>
      <c r="AL252" s="974"/>
      <c r="AM252" s="974"/>
      <c r="AN252" s="974"/>
      <c r="AO252" s="974"/>
      <c r="AP252" s="974"/>
      <c r="AQ252" s="974"/>
      <c r="AR252" s="974"/>
      <c r="AS252" s="974"/>
      <c r="AT252" s="974"/>
      <c r="AU252" s="974"/>
      <c r="AV252" s="974"/>
      <c r="AW252" s="1181"/>
      <c r="AX252" s="978"/>
      <c r="AY252" s="898"/>
      <c r="AZ252" s="898"/>
      <c r="BA252" s="898"/>
      <c r="BB252" s="898"/>
      <c r="BC252" s="898"/>
      <c r="BD252" s="898"/>
      <c r="BE252" s="898"/>
      <c r="BF252" s="898"/>
      <c r="BG252" s="898"/>
      <c r="BH252" s="898"/>
      <c r="BI252" s="898"/>
      <c r="BJ252" s="898"/>
      <c r="BK252" s="898"/>
      <c r="BL252" s="898"/>
      <c r="BM252" s="898"/>
      <c r="BN252" s="898"/>
      <c r="BO252" s="898"/>
      <c r="BP252" s="898"/>
      <c r="BQ252" s="898"/>
      <c r="BR252" s="898"/>
      <c r="BS252" s="898"/>
      <c r="BT252" s="898"/>
      <c r="BU252" s="898"/>
      <c r="BV252" s="898"/>
      <c r="BW252" s="898"/>
      <c r="BX252" s="898"/>
      <c r="BY252" s="898"/>
      <c r="BZ252" s="898"/>
      <c r="CA252" s="898"/>
      <c r="CB252" s="898"/>
      <c r="CC252" s="898"/>
      <c r="CD252" s="898"/>
      <c r="CE252" s="898"/>
      <c r="CF252" s="898"/>
      <c r="CG252" s="898"/>
      <c r="CH252" s="898"/>
      <c r="CI252" s="898"/>
      <c r="CJ252" s="898"/>
      <c r="CK252" s="898"/>
      <c r="CL252" s="898"/>
      <c r="CM252" s="898"/>
      <c r="CN252" s="898"/>
      <c r="CO252" s="898"/>
      <c r="CP252" s="898"/>
      <c r="CQ252" s="898"/>
      <c r="CR252" s="898"/>
      <c r="CS252" s="898"/>
      <c r="CT252" s="898"/>
      <c r="CU252" s="898"/>
    </row>
    <row r="253" ht="16.5" customHeight="1">
      <c r="A253" s="718"/>
      <c r="B253" s="1195"/>
      <c r="C253" s="866"/>
      <c r="D253" s="968"/>
      <c r="E253" s="718"/>
      <c r="F253" s="718"/>
      <c r="G253" s="718"/>
      <c r="H253" s="718"/>
      <c r="I253" s="359"/>
      <c r="J253" s="359"/>
      <c r="K253" s="359"/>
      <c r="L253" s="359"/>
      <c r="M253" s="359"/>
      <c r="N253" s="359"/>
      <c r="O253" s="359"/>
      <c r="P253" s="359"/>
      <c r="Q253" s="359"/>
      <c r="R253" s="718"/>
      <c r="S253" s="669"/>
      <c r="T253" s="669"/>
      <c r="U253" s="967"/>
      <c r="V253" s="974"/>
      <c r="W253" s="1197"/>
      <c r="X253" s="974"/>
      <c r="Y253" s="974"/>
      <c r="Z253" s="974"/>
      <c r="AA253" s="974"/>
      <c r="AB253" s="974"/>
      <c r="AC253" s="974"/>
      <c r="AD253" s="974"/>
      <c r="AE253" s="974"/>
      <c r="AF253" s="974"/>
      <c r="AG253" s="974"/>
      <c r="AH253" s="974"/>
      <c r="AI253" s="1198"/>
      <c r="AJ253" s="974"/>
      <c r="AK253" s="1197"/>
      <c r="AL253" s="974"/>
      <c r="AM253" s="974"/>
      <c r="AN253" s="974"/>
      <c r="AO253" s="974"/>
      <c r="AP253" s="974"/>
      <c r="AQ253" s="974"/>
      <c r="AR253" s="974"/>
      <c r="AS253" s="974"/>
      <c r="AT253" s="974"/>
      <c r="AU253" s="974"/>
      <c r="AV253" s="974"/>
      <c r="AW253" s="1181"/>
      <c r="AX253" s="978"/>
      <c r="AY253" s="898"/>
      <c r="AZ253" s="898"/>
      <c r="BA253" s="898"/>
      <c r="BB253" s="898"/>
      <c r="BC253" s="898"/>
      <c r="BD253" s="898"/>
      <c r="BE253" s="898"/>
      <c r="BF253" s="898"/>
      <c r="BG253" s="898"/>
      <c r="BH253" s="898"/>
      <c r="BI253" s="898"/>
      <c r="BJ253" s="898"/>
      <c r="BK253" s="898"/>
      <c r="BL253" s="898"/>
      <c r="BM253" s="898"/>
      <c r="BN253" s="898"/>
      <c r="BO253" s="898"/>
      <c r="BP253" s="898"/>
      <c r="BQ253" s="898"/>
      <c r="BR253" s="898"/>
      <c r="BS253" s="898"/>
      <c r="BT253" s="898"/>
      <c r="BU253" s="898"/>
      <c r="BV253" s="898"/>
      <c r="BW253" s="898"/>
      <c r="BX253" s="898"/>
      <c r="BY253" s="898"/>
      <c r="BZ253" s="898"/>
      <c r="CA253" s="898"/>
      <c r="CB253" s="898"/>
      <c r="CC253" s="898"/>
      <c r="CD253" s="898"/>
      <c r="CE253" s="898"/>
      <c r="CF253" s="898"/>
      <c r="CG253" s="898"/>
      <c r="CH253" s="898"/>
      <c r="CI253" s="898"/>
      <c r="CJ253" s="898"/>
      <c r="CK253" s="898"/>
      <c r="CL253" s="898"/>
      <c r="CM253" s="898"/>
      <c r="CN253" s="898"/>
      <c r="CO253" s="898"/>
      <c r="CP253" s="898"/>
      <c r="CQ253" s="898"/>
      <c r="CR253" s="898"/>
      <c r="CS253" s="898"/>
      <c r="CT253" s="898"/>
      <c r="CU253" s="898"/>
    </row>
    <row r="254" ht="16.5" customHeight="1">
      <c r="A254" s="718"/>
      <c r="B254" s="1195"/>
      <c r="C254" s="866"/>
      <c r="D254" s="968"/>
      <c r="E254" s="718"/>
      <c r="F254" s="718"/>
      <c r="G254" s="718"/>
      <c r="H254" s="718"/>
      <c r="I254" s="359"/>
      <c r="J254" s="359"/>
      <c r="K254" s="359"/>
      <c r="L254" s="359"/>
      <c r="M254" s="359"/>
      <c r="N254" s="359"/>
      <c r="O254" s="359"/>
      <c r="P254" s="359"/>
      <c r="Q254" s="359"/>
      <c r="R254" s="718"/>
      <c r="S254" s="669"/>
      <c r="T254" s="669"/>
      <c r="U254" s="967"/>
      <c r="V254" s="974"/>
      <c r="W254" s="1197"/>
      <c r="X254" s="974"/>
      <c r="Y254" s="974"/>
      <c r="Z254" s="974"/>
      <c r="AA254" s="974"/>
      <c r="AB254" s="974"/>
      <c r="AC254" s="974"/>
      <c r="AD254" s="974"/>
      <c r="AE254" s="974"/>
      <c r="AF254" s="974"/>
      <c r="AG254" s="974"/>
      <c r="AH254" s="974"/>
      <c r="AI254" s="1198"/>
      <c r="AJ254" s="974"/>
      <c r="AK254" s="1197"/>
      <c r="AL254" s="974"/>
      <c r="AM254" s="974"/>
      <c r="AN254" s="974"/>
      <c r="AO254" s="974"/>
      <c r="AP254" s="974"/>
      <c r="AQ254" s="974"/>
      <c r="AR254" s="974"/>
      <c r="AS254" s="974"/>
      <c r="AT254" s="974"/>
      <c r="AU254" s="974"/>
      <c r="AV254" s="974"/>
      <c r="AW254" s="1181"/>
      <c r="AX254" s="978"/>
      <c r="AY254" s="898"/>
      <c r="AZ254" s="898"/>
      <c r="BA254" s="898"/>
      <c r="BB254" s="898"/>
      <c r="BC254" s="898"/>
      <c r="BD254" s="898"/>
      <c r="BE254" s="898"/>
      <c r="BF254" s="898"/>
      <c r="BG254" s="898"/>
      <c r="BH254" s="898"/>
      <c r="BI254" s="898"/>
      <c r="BJ254" s="898"/>
      <c r="BK254" s="898"/>
      <c r="BL254" s="898"/>
      <c r="BM254" s="898"/>
      <c r="BN254" s="898"/>
      <c r="BO254" s="898"/>
      <c r="BP254" s="898"/>
      <c r="BQ254" s="898"/>
      <c r="BR254" s="898"/>
      <c r="BS254" s="898"/>
      <c r="BT254" s="898"/>
      <c r="BU254" s="898"/>
      <c r="BV254" s="898"/>
      <c r="BW254" s="898"/>
      <c r="BX254" s="898"/>
      <c r="BY254" s="898"/>
      <c r="BZ254" s="898"/>
      <c r="CA254" s="898"/>
      <c r="CB254" s="898"/>
      <c r="CC254" s="898"/>
      <c r="CD254" s="898"/>
      <c r="CE254" s="898"/>
      <c r="CF254" s="898"/>
      <c r="CG254" s="898"/>
      <c r="CH254" s="898"/>
      <c r="CI254" s="898"/>
      <c r="CJ254" s="898"/>
      <c r="CK254" s="898"/>
      <c r="CL254" s="898"/>
      <c r="CM254" s="898"/>
      <c r="CN254" s="898"/>
      <c r="CO254" s="898"/>
      <c r="CP254" s="898"/>
      <c r="CQ254" s="898"/>
      <c r="CR254" s="898"/>
      <c r="CS254" s="898"/>
      <c r="CT254" s="898"/>
      <c r="CU254" s="898"/>
    </row>
    <row r="255" ht="16.5" customHeight="1">
      <c r="A255" s="718"/>
      <c r="B255" s="1195"/>
      <c r="C255" s="866"/>
      <c r="D255" s="968"/>
      <c r="E255" s="718"/>
      <c r="F255" s="718"/>
      <c r="G255" s="718"/>
      <c r="H255" s="718"/>
      <c r="I255" s="359"/>
      <c r="J255" s="359"/>
      <c r="K255" s="359"/>
      <c r="L255" s="359"/>
      <c r="M255" s="359"/>
      <c r="N255" s="359"/>
      <c r="O255" s="359"/>
      <c r="P255" s="359"/>
      <c r="Q255" s="359"/>
      <c r="R255" s="718"/>
      <c r="S255" s="669"/>
      <c r="T255" s="669"/>
      <c r="U255" s="967"/>
      <c r="V255" s="974"/>
      <c r="W255" s="1197"/>
      <c r="X255" s="974"/>
      <c r="Y255" s="974"/>
      <c r="Z255" s="974"/>
      <c r="AA255" s="974"/>
      <c r="AB255" s="974"/>
      <c r="AC255" s="974"/>
      <c r="AD255" s="974"/>
      <c r="AE255" s="974"/>
      <c r="AF255" s="974"/>
      <c r="AG255" s="974"/>
      <c r="AH255" s="974"/>
      <c r="AI255" s="1198"/>
      <c r="AJ255" s="974"/>
      <c r="AK255" s="1197"/>
      <c r="AL255" s="974"/>
      <c r="AM255" s="974"/>
      <c r="AN255" s="974"/>
      <c r="AO255" s="974"/>
      <c r="AP255" s="974"/>
      <c r="AQ255" s="974"/>
      <c r="AR255" s="974"/>
      <c r="AS255" s="974"/>
      <c r="AT255" s="974"/>
      <c r="AU255" s="974"/>
      <c r="AV255" s="974"/>
      <c r="AW255" s="1181"/>
      <c r="AX255" s="978"/>
      <c r="AY255" s="898"/>
      <c r="AZ255" s="898"/>
      <c r="BA255" s="898"/>
      <c r="BB255" s="898"/>
      <c r="BC255" s="898"/>
      <c r="BD255" s="898"/>
      <c r="BE255" s="898"/>
      <c r="BF255" s="898"/>
      <c r="BG255" s="898"/>
      <c r="BH255" s="898"/>
      <c r="BI255" s="898"/>
      <c r="BJ255" s="898"/>
      <c r="BK255" s="898"/>
      <c r="BL255" s="898"/>
      <c r="BM255" s="898"/>
      <c r="BN255" s="898"/>
      <c r="BO255" s="898"/>
      <c r="BP255" s="898"/>
      <c r="BQ255" s="898"/>
      <c r="BR255" s="898"/>
      <c r="BS255" s="898"/>
      <c r="BT255" s="898"/>
      <c r="BU255" s="898"/>
      <c r="BV255" s="898"/>
      <c r="BW255" s="898"/>
      <c r="BX255" s="898"/>
      <c r="BY255" s="898"/>
      <c r="BZ255" s="898"/>
      <c r="CA255" s="898"/>
      <c r="CB255" s="898"/>
      <c r="CC255" s="898"/>
      <c r="CD255" s="898"/>
      <c r="CE255" s="898"/>
      <c r="CF255" s="898"/>
      <c r="CG255" s="898"/>
      <c r="CH255" s="898"/>
      <c r="CI255" s="898"/>
      <c r="CJ255" s="898"/>
      <c r="CK255" s="898"/>
      <c r="CL255" s="898"/>
      <c r="CM255" s="898"/>
      <c r="CN255" s="898"/>
      <c r="CO255" s="898"/>
      <c r="CP255" s="898"/>
      <c r="CQ255" s="898"/>
      <c r="CR255" s="898"/>
      <c r="CS255" s="898"/>
      <c r="CT255" s="898"/>
      <c r="CU255" s="898"/>
    </row>
    <row r="256" ht="16.5" customHeight="1">
      <c r="A256" s="718"/>
      <c r="B256" s="1195"/>
      <c r="C256" s="866"/>
      <c r="D256" s="968"/>
      <c r="E256" s="718"/>
      <c r="F256" s="718"/>
      <c r="G256" s="718"/>
      <c r="H256" s="718"/>
      <c r="I256" s="359"/>
      <c r="J256" s="359"/>
      <c r="K256" s="359"/>
      <c r="L256" s="359"/>
      <c r="M256" s="359"/>
      <c r="N256" s="359"/>
      <c r="O256" s="359"/>
      <c r="P256" s="359"/>
      <c r="Q256" s="359"/>
      <c r="R256" s="718"/>
      <c r="S256" s="669"/>
      <c r="T256" s="669"/>
      <c r="U256" s="967"/>
      <c r="V256" s="974"/>
      <c r="W256" s="1197"/>
      <c r="X256" s="974"/>
      <c r="Y256" s="974"/>
      <c r="Z256" s="974"/>
      <c r="AA256" s="974"/>
      <c r="AB256" s="974"/>
      <c r="AC256" s="974"/>
      <c r="AD256" s="974"/>
      <c r="AE256" s="974"/>
      <c r="AF256" s="974"/>
      <c r="AG256" s="974"/>
      <c r="AH256" s="974"/>
      <c r="AI256" s="1198"/>
      <c r="AJ256" s="974"/>
      <c r="AK256" s="1197"/>
      <c r="AL256" s="974"/>
      <c r="AM256" s="974"/>
      <c r="AN256" s="974"/>
      <c r="AO256" s="974"/>
      <c r="AP256" s="974"/>
      <c r="AQ256" s="974"/>
      <c r="AR256" s="974"/>
      <c r="AS256" s="974"/>
      <c r="AT256" s="974"/>
      <c r="AU256" s="974"/>
      <c r="AV256" s="974"/>
      <c r="AW256" s="1181"/>
      <c r="AX256" s="978"/>
      <c r="AY256" s="898"/>
      <c r="AZ256" s="898"/>
      <c r="BA256" s="898"/>
      <c r="BB256" s="898"/>
      <c r="BC256" s="898"/>
      <c r="BD256" s="898"/>
      <c r="BE256" s="898"/>
      <c r="BF256" s="898"/>
      <c r="BG256" s="898"/>
      <c r="BH256" s="898"/>
      <c r="BI256" s="898"/>
      <c r="BJ256" s="898"/>
      <c r="BK256" s="898"/>
      <c r="BL256" s="898"/>
      <c r="BM256" s="898"/>
      <c r="BN256" s="898"/>
      <c r="BO256" s="898"/>
      <c r="BP256" s="898"/>
      <c r="BQ256" s="898"/>
      <c r="BR256" s="898"/>
      <c r="BS256" s="898"/>
      <c r="BT256" s="898"/>
      <c r="BU256" s="898"/>
      <c r="BV256" s="898"/>
      <c r="BW256" s="898"/>
      <c r="BX256" s="898"/>
      <c r="BY256" s="898"/>
      <c r="BZ256" s="898"/>
      <c r="CA256" s="898"/>
      <c r="CB256" s="898"/>
      <c r="CC256" s="898"/>
      <c r="CD256" s="898"/>
      <c r="CE256" s="898"/>
      <c r="CF256" s="898"/>
      <c r="CG256" s="898"/>
      <c r="CH256" s="898"/>
      <c r="CI256" s="898"/>
      <c r="CJ256" s="898"/>
      <c r="CK256" s="898"/>
      <c r="CL256" s="898"/>
      <c r="CM256" s="898"/>
      <c r="CN256" s="898"/>
      <c r="CO256" s="898"/>
      <c r="CP256" s="898"/>
      <c r="CQ256" s="898"/>
      <c r="CR256" s="898"/>
      <c r="CS256" s="898"/>
      <c r="CT256" s="898"/>
      <c r="CU256" s="898"/>
    </row>
    <row r="257" ht="16.5" customHeight="1">
      <c r="A257" s="718"/>
      <c r="B257" s="1195"/>
      <c r="C257" s="866"/>
      <c r="D257" s="968"/>
      <c r="E257" s="718"/>
      <c r="F257" s="718"/>
      <c r="G257" s="718"/>
      <c r="H257" s="718"/>
      <c r="I257" s="359"/>
      <c r="J257" s="359"/>
      <c r="K257" s="359"/>
      <c r="L257" s="359"/>
      <c r="M257" s="359"/>
      <c r="N257" s="359"/>
      <c r="O257" s="359"/>
      <c r="P257" s="359"/>
      <c r="Q257" s="359"/>
      <c r="R257" s="718"/>
      <c r="S257" s="669"/>
      <c r="T257" s="669"/>
      <c r="U257" s="967"/>
      <c r="V257" s="974"/>
      <c r="W257" s="1197"/>
      <c r="X257" s="974"/>
      <c r="Y257" s="974"/>
      <c r="Z257" s="974"/>
      <c r="AA257" s="974"/>
      <c r="AB257" s="974"/>
      <c r="AC257" s="974"/>
      <c r="AD257" s="974"/>
      <c r="AE257" s="974"/>
      <c r="AF257" s="974"/>
      <c r="AG257" s="974"/>
      <c r="AH257" s="974"/>
      <c r="AI257" s="1198"/>
      <c r="AJ257" s="974"/>
      <c r="AK257" s="1197"/>
      <c r="AL257" s="974"/>
      <c r="AM257" s="974"/>
      <c r="AN257" s="974"/>
      <c r="AO257" s="974"/>
      <c r="AP257" s="974"/>
      <c r="AQ257" s="974"/>
      <c r="AR257" s="974"/>
      <c r="AS257" s="974"/>
      <c r="AT257" s="974"/>
      <c r="AU257" s="974"/>
      <c r="AV257" s="974"/>
      <c r="AW257" s="1181"/>
      <c r="AX257" s="978"/>
      <c r="AY257" s="898"/>
      <c r="AZ257" s="898"/>
      <c r="BA257" s="898"/>
      <c r="BB257" s="898"/>
      <c r="BC257" s="898"/>
      <c r="BD257" s="898"/>
      <c r="BE257" s="898"/>
      <c r="BF257" s="898"/>
      <c r="BG257" s="898"/>
      <c r="BH257" s="898"/>
      <c r="BI257" s="898"/>
      <c r="BJ257" s="898"/>
      <c r="BK257" s="898"/>
      <c r="BL257" s="898"/>
      <c r="BM257" s="898"/>
      <c r="BN257" s="898"/>
      <c r="BO257" s="898"/>
      <c r="BP257" s="898"/>
      <c r="BQ257" s="898"/>
      <c r="BR257" s="898"/>
      <c r="BS257" s="898"/>
      <c r="BT257" s="898"/>
      <c r="BU257" s="898"/>
      <c r="BV257" s="898"/>
      <c r="BW257" s="898"/>
      <c r="BX257" s="898"/>
      <c r="BY257" s="898"/>
      <c r="BZ257" s="898"/>
      <c r="CA257" s="898"/>
      <c r="CB257" s="898"/>
      <c r="CC257" s="898"/>
      <c r="CD257" s="898"/>
      <c r="CE257" s="898"/>
      <c r="CF257" s="898"/>
      <c r="CG257" s="898"/>
      <c r="CH257" s="898"/>
      <c r="CI257" s="898"/>
      <c r="CJ257" s="898"/>
      <c r="CK257" s="898"/>
      <c r="CL257" s="898"/>
      <c r="CM257" s="898"/>
      <c r="CN257" s="898"/>
      <c r="CO257" s="898"/>
      <c r="CP257" s="898"/>
      <c r="CQ257" s="898"/>
      <c r="CR257" s="898"/>
      <c r="CS257" s="898"/>
      <c r="CT257" s="898"/>
      <c r="CU257" s="898"/>
    </row>
    <row r="258" ht="16.5" customHeight="1">
      <c r="A258" s="718"/>
      <c r="B258" s="1195"/>
      <c r="C258" s="866"/>
      <c r="D258" s="968"/>
      <c r="E258" s="718"/>
      <c r="F258" s="718"/>
      <c r="G258" s="718"/>
      <c r="H258" s="718"/>
      <c r="I258" s="359"/>
      <c r="J258" s="359"/>
      <c r="K258" s="359"/>
      <c r="L258" s="359"/>
      <c r="M258" s="359"/>
      <c r="N258" s="359"/>
      <c r="O258" s="359"/>
      <c r="P258" s="359"/>
      <c r="Q258" s="359"/>
      <c r="R258" s="718"/>
      <c r="S258" s="669"/>
      <c r="T258" s="669"/>
      <c r="U258" s="967"/>
      <c r="V258" s="974"/>
      <c r="W258" s="1197"/>
      <c r="X258" s="974"/>
      <c r="Y258" s="974"/>
      <c r="Z258" s="974"/>
      <c r="AA258" s="974"/>
      <c r="AB258" s="974"/>
      <c r="AC258" s="974"/>
      <c r="AD258" s="974"/>
      <c r="AE258" s="974"/>
      <c r="AF258" s="974"/>
      <c r="AG258" s="974"/>
      <c r="AH258" s="974"/>
      <c r="AI258" s="1198"/>
      <c r="AJ258" s="974"/>
      <c r="AK258" s="1197"/>
      <c r="AL258" s="974"/>
      <c r="AM258" s="974"/>
      <c r="AN258" s="974"/>
      <c r="AO258" s="974"/>
      <c r="AP258" s="974"/>
      <c r="AQ258" s="974"/>
      <c r="AR258" s="974"/>
      <c r="AS258" s="974"/>
      <c r="AT258" s="974"/>
      <c r="AU258" s="974"/>
      <c r="AV258" s="974"/>
      <c r="AW258" s="1181"/>
      <c r="AX258" s="978"/>
      <c r="AY258" s="898"/>
      <c r="AZ258" s="898"/>
      <c r="BA258" s="898"/>
      <c r="BB258" s="898"/>
      <c r="BC258" s="898"/>
      <c r="BD258" s="898"/>
      <c r="BE258" s="898"/>
      <c r="BF258" s="898"/>
      <c r="BG258" s="898"/>
      <c r="BH258" s="898"/>
      <c r="BI258" s="898"/>
      <c r="BJ258" s="898"/>
      <c r="BK258" s="898"/>
      <c r="BL258" s="898"/>
      <c r="BM258" s="898"/>
      <c r="BN258" s="898"/>
      <c r="BO258" s="898"/>
      <c r="BP258" s="898"/>
      <c r="BQ258" s="898"/>
      <c r="BR258" s="898"/>
      <c r="BS258" s="898"/>
      <c r="BT258" s="898"/>
      <c r="BU258" s="898"/>
      <c r="BV258" s="898"/>
      <c r="BW258" s="898"/>
      <c r="BX258" s="898"/>
      <c r="BY258" s="898"/>
      <c r="BZ258" s="898"/>
      <c r="CA258" s="898"/>
      <c r="CB258" s="898"/>
      <c r="CC258" s="898"/>
      <c r="CD258" s="898"/>
      <c r="CE258" s="898"/>
      <c r="CF258" s="898"/>
      <c r="CG258" s="898"/>
      <c r="CH258" s="898"/>
      <c r="CI258" s="898"/>
      <c r="CJ258" s="898"/>
      <c r="CK258" s="898"/>
      <c r="CL258" s="898"/>
      <c r="CM258" s="898"/>
      <c r="CN258" s="898"/>
      <c r="CO258" s="898"/>
      <c r="CP258" s="898"/>
      <c r="CQ258" s="898"/>
      <c r="CR258" s="898"/>
      <c r="CS258" s="898"/>
      <c r="CT258" s="898"/>
      <c r="CU258" s="898"/>
    </row>
    <row r="259" ht="16.5" customHeight="1">
      <c r="A259" s="718"/>
      <c r="B259" s="1195"/>
      <c r="C259" s="866"/>
      <c r="D259" s="968"/>
      <c r="E259" s="718"/>
      <c r="F259" s="718"/>
      <c r="G259" s="718"/>
      <c r="H259" s="718"/>
      <c r="I259" s="359"/>
      <c r="J259" s="359"/>
      <c r="K259" s="359"/>
      <c r="L259" s="359"/>
      <c r="M259" s="359"/>
      <c r="N259" s="359"/>
      <c r="O259" s="359"/>
      <c r="P259" s="359"/>
      <c r="Q259" s="359"/>
      <c r="R259" s="718"/>
      <c r="S259" s="669"/>
      <c r="T259" s="669"/>
      <c r="U259" s="967"/>
      <c r="V259" s="974"/>
      <c r="W259" s="1197"/>
      <c r="X259" s="974"/>
      <c r="Y259" s="974"/>
      <c r="Z259" s="974"/>
      <c r="AA259" s="974"/>
      <c r="AB259" s="974"/>
      <c r="AC259" s="974"/>
      <c r="AD259" s="974"/>
      <c r="AE259" s="974"/>
      <c r="AF259" s="974"/>
      <c r="AG259" s="974"/>
      <c r="AH259" s="974"/>
      <c r="AI259" s="1198"/>
      <c r="AJ259" s="974"/>
      <c r="AK259" s="1197"/>
      <c r="AL259" s="974"/>
      <c r="AM259" s="974"/>
      <c r="AN259" s="974"/>
      <c r="AO259" s="974"/>
      <c r="AP259" s="974"/>
      <c r="AQ259" s="974"/>
      <c r="AR259" s="974"/>
      <c r="AS259" s="974"/>
      <c r="AT259" s="974"/>
      <c r="AU259" s="974"/>
      <c r="AV259" s="974"/>
      <c r="AW259" s="1181"/>
      <c r="AX259" s="978"/>
      <c r="AY259" s="898"/>
      <c r="AZ259" s="898"/>
      <c r="BA259" s="898"/>
      <c r="BB259" s="898"/>
      <c r="BC259" s="898"/>
      <c r="BD259" s="898"/>
      <c r="BE259" s="898"/>
      <c r="BF259" s="898"/>
      <c r="BG259" s="898"/>
      <c r="BH259" s="898"/>
      <c r="BI259" s="898"/>
      <c r="BJ259" s="898"/>
      <c r="BK259" s="898"/>
      <c r="BL259" s="898"/>
      <c r="BM259" s="898"/>
      <c r="BN259" s="898"/>
      <c r="BO259" s="898"/>
      <c r="BP259" s="898"/>
      <c r="BQ259" s="898"/>
      <c r="BR259" s="898"/>
      <c r="BS259" s="898"/>
      <c r="BT259" s="898"/>
      <c r="BU259" s="898"/>
      <c r="BV259" s="898"/>
      <c r="BW259" s="898"/>
      <c r="BX259" s="898"/>
      <c r="BY259" s="898"/>
      <c r="BZ259" s="898"/>
      <c r="CA259" s="898"/>
      <c r="CB259" s="898"/>
      <c r="CC259" s="898"/>
      <c r="CD259" s="898"/>
      <c r="CE259" s="898"/>
      <c r="CF259" s="898"/>
      <c r="CG259" s="898"/>
      <c r="CH259" s="898"/>
      <c r="CI259" s="898"/>
      <c r="CJ259" s="898"/>
      <c r="CK259" s="898"/>
      <c r="CL259" s="898"/>
      <c r="CM259" s="898"/>
      <c r="CN259" s="898"/>
      <c r="CO259" s="898"/>
      <c r="CP259" s="898"/>
      <c r="CQ259" s="898"/>
      <c r="CR259" s="898"/>
      <c r="CS259" s="898"/>
      <c r="CT259" s="898"/>
      <c r="CU259" s="898"/>
    </row>
    <row r="260" ht="16.5" customHeight="1">
      <c r="A260" s="718"/>
      <c r="B260" s="1195"/>
      <c r="C260" s="866"/>
      <c r="D260" s="968"/>
      <c r="E260" s="718"/>
      <c r="F260" s="718"/>
      <c r="G260" s="718"/>
      <c r="H260" s="718"/>
      <c r="I260" s="359"/>
      <c r="J260" s="359"/>
      <c r="K260" s="359"/>
      <c r="L260" s="359"/>
      <c r="M260" s="359"/>
      <c r="N260" s="359"/>
      <c r="O260" s="359"/>
      <c r="P260" s="359"/>
      <c r="Q260" s="359"/>
      <c r="R260" s="718"/>
      <c r="S260" s="669"/>
      <c r="T260" s="669"/>
      <c r="U260" s="967"/>
      <c r="V260" s="974"/>
      <c r="W260" s="1197"/>
      <c r="X260" s="974"/>
      <c r="Y260" s="974"/>
      <c r="Z260" s="974"/>
      <c r="AA260" s="974"/>
      <c r="AB260" s="974"/>
      <c r="AC260" s="974"/>
      <c r="AD260" s="974"/>
      <c r="AE260" s="974"/>
      <c r="AF260" s="974"/>
      <c r="AG260" s="974"/>
      <c r="AH260" s="974"/>
      <c r="AI260" s="1198"/>
      <c r="AJ260" s="974"/>
      <c r="AK260" s="1197"/>
      <c r="AL260" s="974"/>
      <c r="AM260" s="974"/>
      <c r="AN260" s="974"/>
      <c r="AO260" s="974"/>
      <c r="AP260" s="974"/>
      <c r="AQ260" s="974"/>
      <c r="AR260" s="974"/>
      <c r="AS260" s="974"/>
      <c r="AT260" s="974"/>
      <c r="AU260" s="974"/>
      <c r="AV260" s="974"/>
      <c r="AW260" s="1181"/>
      <c r="AX260" s="978"/>
      <c r="AY260" s="898"/>
      <c r="AZ260" s="898"/>
      <c r="BA260" s="898"/>
      <c r="BB260" s="898"/>
      <c r="BC260" s="898"/>
      <c r="BD260" s="898"/>
      <c r="BE260" s="898"/>
      <c r="BF260" s="898"/>
      <c r="BG260" s="898"/>
      <c r="BH260" s="898"/>
      <c r="BI260" s="898"/>
      <c r="BJ260" s="898"/>
      <c r="BK260" s="898"/>
      <c r="BL260" s="898"/>
      <c r="BM260" s="898"/>
      <c r="BN260" s="898"/>
      <c r="BO260" s="898"/>
      <c r="BP260" s="898"/>
      <c r="BQ260" s="898"/>
      <c r="BR260" s="898"/>
      <c r="BS260" s="898"/>
      <c r="BT260" s="898"/>
      <c r="BU260" s="898"/>
      <c r="BV260" s="898"/>
      <c r="BW260" s="898"/>
      <c r="BX260" s="898"/>
      <c r="BY260" s="898"/>
      <c r="BZ260" s="898"/>
      <c r="CA260" s="898"/>
      <c r="CB260" s="898"/>
      <c r="CC260" s="898"/>
      <c r="CD260" s="898"/>
      <c r="CE260" s="898"/>
      <c r="CF260" s="898"/>
      <c r="CG260" s="898"/>
      <c r="CH260" s="898"/>
      <c r="CI260" s="898"/>
      <c r="CJ260" s="898"/>
      <c r="CK260" s="898"/>
      <c r="CL260" s="898"/>
      <c r="CM260" s="898"/>
      <c r="CN260" s="898"/>
      <c r="CO260" s="898"/>
      <c r="CP260" s="898"/>
      <c r="CQ260" s="898"/>
      <c r="CR260" s="898"/>
      <c r="CS260" s="898"/>
      <c r="CT260" s="898"/>
      <c r="CU260" s="898"/>
    </row>
    <row r="261" ht="16.5" customHeight="1">
      <c r="A261" s="718"/>
      <c r="B261" s="1195"/>
      <c r="C261" s="866"/>
      <c r="D261" s="968"/>
      <c r="E261" s="718"/>
      <c r="F261" s="718"/>
      <c r="G261" s="718"/>
      <c r="H261" s="718"/>
      <c r="I261" s="359"/>
      <c r="J261" s="359"/>
      <c r="K261" s="359"/>
      <c r="L261" s="359"/>
      <c r="M261" s="359"/>
      <c r="N261" s="359"/>
      <c r="O261" s="359"/>
      <c r="P261" s="359"/>
      <c r="Q261" s="359"/>
      <c r="R261" s="718"/>
      <c r="S261" s="669"/>
      <c r="T261" s="669"/>
      <c r="U261" s="967"/>
      <c r="V261" s="974"/>
      <c r="W261" s="1197"/>
      <c r="X261" s="974"/>
      <c r="Y261" s="974"/>
      <c r="Z261" s="974"/>
      <c r="AA261" s="974"/>
      <c r="AB261" s="974"/>
      <c r="AC261" s="974"/>
      <c r="AD261" s="974"/>
      <c r="AE261" s="974"/>
      <c r="AF261" s="974"/>
      <c r="AG261" s="974"/>
      <c r="AH261" s="974"/>
      <c r="AI261" s="1198"/>
      <c r="AJ261" s="974"/>
      <c r="AK261" s="1197"/>
      <c r="AL261" s="974"/>
      <c r="AM261" s="974"/>
      <c r="AN261" s="974"/>
      <c r="AO261" s="974"/>
      <c r="AP261" s="974"/>
      <c r="AQ261" s="974"/>
      <c r="AR261" s="974"/>
      <c r="AS261" s="974"/>
      <c r="AT261" s="974"/>
      <c r="AU261" s="974"/>
      <c r="AV261" s="974"/>
      <c r="AW261" s="1181"/>
      <c r="AX261" s="978"/>
      <c r="AY261" s="898"/>
      <c r="AZ261" s="898"/>
      <c r="BA261" s="898"/>
      <c r="BB261" s="898"/>
      <c r="BC261" s="898"/>
      <c r="BD261" s="898"/>
      <c r="BE261" s="898"/>
      <c r="BF261" s="898"/>
      <c r="BG261" s="898"/>
      <c r="BH261" s="898"/>
      <c r="BI261" s="898"/>
      <c r="BJ261" s="898"/>
      <c r="BK261" s="898"/>
      <c r="BL261" s="898"/>
      <c r="BM261" s="898"/>
      <c r="BN261" s="898"/>
      <c r="BO261" s="898"/>
      <c r="BP261" s="898"/>
      <c r="BQ261" s="898"/>
      <c r="BR261" s="898"/>
      <c r="BS261" s="898"/>
      <c r="BT261" s="898"/>
      <c r="BU261" s="898"/>
      <c r="BV261" s="898"/>
      <c r="BW261" s="898"/>
      <c r="BX261" s="898"/>
      <c r="BY261" s="898"/>
      <c r="BZ261" s="898"/>
      <c r="CA261" s="898"/>
      <c r="CB261" s="898"/>
      <c r="CC261" s="898"/>
      <c r="CD261" s="898"/>
      <c r="CE261" s="898"/>
      <c r="CF261" s="898"/>
      <c r="CG261" s="898"/>
      <c r="CH261" s="898"/>
      <c r="CI261" s="898"/>
      <c r="CJ261" s="898"/>
      <c r="CK261" s="898"/>
      <c r="CL261" s="898"/>
      <c r="CM261" s="898"/>
      <c r="CN261" s="898"/>
      <c r="CO261" s="898"/>
      <c r="CP261" s="898"/>
      <c r="CQ261" s="898"/>
      <c r="CR261" s="898"/>
      <c r="CS261" s="898"/>
      <c r="CT261" s="898"/>
      <c r="CU261" s="898"/>
    </row>
    <row r="262" ht="16.5" customHeight="1">
      <c r="A262" s="718"/>
      <c r="B262" s="1195"/>
      <c r="C262" s="866"/>
      <c r="D262" s="968"/>
      <c r="E262" s="718"/>
      <c r="F262" s="718"/>
      <c r="G262" s="718"/>
      <c r="H262" s="718"/>
      <c r="I262" s="359"/>
      <c r="J262" s="359"/>
      <c r="K262" s="359"/>
      <c r="L262" s="359"/>
      <c r="M262" s="359"/>
      <c r="N262" s="359"/>
      <c r="O262" s="359"/>
      <c r="P262" s="359"/>
      <c r="Q262" s="359"/>
      <c r="R262" s="718"/>
      <c r="S262" s="669"/>
      <c r="T262" s="669"/>
      <c r="U262" s="967"/>
      <c r="V262" s="974"/>
      <c r="W262" s="1197"/>
      <c r="X262" s="974"/>
      <c r="Y262" s="974"/>
      <c r="Z262" s="974"/>
      <c r="AA262" s="974"/>
      <c r="AB262" s="974"/>
      <c r="AC262" s="974"/>
      <c r="AD262" s="974"/>
      <c r="AE262" s="974"/>
      <c r="AF262" s="974"/>
      <c r="AG262" s="974"/>
      <c r="AH262" s="974"/>
      <c r="AI262" s="1198"/>
      <c r="AJ262" s="974"/>
      <c r="AK262" s="1197"/>
      <c r="AL262" s="974"/>
      <c r="AM262" s="974"/>
      <c r="AN262" s="974"/>
      <c r="AO262" s="974"/>
      <c r="AP262" s="974"/>
      <c r="AQ262" s="974"/>
      <c r="AR262" s="974"/>
      <c r="AS262" s="974"/>
      <c r="AT262" s="974"/>
      <c r="AU262" s="974"/>
      <c r="AV262" s="974"/>
      <c r="AW262" s="1181"/>
      <c r="AX262" s="978"/>
      <c r="AY262" s="898"/>
      <c r="AZ262" s="898"/>
      <c r="BA262" s="898"/>
      <c r="BB262" s="898"/>
      <c r="BC262" s="898"/>
      <c r="BD262" s="898"/>
      <c r="BE262" s="898"/>
      <c r="BF262" s="898"/>
      <c r="BG262" s="898"/>
      <c r="BH262" s="898"/>
      <c r="BI262" s="898"/>
      <c r="BJ262" s="898"/>
      <c r="BK262" s="898"/>
      <c r="BL262" s="898"/>
      <c r="BM262" s="898"/>
      <c r="BN262" s="898"/>
      <c r="BO262" s="898"/>
      <c r="BP262" s="898"/>
      <c r="BQ262" s="898"/>
      <c r="BR262" s="898"/>
      <c r="BS262" s="898"/>
      <c r="BT262" s="898"/>
      <c r="BU262" s="898"/>
      <c r="BV262" s="898"/>
      <c r="BW262" s="898"/>
      <c r="BX262" s="898"/>
      <c r="BY262" s="898"/>
      <c r="BZ262" s="898"/>
      <c r="CA262" s="898"/>
      <c r="CB262" s="898"/>
      <c r="CC262" s="898"/>
      <c r="CD262" s="898"/>
      <c r="CE262" s="898"/>
      <c r="CF262" s="898"/>
      <c r="CG262" s="898"/>
      <c r="CH262" s="898"/>
      <c r="CI262" s="898"/>
      <c r="CJ262" s="898"/>
      <c r="CK262" s="898"/>
      <c r="CL262" s="898"/>
      <c r="CM262" s="898"/>
      <c r="CN262" s="898"/>
      <c r="CO262" s="898"/>
      <c r="CP262" s="898"/>
      <c r="CQ262" s="898"/>
      <c r="CR262" s="898"/>
      <c r="CS262" s="898"/>
      <c r="CT262" s="898"/>
      <c r="CU262" s="898"/>
    </row>
    <row r="263" ht="16.5" customHeight="1">
      <c r="A263" s="718"/>
      <c r="B263" s="1195"/>
      <c r="C263" s="866"/>
      <c r="D263" s="968"/>
      <c r="E263" s="718"/>
      <c r="F263" s="718"/>
      <c r="G263" s="718"/>
      <c r="H263" s="718"/>
      <c r="I263" s="359"/>
      <c r="J263" s="359"/>
      <c r="K263" s="359"/>
      <c r="L263" s="359"/>
      <c r="M263" s="359"/>
      <c r="N263" s="359"/>
      <c r="O263" s="359"/>
      <c r="P263" s="359"/>
      <c r="Q263" s="359"/>
      <c r="R263" s="718"/>
      <c r="S263" s="669"/>
      <c r="T263" s="669"/>
      <c r="U263" s="967"/>
      <c r="V263" s="974"/>
      <c r="W263" s="1197"/>
      <c r="X263" s="974"/>
      <c r="Y263" s="974"/>
      <c r="Z263" s="974"/>
      <c r="AA263" s="974"/>
      <c r="AB263" s="974"/>
      <c r="AC263" s="974"/>
      <c r="AD263" s="974"/>
      <c r="AE263" s="974"/>
      <c r="AF263" s="974"/>
      <c r="AG263" s="974"/>
      <c r="AH263" s="974"/>
      <c r="AI263" s="1198"/>
      <c r="AJ263" s="974"/>
      <c r="AK263" s="1197"/>
      <c r="AL263" s="974"/>
      <c r="AM263" s="974"/>
      <c r="AN263" s="974"/>
      <c r="AO263" s="974"/>
      <c r="AP263" s="974"/>
      <c r="AQ263" s="974"/>
      <c r="AR263" s="974"/>
      <c r="AS263" s="974"/>
      <c r="AT263" s="974"/>
      <c r="AU263" s="974"/>
      <c r="AV263" s="974"/>
      <c r="AW263" s="1181"/>
      <c r="AX263" s="978"/>
      <c r="AY263" s="898"/>
      <c r="AZ263" s="898"/>
      <c r="BA263" s="898"/>
      <c r="BB263" s="898"/>
      <c r="BC263" s="898"/>
      <c r="BD263" s="898"/>
      <c r="BE263" s="898"/>
      <c r="BF263" s="898"/>
      <c r="BG263" s="898"/>
      <c r="BH263" s="898"/>
      <c r="BI263" s="898"/>
      <c r="BJ263" s="898"/>
      <c r="BK263" s="898"/>
      <c r="BL263" s="898"/>
      <c r="BM263" s="898"/>
      <c r="BN263" s="898"/>
      <c r="BO263" s="898"/>
      <c r="BP263" s="898"/>
      <c r="BQ263" s="898"/>
      <c r="BR263" s="898"/>
      <c r="BS263" s="898"/>
      <c r="BT263" s="898"/>
      <c r="BU263" s="898"/>
      <c r="BV263" s="898"/>
      <c r="BW263" s="898"/>
      <c r="BX263" s="898"/>
      <c r="BY263" s="898"/>
      <c r="BZ263" s="898"/>
      <c r="CA263" s="898"/>
      <c r="CB263" s="898"/>
      <c r="CC263" s="898"/>
      <c r="CD263" s="898"/>
      <c r="CE263" s="898"/>
      <c r="CF263" s="898"/>
      <c r="CG263" s="898"/>
      <c r="CH263" s="898"/>
      <c r="CI263" s="898"/>
      <c r="CJ263" s="898"/>
      <c r="CK263" s="898"/>
      <c r="CL263" s="898"/>
      <c r="CM263" s="898"/>
      <c r="CN263" s="898"/>
      <c r="CO263" s="898"/>
      <c r="CP263" s="898"/>
      <c r="CQ263" s="898"/>
      <c r="CR263" s="898"/>
      <c r="CS263" s="898"/>
      <c r="CT263" s="898"/>
      <c r="CU263" s="898"/>
    </row>
    <row r="264" ht="16.5" customHeight="1">
      <c r="A264" s="718"/>
      <c r="B264" s="1195"/>
      <c r="C264" s="866"/>
      <c r="D264" s="968"/>
      <c r="E264" s="718"/>
      <c r="F264" s="718"/>
      <c r="G264" s="718"/>
      <c r="H264" s="718"/>
      <c r="I264" s="359"/>
      <c r="J264" s="359"/>
      <c r="K264" s="359"/>
      <c r="L264" s="359"/>
      <c r="M264" s="359"/>
      <c r="N264" s="359"/>
      <c r="O264" s="359"/>
      <c r="P264" s="359"/>
      <c r="Q264" s="359"/>
      <c r="R264" s="718"/>
      <c r="S264" s="669"/>
      <c r="T264" s="669"/>
      <c r="U264" s="967"/>
      <c r="V264" s="974"/>
      <c r="W264" s="1197"/>
      <c r="X264" s="974"/>
      <c r="Y264" s="974"/>
      <c r="Z264" s="974"/>
      <c r="AA264" s="974"/>
      <c r="AB264" s="974"/>
      <c r="AC264" s="974"/>
      <c r="AD264" s="974"/>
      <c r="AE264" s="974"/>
      <c r="AF264" s="974"/>
      <c r="AG264" s="974"/>
      <c r="AH264" s="974"/>
      <c r="AI264" s="1198"/>
      <c r="AJ264" s="974"/>
      <c r="AK264" s="1197"/>
      <c r="AL264" s="974"/>
      <c r="AM264" s="974"/>
      <c r="AN264" s="974"/>
      <c r="AO264" s="974"/>
      <c r="AP264" s="974"/>
      <c r="AQ264" s="974"/>
      <c r="AR264" s="974"/>
      <c r="AS264" s="974"/>
      <c r="AT264" s="974"/>
      <c r="AU264" s="974"/>
      <c r="AV264" s="974"/>
      <c r="AW264" s="1181"/>
      <c r="AX264" s="978"/>
      <c r="AY264" s="898"/>
      <c r="AZ264" s="898"/>
      <c r="BA264" s="898"/>
      <c r="BB264" s="898"/>
      <c r="BC264" s="898"/>
      <c r="BD264" s="898"/>
      <c r="BE264" s="898"/>
      <c r="BF264" s="898"/>
      <c r="BG264" s="898"/>
      <c r="BH264" s="898"/>
      <c r="BI264" s="898"/>
      <c r="BJ264" s="898"/>
      <c r="BK264" s="898"/>
      <c r="BL264" s="898"/>
      <c r="BM264" s="898"/>
      <c r="BN264" s="898"/>
      <c r="BO264" s="898"/>
      <c r="BP264" s="898"/>
      <c r="BQ264" s="898"/>
      <c r="BR264" s="898"/>
      <c r="BS264" s="898"/>
      <c r="BT264" s="898"/>
      <c r="BU264" s="898"/>
      <c r="BV264" s="898"/>
      <c r="BW264" s="898"/>
      <c r="BX264" s="898"/>
      <c r="BY264" s="898"/>
      <c r="BZ264" s="898"/>
      <c r="CA264" s="898"/>
      <c r="CB264" s="898"/>
      <c r="CC264" s="898"/>
      <c r="CD264" s="898"/>
      <c r="CE264" s="898"/>
      <c r="CF264" s="898"/>
      <c r="CG264" s="898"/>
      <c r="CH264" s="898"/>
      <c r="CI264" s="898"/>
      <c r="CJ264" s="898"/>
      <c r="CK264" s="898"/>
      <c r="CL264" s="898"/>
      <c r="CM264" s="898"/>
      <c r="CN264" s="898"/>
      <c r="CO264" s="898"/>
      <c r="CP264" s="898"/>
      <c r="CQ264" s="898"/>
      <c r="CR264" s="898"/>
      <c r="CS264" s="898"/>
      <c r="CT264" s="898"/>
      <c r="CU264" s="898"/>
    </row>
    <row r="265" ht="16.5" customHeight="1">
      <c r="A265" s="718"/>
      <c r="B265" s="1195"/>
      <c r="C265" s="866"/>
      <c r="D265" s="968"/>
      <c r="E265" s="718"/>
      <c r="F265" s="718"/>
      <c r="G265" s="718"/>
      <c r="H265" s="718"/>
      <c r="I265" s="359"/>
      <c r="J265" s="359"/>
      <c r="K265" s="359"/>
      <c r="L265" s="359"/>
      <c r="M265" s="359"/>
      <c r="N265" s="359"/>
      <c r="O265" s="359"/>
      <c r="P265" s="359"/>
      <c r="Q265" s="359"/>
      <c r="R265" s="718"/>
      <c r="S265" s="669"/>
      <c r="T265" s="669"/>
      <c r="U265" s="967"/>
      <c r="V265" s="974"/>
      <c r="W265" s="1197"/>
      <c r="X265" s="974"/>
      <c r="Y265" s="974"/>
      <c r="Z265" s="974"/>
      <c r="AA265" s="974"/>
      <c r="AB265" s="974"/>
      <c r="AC265" s="974"/>
      <c r="AD265" s="974"/>
      <c r="AE265" s="974"/>
      <c r="AF265" s="974"/>
      <c r="AG265" s="974"/>
      <c r="AH265" s="974"/>
      <c r="AI265" s="1198"/>
      <c r="AJ265" s="974"/>
      <c r="AK265" s="1197"/>
      <c r="AL265" s="974"/>
      <c r="AM265" s="974"/>
      <c r="AN265" s="974"/>
      <c r="AO265" s="974"/>
      <c r="AP265" s="974"/>
      <c r="AQ265" s="974"/>
      <c r="AR265" s="974"/>
      <c r="AS265" s="974"/>
      <c r="AT265" s="974"/>
      <c r="AU265" s="974"/>
      <c r="AV265" s="974"/>
      <c r="AW265" s="1181"/>
      <c r="AX265" s="978"/>
      <c r="AY265" s="898"/>
      <c r="AZ265" s="898"/>
      <c r="BA265" s="898"/>
      <c r="BB265" s="898"/>
      <c r="BC265" s="898"/>
      <c r="BD265" s="898"/>
      <c r="BE265" s="898"/>
      <c r="BF265" s="898"/>
      <c r="BG265" s="898"/>
      <c r="BH265" s="898"/>
      <c r="BI265" s="898"/>
      <c r="BJ265" s="898"/>
      <c r="BK265" s="898"/>
      <c r="BL265" s="898"/>
      <c r="BM265" s="898"/>
      <c r="BN265" s="898"/>
      <c r="BO265" s="898"/>
      <c r="BP265" s="898"/>
      <c r="BQ265" s="898"/>
      <c r="BR265" s="898"/>
      <c r="BS265" s="898"/>
      <c r="BT265" s="898"/>
      <c r="BU265" s="898"/>
      <c r="BV265" s="898"/>
      <c r="BW265" s="898"/>
      <c r="BX265" s="898"/>
      <c r="BY265" s="898"/>
      <c r="BZ265" s="898"/>
      <c r="CA265" s="898"/>
      <c r="CB265" s="898"/>
      <c r="CC265" s="898"/>
      <c r="CD265" s="898"/>
      <c r="CE265" s="898"/>
      <c r="CF265" s="898"/>
      <c r="CG265" s="898"/>
      <c r="CH265" s="898"/>
      <c r="CI265" s="898"/>
      <c r="CJ265" s="898"/>
      <c r="CK265" s="898"/>
      <c r="CL265" s="898"/>
      <c r="CM265" s="898"/>
      <c r="CN265" s="898"/>
      <c r="CO265" s="898"/>
      <c r="CP265" s="898"/>
      <c r="CQ265" s="898"/>
      <c r="CR265" s="898"/>
      <c r="CS265" s="898"/>
      <c r="CT265" s="898"/>
      <c r="CU265" s="898"/>
    </row>
    <row r="266" ht="16.5" customHeight="1">
      <c r="A266" s="718"/>
      <c r="B266" s="1195"/>
      <c r="C266" s="866"/>
      <c r="D266" s="968"/>
      <c r="E266" s="718"/>
      <c r="F266" s="718"/>
      <c r="G266" s="718"/>
      <c r="H266" s="718"/>
      <c r="I266" s="359"/>
      <c r="J266" s="359"/>
      <c r="K266" s="359"/>
      <c r="L266" s="359"/>
      <c r="M266" s="359"/>
      <c r="N266" s="359"/>
      <c r="O266" s="359"/>
      <c r="P266" s="359"/>
      <c r="Q266" s="359"/>
      <c r="R266" s="718"/>
      <c r="S266" s="669"/>
      <c r="T266" s="669"/>
      <c r="U266" s="967"/>
      <c r="V266" s="974"/>
      <c r="W266" s="1197"/>
      <c r="X266" s="974"/>
      <c r="Y266" s="974"/>
      <c r="Z266" s="974"/>
      <c r="AA266" s="974"/>
      <c r="AB266" s="974"/>
      <c r="AC266" s="974"/>
      <c r="AD266" s="974"/>
      <c r="AE266" s="974"/>
      <c r="AF266" s="974"/>
      <c r="AG266" s="974"/>
      <c r="AH266" s="974"/>
      <c r="AI266" s="1198"/>
      <c r="AJ266" s="974"/>
      <c r="AK266" s="1197"/>
      <c r="AL266" s="974"/>
      <c r="AM266" s="974"/>
      <c r="AN266" s="974"/>
      <c r="AO266" s="974"/>
      <c r="AP266" s="974"/>
      <c r="AQ266" s="974"/>
      <c r="AR266" s="974"/>
      <c r="AS266" s="974"/>
      <c r="AT266" s="974"/>
      <c r="AU266" s="974"/>
      <c r="AV266" s="974"/>
      <c r="AW266" s="1181"/>
      <c r="AX266" s="978"/>
      <c r="AY266" s="898"/>
      <c r="AZ266" s="898"/>
      <c r="BA266" s="898"/>
      <c r="BB266" s="898"/>
      <c r="BC266" s="898"/>
      <c r="BD266" s="898"/>
      <c r="BE266" s="898"/>
      <c r="BF266" s="898"/>
      <c r="BG266" s="898"/>
      <c r="BH266" s="898"/>
      <c r="BI266" s="898"/>
      <c r="BJ266" s="898"/>
      <c r="BK266" s="898"/>
      <c r="BL266" s="898"/>
      <c r="BM266" s="898"/>
      <c r="BN266" s="898"/>
      <c r="BO266" s="898"/>
      <c r="BP266" s="898"/>
      <c r="BQ266" s="898"/>
      <c r="BR266" s="898"/>
      <c r="BS266" s="898"/>
      <c r="BT266" s="898"/>
      <c r="BU266" s="898"/>
      <c r="BV266" s="898"/>
      <c r="BW266" s="898"/>
      <c r="BX266" s="898"/>
      <c r="BY266" s="898"/>
      <c r="BZ266" s="898"/>
      <c r="CA266" s="898"/>
      <c r="CB266" s="898"/>
      <c r="CC266" s="898"/>
      <c r="CD266" s="898"/>
      <c r="CE266" s="898"/>
      <c r="CF266" s="898"/>
      <c r="CG266" s="898"/>
      <c r="CH266" s="898"/>
      <c r="CI266" s="898"/>
      <c r="CJ266" s="898"/>
      <c r="CK266" s="898"/>
      <c r="CL266" s="898"/>
      <c r="CM266" s="898"/>
      <c r="CN266" s="898"/>
      <c r="CO266" s="898"/>
      <c r="CP266" s="898"/>
      <c r="CQ266" s="898"/>
      <c r="CR266" s="898"/>
      <c r="CS266" s="898"/>
      <c r="CT266" s="898"/>
      <c r="CU266" s="898"/>
    </row>
    <row r="267" ht="16.5" customHeight="1">
      <c r="A267" s="718"/>
      <c r="B267" s="1195"/>
      <c r="C267" s="866"/>
      <c r="D267" s="968"/>
      <c r="E267" s="718"/>
      <c r="F267" s="718"/>
      <c r="G267" s="718"/>
      <c r="H267" s="718"/>
      <c r="I267" s="359"/>
      <c r="J267" s="359"/>
      <c r="K267" s="359"/>
      <c r="L267" s="359"/>
      <c r="M267" s="359"/>
      <c r="N267" s="359"/>
      <c r="O267" s="359"/>
      <c r="P267" s="359"/>
      <c r="Q267" s="359"/>
      <c r="R267" s="718"/>
      <c r="S267" s="669"/>
      <c r="T267" s="669"/>
      <c r="U267" s="967"/>
      <c r="V267" s="974"/>
      <c r="W267" s="1197"/>
      <c r="X267" s="974"/>
      <c r="Y267" s="974"/>
      <c r="Z267" s="974"/>
      <c r="AA267" s="974"/>
      <c r="AB267" s="974"/>
      <c r="AC267" s="974"/>
      <c r="AD267" s="974"/>
      <c r="AE267" s="974"/>
      <c r="AF267" s="974"/>
      <c r="AG267" s="974"/>
      <c r="AH267" s="974"/>
      <c r="AI267" s="1198"/>
      <c r="AJ267" s="974"/>
      <c r="AK267" s="1197"/>
      <c r="AL267" s="974"/>
      <c r="AM267" s="974"/>
      <c r="AN267" s="974"/>
      <c r="AO267" s="974"/>
      <c r="AP267" s="974"/>
      <c r="AQ267" s="974"/>
      <c r="AR267" s="974"/>
      <c r="AS267" s="974"/>
      <c r="AT267" s="974"/>
      <c r="AU267" s="974"/>
      <c r="AV267" s="974"/>
      <c r="AW267" s="1181"/>
      <c r="AX267" s="978"/>
      <c r="AY267" s="898"/>
      <c r="AZ267" s="898"/>
      <c r="BA267" s="898"/>
      <c r="BB267" s="898"/>
      <c r="BC267" s="898"/>
      <c r="BD267" s="898"/>
      <c r="BE267" s="898"/>
      <c r="BF267" s="898"/>
      <c r="BG267" s="898"/>
      <c r="BH267" s="898"/>
      <c r="BI267" s="898"/>
      <c r="BJ267" s="898"/>
      <c r="BK267" s="898"/>
      <c r="BL267" s="898"/>
      <c r="BM267" s="898"/>
      <c r="BN267" s="898"/>
      <c r="BO267" s="898"/>
      <c r="BP267" s="898"/>
      <c r="BQ267" s="898"/>
      <c r="BR267" s="898"/>
      <c r="BS267" s="898"/>
      <c r="BT267" s="898"/>
      <c r="BU267" s="898"/>
      <c r="BV267" s="898"/>
      <c r="BW267" s="898"/>
      <c r="BX267" s="898"/>
      <c r="BY267" s="898"/>
      <c r="BZ267" s="898"/>
      <c r="CA267" s="898"/>
      <c r="CB267" s="898"/>
      <c r="CC267" s="898"/>
      <c r="CD267" s="898"/>
      <c r="CE267" s="898"/>
      <c r="CF267" s="898"/>
      <c r="CG267" s="898"/>
      <c r="CH267" s="898"/>
      <c r="CI267" s="898"/>
      <c r="CJ267" s="898"/>
      <c r="CK267" s="898"/>
      <c r="CL267" s="898"/>
      <c r="CM267" s="898"/>
      <c r="CN267" s="898"/>
      <c r="CO267" s="898"/>
      <c r="CP267" s="898"/>
      <c r="CQ267" s="898"/>
      <c r="CR267" s="898"/>
      <c r="CS267" s="898"/>
      <c r="CT267" s="898"/>
      <c r="CU267" s="898"/>
    </row>
    <row r="268" ht="16.5" customHeight="1">
      <c r="A268" s="718"/>
      <c r="B268" s="1195"/>
      <c r="C268" s="866"/>
      <c r="D268" s="968"/>
      <c r="E268" s="718"/>
      <c r="F268" s="718"/>
      <c r="G268" s="718"/>
      <c r="H268" s="718"/>
      <c r="I268" s="359"/>
      <c r="J268" s="359"/>
      <c r="K268" s="359"/>
      <c r="L268" s="359"/>
      <c r="M268" s="359"/>
      <c r="N268" s="359"/>
      <c r="O268" s="359"/>
      <c r="P268" s="359"/>
      <c r="Q268" s="359"/>
      <c r="R268" s="718"/>
      <c r="S268" s="669"/>
      <c r="T268" s="669"/>
      <c r="U268" s="967"/>
      <c r="V268" s="974"/>
      <c r="W268" s="1197"/>
      <c r="X268" s="974"/>
      <c r="Y268" s="974"/>
      <c r="Z268" s="974"/>
      <c r="AA268" s="974"/>
      <c r="AB268" s="974"/>
      <c r="AC268" s="974"/>
      <c r="AD268" s="974"/>
      <c r="AE268" s="974"/>
      <c r="AF268" s="974"/>
      <c r="AG268" s="974"/>
      <c r="AH268" s="974"/>
      <c r="AI268" s="1198"/>
      <c r="AJ268" s="974"/>
      <c r="AK268" s="1197"/>
      <c r="AL268" s="974"/>
      <c r="AM268" s="974"/>
      <c r="AN268" s="974"/>
      <c r="AO268" s="974"/>
      <c r="AP268" s="974"/>
      <c r="AQ268" s="974"/>
      <c r="AR268" s="974"/>
      <c r="AS268" s="974"/>
      <c r="AT268" s="974"/>
      <c r="AU268" s="974"/>
      <c r="AV268" s="974"/>
      <c r="AW268" s="1181"/>
      <c r="AX268" s="978"/>
      <c r="AY268" s="898"/>
      <c r="AZ268" s="898"/>
      <c r="BA268" s="898"/>
      <c r="BB268" s="898"/>
      <c r="BC268" s="898"/>
      <c r="BD268" s="898"/>
      <c r="BE268" s="898"/>
      <c r="BF268" s="898"/>
      <c r="BG268" s="898"/>
      <c r="BH268" s="898"/>
      <c r="BI268" s="898"/>
      <c r="BJ268" s="898"/>
      <c r="BK268" s="898"/>
      <c r="BL268" s="898"/>
      <c r="BM268" s="898"/>
      <c r="BN268" s="898"/>
      <c r="BO268" s="898"/>
      <c r="BP268" s="898"/>
      <c r="BQ268" s="898"/>
      <c r="BR268" s="898"/>
      <c r="BS268" s="898"/>
      <c r="BT268" s="898"/>
      <c r="BU268" s="898"/>
      <c r="BV268" s="898"/>
      <c r="BW268" s="898"/>
      <c r="BX268" s="898"/>
      <c r="BY268" s="898"/>
      <c r="BZ268" s="898"/>
      <c r="CA268" s="898"/>
      <c r="CB268" s="898"/>
      <c r="CC268" s="898"/>
      <c r="CD268" s="898"/>
      <c r="CE268" s="898"/>
      <c r="CF268" s="898"/>
      <c r="CG268" s="898"/>
      <c r="CH268" s="898"/>
      <c r="CI268" s="898"/>
      <c r="CJ268" s="898"/>
      <c r="CK268" s="898"/>
      <c r="CL268" s="898"/>
      <c r="CM268" s="898"/>
      <c r="CN268" s="898"/>
      <c r="CO268" s="898"/>
      <c r="CP268" s="898"/>
      <c r="CQ268" s="898"/>
      <c r="CR268" s="898"/>
      <c r="CS268" s="898"/>
      <c r="CT268" s="898"/>
      <c r="CU268" s="898"/>
    </row>
    <row r="269" ht="16.5" customHeight="1">
      <c r="A269" s="718"/>
      <c r="B269" s="1195"/>
      <c r="C269" s="866"/>
      <c r="D269" s="968"/>
      <c r="E269" s="718"/>
      <c r="F269" s="718"/>
      <c r="G269" s="718"/>
      <c r="H269" s="718"/>
      <c r="I269" s="359"/>
      <c r="J269" s="359"/>
      <c r="K269" s="359"/>
      <c r="L269" s="359"/>
      <c r="M269" s="359"/>
      <c r="N269" s="359"/>
      <c r="O269" s="359"/>
      <c r="P269" s="359"/>
      <c r="Q269" s="359"/>
      <c r="R269" s="718"/>
      <c r="S269" s="669"/>
      <c r="T269" s="669"/>
      <c r="U269" s="967"/>
      <c r="V269" s="974"/>
      <c r="W269" s="1197"/>
      <c r="X269" s="974"/>
      <c r="Y269" s="974"/>
      <c r="Z269" s="974"/>
      <c r="AA269" s="974"/>
      <c r="AB269" s="974"/>
      <c r="AC269" s="974"/>
      <c r="AD269" s="974"/>
      <c r="AE269" s="974"/>
      <c r="AF269" s="974"/>
      <c r="AG269" s="974"/>
      <c r="AH269" s="974"/>
      <c r="AI269" s="1198"/>
      <c r="AJ269" s="974"/>
      <c r="AK269" s="1197"/>
      <c r="AL269" s="974"/>
      <c r="AM269" s="974"/>
      <c r="AN269" s="974"/>
      <c r="AO269" s="974"/>
      <c r="AP269" s="974"/>
      <c r="AQ269" s="974"/>
      <c r="AR269" s="974"/>
      <c r="AS269" s="974"/>
      <c r="AT269" s="974"/>
      <c r="AU269" s="974"/>
      <c r="AV269" s="974"/>
      <c r="AW269" s="1181"/>
      <c r="AX269" s="978"/>
      <c r="AY269" s="898"/>
      <c r="AZ269" s="898"/>
      <c r="BA269" s="898"/>
      <c r="BB269" s="898"/>
      <c r="BC269" s="898"/>
      <c r="BD269" s="898"/>
      <c r="BE269" s="898"/>
      <c r="BF269" s="898"/>
      <c r="BG269" s="898"/>
      <c r="BH269" s="898"/>
      <c r="BI269" s="898"/>
      <c r="BJ269" s="898"/>
      <c r="BK269" s="898"/>
      <c r="BL269" s="898"/>
      <c r="BM269" s="898"/>
      <c r="BN269" s="898"/>
      <c r="BO269" s="898"/>
      <c r="BP269" s="898"/>
      <c r="BQ269" s="898"/>
      <c r="BR269" s="898"/>
      <c r="BS269" s="898"/>
      <c r="BT269" s="898"/>
      <c r="BU269" s="898"/>
      <c r="BV269" s="898"/>
      <c r="BW269" s="898"/>
      <c r="BX269" s="898"/>
      <c r="BY269" s="898"/>
      <c r="BZ269" s="898"/>
      <c r="CA269" s="898"/>
      <c r="CB269" s="898"/>
      <c r="CC269" s="898"/>
      <c r="CD269" s="898"/>
      <c r="CE269" s="898"/>
      <c r="CF269" s="898"/>
      <c r="CG269" s="898"/>
      <c r="CH269" s="898"/>
      <c r="CI269" s="898"/>
      <c r="CJ269" s="898"/>
      <c r="CK269" s="898"/>
      <c r="CL269" s="898"/>
      <c r="CM269" s="898"/>
      <c r="CN269" s="898"/>
      <c r="CO269" s="898"/>
      <c r="CP269" s="898"/>
      <c r="CQ269" s="898"/>
      <c r="CR269" s="898"/>
      <c r="CS269" s="898"/>
      <c r="CT269" s="898"/>
      <c r="CU269" s="898"/>
    </row>
    <row r="270" ht="16.5" customHeight="1">
      <c r="A270" s="718"/>
      <c r="B270" s="1195"/>
      <c r="C270" s="866"/>
      <c r="D270" s="968"/>
      <c r="E270" s="718"/>
      <c r="F270" s="718"/>
      <c r="G270" s="718"/>
      <c r="H270" s="718"/>
      <c r="I270" s="359"/>
      <c r="J270" s="359"/>
      <c r="K270" s="359"/>
      <c r="L270" s="359"/>
      <c r="M270" s="359"/>
      <c r="N270" s="359"/>
      <c r="O270" s="359"/>
      <c r="P270" s="359"/>
      <c r="Q270" s="359"/>
      <c r="R270" s="718"/>
      <c r="S270" s="669"/>
      <c r="T270" s="669"/>
      <c r="U270" s="967"/>
      <c r="V270" s="974"/>
      <c r="W270" s="1197"/>
      <c r="X270" s="974"/>
      <c r="Y270" s="974"/>
      <c r="Z270" s="974"/>
      <c r="AA270" s="974"/>
      <c r="AB270" s="974"/>
      <c r="AC270" s="974"/>
      <c r="AD270" s="974"/>
      <c r="AE270" s="974"/>
      <c r="AF270" s="974"/>
      <c r="AG270" s="974"/>
      <c r="AH270" s="974"/>
      <c r="AI270" s="1198"/>
      <c r="AJ270" s="974"/>
      <c r="AK270" s="1197"/>
      <c r="AL270" s="974"/>
      <c r="AM270" s="974"/>
      <c r="AN270" s="974"/>
      <c r="AO270" s="974"/>
      <c r="AP270" s="974"/>
      <c r="AQ270" s="974"/>
      <c r="AR270" s="974"/>
      <c r="AS270" s="974"/>
      <c r="AT270" s="974"/>
      <c r="AU270" s="974"/>
      <c r="AV270" s="974"/>
      <c r="AW270" s="1181"/>
      <c r="AX270" s="978"/>
      <c r="AY270" s="898"/>
      <c r="AZ270" s="898"/>
      <c r="BA270" s="898"/>
      <c r="BB270" s="898"/>
      <c r="BC270" s="898"/>
      <c r="BD270" s="898"/>
      <c r="BE270" s="898"/>
      <c r="BF270" s="898"/>
      <c r="BG270" s="898"/>
      <c r="BH270" s="898"/>
      <c r="BI270" s="898"/>
      <c r="BJ270" s="898"/>
      <c r="BK270" s="898"/>
      <c r="BL270" s="898"/>
      <c r="BM270" s="898"/>
      <c r="BN270" s="898"/>
      <c r="BO270" s="898"/>
      <c r="BP270" s="898"/>
      <c r="BQ270" s="898"/>
      <c r="BR270" s="898"/>
      <c r="BS270" s="898"/>
      <c r="BT270" s="898"/>
      <c r="BU270" s="898"/>
      <c r="BV270" s="898"/>
      <c r="BW270" s="898"/>
      <c r="BX270" s="898"/>
      <c r="BY270" s="898"/>
      <c r="BZ270" s="898"/>
      <c r="CA270" s="898"/>
      <c r="CB270" s="898"/>
      <c r="CC270" s="898"/>
      <c r="CD270" s="898"/>
      <c r="CE270" s="898"/>
      <c r="CF270" s="898"/>
      <c r="CG270" s="898"/>
      <c r="CH270" s="898"/>
      <c r="CI270" s="898"/>
      <c r="CJ270" s="898"/>
      <c r="CK270" s="898"/>
      <c r="CL270" s="898"/>
      <c r="CM270" s="898"/>
      <c r="CN270" s="898"/>
      <c r="CO270" s="898"/>
      <c r="CP270" s="898"/>
      <c r="CQ270" s="898"/>
      <c r="CR270" s="898"/>
      <c r="CS270" s="898"/>
      <c r="CT270" s="898"/>
      <c r="CU270" s="898"/>
    </row>
    <row r="271" ht="16.5" customHeight="1">
      <c r="A271" s="718"/>
      <c r="B271" s="1195"/>
      <c r="C271" s="866"/>
      <c r="D271" s="968"/>
      <c r="E271" s="718"/>
      <c r="F271" s="718"/>
      <c r="G271" s="718"/>
      <c r="H271" s="718"/>
      <c r="I271" s="359"/>
      <c r="J271" s="359"/>
      <c r="K271" s="359"/>
      <c r="L271" s="359"/>
      <c r="M271" s="359"/>
      <c r="N271" s="359"/>
      <c r="O271" s="359"/>
      <c r="P271" s="359"/>
      <c r="Q271" s="359"/>
      <c r="R271" s="718"/>
      <c r="S271" s="669"/>
      <c r="T271" s="669"/>
      <c r="U271" s="967"/>
      <c r="V271" s="974"/>
      <c r="W271" s="1197"/>
      <c r="X271" s="974"/>
      <c r="Y271" s="974"/>
      <c r="Z271" s="974"/>
      <c r="AA271" s="974"/>
      <c r="AB271" s="974"/>
      <c r="AC271" s="974"/>
      <c r="AD271" s="974"/>
      <c r="AE271" s="974"/>
      <c r="AF271" s="974"/>
      <c r="AG271" s="974"/>
      <c r="AH271" s="974"/>
      <c r="AI271" s="1198"/>
      <c r="AJ271" s="974"/>
      <c r="AK271" s="1197"/>
      <c r="AL271" s="974"/>
      <c r="AM271" s="974"/>
      <c r="AN271" s="974"/>
      <c r="AO271" s="974"/>
      <c r="AP271" s="974"/>
      <c r="AQ271" s="974"/>
      <c r="AR271" s="974"/>
      <c r="AS271" s="974"/>
      <c r="AT271" s="974"/>
      <c r="AU271" s="974"/>
      <c r="AV271" s="974"/>
      <c r="AW271" s="1181"/>
      <c r="AX271" s="978"/>
      <c r="AY271" s="898"/>
      <c r="AZ271" s="898"/>
      <c r="BA271" s="898"/>
      <c r="BB271" s="898"/>
      <c r="BC271" s="898"/>
      <c r="BD271" s="898"/>
      <c r="BE271" s="898"/>
      <c r="BF271" s="898"/>
      <c r="BG271" s="898"/>
      <c r="BH271" s="898"/>
      <c r="BI271" s="898"/>
      <c r="BJ271" s="898"/>
      <c r="BK271" s="898"/>
      <c r="BL271" s="898"/>
      <c r="BM271" s="898"/>
      <c r="BN271" s="898"/>
      <c r="BO271" s="898"/>
      <c r="BP271" s="898"/>
      <c r="BQ271" s="898"/>
      <c r="BR271" s="898"/>
      <c r="BS271" s="898"/>
      <c r="BT271" s="898"/>
      <c r="BU271" s="898"/>
      <c r="BV271" s="898"/>
      <c r="BW271" s="898"/>
      <c r="BX271" s="898"/>
      <c r="BY271" s="898"/>
      <c r="BZ271" s="898"/>
      <c r="CA271" s="898"/>
      <c r="CB271" s="898"/>
      <c r="CC271" s="898"/>
      <c r="CD271" s="898"/>
      <c r="CE271" s="898"/>
      <c r="CF271" s="898"/>
      <c r="CG271" s="898"/>
      <c r="CH271" s="898"/>
      <c r="CI271" s="898"/>
      <c r="CJ271" s="898"/>
      <c r="CK271" s="898"/>
      <c r="CL271" s="898"/>
      <c r="CM271" s="898"/>
      <c r="CN271" s="898"/>
      <c r="CO271" s="898"/>
      <c r="CP271" s="898"/>
      <c r="CQ271" s="898"/>
      <c r="CR271" s="898"/>
      <c r="CS271" s="898"/>
      <c r="CT271" s="898"/>
      <c r="CU271" s="898"/>
    </row>
    <row r="272" ht="16.5" customHeight="1">
      <c r="A272" s="718"/>
      <c r="B272" s="1195"/>
      <c r="C272" s="866"/>
      <c r="D272" s="968"/>
      <c r="E272" s="718"/>
      <c r="F272" s="718"/>
      <c r="G272" s="718"/>
      <c r="H272" s="718"/>
      <c r="I272" s="359"/>
      <c r="J272" s="359"/>
      <c r="K272" s="359"/>
      <c r="L272" s="359"/>
      <c r="M272" s="359"/>
      <c r="N272" s="359"/>
      <c r="O272" s="359"/>
      <c r="P272" s="359"/>
      <c r="Q272" s="359"/>
      <c r="R272" s="718"/>
      <c r="S272" s="669"/>
      <c r="T272" s="669"/>
      <c r="U272" s="967"/>
      <c r="V272" s="974"/>
      <c r="W272" s="1197"/>
      <c r="X272" s="974"/>
      <c r="Y272" s="974"/>
      <c r="Z272" s="974"/>
      <c r="AA272" s="974"/>
      <c r="AB272" s="974"/>
      <c r="AC272" s="974"/>
      <c r="AD272" s="974"/>
      <c r="AE272" s="974"/>
      <c r="AF272" s="974"/>
      <c r="AG272" s="974"/>
      <c r="AH272" s="974"/>
      <c r="AI272" s="1198"/>
      <c r="AJ272" s="974"/>
      <c r="AK272" s="1197"/>
      <c r="AL272" s="974"/>
      <c r="AM272" s="974"/>
      <c r="AN272" s="974"/>
      <c r="AO272" s="974"/>
      <c r="AP272" s="974"/>
      <c r="AQ272" s="974"/>
      <c r="AR272" s="974"/>
      <c r="AS272" s="974"/>
      <c r="AT272" s="974"/>
      <c r="AU272" s="974"/>
      <c r="AV272" s="974"/>
      <c r="AW272" s="1181"/>
      <c r="AX272" s="978"/>
      <c r="AY272" s="898"/>
      <c r="AZ272" s="898"/>
      <c r="BA272" s="898"/>
      <c r="BB272" s="898"/>
      <c r="BC272" s="898"/>
      <c r="BD272" s="898"/>
      <c r="BE272" s="898"/>
      <c r="BF272" s="898"/>
      <c r="BG272" s="898"/>
      <c r="BH272" s="898"/>
      <c r="BI272" s="898"/>
      <c r="BJ272" s="898"/>
      <c r="BK272" s="898"/>
      <c r="BL272" s="898"/>
      <c r="BM272" s="898"/>
      <c r="BN272" s="898"/>
      <c r="BO272" s="898"/>
      <c r="BP272" s="898"/>
      <c r="BQ272" s="898"/>
      <c r="BR272" s="898"/>
      <c r="BS272" s="898"/>
      <c r="BT272" s="898"/>
      <c r="BU272" s="898"/>
      <c r="BV272" s="898"/>
      <c r="BW272" s="898"/>
      <c r="BX272" s="898"/>
      <c r="BY272" s="898"/>
      <c r="BZ272" s="898"/>
      <c r="CA272" s="898"/>
      <c r="CB272" s="898"/>
      <c r="CC272" s="898"/>
      <c r="CD272" s="898"/>
      <c r="CE272" s="898"/>
      <c r="CF272" s="898"/>
      <c r="CG272" s="898"/>
      <c r="CH272" s="898"/>
      <c r="CI272" s="898"/>
      <c r="CJ272" s="898"/>
      <c r="CK272" s="898"/>
      <c r="CL272" s="898"/>
      <c r="CM272" s="898"/>
      <c r="CN272" s="898"/>
      <c r="CO272" s="898"/>
      <c r="CP272" s="898"/>
      <c r="CQ272" s="898"/>
      <c r="CR272" s="898"/>
      <c r="CS272" s="898"/>
      <c r="CT272" s="898"/>
      <c r="CU272" s="898"/>
    </row>
    <row r="273" ht="16.5" customHeight="1">
      <c r="A273" s="718"/>
      <c r="B273" s="1195"/>
      <c r="C273" s="866"/>
      <c r="D273" s="968"/>
      <c r="E273" s="718"/>
      <c r="F273" s="718"/>
      <c r="G273" s="718"/>
      <c r="H273" s="718"/>
      <c r="I273" s="359"/>
      <c r="J273" s="359"/>
      <c r="K273" s="359"/>
      <c r="L273" s="359"/>
      <c r="M273" s="359"/>
      <c r="N273" s="359"/>
      <c r="O273" s="359"/>
      <c r="P273" s="359"/>
      <c r="Q273" s="359"/>
      <c r="R273" s="718"/>
      <c r="S273" s="669"/>
      <c r="T273" s="669"/>
      <c r="U273" s="967"/>
      <c r="V273" s="974"/>
      <c r="W273" s="1197"/>
      <c r="X273" s="974"/>
      <c r="Y273" s="974"/>
      <c r="Z273" s="974"/>
      <c r="AA273" s="974"/>
      <c r="AB273" s="974"/>
      <c r="AC273" s="974"/>
      <c r="AD273" s="974"/>
      <c r="AE273" s="974"/>
      <c r="AF273" s="974"/>
      <c r="AG273" s="974"/>
      <c r="AH273" s="974"/>
      <c r="AI273" s="1198"/>
      <c r="AJ273" s="974"/>
      <c r="AK273" s="1197"/>
      <c r="AL273" s="974"/>
      <c r="AM273" s="974"/>
      <c r="AN273" s="974"/>
      <c r="AO273" s="974"/>
      <c r="AP273" s="974"/>
      <c r="AQ273" s="974"/>
      <c r="AR273" s="974"/>
      <c r="AS273" s="974"/>
      <c r="AT273" s="974"/>
      <c r="AU273" s="974"/>
      <c r="AV273" s="974"/>
      <c r="AW273" s="1181"/>
      <c r="AX273" s="978"/>
      <c r="AY273" s="898"/>
      <c r="AZ273" s="898"/>
      <c r="BA273" s="898"/>
      <c r="BB273" s="898"/>
      <c r="BC273" s="898"/>
      <c r="BD273" s="898"/>
      <c r="BE273" s="898"/>
      <c r="BF273" s="898"/>
      <c r="BG273" s="898"/>
      <c r="BH273" s="898"/>
      <c r="BI273" s="898"/>
      <c r="BJ273" s="898"/>
      <c r="BK273" s="898"/>
      <c r="BL273" s="898"/>
      <c r="BM273" s="898"/>
      <c r="BN273" s="898"/>
      <c r="BO273" s="898"/>
      <c r="BP273" s="898"/>
      <c r="BQ273" s="898"/>
      <c r="BR273" s="898"/>
      <c r="BS273" s="898"/>
      <c r="BT273" s="898"/>
      <c r="BU273" s="898"/>
      <c r="BV273" s="898"/>
      <c r="BW273" s="898"/>
      <c r="BX273" s="898"/>
      <c r="BY273" s="898"/>
      <c r="BZ273" s="898"/>
      <c r="CA273" s="898"/>
      <c r="CB273" s="898"/>
      <c r="CC273" s="898"/>
      <c r="CD273" s="898"/>
      <c r="CE273" s="898"/>
      <c r="CF273" s="898"/>
      <c r="CG273" s="898"/>
      <c r="CH273" s="898"/>
      <c r="CI273" s="898"/>
      <c r="CJ273" s="898"/>
      <c r="CK273" s="898"/>
      <c r="CL273" s="898"/>
      <c r="CM273" s="898"/>
      <c r="CN273" s="898"/>
      <c r="CO273" s="898"/>
      <c r="CP273" s="898"/>
      <c r="CQ273" s="898"/>
      <c r="CR273" s="898"/>
      <c r="CS273" s="898"/>
      <c r="CT273" s="898"/>
      <c r="CU273" s="898"/>
    </row>
    <row r="274" ht="16.5" customHeight="1">
      <c r="A274" s="718"/>
      <c r="B274" s="1195"/>
      <c r="C274" s="866"/>
      <c r="D274" s="968"/>
      <c r="E274" s="718"/>
      <c r="F274" s="718"/>
      <c r="G274" s="718"/>
      <c r="H274" s="718"/>
      <c r="I274" s="359"/>
      <c r="J274" s="359"/>
      <c r="K274" s="359"/>
      <c r="L274" s="359"/>
      <c r="M274" s="359"/>
      <c r="N274" s="359"/>
      <c r="O274" s="359"/>
      <c r="P274" s="359"/>
      <c r="Q274" s="359"/>
      <c r="R274" s="718"/>
      <c r="S274" s="669"/>
      <c r="T274" s="669"/>
      <c r="U274" s="967"/>
      <c r="V274" s="974"/>
      <c r="W274" s="1197"/>
      <c r="X274" s="974"/>
      <c r="Y274" s="974"/>
      <c r="Z274" s="974"/>
      <c r="AA274" s="974"/>
      <c r="AB274" s="974"/>
      <c r="AC274" s="974"/>
      <c r="AD274" s="974"/>
      <c r="AE274" s="974"/>
      <c r="AF274" s="974"/>
      <c r="AG274" s="974"/>
      <c r="AH274" s="974"/>
      <c r="AI274" s="1198"/>
      <c r="AJ274" s="974"/>
      <c r="AK274" s="1197"/>
      <c r="AL274" s="974"/>
      <c r="AM274" s="974"/>
      <c r="AN274" s="974"/>
      <c r="AO274" s="974"/>
      <c r="AP274" s="974"/>
      <c r="AQ274" s="974"/>
      <c r="AR274" s="974"/>
      <c r="AS274" s="974"/>
      <c r="AT274" s="974"/>
      <c r="AU274" s="974"/>
      <c r="AV274" s="974"/>
      <c r="AW274" s="1181"/>
      <c r="AX274" s="978"/>
      <c r="AY274" s="898"/>
      <c r="AZ274" s="898"/>
      <c r="BA274" s="898"/>
      <c r="BB274" s="898"/>
      <c r="BC274" s="898"/>
      <c r="BD274" s="898"/>
      <c r="BE274" s="898"/>
      <c r="BF274" s="898"/>
      <c r="BG274" s="898"/>
      <c r="BH274" s="898"/>
      <c r="BI274" s="898"/>
      <c r="BJ274" s="898"/>
      <c r="BK274" s="898"/>
      <c r="BL274" s="898"/>
      <c r="BM274" s="898"/>
      <c r="BN274" s="898"/>
      <c r="BO274" s="898"/>
      <c r="BP274" s="898"/>
      <c r="BQ274" s="898"/>
      <c r="BR274" s="898"/>
      <c r="BS274" s="898"/>
      <c r="BT274" s="898"/>
      <c r="BU274" s="898"/>
      <c r="BV274" s="898"/>
      <c r="BW274" s="898"/>
      <c r="BX274" s="898"/>
      <c r="BY274" s="898"/>
      <c r="BZ274" s="898"/>
      <c r="CA274" s="898"/>
      <c r="CB274" s="898"/>
      <c r="CC274" s="898"/>
      <c r="CD274" s="898"/>
      <c r="CE274" s="898"/>
      <c r="CF274" s="898"/>
      <c r="CG274" s="898"/>
      <c r="CH274" s="898"/>
      <c r="CI274" s="898"/>
      <c r="CJ274" s="898"/>
      <c r="CK274" s="898"/>
      <c r="CL274" s="898"/>
      <c r="CM274" s="898"/>
      <c r="CN274" s="898"/>
      <c r="CO274" s="898"/>
      <c r="CP274" s="898"/>
      <c r="CQ274" s="898"/>
      <c r="CR274" s="898"/>
      <c r="CS274" s="898"/>
      <c r="CT274" s="898"/>
      <c r="CU274" s="898"/>
    </row>
    <row r="275" ht="16.5" customHeight="1">
      <c r="A275" s="718"/>
      <c r="B275" s="1195"/>
      <c r="C275" s="866"/>
      <c r="D275" s="968"/>
      <c r="E275" s="718"/>
      <c r="F275" s="718"/>
      <c r="G275" s="718"/>
      <c r="H275" s="718"/>
      <c r="I275" s="359"/>
      <c r="J275" s="359"/>
      <c r="K275" s="359"/>
      <c r="L275" s="359"/>
      <c r="M275" s="359"/>
      <c r="N275" s="359"/>
      <c r="O275" s="359"/>
      <c r="P275" s="359"/>
      <c r="Q275" s="359"/>
      <c r="R275" s="718"/>
      <c r="S275" s="669"/>
      <c r="T275" s="669"/>
      <c r="U275" s="967"/>
      <c r="V275" s="974"/>
      <c r="W275" s="1197"/>
      <c r="X275" s="974"/>
      <c r="Y275" s="974"/>
      <c r="Z275" s="974"/>
      <c r="AA275" s="974"/>
      <c r="AB275" s="974"/>
      <c r="AC275" s="974"/>
      <c r="AD275" s="974"/>
      <c r="AE275" s="974"/>
      <c r="AF275" s="974"/>
      <c r="AG275" s="974"/>
      <c r="AH275" s="974"/>
      <c r="AI275" s="1198"/>
      <c r="AJ275" s="974"/>
      <c r="AK275" s="1197"/>
      <c r="AL275" s="974"/>
      <c r="AM275" s="974"/>
      <c r="AN275" s="974"/>
      <c r="AO275" s="974"/>
      <c r="AP275" s="974"/>
      <c r="AQ275" s="974"/>
      <c r="AR275" s="974"/>
      <c r="AS275" s="974"/>
      <c r="AT275" s="974"/>
      <c r="AU275" s="974"/>
      <c r="AV275" s="974"/>
      <c r="AW275" s="1181"/>
      <c r="AX275" s="978"/>
      <c r="AY275" s="898"/>
      <c r="AZ275" s="898"/>
      <c r="BA275" s="898"/>
      <c r="BB275" s="898"/>
      <c r="BC275" s="898"/>
      <c r="BD275" s="898"/>
      <c r="BE275" s="898"/>
      <c r="BF275" s="898"/>
      <c r="BG275" s="898"/>
      <c r="BH275" s="898"/>
      <c r="BI275" s="898"/>
      <c r="BJ275" s="898"/>
      <c r="BK275" s="898"/>
      <c r="BL275" s="898"/>
      <c r="BM275" s="898"/>
      <c r="BN275" s="898"/>
      <c r="BO275" s="898"/>
      <c r="BP275" s="898"/>
      <c r="BQ275" s="898"/>
      <c r="BR275" s="898"/>
      <c r="BS275" s="898"/>
      <c r="BT275" s="898"/>
      <c r="BU275" s="898"/>
      <c r="BV275" s="898"/>
      <c r="BW275" s="898"/>
      <c r="BX275" s="898"/>
      <c r="BY275" s="898"/>
      <c r="BZ275" s="898"/>
      <c r="CA275" s="898"/>
      <c r="CB275" s="898"/>
      <c r="CC275" s="898"/>
      <c r="CD275" s="898"/>
      <c r="CE275" s="898"/>
      <c r="CF275" s="898"/>
      <c r="CG275" s="898"/>
      <c r="CH275" s="898"/>
      <c r="CI275" s="898"/>
      <c r="CJ275" s="898"/>
      <c r="CK275" s="898"/>
      <c r="CL275" s="898"/>
      <c r="CM275" s="898"/>
      <c r="CN275" s="898"/>
      <c r="CO275" s="898"/>
      <c r="CP275" s="898"/>
      <c r="CQ275" s="898"/>
      <c r="CR275" s="898"/>
      <c r="CS275" s="898"/>
      <c r="CT275" s="898"/>
      <c r="CU275" s="898"/>
    </row>
    <row r="276" ht="16.5" customHeight="1">
      <c r="A276" s="718"/>
      <c r="B276" s="1195"/>
      <c r="C276" s="866"/>
      <c r="D276" s="968"/>
      <c r="E276" s="718"/>
      <c r="F276" s="718"/>
      <c r="G276" s="718"/>
      <c r="H276" s="718"/>
      <c r="I276" s="359"/>
      <c r="J276" s="359"/>
      <c r="K276" s="359"/>
      <c r="L276" s="359"/>
      <c r="M276" s="359"/>
      <c r="N276" s="359"/>
      <c r="O276" s="359"/>
      <c r="P276" s="359"/>
      <c r="Q276" s="359"/>
      <c r="R276" s="718"/>
      <c r="S276" s="669"/>
      <c r="T276" s="669"/>
      <c r="U276" s="967"/>
      <c r="V276" s="974"/>
      <c r="W276" s="1197"/>
      <c r="X276" s="974"/>
      <c r="Y276" s="974"/>
      <c r="Z276" s="974"/>
      <c r="AA276" s="974"/>
      <c r="AB276" s="974"/>
      <c r="AC276" s="974"/>
      <c r="AD276" s="974"/>
      <c r="AE276" s="974"/>
      <c r="AF276" s="974"/>
      <c r="AG276" s="974"/>
      <c r="AH276" s="974"/>
      <c r="AI276" s="1198"/>
      <c r="AJ276" s="974"/>
      <c r="AK276" s="1197"/>
      <c r="AL276" s="974"/>
      <c r="AM276" s="974"/>
      <c r="AN276" s="974"/>
      <c r="AO276" s="974"/>
      <c r="AP276" s="974"/>
      <c r="AQ276" s="974"/>
      <c r="AR276" s="974"/>
      <c r="AS276" s="974"/>
      <c r="AT276" s="974"/>
      <c r="AU276" s="974"/>
      <c r="AV276" s="974"/>
      <c r="AW276" s="1181"/>
      <c r="AX276" s="978"/>
      <c r="AY276" s="898"/>
      <c r="AZ276" s="898"/>
      <c r="BA276" s="898"/>
      <c r="BB276" s="898"/>
      <c r="BC276" s="898"/>
      <c r="BD276" s="898"/>
      <c r="BE276" s="898"/>
      <c r="BF276" s="898"/>
      <c r="BG276" s="898"/>
      <c r="BH276" s="898"/>
      <c r="BI276" s="898"/>
      <c r="BJ276" s="898"/>
      <c r="BK276" s="898"/>
      <c r="BL276" s="898"/>
      <c r="BM276" s="898"/>
      <c r="BN276" s="898"/>
      <c r="BO276" s="898"/>
      <c r="BP276" s="898"/>
      <c r="BQ276" s="898"/>
      <c r="BR276" s="898"/>
      <c r="BS276" s="898"/>
      <c r="BT276" s="898"/>
      <c r="BU276" s="898"/>
      <c r="BV276" s="898"/>
      <c r="BW276" s="898"/>
      <c r="BX276" s="898"/>
      <c r="BY276" s="898"/>
      <c r="BZ276" s="898"/>
      <c r="CA276" s="898"/>
      <c r="CB276" s="898"/>
      <c r="CC276" s="898"/>
      <c r="CD276" s="898"/>
      <c r="CE276" s="898"/>
      <c r="CF276" s="898"/>
      <c r="CG276" s="898"/>
      <c r="CH276" s="898"/>
      <c r="CI276" s="898"/>
      <c r="CJ276" s="898"/>
      <c r="CK276" s="898"/>
      <c r="CL276" s="898"/>
      <c r="CM276" s="898"/>
      <c r="CN276" s="898"/>
      <c r="CO276" s="898"/>
      <c r="CP276" s="898"/>
      <c r="CQ276" s="898"/>
      <c r="CR276" s="898"/>
      <c r="CS276" s="898"/>
      <c r="CT276" s="898"/>
      <c r="CU276" s="898"/>
    </row>
    <row r="277" ht="16.5" customHeight="1">
      <c r="A277" s="718"/>
      <c r="B277" s="1195"/>
      <c r="C277" s="866"/>
      <c r="D277" s="968"/>
      <c r="E277" s="718"/>
      <c r="F277" s="718"/>
      <c r="G277" s="718"/>
      <c r="H277" s="718"/>
      <c r="I277" s="359"/>
      <c r="J277" s="359"/>
      <c r="K277" s="359"/>
      <c r="L277" s="359"/>
      <c r="M277" s="359"/>
      <c r="N277" s="359"/>
      <c r="O277" s="359"/>
      <c r="P277" s="359"/>
      <c r="Q277" s="359"/>
      <c r="R277" s="718"/>
      <c r="S277" s="669"/>
      <c r="T277" s="669"/>
      <c r="U277" s="967"/>
      <c r="V277" s="974"/>
      <c r="W277" s="1197"/>
      <c r="X277" s="974"/>
      <c r="Y277" s="974"/>
      <c r="Z277" s="974"/>
      <c r="AA277" s="974"/>
      <c r="AB277" s="974"/>
      <c r="AC277" s="974"/>
      <c r="AD277" s="974"/>
      <c r="AE277" s="974"/>
      <c r="AF277" s="974"/>
      <c r="AG277" s="974"/>
      <c r="AH277" s="974"/>
      <c r="AI277" s="1198"/>
      <c r="AJ277" s="974"/>
      <c r="AK277" s="1197"/>
      <c r="AL277" s="974"/>
      <c r="AM277" s="974"/>
      <c r="AN277" s="974"/>
      <c r="AO277" s="974"/>
      <c r="AP277" s="974"/>
      <c r="AQ277" s="974"/>
      <c r="AR277" s="974"/>
      <c r="AS277" s="974"/>
      <c r="AT277" s="974"/>
      <c r="AU277" s="974"/>
      <c r="AV277" s="974"/>
      <c r="AW277" s="1181"/>
      <c r="AX277" s="978"/>
      <c r="AY277" s="898"/>
      <c r="AZ277" s="898"/>
      <c r="BA277" s="898"/>
      <c r="BB277" s="898"/>
      <c r="BC277" s="898"/>
      <c r="BD277" s="898"/>
      <c r="BE277" s="898"/>
      <c r="BF277" s="898"/>
      <c r="BG277" s="898"/>
      <c r="BH277" s="898"/>
      <c r="BI277" s="898"/>
      <c r="BJ277" s="898"/>
      <c r="BK277" s="898"/>
      <c r="BL277" s="898"/>
      <c r="BM277" s="898"/>
      <c r="BN277" s="898"/>
      <c r="BO277" s="898"/>
      <c r="BP277" s="898"/>
      <c r="BQ277" s="898"/>
      <c r="BR277" s="898"/>
      <c r="BS277" s="898"/>
      <c r="BT277" s="898"/>
      <c r="BU277" s="898"/>
      <c r="BV277" s="898"/>
      <c r="BW277" s="898"/>
      <c r="BX277" s="898"/>
      <c r="BY277" s="898"/>
      <c r="BZ277" s="898"/>
      <c r="CA277" s="898"/>
      <c r="CB277" s="898"/>
      <c r="CC277" s="898"/>
      <c r="CD277" s="898"/>
      <c r="CE277" s="898"/>
      <c r="CF277" s="898"/>
      <c r="CG277" s="898"/>
      <c r="CH277" s="898"/>
      <c r="CI277" s="898"/>
      <c r="CJ277" s="898"/>
      <c r="CK277" s="898"/>
      <c r="CL277" s="898"/>
      <c r="CM277" s="898"/>
      <c r="CN277" s="898"/>
      <c r="CO277" s="898"/>
      <c r="CP277" s="898"/>
      <c r="CQ277" s="898"/>
      <c r="CR277" s="898"/>
      <c r="CS277" s="898"/>
      <c r="CT277" s="898"/>
      <c r="CU277" s="898"/>
    </row>
    <row r="278" ht="16.5" customHeight="1">
      <c r="A278" s="718"/>
      <c r="B278" s="1195"/>
      <c r="C278" s="866"/>
      <c r="D278" s="968"/>
      <c r="E278" s="718"/>
      <c r="F278" s="718"/>
      <c r="G278" s="718"/>
      <c r="H278" s="718"/>
      <c r="I278" s="359"/>
      <c r="J278" s="359"/>
      <c r="K278" s="359"/>
      <c r="L278" s="359"/>
      <c r="M278" s="359"/>
      <c r="N278" s="359"/>
      <c r="O278" s="359"/>
      <c r="P278" s="359"/>
      <c r="Q278" s="359"/>
      <c r="R278" s="718"/>
      <c r="S278" s="669"/>
      <c r="T278" s="669"/>
      <c r="U278" s="967"/>
      <c r="V278" s="974"/>
      <c r="W278" s="1197"/>
      <c r="X278" s="974"/>
      <c r="Y278" s="974"/>
      <c r="Z278" s="974"/>
      <c r="AA278" s="974"/>
      <c r="AB278" s="974"/>
      <c r="AC278" s="974"/>
      <c r="AD278" s="974"/>
      <c r="AE278" s="974"/>
      <c r="AF278" s="974"/>
      <c r="AG278" s="974"/>
      <c r="AH278" s="974"/>
      <c r="AI278" s="1198"/>
      <c r="AJ278" s="974"/>
      <c r="AK278" s="1197"/>
      <c r="AL278" s="974"/>
      <c r="AM278" s="974"/>
      <c r="AN278" s="974"/>
      <c r="AO278" s="974"/>
      <c r="AP278" s="974"/>
      <c r="AQ278" s="974"/>
      <c r="AR278" s="974"/>
      <c r="AS278" s="974"/>
      <c r="AT278" s="974"/>
      <c r="AU278" s="974"/>
      <c r="AV278" s="974"/>
      <c r="AW278" s="1181"/>
      <c r="AX278" s="978"/>
      <c r="AY278" s="898"/>
      <c r="AZ278" s="898"/>
      <c r="BA278" s="898"/>
      <c r="BB278" s="898"/>
      <c r="BC278" s="898"/>
      <c r="BD278" s="898"/>
      <c r="BE278" s="898"/>
      <c r="BF278" s="898"/>
      <c r="BG278" s="898"/>
      <c r="BH278" s="898"/>
      <c r="BI278" s="898"/>
      <c r="BJ278" s="898"/>
      <c r="BK278" s="898"/>
      <c r="BL278" s="898"/>
      <c r="BM278" s="898"/>
      <c r="BN278" s="898"/>
      <c r="BO278" s="898"/>
      <c r="BP278" s="898"/>
      <c r="BQ278" s="898"/>
      <c r="BR278" s="898"/>
      <c r="BS278" s="898"/>
      <c r="BT278" s="898"/>
      <c r="BU278" s="898"/>
      <c r="BV278" s="898"/>
      <c r="BW278" s="898"/>
      <c r="BX278" s="898"/>
      <c r="BY278" s="898"/>
      <c r="BZ278" s="898"/>
      <c r="CA278" s="898"/>
      <c r="CB278" s="898"/>
      <c r="CC278" s="898"/>
      <c r="CD278" s="898"/>
      <c r="CE278" s="898"/>
      <c r="CF278" s="898"/>
      <c r="CG278" s="898"/>
      <c r="CH278" s="898"/>
      <c r="CI278" s="898"/>
      <c r="CJ278" s="898"/>
      <c r="CK278" s="898"/>
      <c r="CL278" s="898"/>
      <c r="CM278" s="898"/>
      <c r="CN278" s="898"/>
      <c r="CO278" s="898"/>
      <c r="CP278" s="898"/>
      <c r="CQ278" s="898"/>
      <c r="CR278" s="898"/>
      <c r="CS278" s="898"/>
      <c r="CT278" s="898"/>
      <c r="CU278" s="898"/>
    </row>
    <row r="279" ht="16.5" customHeight="1">
      <c r="A279" s="718"/>
      <c r="B279" s="1195"/>
      <c r="C279" s="866"/>
      <c r="D279" s="968"/>
      <c r="E279" s="718"/>
      <c r="F279" s="718"/>
      <c r="G279" s="718"/>
      <c r="H279" s="718"/>
      <c r="I279" s="359"/>
      <c r="J279" s="359"/>
      <c r="K279" s="359"/>
      <c r="L279" s="359"/>
      <c r="M279" s="359"/>
      <c r="N279" s="359"/>
      <c r="O279" s="359"/>
      <c r="P279" s="359"/>
      <c r="Q279" s="359"/>
      <c r="R279" s="718"/>
      <c r="S279" s="669"/>
      <c r="T279" s="669"/>
      <c r="U279" s="967"/>
      <c r="V279" s="974"/>
      <c r="W279" s="1197"/>
      <c r="X279" s="974"/>
      <c r="Y279" s="974"/>
      <c r="Z279" s="974"/>
      <c r="AA279" s="974"/>
      <c r="AB279" s="974"/>
      <c r="AC279" s="974"/>
      <c r="AD279" s="974"/>
      <c r="AE279" s="974"/>
      <c r="AF279" s="974"/>
      <c r="AG279" s="974"/>
      <c r="AH279" s="974"/>
      <c r="AI279" s="1198"/>
      <c r="AJ279" s="974"/>
      <c r="AK279" s="1197"/>
      <c r="AL279" s="974"/>
      <c r="AM279" s="974"/>
      <c r="AN279" s="974"/>
      <c r="AO279" s="974"/>
      <c r="AP279" s="974"/>
      <c r="AQ279" s="974"/>
      <c r="AR279" s="974"/>
      <c r="AS279" s="974"/>
      <c r="AT279" s="974"/>
      <c r="AU279" s="974"/>
      <c r="AV279" s="974"/>
      <c r="AW279" s="1181"/>
      <c r="AX279" s="978"/>
      <c r="AY279" s="898"/>
      <c r="AZ279" s="898"/>
      <c r="BA279" s="898"/>
      <c r="BB279" s="898"/>
      <c r="BC279" s="898"/>
      <c r="BD279" s="898"/>
      <c r="BE279" s="898"/>
      <c r="BF279" s="898"/>
      <c r="BG279" s="898"/>
      <c r="BH279" s="898"/>
      <c r="BI279" s="898"/>
      <c r="BJ279" s="898"/>
      <c r="BK279" s="898"/>
      <c r="BL279" s="898"/>
      <c r="BM279" s="898"/>
      <c r="BN279" s="898"/>
      <c r="BO279" s="898"/>
      <c r="BP279" s="898"/>
      <c r="BQ279" s="898"/>
      <c r="BR279" s="898"/>
      <c r="BS279" s="898"/>
      <c r="BT279" s="898"/>
      <c r="BU279" s="898"/>
      <c r="BV279" s="898"/>
      <c r="BW279" s="898"/>
      <c r="BX279" s="898"/>
      <c r="BY279" s="898"/>
      <c r="BZ279" s="898"/>
      <c r="CA279" s="898"/>
      <c r="CB279" s="898"/>
      <c r="CC279" s="898"/>
      <c r="CD279" s="898"/>
      <c r="CE279" s="898"/>
      <c r="CF279" s="898"/>
      <c r="CG279" s="898"/>
      <c r="CH279" s="898"/>
      <c r="CI279" s="898"/>
      <c r="CJ279" s="898"/>
      <c r="CK279" s="898"/>
      <c r="CL279" s="898"/>
      <c r="CM279" s="898"/>
      <c r="CN279" s="898"/>
      <c r="CO279" s="898"/>
      <c r="CP279" s="898"/>
      <c r="CQ279" s="898"/>
      <c r="CR279" s="898"/>
      <c r="CS279" s="898"/>
      <c r="CT279" s="898"/>
      <c r="CU279" s="898"/>
    </row>
    <row r="280" ht="16.5" customHeight="1">
      <c r="A280" s="718"/>
      <c r="B280" s="1195"/>
      <c r="C280" s="866"/>
      <c r="D280" s="968"/>
      <c r="E280" s="718"/>
      <c r="F280" s="718"/>
      <c r="G280" s="718"/>
      <c r="H280" s="718"/>
      <c r="I280" s="359"/>
      <c r="J280" s="359"/>
      <c r="K280" s="359"/>
      <c r="L280" s="359"/>
      <c r="M280" s="359"/>
      <c r="N280" s="359"/>
      <c r="O280" s="359"/>
      <c r="P280" s="359"/>
      <c r="Q280" s="359"/>
      <c r="R280" s="718"/>
      <c r="S280" s="669"/>
      <c r="T280" s="669"/>
      <c r="U280" s="967"/>
      <c r="V280" s="974"/>
      <c r="W280" s="1197"/>
      <c r="X280" s="974"/>
      <c r="Y280" s="974"/>
      <c r="Z280" s="974"/>
      <c r="AA280" s="974"/>
      <c r="AB280" s="974"/>
      <c r="AC280" s="974"/>
      <c r="AD280" s="974"/>
      <c r="AE280" s="974"/>
      <c r="AF280" s="974"/>
      <c r="AG280" s="974"/>
      <c r="AH280" s="974"/>
      <c r="AI280" s="1198"/>
      <c r="AJ280" s="974"/>
      <c r="AK280" s="1197"/>
      <c r="AL280" s="974"/>
      <c r="AM280" s="974"/>
      <c r="AN280" s="974"/>
      <c r="AO280" s="974"/>
      <c r="AP280" s="974"/>
      <c r="AQ280" s="974"/>
      <c r="AR280" s="974"/>
      <c r="AS280" s="974"/>
      <c r="AT280" s="974"/>
      <c r="AU280" s="974"/>
      <c r="AV280" s="974"/>
      <c r="AW280" s="1181"/>
      <c r="AX280" s="978"/>
      <c r="AY280" s="898"/>
      <c r="AZ280" s="898"/>
      <c r="BA280" s="898"/>
      <c r="BB280" s="898"/>
      <c r="BC280" s="898"/>
      <c r="BD280" s="898"/>
      <c r="BE280" s="898"/>
      <c r="BF280" s="898"/>
      <c r="BG280" s="898"/>
      <c r="BH280" s="898"/>
      <c r="BI280" s="898"/>
      <c r="BJ280" s="898"/>
      <c r="BK280" s="898"/>
      <c r="BL280" s="898"/>
      <c r="BM280" s="898"/>
      <c r="BN280" s="898"/>
      <c r="BO280" s="898"/>
      <c r="BP280" s="898"/>
      <c r="BQ280" s="898"/>
      <c r="BR280" s="898"/>
      <c r="BS280" s="898"/>
      <c r="BT280" s="898"/>
      <c r="BU280" s="898"/>
      <c r="BV280" s="898"/>
      <c r="BW280" s="898"/>
      <c r="BX280" s="898"/>
      <c r="BY280" s="898"/>
      <c r="BZ280" s="898"/>
      <c r="CA280" s="898"/>
      <c r="CB280" s="898"/>
      <c r="CC280" s="898"/>
      <c r="CD280" s="898"/>
      <c r="CE280" s="898"/>
      <c r="CF280" s="898"/>
      <c r="CG280" s="898"/>
      <c r="CH280" s="898"/>
      <c r="CI280" s="898"/>
      <c r="CJ280" s="898"/>
      <c r="CK280" s="898"/>
      <c r="CL280" s="898"/>
      <c r="CM280" s="898"/>
      <c r="CN280" s="898"/>
      <c r="CO280" s="898"/>
      <c r="CP280" s="898"/>
      <c r="CQ280" s="898"/>
      <c r="CR280" s="898"/>
      <c r="CS280" s="898"/>
      <c r="CT280" s="898"/>
      <c r="CU280" s="898"/>
    </row>
    <row r="281" ht="16.5" customHeight="1">
      <c r="A281" s="718"/>
      <c r="B281" s="1195"/>
      <c r="C281" s="866"/>
      <c r="D281" s="968"/>
      <c r="E281" s="718"/>
      <c r="F281" s="718"/>
      <c r="G281" s="718"/>
      <c r="H281" s="718"/>
      <c r="I281" s="359"/>
      <c r="J281" s="359"/>
      <c r="K281" s="359"/>
      <c r="L281" s="359"/>
      <c r="M281" s="359"/>
      <c r="N281" s="359"/>
      <c r="O281" s="359"/>
      <c r="P281" s="359"/>
      <c r="Q281" s="359"/>
      <c r="R281" s="718"/>
      <c r="S281" s="669"/>
      <c r="T281" s="669"/>
      <c r="U281" s="967"/>
      <c r="V281" s="974"/>
      <c r="W281" s="1197"/>
      <c r="X281" s="974"/>
      <c r="Y281" s="974"/>
      <c r="Z281" s="974"/>
      <c r="AA281" s="974"/>
      <c r="AB281" s="974"/>
      <c r="AC281" s="974"/>
      <c r="AD281" s="974"/>
      <c r="AE281" s="974"/>
      <c r="AF281" s="974"/>
      <c r="AG281" s="974"/>
      <c r="AH281" s="974"/>
      <c r="AI281" s="1198"/>
      <c r="AJ281" s="974"/>
      <c r="AK281" s="1197"/>
      <c r="AL281" s="974"/>
      <c r="AM281" s="974"/>
      <c r="AN281" s="974"/>
      <c r="AO281" s="974"/>
      <c r="AP281" s="974"/>
      <c r="AQ281" s="974"/>
      <c r="AR281" s="974"/>
      <c r="AS281" s="974"/>
      <c r="AT281" s="974"/>
      <c r="AU281" s="974"/>
      <c r="AV281" s="974"/>
      <c r="AW281" s="1181"/>
      <c r="AX281" s="978"/>
      <c r="AY281" s="898"/>
      <c r="AZ281" s="898"/>
      <c r="BA281" s="898"/>
      <c r="BB281" s="898"/>
      <c r="BC281" s="898"/>
      <c r="BD281" s="898"/>
      <c r="BE281" s="898"/>
      <c r="BF281" s="898"/>
      <c r="BG281" s="898"/>
      <c r="BH281" s="898"/>
      <c r="BI281" s="898"/>
      <c r="BJ281" s="898"/>
      <c r="BK281" s="898"/>
      <c r="BL281" s="898"/>
      <c r="BM281" s="898"/>
      <c r="BN281" s="898"/>
      <c r="BO281" s="898"/>
      <c r="BP281" s="898"/>
      <c r="BQ281" s="898"/>
      <c r="BR281" s="898"/>
      <c r="BS281" s="898"/>
      <c r="BT281" s="898"/>
      <c r="BU281" s="898"/>
      <c r="BV281" s="898"/>
      <c r="BW281" s="898"/>
      <c r="BX281" s="898"/>
      <c r="BY281" s="898"/>
      <c r="BZ281" s="898"/>
      <c r="CA281" s="898"/>
      <c r="CB281" s="898"/>
      <c r="CC281" s="898"/>
      <c r="CD281" s="898"/>
      <c r="CE281" s="898"/>
      <c r="CF281" s="898"/>
      <c r="CG281" s="898"/>
      <c r="CH281" s="898"/>
      <c r="CI281" s="898"/>
      <c r="CJ281" s="898"/>
      <c r="CK281" s="898"/>
      <c r="CL281" s="898"/>
      <c r="CM281" s="898"/>
      <c r="CN281" s="898"/>
      <c r="CO281" s="898"/>
      <c r="CP281" s="898"/>
      <c r="CQ281" s="898"/>
      <c r="CR281" s="898"/>
      <c r="CS281" s="898"/>
      <c r="CT281" s="898"/>
      <c r="CU281" s="898"/>
    </row>
    <row r="282" ht="16.5" customHeight="1">
      <c r="A282" s="718"/>
      <c r="B282" s="1195"/>
      <c r="C282" s="866"/>
      <c r="D282" s="968"/>
      <c r="E282" s="718"/>
      <c r="F282" s="718"/>
      <c r="G282" s="718"/>
      <c r="H282" s="718"/>
      <c r="I282" s="359"/>
      <c r="J282" s="359"/>
      <c r="K282" s="359"/>
      <c r="L282" s="359"/>
      <c r="M282" s="359"/>
      <c r="N282" s="359"/>
      <c r="O282" s="359"/>
      <c r="P282" s="359"/>
      <c r="Q282" s="359"/>
      <c r="R282" s="718"/>
      <c r="S282" s="669"/>
      <c r="T282" s="669"/>
      <c r="U282" s="967"/>
      <c r="V282" s="974"/>
      <c r="W282" s="1197"/>
      <c r="X282" s="974"/>
      <c r="Y282" s="974"/>
      <c r="Z282" s="974"/>
      <c r="AA282" s="974"/>
      <c r="AB282" s="974"/>
      <c r="AC282" s="974"/>
      <c r="AD282" s="974"/>
      <c r="AE282" s="974"/>
      <c r="AF282" s="974"/>
      <c r="AG282" s="974"/>
      <c r="AH282" s="974"/>
      <c r="AI282" s="1198"/>
      <c r="AJ282" s="974"/>
      <c r="AK282" s="1197"/>
      <c r="AL282" s="974"/>
      <c r="AM282" s="974"/>
      <c r="AN282" s="974"/>
      <c r="AO282" s="974"/>
      <c r="AP282" s="974"/>
      <c r="AQ282" s="974"/>
      <c r="AR282" s="974"/>
      <c r="AS282" s="974"/>
      <c r="AT282" s="974"/>
      <c r="AU282" s="974"/>
      <c r="AV282" s="974"/>
      <c r="AW282" s="1181"/>
      <c r="AX282" s="978"/>
      <c r="AY282" s="898"/>
      <c r="AZ282" s="898"/>
      <c r="BA282" s="898"/>
      <c r="BB282" s="898"/>
      <c r="BC282" s="898"/>
      <c r="BD282" s="898"/>
      <c r="BE282" s="898"/>
      <c r="BF282" s="898"/>
      <c r="BG282" s="898"/>
      <c r="BH282" s="898"/>
      <c r="BI282" s="898"/>
      <c r="BJ282" s="898"/>
      <c r="BK282" s="898"/>
      <c r="BL282" s="898"/>
      <c r="BM282" s="898"/>
      <c r="BN282" s="898"/>
      <c r="BO282" s="898"/>
      <c r="BP282" s="898"/>
      <c r="BQ282" s="898"/>
      <c r="BR282" s="898"/>
      <c r="BS282" s="898"/>
      <c r="BT282" s="898"/>
      <c r="BU282" s="898"/>
      <c r="BV282" s="898"/>
      <c r="BW282" s="898"/>
      <c r="BX282" s="898"/>
      <c r="BY282" s="898"/>
      <c r="BZ282" s="898"/>
      <c r="CA282" s="898"/>
      <c r="CB282" s="898"/>
      <c r="CC282" s="898"/>
      <c r="CD282" s="898"/>
      <c r="CE282" s="898"/>
      <c r="CF282" s="898"/>
      <c r="CG282" s="898"/>
      <c r="CH282" s="898"/>
      <c r="CI282" s="898"/>
      <c r="CJ282" s="898"/>
      <c r="CK282" s="898"/>
      <c r="CL282" s="898"/>
      <c r="CM282" s="898"/>
      <c r="CN282" s="898"/>
      <c r="CO282" s="898"/>
      <c r="CP282" s="898"/>
      <c r="CQ282" s="898"/>
      <c r="CR282" s="898"/>
      <c r="CS282" s="898"/>
      <c r="CT282" s="898"/>
      <c r="CU282" s="898"/>
    </row>
    <row r="283" ht="16.5" customHeight="1">
      <c r="A283" s="718"/>
      <c r="B283" s="1195"/>
      <c r="C283" s="866"/>
      <c r="D283" s="968"/>
      <c r="E283" s="718"/>
      <c r="F283" s="718"/>
      <c r="G283" s="718"/>
      <c r="H283" s="718"/>
      <c r="I283" s="359"/>
      <c r="J283" s="359"/>
      <c r="K283" s="359"/>
      <c r="L283" s="359"/>
      <c r="M283" s="359"/>
      <c r="N283" s="359"/>
      <c r="O283" s="359"/>
      <c r="P283" s="359"/>
      <c r="Q283" s="359"/>
      <c r="R283" s="718"/>
      <c r="S283" s="669"/>
      <c r="T283" s="669"/>
      <c r="U283" s="967"/>
      <c r="V283" s="974"/>
      <c r="W283" s="1197"/>
      <c r="X283" s="974"/>
      <c r="Y283" s="974"/>
      <c r="Z283" s="974"/>
      <c r="AA283" s="974"/>
      <c r="AB283" s="974"/>
      <c r="AC283" s="974"/>
      <c r="AD283" s="974"/>
      <c r="AE283" s="974"/>
      <c r="AF283" s="974"/>
      <c r="AG283" s="974"/>
      <c r="AH283" s="974"/>
      <c r="AI283" s="1198"/>
      <c r="AJ283" s="974"/>
      <c r="AK283" s="1197"/>
      <c r="AL283" s="974"/>
      <c r="AM283" s="974"/>
      <c r="AN283" s="974"/>
      <c r="AO283" s="974"/>
      <c r="AP283" s="974"/>
      <c r="AQ283" s="974"/>
      <c r="AR283" s="974"/>
      <c r="AS283" s="974"/>
      <c r="AT283" s="974"/>
      <c r="AU283" s="974"/>
      <c r="AV283" s="974"/>
      <c r="AW283" s="1181"/>
      <c r="AX283" s="978"/>
      <c r="AY283" s="898"/>
      <c r="AZ283" s="898"/>
      <c r="BA283" s="898"/>
      <c r="BB283" s="898"/>
      <c r="BC283" s="898"/>
      <c r="BD283" s="898"/>
      <c r="BE283" s="898"/>
      <c r="BF283" s="898"/>
      <c r="BG283" s="898"/>
      <c r="BH283" s="898"/>
      <c r="BI283" s="898"/>
      <c r="BJ283" s="898"/>
      <c r="BK283" s="898"/>
      <c r="BL283" s="898"/>
      <c r="BM283" s="898"/>
      <c r="BN283" s="898"/>
      <c r="BO283" s="898"/>
      <c r="BP283" s="898"/>
      <c r="BQ283" s="898"/>
      <c r="BR283" s="898"/>
      <c r="BS283" s="898"/>
      <c r="BT283" s="898"/>
      <c r="BU283" s="898"/>
      <c r="BV283" s="898"/>
      <c r="BW283" s="898"/>
      <c r="BX283" s="898"/>
      <c r="BY283" s="898"/>
      <c r="BZ283" s="898"/>
      <c r="CA283" s="898"/>
      <c r="CB283" s="898"/>
      <c r="CC283" s="898"/>
      <c r="CD283" s="898"/>
      <c r="CE283" s="898"/>
      <c r="CF283" s="898"/>
      <c r="CG283" s="898"/>
      <c r="CH283" s="898"/>
      <c r="CI283" s="898"/>
      <c r="CJ283" s="898"/>
      <c r="CK283" s="898"/>
      <c r="CL283" s="898"/>
      <c r="CM283" s="898"/>
      <c r="CN283" s="898"/>
      <c r="CO283" s="898"/>
      <c r="CP283" s="898"/>
      <c r="CQ283" s="898"/>
      <c r="CR283" s="898"/>
      <c r="CS283" s="898"/>
      <c r="CT283" s="898"/>
      <c r="CU283" s="898"/>
    </row>
    <row r="284" ht="16.5" customHeight="1">
      <c r="A284" s="718"/>
      <c r="B284" s="1195"/>
      <c r="C284" s="866"/>
      <c r="D284" s="968"/>
      <c r="E284" s="718"/>
      <c r="F284" s="718"/>
      <c r="G284" s="718"/>
      <c r="H284" s="718"/>
      <c r="I284" s="359"/>
      <c r="J284" s="359"/>
      <c r="K284" s="359"/>
      <c r="L284" s="359"/>
      <c r="M284" s="359"/>
      <c r="N284" s="359"/>
      <c r="O284" s="359"/>
      <c r="P284" s="359"/>
      <c r="Q284" s="359"/>
      <c r="R284" s="718"/>
      <c r="S284" s="669"/>
      <c r="T284" s="669"/>
      <c r="U284" s="967"/>
      <c r="V284" s="974"/>
      <c r="W284" s="1197"/>
      <c r="X284" s="974"/>
      <c r="Y284" s="974"/>
      <c r="Z284" s="974"/>
      <c r="AA284" s="974"/>
      <c r="AB284" s="974"/>
      <c r="AC284" s="974"/>
      <c r="AD284" s="974"/>
      <c r="AE284" s="974"/>
      <c r="AF284" s="974"/>
      <c r="AG284" s="974"/>
      <c r="AH284" s="974"/>
      <c r="AI284" s="1198"/>
      <c r="AJ284" s="974"/>
      <c r="AK284" s="1197"/>
      <c r="AL284" s="974"/>
      <c r="AM284" s="974"/>
      <c r="AN284" s="974"/>
      <c r="AO284" s="974"/>
      <c r="AP284" s="974"/>
      <c r="AQ284" s="974"/>
      <c r="AR284" s="974"/>
      <c r="AS284" s="974"/>
      <c r="AT284" s="974"/>
      <c r="AU284" s="974"/>
      <c r="AV284" s="974"/>
      <c r="AW284" s="1181"/>
      <c r="AX284" s="978"/>
      <c r="AY284" s="898"/>
      <c r="AZ284" s="898"/>
      <c r="BA284" s="898"/>
      <c r="BB284" s="898"/>
      <c r="BC284" s="898"/>
      <c r="BD284" s="898"/>
      <c r="BE284" s="898"/>
      <c r="BF284" s="898"/>
      <c r="BG284" s="898"/>
      <c r="BH284" s="898"/>
      <c r="BI284" s="898"/>
      <c r="BJ284" s="898"/>
      <c r="BK284" s="898"/>
      <c r="BL284" s="898"/>
      <c r="BM284" s="898"/>
      <c r="BN284" s="898"/>
      <c r="BO284" s="898"/>
      <c r="BP284" s="898"/>
      <c r="BQ284" s="898"/>
      <c r="BR284" s="898"/>
      <c r="BS284" s="898"/>
      <c r="BT284" s="898"/>
      <c r="BU284" s="898"/>
      <c r="BV284" s="898"/>
      <c r="BW284" s="898"/>
      <c r="BX284" s="898"/>
      <c r="BY284" s="898"/>
      <c r="BZ284" s="898"/>
      <c r="CA284" s="898"/>
      <c r="CB284" s="898"/>
      <c r="CC284" s="898"/>
      <c r="CD284" s="898"/>
      <c r="CE284" s="898"/>
      <c r="CF284" s="898"/>
      <c r="CG284" s="898"/>
      <c r="CH284" s="898"/>
      <c r="CI284" s="898"/>
      <c r="CJ284" s="898"/>
      <c r="CK284" s="898"/>
      <c r="CL284" s="898"/>
      <c r="CM284" s="898"/>
      <c r="CN284" s="898"/>
      <c r="CO284" s="898"/>
      <c r="CP284" s="898"/>
      <c r="CQ284" s="898"/>
      <c r="CR284" s="898"/>
      <c r="CS284" s="898"/>
      <c r="CT284" s="898"/>
      <c r="CU284" s="898"/>
    </row>
    <row r="285" ht="16.5" customHeight="1">
      <c r="A285" s="718"/>
      <c r="B285" s="1195"/>
      <c r="C285" s="866"/>
      <c r="D285" s="968"/>
      <c r="E285" s="718"/>
      <c r="F285" s="718"/>
      <c r="G285" s="718"/>
      <c r="H285" s="718"/>
      <c r="I285" s="359"/>
      <c r="J285" s="359"/>
      <c r="K285" s="359"/>
      <c r="L285" s="359"/>
      <c r="M285" s="359"/>
      <c r="N285" s="359"/>
      <c r="O285" s="359"/>
      <c r="P285" s="359"/>
      <c r="Q285" s="359"/>
      <c r="R285" s="718"/>
      <c r="S285" s="669"/>
      <c r="T285" s="669"/>
      <c r="U285" s="967"/>
      <c r="V285" s="974"/>
      <c r="W285" s="1197"/>
      <c r="X285" s="974"/>
      <c r="Y285" s="974"/>
      <c r="Z285" s="974"/>
      <c r="AA285" s="974"/>
      <c r="AB285" s="974"/>
      <c r="AC285" s="974"/>
      <c r="AD285" s="974"/>
      <c r="AE285" s="974"/>
      <c r="AF285" s="974"/>
      <c r="AG285" s="974"/>
      <c r="AH285" s="974"/>
      <c r="AI285" s="1198"/>
      <c r="AJ285" s="974"/>
      <c r="AK285" s="1197"/>
      <c r="AL285" s="974"/>
      <c r="AM285" s="974"/>
      <c r="AN285" s="974"/>
      <c r="AO285" s="974"/>
      <c r="AP285" s="974"/>
      <c r="AQ285" s="974"/>
      <c r="AR285" s="974"/>
      <c r="AS285" s="974"/>
      <c r="AT285" s="974"/>
      <c r="AU285" s="974"/>
      <c r="AV285" s="974"/>
      <c r="AW285" s="1181"/>
      <c r="AX285" s="978"/>
      <c r="AY285" s="898"/>
      <c r="AZ285" s="898"/>
      <c r="BA285" s="898"/>
      <c r="BB285" s="898"/>
      <c r="BC285" s="898"/>
      <c r="BD285" s="898"/>
      <c r="BE285" s="898"/>
      <c r="BF285" s="898"/>
      <c r="BG285" s="898"/>
      <c r="BH285" s="898"/>
      <c r="BI285" s="898"/>
      <c r="BJ285" s="898"/>
      <c r="BK285" s="898"/>
      <c r="BL285" s="898"/>
      <c r="BM285" s="898"/>
      <c r="BN285" s="898"/>
      <c r="BO285" s="898"/>
      <c r="BP285" s="898"/>
      <c r="BQ285" s="898"/>
      <c r="BR285" s="898"/>
      <c r="BS285" s="898"/>
      <c r="BT285" s="898"/>
      <c r="BU285" s="898"/>
      <c r="BV285" s="898"/>
      <c r="BW285" s="898"/>
      <c r="BX285" s="898"/>
      <c r="BY285" s="898"/>
      <c r="BZ285" s="898"/>
      <c r="CA285" s="898"/>
      <c r="CB285" s="898"/>
      <c r="CC285" s="898"/>
      <c r="CD285" s="898"/>
      <c r="CE285" s="898"/>
      <c r="CF285" s="898"/>
      <c r="CG285" s="898"/>
      <c r="CH285" s="898"/>
      <c r="CI285" s="898"/>
      <c r="CJ285" s="898"/>
      <c r="CK285" s="898"/>
      <c r="CL285" s="898"/>
      <c r="CM285" s="898"/>
      <c r="CN285" s="898"/>
      <c r="CO285" s="898"/>
      <c r="CP285" s="898"/>
      <c r="CQ285" s="898"/>
      <c r="CR285" s="898"/>
      <c r="CS285" s="898"/>
      <c r="CT285" s="898"/>
      <c r="CU285" s="898"/>
    </row>
    <row r="286" ht="16.5" customHeight="1">
      <c r="A286" s="718"/>
      <c r="B286" s="1195"/>
      <c r="C286" s="866"/>
      <c r="D286" s="968"/>
      <c r="E286" s="718"/>
      <c r="F286" s="718"/>
      <c r="G286" s="718"/>
      <c r="H286" s="718"/>
      <c r="I286" s="359"/>
      <c r="J286" s="359"/>
      <c r="K286" s="359"/>
      <c r="L286" s="359"/>
      <c r="M286" s="359"/>
      <c r="N286" s="359"/>
      <c r="O286" s="359"/>
      <c r="P286" s="359"/>
      <c r="Q286" s="359"/>
      <c r="R286" s="718"/>
      <c r="S286" s="669"/>
      <c r="T286" s="669"/>
      <c r="U286" s="967"/>
      <c r="V286" s="974"/>
      <c r="W286" s="1197"/>
      <c r="X286" s="974"/>
      <c r="Y286" s="974"/>
      <c r="Z286" s="974"/>
      <c r="AA286" s="974"/>
      <c r="AB286" s="974"/>
      <c r="AC286" s="974"/>
      <c r="AD286" s="974"/>
      <c r="AE286" s="974"/>
      <c r="AF286" s="974"/>
      <c r="AG286" s="974"/>
      <c r="AH286" s="974"/>
      <c r="AI286" s="1198"/>
      <c r="AJ286" s="974"/>
      <c r="AK286" s="1197"/>
      <c r="AL286" s="974"/>
      <c r="AM286" s="974"/>
      <c r="AN286" s="974"/>
      <c r="AO286" s="974"/>
      <c r="AP286" s="974"/>
      <c r="AQ286" s="974"/>
      <c r="AR286" s="974"/>
      <c r="AS286" s="974"/>
      <c r="AT286" s="974"/>
      <c r="AU286" s="974"/>
      <c r="AV286" s="974"/>
      <c r="AW286" s="1181"/>
      <c r="AX286" s="978"/>
      <c r="AY286" s="898"/>
      <c r="AZ286" s="898"/>
      <c r="BA286" s="898"/>
      <c r="BB286" s="898"/>
      <c r="BC286" s="898"/>
      <c r="BD286" s="898"/>
      <c r="BE286" s="898"/>
      <c r="BF286" s="898"/>
      <c r="BG286" s="898"/>
      <c r="BH286" s="898"/>
      <c r="BI286" s="898"/>
      <c r="BJ286" s="898"/>
      <c r="BK286" s="898"/>
      <c r="BL286" s="898"/>
      <c r="BM286" s="898"/>
      <c r="BN286" s="898"/>
      <c r="BO286" s="898"/>
      <c r="BP286" s="898"/>
      <c r="BQ286" s="898"/>
      <c r="BR286" s="898"/>
      <c r="BS286" s="898"/>
      <c r="BT286" s="898"/>
      <c r="BU286" s="898"/>
      <c r="BV286" s="898"/>
      <c r="BW286" s="898"/>
      <c r="BX286" s="898"/>
      <c r="BY286" s="898"/>
      <c r="BZ286" s="898"/>
      <c r="CA286" s="898"/>
      <c r="CB286" s="898"/>
      <c r="CC286" s="898"/>
      <c r="CD286" s="898"/>
      <c r="CE286" s="898"/>
      <c r="CF286" s="898"/>
      <c r="CG286" s="898"/>
      <c r="CH286" s="898"/>
      <c r="CI286" s="898"/>
      <c r="CJ286" s="898"/>
      <c r="CK286" s="898"/>
      <c r="CL286" s="898"/>
      <c r="CM286" s="898"/>
      <c r="CN286" s="898"/>
      <c r="CO286" s="898"/>
      <c r="CP286" s="898"/>
      <c r="CQ286" s="898"/>
      <c r="CR286" s="898"/>
      <c r="CS286" s="898"/>
      <c r="CT286" s="898"/>
      <c r="CU286" s="898"/>
    </row>
    <row r="287" ht="16.5" customHeight="1">
      <c r="A287" s="718"/>
      <c r="B287" s="1195"/>
      <c r="C287" s="866"/>
      <c r="D287" s="968"/>
      <c r="E287" s="718"/>
      <c r="F287" s="718"/>
      <c r="G287" s="718"/>
      <c r="H287" s="718"/>
      <c r="I287" s="359"/>
      <c r="J287" s="359"/>
      <c r="K287" s="359"/>
      <c r="L287" s="359"/>
      <c r="M287" s="359"/>
      <c r="N287" s="359"/>
      <c r="O287" s="359"/>
      <c r="P287" s="359"/>
      <c r="Q287" s="359"/>
      <c r="R287" s="718"/>
      <c r="S287" s="669"/>
      <c r="T287" s="669"/>
      <c r="U287" s="967"/>
      <c r="V287" s="974"/>
      <c r="W287" s="1197"/>
      <c r="X287" s="974"/>
      <c r="Y287" s="974"/>
      <c r="Z287" s="974"/>
      <c r="AA287" s="974"/>
      <c r="AB287" s="974"/>
      <c r="AC287" s="974"/>
      <c r="AD287" s="974"/>
      <c r="AE287" s="974"/>
      <c r="AF287" s="974"/>
      <c r="AG287" s="974"/>
      <c r="AH287" s="974"/>
      <c r="AI287" s="1198"/>
      <c r="AJ287" s="974"/>
      <c r="AK287" s="1197"/>
      <c r="AL287" s="974"/>
      <c r="AM287" s="974"/>
      <c r="AN287" s="974"/>
      <c r="AO287" s="974"/>
      <c r="AP287" s="974"/>
      <c r="AQ287" s="974"/>
      <c r="AR287" s="974"/>
      <c r="AS287" s="974"/>
      <c r="AT287" s="974"/>
      <c r="AU287" s="974"/>
      <c r="AV287" s="974"/>
      <c r="AW287" s="1181"/>
      <c r="AX287" s="978"/>
      <c r="AY287" s="898"/>
      <c r="AZ287" s="898"/>
      <c r="BA287" s="898"/>
      <c r="BB287" s="898"/>
      <c r="BC287" s="898"/>
      <c r="BD287" s="898"/>
      <c r="BE287" s="898"/>
      <c r="BF287" s="898"/>
      <c r="BG287" s="898"/>
      <c r="BH287" s="898"/>
      <c r="BI287" s="898"/>
      <c r="BJ287" s="898"/>
      <c r="BK287" s="898"/>
      <c r="BL287" s="898"/>
      <c r="BM287" s="898"/>
      <c r="BN287" s="898"/>
      <c r="BO287" s="898"/>
      <c r="BP287" s="898"/>
      <c r="BQ287" s="898"/>
      <c r="BR287" s="898"/>
      <c r="BS287" s="898"/>
      <c r="BT287" s="898"/>
      <c r="BU287" s="898"/>
      <c r="BV287" s="898"/>
      <c r="BW287" s="898"/>
      <c r="BX287" s="898"/>
      <c r="BY287" s="898"/>
      <c r="BZ287" s="898"/>
      <c r="CA287" s="898"/>
      <c r="CB287" s="898"/>
      <c r="CC287" s="898"/>
      <c r="CD287" s="898"/>
      <c r="CE287" s="898"/>
      <c r="CF287" s="898"/>
      <c r="CG287" s="898"/>
      <c r="CH287" s="898"/>
      <c r="CI287" s="898"/>
      <c r="CJ287" s="898"/>
      <c r="CK287" s="898"/>
      <c r="CL287" s="898"/>
      <c r="CM287" s="898"/>
      <c r="CN287" s="898"/>
      <c r="CO287" s="898"/>
      <c r="CP287" s="898"/>
      <c r="CQ287" s="898"/>
      <c r="CR287" s="898"/>
      <c r="CS287" s="898"/>
      <c r="CT287" s="898"/>
      <c r="CU287" s="898"/>
    </row>
    <row r="288" ht="16.5" customHeight="1">
      <c r="A288" s="718"/>
      <c r="B288" s="1195"/>
      <c r="C288" s="866"/>
      <c r="D288" s="968"/>
      <c r="E288" s="718"/>
      <c r="F288" s="718"/>
      <c r="G288" s="718"/>
      <c r="H288" s="718"/>
      <c r="I288" s="359"/>
      <c r="J288" s="359"/>
      <c r="K288" s="359"/>
      <c r="L288" s="359"/>
      <c r="M288" s="359"/>
      <c r="N288" s="359"/>
      <c r="O288" s="359"/>
      <c r="P288" s="359"/>
      <c r="Q288" s="359"/>
      <c r="R288" s="718"/>
      <c r="S288" s="669"/>
      <c r="T288" s="669"/>
      <c r="U288" s="967"/>
      <c r="V288" s="974"/>
      <c r="W288" s="1197"/>
      <c r="X288" s="974"/>
      <c r="Y288" s="974"/>
      <c r="Z288" s="974"/>
      <c r="AA288" s="974"/>
      <c r="AB288" s="974"/>
      <c r="AC288" s="974"/>
      <c r="AD288" s="974"/>
      <c r="AE288" s="974"/>
      <c r="AF288" s="974"/>
      <c r="AG288" s="974"/>
      <c r="AH288" s="974"/>
      <c r="AI288" s="1198"/>
      <c r="AJ288" s="974"/>
      <c r="AK288" s="1197"/>
      <c r="AL288" s="974"/>
      <c r="AM288" s="974"/>
      <c r="AN288" s="974"/>
      <c r="AO288" s="974"/>
      <c r="AP288" s="974"/>
      <c r="AQ288" s="974"/>
      <c r="AR288" s="974"/>
      <c r="AS288" s="974"/>
      <c r="AT288" s="974"/>
      <c r="AU288" s="974"/>
      <c r="AV288" s="974"/>
      <c r="AW288" s="1181"/>
      <c r="AX288" s="978"/>
      <c r="AY288" s="898"/>
      <c r="AZ288" s="898"/>
      <c r="BA288" s="898"/>
      <c r="BB288" s="898"/>
      <c r="BC288" s="898"/>
      <c r="BD288" s="898"/>
      <c r="BE288" s="898"/>
      <c r="BF288" s="898"/>
      <c r="BG288" s="898"/>
      <c r="BH288" s="898"/>
      <c r="BI288" s="898"/>
      <c r="BJ288" s="898"/>
      <c r="BK288" s="898"/>
      <c r="BL288" s="898"/>
      <c r="BM288" s="898"/>
      <c r="BN288" s="898"/>
      <c r="BO288" s="898"/>
      <c r="BP288" s="898"/>
      <c r="BQ288" s="898"/>
      <c r="BR288" s="898"/>
      <c r="BS288" s="898"/>
      <c r="BT288" s="898"/>
      <c r="BU288" s="898"/>
      <c r="BV288" s="898"/>
      <c r="BW288" s="898"/>
      <c r="BX288" s="898"/>
      <c r="BY288" s="898"/>
      <c r="BZ288" s="898"/>
      <c r="CA288" s="898"/>
      <c r="CB288" s="898"/>
      <c r="CC288" s="898"/>
      <c r="CD288" s="898"/>
      <c r="CE288" s="898"/>
      <c r="CF288" s="898"/>
      <c r="CG288" s="898"/>
      <c r="CH288" s="898"/>
      <c r="CI288" s="898"/>
      <c r="CJ288" s="898"/>
      <c r="CK288" s="898"/>
      <c r="CL288" s="898"/>
      <c r="CM288" s="898"/>
      <c r="CN288" s="898"/>
      <c r="CO288" s="898"/>
      <c r="CP288" s="898"/>
      <c r="CQ288" s="898"/>
      <c r="CR288" s="898"/>
      <c r="CS288" s="898"/>
      <c r="CT288" s="898"/>
      <c r="CU288" s="898"/>
    </row>
    <row r="289" ht="16.5" customHeight="1">
      <c r="A289" s="718"/>
      <c r="B289" s="1195"/>
      <c r="C289" s="866"/>
      <c r="D289" s="968"/>
      <c r="E289" s="718"/>
      <c r="F289" s="718"/>
      <c r="G289" s="718"/>
      <c r="H289" s="718"/>
      <c r="I289" s="359"/>
      <c r="J289" s="359"/>
      <c r="K289" s="359"/>
      <c r="L289" s="359"/>
      <c r="M289" s="359"/>
      <c r="N289" s="359"/>
      <c r="O289" s="359"/>
      <c r="P289" s="359"/>
      <c r="Q289" s="359"/>
      <c r="R289" s="718"/>
      <c r="S289" s="669"/>
      <c r="T289" s="669"/>
      <c r="U289" s="967"/>
      <c r="V289" s="974"/>
      <c r="W289" s="1197"/>
      <c r="X289" s="974"/>
      <c r="Y289" s="974"/>
      <c r="Z289" s="974"/>
      <c r="AA289" s="974"/>
      <c r="AB289" s="974"/>
      <c r="AC289" s="974"/>
      <c r="AD289" s="974"/>
      <c r="AE289" s="974"/>
      <c r="AF289" s="974"/>
      <c r="AG289" s="974"/>
      <c r="AH289" s="974"/>
      <c r="AI289" s="1198"/>
      <c r="AJ289" s="974"/>
      <c r="AK289" s="1197"/>
      <c r="AL289" s="974"/>
      <c r="AM289" s="974"/>
      <c r="AN289" s="974"/>
      <c r="AO289" s="974"/>
      <c r="AP289" s="974"/>
      <c r="AQ289" s="974"/>
      <c r="AR289" s="974"/>
      <c r="AS289" s="974"/>
      <c r="AT289" s="974"/>
      <c r="AU289" s="974"/>
      <c r="AV289" s="974"/>
      <c r="AW289" s="1181"/>
      <c r="AX289" s="978"/>
      <c r="AY289" s="898"/>
      <c r="AZ289" s="898"/>
      <c r="BA289" s="898"/>
      <c r="BB289" s="898"/>
      <c r="BC289" s="898"/>
      <c r="BD289" s="898"/>
      <c r="BE289" s="898"/>
      <c r="BF289" s="898"/>
      <c r="BG289" s="898"/>
      <c r="BH289" s="898"/>
      <c r="BI289" s="898"/>
      <c r="BJ289" s="898"/>
      <c r="BK289" s="898"/>
      <c r="BL289" s="898"/>
      <c r="BM289" s="898"/>
      <c r="BN289" s="898"/>
      <c r="BO289" s="898"/>
      <c r="BP289" s="898"/>
      <c r="BQ289" s="898"/>
      <c r="BR289" s="898"/>
      <c r="BS289" s="898"/>
      <c r="BT289" s="898"/>
      <c r="BU289" s="898"/>
      <c r="BV289" s="898"/>
      <c r="BW289" s="898"/>
      <c r="BX289" s="898"/>
      <c r="BY289" s="898"/>
      <c r="BZ289" s="898"/>
      <c r="CA289" s="898"/>
      <c r="CB289" s="898"/>
      <c r="CC289" s="898"/>
      <c r="CD289" s="898"/>
      <c r="CE289" s="898"/>
      <c r="CF289" s="898"/>
      <c r="CG289" s="898"/>
      <c r="CH289" s="898"/>
      <c r="CI289" s="898"/>
      <c r="CJ289" s="898"/>
      <c r="CK289" s="898"/>
      <c r="CL289" s="898"/>
      <c r="CM289" s="898"/>
      <c r="CN289" s="898"/>
      <c r="CO289" s="898"/>
      <c r="CP289" s="898"/>
      <c r="CQ289" s="898"/>
      <c r="CR289" s="898"/>
      <c r="CS289" s="898"/>
      <c r="CT289" s="898"/>
      <c r="CU289" s="898"/>
    </row>
    <row r="290" ht="16.5" customHeight="1">
      <c r="A290" s="718"/>
      <c r="B290" s="1195"/>
      <c r="C290" s="866"/>
      <c r="D290" s="968"/>
      <c r="E290" s="718"/>
      <c r="F290" s="718"/>
      <c r="G290" s="718"/>
      <c r="H290" s="718"/>
      <c r="I290" s="359"/>
      <c r="J290" s="359"/>
      <c r="K290" s="359"/>
      <c r="L290" s="359"/>
      <c r="M290" s="359"/>
      <c r="N290" s="359"/>
      <c r="O290" s="359"/>
      <c r="P290" s="359"/>
      <c r="Q290" s="359"/>
      <c r="R290" s="718"/>
      <c r="S290" s="669"/>
      <c r="T290" s="669"/>
      <c r="U290" s="967"/>
      <c r="V290" s="974"/>
      <c r="W290" s="1197"/>
      <c r="X290" s="974"/>
      <c r="Y290" s="974"/>
      <c r="Z290" s="974"/>
      <c r="AA290" s="974"/>
      <c r="AB290" s="974"/>
      <c r="AC290" s="974"/>
      <c r="AD290" s="974"/>
      <c r="AE290" s="974"/>
      <c r="AF290" s="974"/>
      <c r="AG290" s="974"/>
      <c r="AH290" s="974"/>
      <c r="AI290" s="1198"/>
      <c r="AJ290" s="974"/>
      <c r="AK290" s="1197"/>
      <c r="AL290" s="974"/>
      <c r="AM290" s="974"/>
      <c r="AN290" s="974"/>
      <c r="AO290" s="974"/>
      <c r="AP290" s="974"/>
      <c r="AQ290" s="974"/>
      <c r="AR290" s="974"/>
      <c r="AS290" s="974"/>
      <c r="AT290" s="974"/>
      <c r="AU290" s="974"/>
      <c r="AV290" s="974"/>
      <c r="AW290" s="1181"/>
      <c r="AX290" s="978"/>
      <c r="AY290" s="898"/>
      <c r="AZ290" s="898"/>
      <c r="BA290" s="898"/>
      <c r="BB290" s="898"/>
      <c r="BC290" s="898"/>
      <c r="BD290" s="898"/>
      <c r="BE290" s="898"/>
      <c r="BF290" s="898"/>
      <c r="BG290" s="898"/>
      <c r="BH290" s="898"/>
      <c r="BI290" s="898"/>
      <c r="BJ290" s="898"/>
      <c r="BK290" s="898"/>
      <c r="BL290" s="898"/>
      <c r="BM290" s="898"/>
      <c r="BN290" s="898"/>
      <c r="BO290" s="898"/>
      <c r="BP290" s="898"/>
      <c r="BQ290" s="898"/>
      <c r="BR290" s="898"/>
      <c r="BS290" s="898"/>
      <c r="BT290" s="898"/>
      <c r="BU290" s="898"/>
      <c r="BV290" s="898"/>
      <c r="BW290" s="898"/>
      <c r="BX290" s="898"/>
      <c r="BY290" s="898"/>
      <c r="BZ290" s="898"/>
      <c r="CA290" s="898"/>
      <c r="CB290" s="898"/>
      <c r="CC290" s="898"/>
      <c r="CD290" s="898"/>
      <c r="CE290" s="898"/>
      <c r="CF290" s="898"/>
      <c r="CG290" s="898"/>
      <c r="CH290" s="898"/>
      <c r="CI290" s="898"/>
      <c r="CJ290" s="898"/>
      <c r="CK290" s="898"/>
      <c r="CL290" s="898"/>
      <c r="CM290" s="898"/>
      <c r="CN290" s="898"/>
      <c r="CO290" s="898"/>
      <c r="CP290" s="898"/>
      <c r="CQ290" s="898"/>
      <c r="CR290" s="898"/>
      <c r="CS290" s="898"/>
      <c r="CT290" s="898"/>
      <c r="CU290" s="898"/>
    </row>
    <row r="291" ht="16.5" customHeight="1">
      <c r="A291" s="718"/>
      <c r="B291" s="1195"/>
      <c r="C291" s="866"/>
      <c r="D291" s="968"/>
      <c r="E291" s="718"/>
      <c r="F291" s="718"/>
      <c r="G291" s="718"/>
      <c r="H291" s="718"/>
      <c r="I291" s="359"/>
      <c r="J291" s="359"/>
      <c r="K291" s="359"/>
      <c r="L291" s="359"/>
      <c r="M291" s="359"/>
      <c r="N291" s="359"/>
      <c r="O291" s="359"/>
      <c r="P291" s="359"/>
      <c r="Q291" s="359"/>
      <c r="R291" s="718"/>
      <c r="S291" s="669"/>
      <c r="T291" s="669"/>
      <c r="U291" s="967"/>
      <c r="V291" s="974"/>
      <c r="W291" s="1197"/>
      <c r="X291" s="974"/>
      <c r="Y291" s="974"/>
      <c r="Z291" s="974"/>
      <c r="AA291" s="974"/>
      <c r="AB291" s="974"/>
      <c r="AC291" s="974"/>
      <c r="AD291" s="974"/>
      <c r="AE291" s="974"/>
      <c r="AF291" s="974"/>
      <c r="AG291" s="974"/>
      <c r="AH291" s="974"/>
      <c r="AI291" s="1198"/>
      <c r="AJ291" s="974"/>
      <c r="AK291" s="1197"/>
      <c r="AL291" s="974"/>
      <c r="AM291" s="974"/>
      <c r="AN291" s="974"/>
      <c r="AO291" s="974"/>
      <c r="AP291" s="974"/>
      <c r="AQ291" s="974"/>
      <c r="AR291" s="974"/>
      <c r="AS291" s="974"/>
      <c r="AT291" s="974"/>
      <c r="AU291" s="974"/>
      <c r="AV291" s="974"/>
      <c r="AW291" s="1181"/>
      <c r="AX291" s="978"/>
      <c r="AY291" s="898"/>
      <c r="AZ291" s="898"/>
      <c r="BA291" s="898"/>
      <c r="BB291" s="898"/>
      <c r="BC291" s="898"/>
      <c r="BD291" s="898"/>
      <c r="BE291" s="898"/>
      <c r="BF291" s="898"/>
      <c r="BG291" s="898"/>
      <c r="BH291" s="898"/>
      <c r="BI291" s="898"/>
      <c r="BJ291" s="898"/>
      <c r="BK291" s="898"/>
      <c r="BL291" s="898"/>
      <c r="BM291" s="898"/>
      <c r="BN291" s="898"/>
      <c r="BO291" s="898"/>
      <c r="BP291" s="898"/>
      <c r="BQ291" s="898"/>
      <c r="BR291" s="898"/>
      <c r="BS291" s="898"/>
      <c r="BT291" s="898"/>
      <c r="BU291" s="898"/>
      <c r="BV291" s="898"/>
      <c r="BW291" s="898"/>
      <c r="BX291" s="898"/>
      <c r="BY291" s="898"/>
      <c r="BZ291" s="898"/>
      <c r="CA291" s="898"/>
      <c r="CB291" s="898"/>
      <c r="CC291" s="898"/>
      <c r="CD291" s="898"/>
      <c r="CE291" s="898"/>
      <c r="CF291" s="898"/>
      <c r="CG291" s="898"/>
      <c r="CH291" s="898"/>
      <c r="CI291" s="898"/>
      <c r="CJ291" s="898"/>
      <c r="CK291" s="898"/>
      <c r="CL291" s="898"/>
      <c r="CM291" s="898"/>
      <c r="CN291" s="898"/>
      <c r="CO291" s="898"/>
      <c r="CP291" s="898"/>
      <c r="CQ291" s="898"/>
      <c r="CR291" s="898"/>
      <c r="CS291" s="898"/>
      <c r="CT291" s="898"/>
      <c r="CU291" s="898"/>
    </row>
    <row r="292" ht="16.5" customHeight="1">
      <c r="A292" s="718"/>
      <c r="B292" s="1195"/>
      <c r="C292" s="866"/>
      <c r="D292" s="968"/>
      <c r="E292" s="718"/>
      <c r="F292" s="718"/>
      <c r="G292" s="718"/>
      <c r="H292" s="718"/>
      <c r="I292" s="359"/>
      <c r="J292" s="359"/>
      <c r="K292" s="359"/>
      <c r="L292" s="359"/>
      <c r="M292" s="359"/>
      <c r="N292" s="359"/>
      <c r="O292" s="359"/>
      <c r="P292" s="359"/>
      <c r="Q292" s="359"/>
      <c r="R292" s="718"/>
      <c r="S292" s="669"/>
      <c r="T292" s="669"/>
      <c r="U292" s="967"/>
      <c r="V292" s="974"/>
      <c r="W292" s="1197"/>
      <c r="X292" s="974"/>
      <c r="Y292" s="974"/>
      <c r="Z292" s="974"/>
      <c r="AA292" s="974"/>
      <c r="AB292" s="974"/>
      <c r="AC292" s="974"/>
      <c r="AD292" s="974"/>
      <c r="AE292" s="974"/>
      <c r="AF292" s="974"/>
      <c r="AG292" s="974"/>
      <c r="AH292" s="974"/>
      <c r="AI292" s="1198"/>
      <c r="AJ292" s="974"/>
      <c r="AK292" s="1197"/>
      <c r="AL292" s="974"/>
      <c r="AM292" s="974"/>
      <c r="AN292" s="974"/>
      <c r="AO292" s="974"/>
      <c r="AP292" s="974"/>
      <c r="AQ292" s="974"/>
      <c r="AR292" s="974"/>
      <c r="AS292" s="974"/>
      <c r="AT292" s="974"/>
      <c r="AU292" s="974"/>
      <c r="AV292" s="974"/>
      <c r="AW292" s="1181"/>
      <c r="AX292" s="978"/>
      <c r="AY292" s="898"/>
      <c r="AZ292" s="898"/>
      <c r="BA292" s="898"/>
      <c r="BB292" s="898"/>
      <c r="BC292" s="898"/>
      <c r="BD292" s="898"/>
      <c r="BE292" s="898"/>
      <c r="BF292" s="898"/>
      <c r="BG292" s="898"/>
      <c r="BH292" s="898"/>
      <c r="BI292" s="898"/>
      <c r="BJ292" s="898"/>
      <c r="BK292" s="898"/>
      <c r="BL292" s="898"/>
      <c r="BM292" s="898"/>
      <c r="BN292" s="898"/>
      <c r="BO292" s="898"/>
      <c r="BP292" s="898"/>
      <c r="BQ292" s="898"/>
      <c r="BR292" s="898"/>
      <c r="BS292" s="898"/>
      <c r="BT292" s="898"/>
      <c r="BU292" s="898"/>
      <c r="BV292" s="898"/>
      <c r="BW292" s="898"/>
      <c r="BX292" s="898"/>
      <c r="BY292" s="898"/>
      <c r="BZ292" s="898"/>
      <c r="CA292" s="898"/>
      <c r="CB292" s="898"/>
      <c r="CC292" s="898"/>
      <c r="CD292" s="898"/>
      <c r="CE292" s="898"/>
      <c r="CF292" s="898"/>
      <c r="CG292" s="898"/>
      <c r="CH292" s="898"/>
      <c r="CI292" s="898"/>
      <c r="CJ292" s="898"/>
      <c r="CK292" s="898"/>
      <c r="CL292" s="898"/>
      <c r="CM292" s="898"/>
      <c r="CN292" s="898"/>
      <c r="CO292" s="898"/>
      <c r="CP292" s="898"/>
      <c r="CQ292" s="898"/>
      <c r="CR292" s="898"/>
      <c r="CS292" s="898"/>
      <c r="CT292" s="898"/>
      <c r="CU292" s="898"/>
    </row>
    <row r="293" ht="16.5" customHeight="1">
      <c r="A293" s="718"/>
      <c r="B293" s="1195"/>
      <c r="C293" s="866"/>
      <c r="D293" s="968"/>
      <c r="E293" s="718"/>
      <c r="F293" s="718"/>
      <c r="G293" s="718"/>
      <c r="H293" s="718"/>
      <c r="I293" s="359"/>
      <c r="J293" s="359"/>
      <c r="K293" s="359"/>
      <c r="L293" s="359"/>
      <c r="M293" s="359"/>
      <c r="N293" s="359"/>
      <c r="O293" s="359"/>
      <c r="P293" s="359"/>
      <c r="Q293" s="359"/>
      <c r="R293" s="718"/>
      <c r="S293" s="669"/>
      <c r="T293" s="669"/>
      <c r="U293" s="967"/>
      <c r="V293" s="974"/>
      <c r="W293" s="1197"/>
      <c r="X293" s="974"/>
      <c r="Y293" s="974"/>
      <c r="Z293" s="974"/>
      <c r="AA293" s="974"/>
      <c r="AB293" s="974"/>
      <c r="AC293" s="974"/>
      <c r="AD293" s="974"/>
      <c r="AE293" s="974"/>
      <c r="AF293" s="974"/>
      <c r="AG293" s="974"/>
      <c r="AH293" s="974"/>
      <c r="AI293" s="1198"/>
      <c r="AJ293" s="974"/>
      <c r="AK293" s="1197"/>
      <c r="AL293" s="974"/>
      <c r="AM293" s="974"/>
      <c r="AN293" s="974"/>
      <c r="AO293" s="974"/>
      <c r="AP293" s="974"/>
      <c r="AQ293" s="974"/>
      <c r="AR293" s="974"/>
      <c r="AS293" s="974"/>
      <c r="AT293" s="974"/>
      <c r="AU293" s="974"/>
      <c r="AV293" s="974"/>
      <c r="AW293" s="1181"/>
      <c r="AX293" s="978"/>
      <c r="AY293" s="898"/>
      <c r="AZ293" s="898"/>
      <c r="BA293" s="898"/>
      <c r="BB293" s="898"/>
      <c r="BC293" s="898"/>
      <c r="BD293" s="898"/>
      <c r="BE293" s="898"/>
      <c r="BF293" s="898"/>
      <c r="BG293" s="898"/>
      <c r="BH293" s="898"/>
      <c r="BI293" s="898"/>
      <c r="BJ293" s="898"/>
      <c r="BK293" s="898"/>
      <c r="BL293" s="898"/>
      <c r="BM293" s="898"/>
      <c r="BN293" s="898"/>
      <c r="BO293" s="898"/>
      <c r="BP293" s="898"/>
      <c r="BQ293" s="898"/>
      <c r="BR293" s="898"/>
      <c r="BS293" s="898"/>
      <c r="BT293" s="898"/>
      <c r="BU293" s="898"/>
      <c r="BV293" s="898"/>
      <c r="BW293" s="898"/>
      <c r="BX293" s="898"/>
      <c r="BY293" s="898"/>
      <c r="BZ293" s="898"/>
      <c r="CA293" s="898"/>
      <c r="CB293" s="898"/>
      <c r="CC293" s="898"/>
      <c r="CD293" s="898"/>
      <c r="CE293" s="898"/>
      <c r="CF293" s="898"/>
      <c r="CG293" s="898"/>
      <c r="CH293" s="898"/>
      <c r="CI293" s="898"/>
      <c r="CJ293" s="898"/>
      <c r="CK293" s="898"/>
      <c r="CL293" s="898"/>
      <c r="CM293" s="898"/>
      <c r="CN293" s="898"/>
      <c r="CO293" s="898"/>
      <c r="CP293" s="898"/>
      <c r="CQ293" s="898"/>
      <c r="CR293" s="898"/>
      <c r="CS293" s="898"/>
      <c r="CT293" s="898"/>
      <c r="CU293" s="898"/>
    </row>
    <row r="294" ht="16.5" customHeight="1">
      <c r="A294" s="718"/>
      <c r="B294" s="1195"/>
      <c r="C294" s="866"/>
      <c r="D294" s="968"/>
      <c r="E294" s="718"/>
      <c r="F294" s="718"/>
      <c r="G294" s="718"/>
      <c r="H294" s="718"/>
      <c r="I294" s="359"/>
      <c r="J294" s="359"/>
      <c r="K294" s="359"/>
      <c r="L294" s="359"/>
      <c r="M294" s="359"/>
      <c r="N294" s="359"/>
      <c r="O294" s="359"/>
      <c r="P294" s="359"/>
      <c r="Q294" s="359"/>
      <c r="R294" s="718"/>
      <c r="S294" s="669"/>
      <c r="T294" s="669"/>
      <c r="U294" s="967"/>
      <c r="V294" s="974"/>
      <c r="W294" s="1197"/>
      <c r="X294" s="974"/>
      <c r="Y294" s="974"/>
      <c r="Z294" s="974"/>
      <c r="AA294" s="974"/>
      <c r="AB294" s="974"/>
      <c r="AC294" s="974"/>
      <c r="AD294" s="974"/>
      <c r="AE294" s="974"/>
      <c r="AF294" s="974"/>
      <c r="AG294" s="974"/>
      <c r="AH294" s="974"/>
      <c r="AI294" s="1198"/>
      <c r="AJ294" s="974"/>
      <c r="AK294" s="1197"/>
      <c r="AL294" s="974"/>
      <c r="AM294" s="974"/>
      <c r="AN294" s="974"/>
      <c r="AO294" s="974"/>
      <c r="AP294" s="974"/>
      <c r="AQ294" s="974"/>
      <c r="AR294" s="974"/>
      <c r="AS294" s="974"/>
      <c r="AT294" s="974"/>
      <c r="AU294" s="974"/>
      <c r="AV294" s="974"/>
      <c r="AW294" s="1181"/>
      <c r="AX294" s="978"/>
      <c r="AY294" s="898"/>
      <c r="AZ294" s="898"/>
      <c r="BA294" s="898"/>
      <c r="BB294" s="898"/>
      <c r="BC294" s="898"/>
      <c r="BD294" s="898"/>
      <c r="BE294" s="898"/>
      <c r="BF294" s="898"/>
      <c r="BG294" s="898"/>
      <c r="BH294" s="898"/>
      <c r="BI294" s="898"/>
      <c r="BJ294" s="898"/>
      <c r="BK294" s="898"/>
      <c r="BL294" s="898"/>
      <c r="BM294" s="898"/>
      <c r="BN294" s="898"/>
      <c r="BO294" s="898"/>
      <c r="BP294" s="898"/>
      <c r="BQ294" s="898"/>
      <c r="BR294" s="898"/>
      <c r="BS294" s="898"/>
      <c r="BT294" s="898"/>
      <c r="BU294" s="898"/>
      <c r="BV294" s="898"/>
      <c r="BW294" s="898"/>
      <c r="BX294" s="898"/>
      <c r="BY294" s="898"/>
      <c r="BZ294" s="898"/>
      <c r="CA294" s="898"/>
      <c r="CB294" s="898"/>
      <c r="CC294" s="898"/>
      <c r="CD294" s="898"/>
      <c r="CE294" s="898"/>
      <c r="CF294" s="898"/>
      <c r="CG294" s="898"/>
      <c r="CH294" s="898"/>
      <c r="CI294" s="898"/>
      <c r="CJ294" s="898"/>
      <c r="CK294" s="898"/>
      <c r="CL294" s="898"/>
      <c r="CM294" s="898"/>
      <c r="CN294" s="898"/>
      <c r="CO294" s="898"/>
      <c r="CP294" s="898"/>
      <c r="CQ294" s="898"/>
      <c r="CR294" s="898"/>
      <c r="CS294" s="898"/>
      <c r="CT294" s="898"/>
      <c r="CU294" s="898"/>
    </row>
    <row r="295" ht="16.5" customHeight="1">
      <c r="A295" s="718"/>
      <c r="B295" s="1195"/>
      <c r="C295" s="866"/>
      <c r="D295" s="968"/>
      <c r="E295" s="718"/>
      <c r="F295" s="718"/>
      <c r="G295" s="718"/>
      <c r="H295" s="718"/>
      <c r="I295" s="359"/>
      <c r="J295" s="359"/>
      <c r="K295" s="359"/>
      <c r="L295" s="359"/>
      <c r="M295" s="359"/>
      <c r="N295" s="359"/>
      <c r="O295" s="359"/>
      <c r="P295" s="359"/>
      <c r="Q295" s="359"/>
      <c r="R295" s="718"/>
      <c r="S295" s="669"/>
      <c r="T295" s="669"/>
      <c r="U295" s="967"/>
      <c r="V295" s="974"/>
      <c r="W295" s="1197"/>
      <c r="X295" s="974"/>
      <c r="Y295" s="974"/>
      <c r="Z295" s="974"/>
      <c r="AA295" s="974"/>
      <c r="AB295" s="974"/>
      <c r="AC295" s="974"/>
      <c r="AD295" s="974"/>
      <c r="AE295" s="974"/>
      <c r="AF295" s="974"/>
      <c r="AG295" s="974"/>
      <c r="AH295" s="974"/>
      <c r="AI295" s="1198"/>
      <c r="AJ295" s="974"/>
      <c r="AK295" s="1197"/>
      <c r="AL295" s="974"/>
      <c r="AM295" s="974"/>
      <c r="AN295" s="974"/>
      <c r="AO295" s="974"/>
      <c r="AP295" s="974"/>
      <c r="AQ295" s="974"/>
      <c r="AR295" s="974"/>
      <c r="AS295" s="974"/>
      <c r="AT295" s="974"/>
      <c r="AU295" s="974"/>
      <c r="AV295" s="974"/>
      <c r="AW295" s="1181"/>
      <c r="AX295" s="978"/>
      <c r="AY295" s="898"/>
      <c r="AZ295" s="898"/>
      <c r="BA295" s="898"/>
      <c r="BB295" s="898"/>
      <c r="BC295" s="898"/>
      <c r="BD295" s="898"/>
      <c r="BE295" s="898"/>
      <c r="BF295" s="898"/>
      <c r="BG295" s="898"/>
      <c r="BH295" s="898"/>
      <c r="BI295" s="898"/>
      <c r="BJ295" s="898"/>
      <c r="BK295" s="898"/>
      <c r="BL295" s="898"/>
      <c r="BM295" s="898"/>
      <c r="BN295" s="898"/>
      <c r="BO295" s="898"/>
      <c r="BP295" s="898"/>
      <c r="BQ295" s="898"/>
      <c r="BR295" s="898"/>
      <c r="BS295" s="898"/>
      <c r="BT295" s="898"/>
      <c r="BU295" s="898"/>
      <c r="BV295" s="898"/>
      <c r="BW295" s="898"/>
      <c r="BX295" s="898"/>
      <c r="BY295" s="898"/>
      <c r="BZ295" s="898"/>
      <c r="CA295" s="898"/>
      <c r="CB295" s="898"/>
      <c r="CC295" s="898"/>
      <c r="CD295" s="898"/>
      <c r="CE295" s="898"/>
      <c r="CF295" s="898"/>
      <c r="CG295" s="898"/>
      <c r="CH295" s="898"/>
      <c r="CI295" s="898"/>
      <c r="CJ295" s="898"/>
      <c r="CK295" s="898"/>
      <c r="CL295" s="898"/>
      <c r="CM295" s="898"/>
      <c r="CN295" s="898"/>
      <c r="CO295" s="898"/>
      <c r="CP295" s="898"/>
      <c r="CQ295" s="898"/>
      <c r="CR295" s="898"/>
      <c r="CS295" s="898"/>
      <c r="CT295" s="898"/>
      <c r="CU295" s="898"/>
    </row>
    <row r="296" ht="16.5" customHeight="1">
      <c r="A296" s="718"/>
      <c r="B296" s="1195"/>
      <c r="C296" s="866"/>
      <c r="D296" s="968"/>
      <c r="E296" s="718"/>
      <c r="F296" s="718"/>
      <c r="G296" s="718"/>
      <c r="H296" s="718"/>
      <c r="I296" s="359"/>
      <c r="J296" s="359"/>
      <c r="K296" s="359"/>
      <c r="L296" s="359"/>
      <c r="M296" s="359"/>
      <c r="N296" s="359"/>
      <c r="O296" s="359"/>
      <c r="P296" s="359"/>
      <c r="Q296" s="359"/>
      <c r="R296" s="718"/>
      <c r="S296" s="669"/>
      <c r="T296" s="669"/>
      <c r="U296" s="967"/>
      <c r="V296" s="974"/>
      <c r="W296" s="1197"/>
      <c r="X296" s="974"/>
      <c r="Y296" s="974"/>
      <c r="Z296" s="974"/>
      <c r="AA296" s="974"/>
      <c r="AB296" s="974"/>
      <c r="AC296" s="974"/>
      <c r="AD296" s="974"/>
      <c r="AE296" s="974"/>
      <c r="AF296" s="974"/>
      <c r="AG296" s="974"/>
      <c r="AH296" s="974"/>
      <c r="AI296" s="1198"/>
      <c r="AJ296" s="974"/>
      <c r="AK296" s="1197"/>
      <c r="AL296" s="974"/>
      <c r="AM296" s="974"/>
      <c r="AN296" s="974"/>
      <c r="AO296" s="974"/>
      <c r="AP296" s="974"/>
      <c r="AQ296" s="974"/>
      <c r="AR296" s="974"/>
      <c r="AS296" s="974"/>
      <c r="AT296" s="974"/>
      <c r="AU296" s="974"/>
      <c r="AV296" s="974"/>
      <c r="AW296" s="1181"/>
      <c r="AX296" s="978"/>
      <c r="AY296" s="898"/>
      <c r="AZ296" s="898"/>
      <c r="BA296" s="898"/>
      <c r="BB296" s="898"/>
      <c r="BC296" s="898"/>
      <c r="BD296" s="898"/>
      <c r="BE296" s="898"/>
      <c r="BF296" s="898"/>
      <c r="BG296" s="898"/>
      <c r="BH296" s="898"/>
      <c r="BI296" s="898"/>
      <c r="BJ296" s="898"/>
      <c r="BK296" s="898"/>
      <c r="BL296" s="898"/>
      <c r="BM296" s="898"/>
      <c r="BN296" s="898"/>
      <c r="BO296" s="898"/>
      <c r="BP296" s="898"/>
      <c r="BQ296" s="898"/>
      <c r="BR296" s="898"/>
      <c r="BS296" s="898"/>
      <c r="BT296" s="898"/>
      <c r="BU296" s="898"/>
      <c r="BV296" s="898"/>
      <c r="BW296" s="898"/>
      <c r="BX296" s="898"/>
      <c r="BY296" s="898"/>
      <c r="BZ296" s="898"/>
      <c r="CA296" s="898"/>
      <c r="CB296" s="898"/>
      <c r="CC296" s="898"/>
      <c r="CD296" s="898"/>
      <c r="CE296" s="898"/>
      <c r="CF296" s="898"/>
      <c r="CG296" s="898"/>
      <c r="CH296" s="898"/>
      <c r="CI296" s="898"/>
      <c r="CJ296" s="898"/>
      <c r="CK296" s="898"/>
      <c r="CL296" s="898"/>
      <c r="CM296" s="898"/>
      <c r="CN296" s="898"/>
      <c r="CO296" s="898"/>
      <c r="CP296" s="898"/>
      <c r="CQ296" s="898"/>
      <c r="CR296" s="898"/>
      <c r="CS296" s="898"/>
      <c r="CT296" s="898"/>
      <c r="CU296" s="898"/>
    </row>
    <row r="297" ht="16.5" customHeight="1">
      <c r="A297" s="718"/>
      <c r="B297" s="1195"/>
      <c r="C297" s="866"/>
      <c r="D297" s="968"/>
      <c r="E297" s="718"/>
      <c r="F297" s="718"/>
      <c r="G297" s="718"/>
      <c r="H297" s="718"/>
      <c r="I297" s="359"/>
      <c r="J297" s="359"/>
      <c r="K297" s="359"/>
      <c r="L297" s="359"/>
      <c r="M297" s="359"/>
      <c r="N297" s="359"/>
      <c r="O297" s="359"/>
      <c r="P297" s="359"/>
      <c r="Q297" s="359"/>
      <c r="R297" s="718"/>
      <c r="S297" s="669"/>
      <c r="T297" s="669"/>
      <c r="U297" s="967"/>
      <c r="V297" s="974"/>
      <c r="W297" s="1197"/>
      <c r="X297" s="974"/>
      <c r="Y297" s="974"/>
      <c r="Z297" s="974"/>
      <c r="AA297" s="974"/>
      <c r="AB297" s="974"/>
      <c r="AC297" s="974"/>
      <c r="AD297" s="974"/>
      <c r="AE297" s="974"/>
      <c r="AF297" s="974"/>
      <c r="AG297" s="974"/>
      <c r="AH297" s="974"/>
      <c r="AI297" s="1198"/>
      <c r="AJ297" s="974"/>
      <c r="AK297" s="1197"/>
      <c r="AL297" s="974"/>
      <c r="AM297" s="974"/>
      <c r="AN297" s="974"/>
      <c r="AO297" s="974"/>
      <c r="AP297" s="974"/>
      <c r="AQ297" s="974"/>
      <c r="AR297" s="974"/>
      <c r="AS297" s="974"/>
      <c r="AT297" s="974"/>
      <c r="AU297" s="974"/>
      <c r="AV297" s="974"/>
      <c r="AW297" s="1181"/>
      <c r="AX297" s="978"/>
      <c r="AY297" s="898"/>
      <c r="AZ297" s="898"/>
      <c r="BA297" s="898"/>
      <c r="BB297" s="898"/>
      <c r="BC297" s="898"/>
      <c r="BD297" s="898"/>
      <c r="BE297" s="898"/>
      <c r="BF297" s="898"/>
      <c r="BG297" s="898"/>
      <c r="BH297" s="898"/>
      <c r="BI297" s="898"/>
      <c r="BJ297" s="898"/>
      <c r="BK297" s="898"/>
      <c r="BL297" s="898"/>
      <c r="BM297" s="898"/>
      <c r="BN297" s="898"/>
      <c r="BO297" s="898"/>
      <c r="BP297" s="898"/>
      <c r="BQ297" s="898"/>
      <c r="BR297" s="898"/>
      <c r="BS297" s="898"/>
      <c r="BT297" s="898"/>
      <c r="BU297" s="898"/>
      <c r="BV297" s="898"/>
      <c r="BW297" s="898"/>
      <c r="BX297" s="898"/>
      <c r="BY297" s="898"/>
      <c r="BZ297" s="898"/>
      <c r="CA297" s="898"/>
      <c r="CB297" s="898"/>
      <c r="CC297" s="898"/>
      <c r="CD297" s="898"/>
      <c r="CE297" s="898"/>
      <c r="CF297" s="898"/>
      <c r="CG297" s="898"/>
      <c r="CH297" s="898"/>
      <c r="CI297" s="898"/>
      <c r="CJ297" s="898"/>
      <c r="CK297" s="898"/>
      <c r="CL297" s="898"/>
      <c r="CM297" s="898"/>
      <c r="CN297" s="898"/>
      <c r="CO297" s="898"/>
      <c r="CP297" s="898"/>
      <c r="CQ297" s="898"/>
      <c r="CR297" s="898"/>
      <c r="CS297" s="898"/>
      <c r="CT297" s="898"/>
      <c r="CU297" s="898"/>
    </row>
    <row r="298" ht="16.5" customHeight="1">
      <c r="A298" s="718"/>
      <c r="B298" s="1195"/>
      <c r="C298" s="866"/>
      <c r="D298" s="968"/>
      <c r="E298" s="718"/>
      <c r="F298" s="718"/>
      <c r="G298" s="718"/>
      <c r="H298" s="718"/>
      <c r="I298" s="359"/>
      <c r="J298" s="359"/>
      <c r="K298" s="359"/>
      <c r="L298" s="359"/>
      <c r="M298" s="359"/>
      <c r="N298" s="359"/>
      <c r="O298" s="359"/>
      <c r="P298" s="359"/>
      <c r="Q298" s="359"/>
      <c r="R298" s="718"/>
      <c r="S298" s="669"/>
      <c r="T298" s="669"/>
      <c r="U298" s="967"/>
      <c r="V298" s="974"/>
      <c r="W298" s="1197"/>
      <c r="X298" s="974"/>
      <c r="Y298" s="974"/>
      <c r="Z298" s="974"/>
      <c r="AA298" s="974"/>
      <c r="AB298" s="974"/>
      <c r="AC298" s="974"/>
      <c r="AD298" s="974"/>
      <c r="AE298" s="974"/>
      <c r="AF298" s="974"/>
      <c r="AG298" s="974"/>
      <c r="AH298" s="974"/>
      <c r="AI298" s="1198"/>
      <c r="AJ298" s="974"/>
      <c r="AK298" s="1197"/>
      <c r="AL298" s="974"/>
      <c r="AM298" s="974"/>
      <c r="AN298" s="974"/>
      <c r="AO298" s="974"/>
      <c r="AP298" s="974"/>
      <c r="AQ298" s="974"/>
      <c r="AR298" s="974"/>
      <c r="AS298" s="974"/>
      <c r="AT298" s="974"/>
      <c r="AU298" s="974"/>
      <c r="AV298" s="974"/>
      <c r="AW298" s="1181"/>
      <c r="AX298" s="978"/>
      <c r="AY298" s="898"/>
      <c r="AZ298" s="898"/>
      <c r="BA298" s="898"/>
      <c r="BB298" s="898"/>
      <c r="BC298" s="898"/>
      <c r="BD298" s="898"/>
      <c r="BE298" s="898"/>
      <c r="BF298" s="898"/>
      <c r="BG298" s="898"/>
      <c r="BH298" s="898"/>
      <c r="BI298" s="898"/>
      <c r="BJ298" s="898"/>
      <c r="BK298" s="898"/>
      <c r="BL298" s="898"/>
      <c r="BM298" s="898"/>
      <c r="BN298" s="898"/>
      <c r="BO298" s="898"/>
      <c r="BP298" s="898"/>
      <c r="BQ298" s="898"/>
      <c r="BR298" s="898"/>
      <c r="BS298" s="898"/>
      <c r="BT298" s="898"/>
      <c r="BU298" s="898"/>
      <c r="BV298" s="898"/>
      <c r="BW298" s="898"/>
      <c r="BX298" s="898"/>
      <c r="BY298" s="898"/>
      <c r="BZ298" s="898"/>
      <c r="CA298" s="898"/>
      <c r="CB298" s="898"/>
      <c r="CC298" s="898"/>
      <c r="CD298" s="898"/>
      <c r="CE298" s="898"/>
      <c r="CF298" s="898"/>
      <c r="CG298" s="898"/>
      <c r="CH298" s="898"/>
      <c r="CI298" s="898"/>
      <c r="CJ298" s="898"/>
      <c r="CK298" s="898"/>
      <c r="CL298" s="898"/>
      <c r="CM298" s="898"/>
      <c r="CN298" s="898"/>
      <c r="CO298" s="898"/>
      <c r="CP298" s="898"/>
      <c r="CQ298" s="898"/>
      <c r="CR298" s="898"/>
      <c r="CS298" s="898"/>
      <c r="CT298" s="898"/>
      <c r="CU298" s="898"/>
    </row>
    <row r="299" ht="16.5" customHeight="1">
      <c r="A299" s="718"/>
      <c r="B299" s="1195"/>
      <c r="C299" s="866"/>
      <c r="D299" s="968"/>
      <c r="E299" s="718"/>
      <c r="F299" s="718"/>
      <c r="G299" s="718"/>
      <c r="H299" s="718"/>
      <c r="I299" s="359"/>
      <c r="J299" s="359"/>
      <c r="K299" s="359"/>
      <c r="L299" s="359"/>
      <c r="M299" s="359"/>
      <c r="N299" s="359"/>
      <c r="O299" s="359"/>
      <c r="P299" s="359"/>
      <c r="Q299" s="359"/>
      <c r="R299" s="718"/>
      <c r="S299" s="669"/>
      <c r="T299" s="669"/>
      <c r="U299" s="967"/>
      <c r="V299" s="974"/>
      <c r="W299" s="1197"/>
      <c r="X299" s="974"/>
      <c r="Y299" s="974"/>
      <c r="Z299" s="974"/>
      <c r="AA299" s="974"/>
      <c r="AB299" s="974"/>
      <c r="AC299" s="974"/>
      <c r="AD299" s="974"/>
      <c r="AE299" s="974"/>
      <c r="AF299" s="974"/>
      <c r="AG299" s="974"/>
      <c r="AH299" s="974"/>
      <c r="AI299" s="1198"/>
      <c r="AJ299" s="974"/>
      <c r="AK299" s="1197"/>
      <c r="AL299" s="974"/>
      <c r="AM299" s="974"/>
      <c r="AN299" s="974"/>
      <c r="AO299" s="974"/>
      <c r="AP299" s="974"/>
      <c r="AQ299" s="974"/>
      <c r="AR299" s="974"/>
      <c r="AS299" s="974"/>
      <c r="AT299" s="974"/>
      <c r="AU299" s="974"/>
      <c r="AV299" s="974"/>
      <c r="AW299" s="1181"/>
      <c r="AX299" s="978"/>
      <c r="AY299" s="898"/>
      <c r="AZ299" s="898"/>
      <c r="BA299" s="898"/>
      <c r="BB299" s="898"/>
      <c r="BC299" s="898"/>
      <c r="BD299" s="898"/>
      <c r="BE299" s="898"/>
      <c r="BF299" s="898"/>
      <c r="BG299" s="898"/>
      <c r="BH299" s="898"/>
      <c r="BI299" s="898"/>
      <c r="BJ299" s="898"/>
      <c r="BK299" s="898"/>
      <c r="BL299" s="898"/>
      <c r="BM299" s="898"/>
      <c r="BN299" s="898"/>
      <c r="BO299" s="898"/>
      <c r="BP299" s="898"/>
      <c r="BQ299" s="898"/>
      <c r="BR299" s="898"/>
      <c r="BS299" s="898"/>
      <c r="BT299" s="898"/>
      <c r="BU299" s="898"/>
      <c r="BV299" s="898"/>
      <c r="BW299" s="898"/>
      <c r="BX299" s="898"/>
      <c r="BY299" s="898"/>
      <c r="BZ299" s="898"/>
      <c r="CA299" s="898"/>
      <c r="CB299" s="898"/>
      <c r="CC299" s="898"/>
      <c r="CD299" s="898"/>
      <c r="CE299" s="898"/>
      <c r="CF299" s="898"/>
      <c r="CG299" s="898"/>
      <c r="CH299" s="898"/>
      <c r="CI299" s="898"/>
      <c r="CJ299" s="898"/>
      <c r="CK299" s="898"/>
      <c r="CL299" s="898"/>
      <c r="CM299" s="898"/>
      <c r="CN299" s="898"/>
      <c r="CO299" s="898"/>
      <c r="CP299" s="898"/>
      <c r="CQ299" s="898"/>
      <c r="CR299" s="898"/>
      <c r="CS299" s="898"/>
      <c r="CT299" s="898"/>
      <c r="CU299" s="898"/>
    </row>
    <row r="300" ht="16.5" customHeight="1">
      <c r="A300" s="718"/>
      <c r="B300" s="1195"/>
      <c r="C300" s="866"/>
      <c r="D300" s="968"/>
      <c r="E300" s="718"/>
      <c r="F300" s="718"/>
      <c r="G300" s="718"/>
      <c r="H300" s="718"/>
      <c r="I300" s="359"/>
      <c r="J300" s="359"/>
      <c r="K300" s="359"/>
      <c r="L300" s="359"/>
      <c r="M300" s="359"/>
      <c r="N300" s="359"/>
      <c r="O300" s="359"/>
      <c r="P300" s="359"/>
      <c r="Q300" s="359"/>
      <c r="R300" s="718"/>
      <c r="S300" s="669"/>
      <c r="T300" s="669"/>
      <c r="U300" s="967"/>
      <c r="V300" s="974"/>
      <c r="W300" s="1197"/>
      <c r="X300" s="974"/>
      <c r="Y300" s="974"/>
      <c r="Z300" s="974"/>
      <c r="AA300" s="974"/>
      <c r="AB300" s="974"/>
      <c r="AC300" s="974"/>
      <c r="AD300" s="974"/>
      <c r="AE300" s="974"/>
      <c r="AF300" s="974"/>
      <c r="AG300" s="974"/>
      <c r="AH300" s="974"/>
      <c r="AI300" s="1198"/>
      <c r="AJ300" s="974"/>
      <c r="AK300" s="1197"/>
      <c r="AL300" s="974"/>
      <c r="AM300" s="974"/>
      <c r="AN300" s="974"/>
      <c r="AO300" s="974"/>
      <c r="AP300" s="974"/>
      <c r="AQ300" s="974"/>
      <c r="AR300" s="974"/>
      <c r="AS300" s="974"/>
      <c r="AT300" s="974"/>
      <c r="AU300" s="974"/>
      <c r="AV300" s="974"/>
      <c r="AW300" s="1181"/>
      <c r="AX300" s="978"/>
      <c r="AY300" s="898"/>
      <c r="AZ300" s="898"/>
      <c r="BA300" s="898"/>
      <c r="BB300" s="898"/>
      <c r="BC300" s="898"/>
      <c r="BD300" s="898"/>
      <c r="BE300" s="898"/>
      <c r="BF300" s="898"/>
      <c r="BG300" s="898"/>
      <c r="BH300" s="898"/>
      <c r="BI300" s="898"/>
      <c r="BJ300" s="898"/>
      <c r="BK300" s="898"/>
      <c r="BL300" s="898"/>
      <c r="BM300" s="898"/>
      <c r="BN300" s="898"/>
      <c r="BO300" s="898"/>
      <c r="BP300" s="898"/>
      <c r="BQ300" s="898"/>
      <c r="BR300" s="898"/>
      <c r="BS300" s="898"/>
      <c r="BT300" s="898"/>
      <c r="BU300" s="898"/>
      <c r="BV300" s="898"/>
      <c r="BW300" s="898"/>
      <c r="BX300" s="898"/>
      <c r="BY300" s="898"/>
      <c r="BZ300" s="898"/>
      <c r="CA300" s="898"/>
      <c r="CB300" s="898"/>
      <c r="CC300" s="898"/>
      <c r="CD300" s="898"/>
      <c r="CE300" s="898"/>
      <c r="CF300" s="898"/>
      <c r="CG300" s="898"/>
      <c r="CH300" s="898"/>
      <c r="CI300" s="898"/>
      <c r="CJ300" s="898"/>
      <c r="CK300" s="898"/>
      <c r="CL300" s="898"/>
      <c r="CM300" s="898"/>
      <c r="CN300" s="898"/>
      <c r="CO300" s="898"/>
      <c r="CP300" s="898"/>
      <c r="CQ300" s="898"/>
      <c r="CR300" s="898"/>
      <c r="CS300" s="898"/>
      <c r="CT300" s="898"/>
      <c r="CU300" s="898"/>
    </row>
    <row r="301" ht="16.5" customHeight="1">
      <c r="A301" s="718"/>
      <c r="B301" s="1195"/>
      <c r="C301" s="866"/>
      <c r="D301" s="968"/>
      <c r="E301" s="718"/>
      <c r="F301" s="718"/>
      <c r="G301" s="718"/>
      <c r="H301" s="718"/>
      <c r="I301" s="359"/>
      <c r="J301" s="359"/>
      <c r="K301" s="359"/>
      <c r="L301" s="359"/>
      <c r="M301" s="359"/>
      <c r="N301" s="359"/>
      <c r="O301" s="359"/>
      <c r="P301" s="359"/>
      <c r="Q301" s="359"/>
      <c r="R301" s="718"/>
      <c r="S301" s="669"/>
      <c r="T301" s="669"/>
      <c r="U301" s="967"/>
      <c r="V301" s="974"/>
      <c r="W301" s="1197"/>
      <c r="X301" s="974"/>
      <c r="Y301" s="974"/>
      <c r="Z301" s="974"/>
      <c r="AA301" s="974"/>
      <c r="AB301" s="974"/>
      <c r="AC301" s="974"/>
      <c r="AD301" s="974"/>
      <c r="AE301" s="974"/>
      <c r="AF301" s="974"/>
      <c r="AG301" s="974"/>
      <c r="AH301" s="974"/>
      <c r="AI301" s="1198"/>
      <c r="AJ301" s="974"/>
      <c r="AK301" s="1197"/>
      <c r="AL301" s="974"/>
      <c r="AM301" s="974"/>
      <c r="AN301" s="974"/>
      <c r="AO301" s="974"/>
      <c r="AP301" s="974"/>
      <c r="AQ301" s="974"/>
      <c r="AR301" s="974"/>
      <c r="AS301" s="974"/>
      <c r="AT301" s="974"/>
      <c r="AU301" s="974"/>
      <c r="AV301" s="974"/>
      <c r="AW301" s="1181"/>
      <c r="AX301" s="978"/>
      <c r="AY301" s="898"/>
      <c r="AZ301" s="898"/>
      <c r="BA301" s="898"/>
      <c r="BB301" s="898"/>
      <c r="BC301" s="898"/>
      <c r="BD301" s="898"/>
      <c r="BE301" s="898"/>
      <c r="BF301" s="898"/>
      <c r="BG301" s="898"/>
      <c r="BH301" s="898"/>
      <c r="BI301" s="898"/>
      <c r="BJ301" s="898"/>
      <c r="BK301" s="898"/>
      <c r="BL301" s="898"/>
      <c r="BM301" s="898"/>
      <c r="BN301" s="898"/>
      <c r="BO301" s="898"/>
      <c r="BP301" s="898"/>
      <c r="BQ301" s="898"/>
      <c r="BR301" s="898"/>
      <c r="BS301" s="898"/>
      <c r="BT301" s="898"/>
      <c r="BU301" s="898"/>
      <c r="BV301" s="898"/>
      <c r="BW301" s="898"/>
      <c r="BX301" s="898"/>
      <c r="BY301" s="898"/>
      <c r="BZ301" s="898"/>
      <c r="CA301" s="898"/>
      <c r="CB301" s="898"/>
      <c r="CC301" s="898"/>
      <c r="CD301" s="898"/>
      <c r="CE301" s="898"/>
      <c r="CF301" s="898"/>
      <c r="CG301" s="898"/>
      <c r="CH301" s="898"/>
      <c r="CI301" s="898"/>
      <c r="CJ301" s="898"/>
      <c r="CK301" s="898"/>
      <c r="CL301" s="898"/>
      <c r="CM301" s="898"/>
      <c r="CN301" s="898"/>
      <c r="CO301" s="898"/>
      <c r="CP301" s="898"/>
      <c r="CQ301" s="898"/>
      <c r="CR301" s="898"/>
      <c r="CS301" s="898"/>
      <c r="CT301" s="898"/>
      <c r="CU301" s="898"/>
    </row>
    <row r="302" ht="16.5" customHeight="1">
      <c r="A302" s="718"/>
      <c r="B302" s="1195"/>
      <c r="C302" s="866"/>
      <c r="D302" s="968"/>
      <c r="E302" s="718"/>
      <c r="F302" s="718"/>
      <c r="G302" s="718"/>
      <c r="H302" s="718"/>
      <c r="I302" s="359"/>
      <c r="J302" s="359"/>
      <c r="K302" s="359"/>
      <c r="L302" s="359"/>
      <c r="M302" s="359"/>
      <c r="N302" s="359"/>
      <c r="O302" s="359"/>
      <c r="P302" s="359"/>
      <c r="Q302" s="359"/>
      <c r="R302" s="718"/>
      <c r="S302" s="669"/>
      <c r="T302" s="669"/>
      <c r="U302" s="967"/>
      <c r="V302" s="974"/>
      <c r="W302" s="1197"/>
      <c r="X302" s="974"/>
      <c r="Y302" s="974"/>
      <c r="Z302" s="974"/>
      <c r="AA302" s="974"/>
      <c r="AB302" s="974"/>
      <c r="AC302" s="974"/>
      <c r="AD302" s="974"/>
      <c r="AE302" s="974"/>
      <c r="AF302" s="974"/>
      <c r="AG302" s="974"/>
      <c r="AH302" s="974"/>
      <c r="AI302" s="1198"/>
      <c r="AJ302" s="974"/>
      <c r="AK302" s="1197"/>
      <c r="AL302" s="974"/>
      <c r="AM302" s="974"/>
      <c r="AN302" s="974"/>
      <c r="AO302" s="974"/>
      <c r="AP302" s="974"/>
      <c r="AQ302" s="974"/>
      <c r="AR302" s="974"/>
      <c r="AS302" s="974"/>
      <c r="AT302" s="974"/>
      <c r="AU302" s="974"/>
      <c r="AV302" s="974"/>
      <c r="AW302" s="1181"/>
      <c r="AX302" s="978"/>
      <c r="AY302" s="898"/>
      <c r="AZ302" s="898"/>
      <c r="BA302" s="898"/>
      <c r="BB302" s="898"/>
      <c r="BC302" s="898"/>
      <c r="BD302" s="898"/>
      <c r="BE302" s="898"/>
      <c r="BF302" s="898"/>
      <c r="BG302" s="898"/>
      <c r="BH302" s="898"/>
      <c r="BI302" s="898"/>
      <c r="BJ302" s="898"/>
      <c r="BK302" s="898"/>
      <c r="BL302" s="898"/>
      <c r="BM302" s="898"/>
      <c r="BN302" s="898"/>
      <c r="BO302" s="898"/>
      <c r="BP302" s="898"/>
      <c r="BQ302" s="898"/>
      <c r="BR302" s="898"/>
      <c r="BS302" s="898"/>
      <c r="BT302" s="898"/>
      <c r="BU302" s="898"/>
      <c r="BV302" s="898"/>
      <c r="BW302" s="898"/>
      <c r="BX302" s="898"/>
      <c r="BY302" s="898"/>
      <c r="BZ302" s="898"/>
      <c r="CA302" s="898"/>
      <c r="CB302" s="898"/>
      <c r="CC302" s="898"/>
      <c r="CD302" s="898"/>
      <c r="CE302" s="898"/>
      <c r="CF302" s="898"/>
      <c r="CG302" s="898"/>
      <c r="CH302" s="898"/>
      <c r="CI302" s="898"/>
      <c r="CJ302" s="898"/>
      <c r="CK302" s="898"/>
      <c r="CL302" s="898"/>
      <c r="CM302" s="898"/>
      <c r="CN302" s="898"/>
      <c r="CO302" s="898"/>
      <c r="CP302" s="898"/>
      <c r="CQ302" s="898"/>
      <c r="CR302" s="898"/>
      <c r="CS302" s="898"/>
      <c r="CT302" s="898"/>
      <c r="CU302" s="898"/>
    </row>
    <row r="303" ht="16.5" customHeight="1">
      <c r="A303" s="718"/>
      <c r="B303" s="1195"/>
      <c r="C303" s="866"/>
      <c r="D303" s="968"/>
      <c r="E303" s="718"/>
      <c r="F303" s="718"/>
      <c r="G303" s="718"/>
      <c r="H303" s="718"/>
      <c r="I303" s="359"/>
      <c r="J303" s="359"/>
      <c r="K303" s="359"/>
      <c r="L303" s="359"/>
      <c r="M303" s="359"/>
      <c r="N303" s="359"/>
      <c r="O303" s="359"/>
      <c r="P303" s="359"/>
      <c r="Q303" s="359"/>
      <c r="R303" s="718"/>
      <c r="S303" s="669"/>
      <c r="T303" s="669"/>
      <c r="U303" s="967"/>
      <c r="V303" s="974"/>
      <c r="W303" s="1197"/>
      <c r="X303" s="974"/>
      <c r="Y303" s="974"/>
      <c r="Z303" s="974"/>
      <c r="AA303" s="974"/>
      <c r="AB303" s="974"/>
      <c r="AC303" s="974"/>
      <c r="AD303" s="974"/>
      <c r="AE303" s="974"/>
      <c r="AF303" s="974"/>
      <c r="AG303" s="974"/>
      <c r="AH303" s="974"/>
      <c r="AI303" s="1198"/>
      <c r="AJ303" s="974"/>
      <c r="AK303" s="1197"/>
      <c r="AL303" s="974"/>
      <c r="AM303" s="974"/>
      <c r="AN303" s="974"/>
      <c r="AO303" s="974"/>
      <c r="AP303" s="974"/>
      <c r="AQ303" s="974"/>
      <c r="AR303" s="974"/>
      <c r="AS303" s="974"/>
      <c r="AT303" s="974"/>
      <c r="AU303" s="974"/>
      <c r="AV303" s="974"/>
      <c r="AW303" s="1181"/>
      <c r="AX303" s="978"/>
      <c r="AY303" s="898"/>
      <c r="AZ303" s="898"/>
      <c r="BA303" s="898"/>
      <c r="BB303" s="898"/>
      <c r="BC303" s="898"/>
      <c r="BD303" s="898"/>
      <c r="BE303" s="898"/>
      <c r="BF303" s="898"/>
      <c r="BG303" s="898"/>
      <c r="BH303" s="898"/>
      <c r="BI303" s="898"/>
      <c r="BJ303" s="898"/>
      <c r="BK303" s="898"/>
      <c r="BL303" s="898"/>
      <c r="BM303" s="898"/>
      <c r="BN303" s="898"/>
      <c r="BO303" s="898"/>
      <c r="BP303" s="898"/>
      <c r="BQ303" s="898"/>
      <c r="BR303" s="898"/>
      <c r="BS303" s="898"/>
      <c r="BT303" s="898"/>
      <c r="BU303" s="898"/>
      <c r="BV303" s="898"/>
      <c r="BW303" s="898"/>
      <c r="BX303" s="898"/>
      <c r="BY303" s="898"/>
      <c r="BZ303" s="898"/>
      <c r="CA303" s="898"/>
      <c r="CB303" s="898"/>
      <c r="CC303" s="898"/>
      <c r="CD303" s="898"/>
      <c r="CE303" s="898"/>
      <c r="CF303" s="898"/>
      <c r="CG303" s="898"/>
      <c r="CH303" s="898"/>
      <c r="CI303" s="898"/>
      <c r="CJ303" s="898"/>
      <c r="CK303" s="898"/>
      <c r="CL303" s="898"/>
      <c r="CM303" s="898"/>
      <c r="CN303" s="898"/>
      <c r="CO303" s="898"/>
      <c r="CP303" s="898"/>
      <c r="CQ303" s="898"/>
      <c r="CR303" s="898"/>
      <c r="CS303" s="898"/>
      <c r="CT303" s="898"/>
      <c r="CU303" s="898"/>
    </row>
    <row r="304" ht="16.5" customHeight="1">
      <c r="A304" s="718"/>
      <c r="B304" s="1195"/>
      <c r="C304" s="866"/>
      <c r="D304" s="968"/>
      <c r="E304" s="718"/>
      <c r="F304" s="718"/>
      <c r="G304" s="718"/>
      <c r="H304" s="718"/>
      <c r="I304" s="359"/>
      <c r="J304" s="359"/>
      <c r="K304" s="359"/>
      <c r="L304" s="359"/>
      <c r="M304" s="359"/>
      <c r="N304" s="359"/>
      <c r="O304" s="359"/>
      <c r="P304" s="359"/>
      <c r="Q304" s="359"/>
      <c r="R304" s="718"/>
      <c r="S304" s="669"/>
      <c r="T304" s="669"/>
      <c r="U304" s="967"/>
      <c r="V304" s="974"/>
      <c r="W304" s="1197"/>
      <c r="X304" s="974"/>
      <c r="Y304" s="974"/>
      <c r="Z304" s="974"/>
      <c r="AA304" s="974"/>
      <c r="AB304" s="974"/>
      <c r="AC304" s="974"/>
      <c r="AD304" s="974"/>
      <c r="AE304" s="974"/>
      <c r="AF304" s="974"/>
      <c r="AG304" s="974"/>
      <c r="AH304" s="974"/>
      <c r="AI304" s="1198"/>
      <c r="AJ304" s="974"/>
      <c r="AK304" s="1197"/>
      <c r="AL304" s="974"/>
      <c r="AM304" s="974"/>
      <c r="AN304" s="974"/>
      <c r="AO304" s="974"/>
      <c r="AP304" s="974"/>
      <c r="AQ304" s="974"/>
      <c r="AR304" s="974"/>
      <c r="AS304" s="974"/>
      <c r="AT304" s="974"/>
      <c r="AU304" s="974"/>
      <c r="AV304" s="974"/>
      <c r="AW304" s="1181"/>
      <c r="AX304" s="978"/>
      <c r="AY304" s="898"/>
      <c r="AZ304" s="898"/>
      <c r="BA304" s="898"/>
      <c r="BB304" s="898"/>
      <c r="BC304" s="898"/>
      <c r="BD304" s="898"/>
      <c r="BE304" s="898"/>
      <c r="BF304" s="898"/>
      <c r="BG304" s="898"/>
      <c r="BH304" s="898"/>
      <c r="BI304" s="898"/>
      <c r="BJ304" s="898"/>
      <c r="BK304" s="898"/>
      <c r="BL304" s="898"/>
      <c r="BM304" s="898"/>
      <c r="BN304" s="898"/>
      <c r="BO304" s="898"/>
      <c r="BP304" s="898"/>
      <c r="BQ304" s="898"/>
      <c r="BR304" s="898"/>
      <c r="BS304" s="898"/>
      <c r="BT304" s="898"/>
      <c r="BU304" s="898"/>
      <c r="BV304" s="898"/>
      <c r="BW304" s="898"/>
      <c r="BX304" s="898"/>
      <c r="BY304" s="898"/>
      <c r="BZ304" s="898"/>
      <c r="CA304" s="898"/>
      <c r="CB304" s="898"/>
      <c r="CC304" s="898"/>
      <c r="CD304" s="898"/>
      <c r="CE304" s="898"/>
      <c r="CF304" s="898"/>
      <c r="CG304" s="898"/>
      <c r="CH304" s="898"/>
      <c r="CI304" s="898"/>
      <c r="CJ304" s="898"/>
      <c r="CK304" s="898"/>
      <c r="CL304" s="898"/>
      <c r="CM304" s="898"/>
      <c r="CN304" s="898"/>
      <c r="CO304" s="898"/>
      <c r="CP304" s="898"/>
      <c r="CQ304" s="898"/>
      <c r="CR304" s="898"/>
      <c r="CS304" s="898"/>
      <c r="CT304" s="898"/>
      <c r="CU304" s="898"/>
    </row>
    <row r="305" ht="16.5" customHeight="1">
      <c r="A305" s="718"/>
      <c r="B305" s="1195"/>
      <c r="C305" s="866"/>
      <c r="D305" s="968"/>
      <c r="E305" s="718"/>
      <c r="F305" s="718"/>
      <c r="G305" s="718"/>
      <c r="H305" s="718"/>
      <c r="I305" s="359"/>
      <c r="J305" s="359"/>
      <c r="K305" s="359"/>
      <c r="L305" s="359"/>
      <c r="M305" s="359"/>
      <c r="N305" s="359"/>
      <c r="O305" s="359"/>
      <c r="P305" s="359"/>
      <c r="Q305" s="359"/>
      <c r="R305" s="718"/>
      <c r="S305" s="669"/>
      <c r="T305" s="669"/>
      <c r="U305" s="967"/>
      <c r="V305" s="974"/>
      <c r="W305" s="1197"/>
      <c r="X305" s="974"/>
      <c r="Y305" s="974"/>
      <c r="Z305" s="974"/>
      <c r="AA305" s="974"/>
      <c r="AB305" s="974"/>
      <c r="AC305" s="974"/>
      <c r="AD305" s="974"/>
      <c r="AE305" s="974"/>
      <c r="AF305" s="974"/>
      <c r="AG305" s="974"/>
      <c r="AH305" s="974"/>
      <c r="AI305" s="1198"/>
      <c r="AJ305" s="974"/>
      <c r="AK305" s="1197"/>
      <c r="AL305" s="974"/>
      <c r="AM305" s="974"/>
      <c r="AN305" s="974"/>
      <c r="AO305" s="974"/>
      <c r="AP305" s="974"/>
      <c r="AQ305" s="974"/>
      <c r="AR305" s="974"/>
      <c r="AS305" s="974"/>
      <c r="AT305" s="974"/>
      <c r="AU305" s="974"/>
      <c r="AV305" s="974"/>
      <c r="AW305" s="1181"/>
      <c r="AX305" s="978"/>
      <c r="AY305" s="898"/>
      <c r="AZ305" s="898"/>
      <c r="BA305" s="898"/>
      <c r="BB305" s="898"/>
      <c r="BC305" s="898"/>
      <c r="BD305" s="898"/>
      <c r="BE305" s="898"/>
      <c r="BF305" s="898"/>
      <c r="BG305" s="898"/>
      <c r="BH305" s="898"/>
      <c r="BI305" s="898"/>
      <c r="BJ305" s="898"/>
      <c r="BK305" s="898"/>
      <c r="BL305" s="898"/>
      <c r="BM305" s="898"/>
      <c r="BN305" s="898"/>
      <c r="BO305" s="898"/>
      <c r="BP305" s="898"/>
      <c r="BQ305" s="898"/>
      <c r="BR305" s="898"/>
      <c r="BS305" s="898"/>
      <c r="BT305" s="898"/>
      <c r="BU305" s="898"/>
      <c r="BV305" s="898"/>
      <c r="BW305" s="898"/>
      <c r="BX305" s="898"/>
      <c r="BY305" s="898"/>
      <c r="BZ305" s="898"/>
      <c r="CA305" s="898"/>
      <c r="CB305" s="898"/>
      <c r="CC305" s="898"/>
      <c r="CD305" s="898"/>
      <c r="CE305" s="898"/>
      <c r="CF305" s="898"/>
      <c r="CG305" s="898"/>
      <c r="CH305" s="898"/>
      <c r="CI305" s="898"/>
      <c r="CJ305" s="898"/>
      <c r="CK305" s="898"/>
      <c r="CL305" s="898"/>
      <c r="CM305" s="898"/>
      <c r="CN305" s="898"/>
      <c r="CO305" s="898"/>
      <c r="CP305" s="898"/>
      <c r="CQ305" s="898"/>
      <c r="CR305" s="898"/>
      <c r="CS305" s="898"/>
      <c r="CT305" s="898"/>
      <c r="CU305" s="898"/>
    </row>
    <row r="306" ht="16.5" customHeight="1">
      <c r="A306" s="718"/>
      <c r="B306" s="1195"/>
      <c r="C306" s="866"/>
      <c r="D306" s="968"/>
      <c r="E306" s="718"/>
      <c r="F306" s="718"/>
      <c r="G306" s="718"/>
      <c r="H306" s="718"/>
      <c r="I306" s="359"/>
      <c r="J306" s="359"/>
      <c r="K306" s="359"/>
      <c r="L306" s="359"/>
      <c r="M306" s="359"/>
      <c r="N306" s="359"/>
      <c r="O306" s="359"/>
      <c r="P306" s="359"/>
      <c r="Q306" s="359"/>
      <c r="R306" s="718"/>
      <c r="S306" s="669"/>
      <c r="T306" s="669"/>
      <c r="U306" s="967"/>
      <c r="V306" s="974"/>
      <c r="W306" s="1197"/>
      <c r="X306" s="974"/>
      <c r="Y306" s="974"/>
      <c r="Z306" s="974"/>
      <c r="AA306" s="974"/>
      <c r="AB306" s="974"/>
      <c r="AC306" s="974"/>
      <c r="AD306" s="974"/>
      <c r="AE306" s="974"/>
      <c r="AF306" s="974"/>
      <c r="AG306" s="974"/>
      <c r="AH306" s="974"/>
      <c r="AI306" s="1198"/>
      <c r="AJ306" s="974"/>
      <c r="AK306" s="1197"/>
      <c r="AL306" s="974"/>
      <c r="AM306" s="974"/>
      <c r="AN306" s="974"/>
      <c r="AO306" s="974"/>
      <c r="AP306" s="974"/>
      <c r="AQ306" s="974"/>
      <c r="AR306" s="974"/>
      <c r="AS306" s="974"/>
      <c r="AT306" s="974"/>
      <c r="AU306" s="974"/>
      <c r="AV306" s="974"/>
      <c r="AW306" s="1181"/>
      <c r="AX306" s="978"/>
      <c r="AY306" s="898"/>
      <c r="AZ306" s="898"/>
      <c r="BA306" s="898"/>
      <c r="BB306" s="898"/>
      <c r="BC306" s="898"/>
      <c r="BD306" s="898"/>
      <c r="BE306" s="898"/>
      <c r="BF306" s="898"/>
      <c r="BG306" s="898"/>
      <c r="BH306" s="898"/>
      <c r="BI306" s="898"/>
      <c r="BJ306" s="898"/>
      <c r="BK306" s="898"/>
      <c r="BL306" s="898"/>
      <c r="BM306" s="898"/>
      <c r="BN306" s="898"/>
      <c r="BO306" s="898"/>
      <c r="BP306" s="898"/>
      <c r="BQ306" s="898"/>
      <c r="BR306" s="898"/>
      <c r="BS306" s="898"/>
      <c r="BT306" s="898"/>
      <c r="BU306" s="898"/>
      <c r="BV306" s="898"/>
      <c r="BW306" s="898"/>
      <c r="BX306" s="898"/>
      <c r="BY306" s="898"/>
      <c r="BZ306" s="898"/>
      <c r="CA306" s="898"/>
      <c r="CB306" s="898"/>
      <c r="CC306" s="898"/>
      <c r="CD306" s="898"/>
      <c r="CE306" s="898"/>
      <c r="CF306" s="898"/>
      <c r="CG306" s="898"/>
      <c r="CH306" s="898"/>
      <c r="CI306" s="898"/>
      <c r="CJ306" s="898"/>
      <c r="CK306" s="898"/>
      <c r="CL306" s="898"/>
      <c r="CM306" s="898"/>
      <c r="CN306" s="898"/>
      <c r="CO306" s="898"/>
      <c r="CP306" s="898"/>
      <c r="CQ306" s="898"/>
      <c r="CR306" s="898"/>
      <c r="CS306" s="898"/>
      <c r="CT306" s="898"/>
      <c r="CU306" s="898"/>
    </row>
    <row r="307" ht="16.5" customHeight="1">
      <c r="A307" s="718"/>
      <c r="B307" s="1195"/>
      <c r="C307" s="866"/>
      <c r="D307" s="968"/>
      <c r="E307" s="718"/>
      <c r="F307" s="718"/>
      <c r="G307" s="718"/>
      <c r="H307" s="718"/>
      <c r="I307" s="359"/>
      <c r="J307" s="359"/>
      <c r="K307" s="359"/>
      <c r="L307" s="359"/>
      <c r="M307" s="359"/>
      <c r="N307" s="359"/>
      <c r="O307" s="359"/>
      <c r="P307" s="359"/>
      <c r="Q307" s="359"/>
      <c r="R307" s="718"/>
      <c r="S307" s="669"/>
      <c r="T307" s="669"/>
      <c r="U307" s="967"/>
      <c r="V307" s="974"/>
      <c r="W307" s="1197"/>
      <c r="X307" s="974"/>
      <c r="Y307" s="974"/>
      <c r="Z307" s="974"/>
      <c r="AA307" s="974"/>
      <c r="AB307" s="974"/>
      <c r="AC307" s="974"/>
      <c r="AD307" s="974"/>
      <c r="AE307" s="974"/>
      <c r="AF307" s="974"/>
      <c r="AG307" s="974"/>
      <c r="AH307" s="974"/>
      <c r="AI307" s="1198"/>
      <c r="AJ307" s="974"/>
      <c r="AK307" s="1197"/>
      <c r="AL307" s="974"/>
      <c r="AM307" s="974"/>
      <c r="AN307" s="974"/>
      <c r="AO307" s="974"/>
      <c r="AP307" s="974"/>
      <c r="AQ307" s="974"/>
      <c r="AR307" s="974"/>
      <c r="AS307" s="974"/>
      <c r="AT307" s="974"/>
      <c r="AU307" s="974"/>
      <c r="AV307" s="974"/>
      <c r="AW307" s="1181"/>
      <c r="AX307" s="978"/>
      <c r="AY307" s="898"/>
      <c r="AZ307" s="898"/>
      <c r="BA307" s="898"/>
      <c r="BB307" s="898"/>
      <c r="BC307" s="898"/>
      <c r="BD307" s="898"/>
      <c r="BE307" s="898"/>
      <c r="BF307" s="898"/>
      <c r="BG307" s="898"/>
      <c r="BH307" s="898"/>
      <c r="BI307" s="898"/>
      <c r="BJ307" s="898"/>
      <c r="BK307" s="898"/>
      <c r="BL307" s="898"/>
      <c r="BM307" s="898"/>
      <c r="BN307" s="898"/>
      <c r="BO307" s="898"/>
      <c r="BP307" s="898"/>
      <c r="BQ307" s="898"/>
      <c r="BR307" s="898"/>
      <c r="BS307" s="898"/>
      <c r="BT307" s="898"/>
      <c r="BU307" s="898"/>
      <c r="BV307" s="898"/>
      <c r="BW307" s="898"/>
      <c r="BX307" s="898"/>
      <c r="BY307" s="898"/>
      <c r="BZ307" s="898"/>
      <c r="CA307" s="898"/>
      <c r="CB307" s="898"/>
      <c r="CC307" s="898"/>
      <c r="CD307" s="898"/>
      <c r="CE307" s="898"/>
      <c r="CF307" s="898"/>
      <c r="CG307" s="898"/>
      <c r="CH307" s="898"/>
      <c r="CI307" s="898"/>
      <c r="CJ307" s="898"/>
      <c r="CK307" s="898"/>
      <c r="CL307" s="898"/>
      <c r="CM307" s="898"/>
      <c r="CN307" s="898"/>
      <c r="CO307" s="898"/>
      <c r="CP307" s="898"/>
      <c r="CQ307" s="898"/>
      <c r="CR307" s="898"/>
      <c r="CS307" s="898"/>
      <c r="CT307" s="898"/>
      <c r="CU307" s="898"/>
    </row>
    <row r="308" ht="16.5" customHeight="1">
      <c r="A308" s="718"/>
      <c r="B308" s="1195"/>
      <c r="C308" s="866"/>
      <c r="D308" s="968"/>
      <c r="E308" s="718"/>
      <c r="F308" s="718"/>
      <c r="G308" s="718"/>
      <c r="H308" s="718"/>
      <c r="I308" s="359"/>
      <c r="J308" s="359"/>
      <c r="K308" s="359"/>
      <c r="L308" s="359"/>
      <c r="M308" s="359"/>
      <c r="N308" s="359"/>
      <c r="O308" s="359"/>
      <c r="P308" s="359"/>
      <c r="Q308" s="359"/>
      <c r="R308" s="718"/>
      <c r="S308" s="669"/>
      <c r="T308" s="669"/>
      <c r="U308" s="967"/>
      <c r="V308" s="974"/>
      <c r="W308" s="1197"/>
      <c r="X308" s="974"/>
      <c r="Y308" s="974"/>
      <c r="Z308" s="974"/>
      <c r="AA308" s="974"/>
      <c r="AB308" s="974"/>
      <c r="AC308" s="974"/>
      <c r="AD308" s="974"/>
      <c r="AE308" s="974"/>
      <c r="AF308" s="974"/>
      <c r="AG308" s="974"/>
      <c r="AH308" s="974"/>
      <c r="AI308" s="1198"/>
      <c r="AJ308" s="974"/>
      <c r="AK308" s="1197"/>
      <c r="AL308" s="974"/>
      <c r="AM308" s="974"/>
      <c r="AN308" s="974"/>
      <c r="AO308" s="974"/>
      <c r="AP308" s="974"/>
      <c r="AQ308" s="974"/>
      <c r="AR308" s="974"/>
      <c r="AS308" s="974"/>
      <c r="AT308" s="974"/>
      <c r="AU308" s="974"/>
      <c r="AV308" s="974"/>
      <c r="AW308" s="1181"/>
      <c r="AX308" s="978"/>
      <c r="AY308" s="898"/>
      <c r="AZ308" s="898"/>
      <c r="BA308" s="898"/>
      <c r="BB308" s="898"/>
      <c r="BC308" s="898"/>
      <c r="BD308" s="898"/>
      <c r="BE308" s="898"/>
      <c r="BF308" s="898"/>
      <c r="BG308" s="898"/>
      <c r="BH308" s="898"/>
      <c r="BI308" s="898"/>
      <c r="BJ308" s="898"/>
      <c r="BK308" s="898"/>
      <c r="BL308" s="898"/>
      <c r="BM308" s="898"/>
      <c r="BN308" s="898"/>
      <c r="BO308" s="898"/>
      <c r="BP308" s="898"/>
      <c r="BQ308" s="898"/>
      <c r="BR308" s="898"/>
      <c r="BS308" s="898"/>
      <c r="BT308" s="898"/>
      <c r="BU308" s="898"/>
      <c r="BV308" s="898"/>
      <c r="BW308" s="898"/>
      <c r="BX308" s="898"/>
      <c r="BY308" s="898"/>
      <c r="BZ308" s="898"/>
      <c r="CA308" s="898"/>
      <c r="CB308" s="898"/>
      <c r="CC308" s="898"/>
      <c r="CD308" s="898"/>
      <c r="CE308" s="898"/>
      <c r="CF308" s="898"/>
      <c r="CG308" s="898"/>
      <c r="CH308" s="898"/>
      <c r="CI308" s="898"/>
      <c r="CJ308" s="898"/>
      <c r="CK308" s="898"/>
      <c r="CL308" s="898"/>
      <c r="CM308" s="898"/>
      <c r="CN308" s="898"/>
      <c r="CO308" s="898"/>
      <c r="CP308" s="898"/>
      <c r="CQ308" s="898"/>
      <c r="CR308" s="898"/>
      <c r="CS308" s="898"/>
      <c r="CT308" s="898"/>
      <c r="CU308" s="898"/>
    </row>
    <row r="309" ht="16.5" customHeight="1">
      <c r="A309" s="718"/>
      <c r="B309" s="1195"/>
      <c r="C309" s="866"/>
      <c r="D309" s="968"/>
      <c r="E309" s="718"/>
      <c r="F309" s="718"/>
      <c r="G309" s="718"/>
      <c r="H309" s="718"/>
      <c r="I309" s="359"/>
      <c r="J309" s="359"/>
      <c r="K309" s="359"/>
      <c r="L309" s="359"/>
      <c r="M309" s="359"/>
      <c r="N309" s="359"/>
      <c r="O309" s="359"/>
      <c r="P309" s="359"/>
      <c r="Q309" s="359"/>
      <c r="R309" s="718"/>
      <c r="S309" s="669"/>
      <c r="T309" s="669"/>
      <c r="U309" s="967"/>
      <c r="V309" s="974"/>
      <c r="W309" s="1197"/>
      <c r="X309" s="974"/>
      <c r="Y309" s="974"/>
      <c r="Z309" s="974"/>
      <c r="AA309" s="974"/>
      <c r="AB309" s="974"/>
      <c r="AC309" s="974"/>
      <c r="AD309" s="974"/>
      <c r="AE309" s="974"/>
      <c r="AF309" s="974"/>
      <c r="AG309" s="974"/>
      <c r="AH309" s="974"/>
      <c r="AI309" s="1198"/>
      <c r="AJ309" s="974"/>
      <c r="AK309" s="1197"/>
      <c r="AL309" s="974"/>
      <c r="AM309" s="974"/>
      <c r="AN309" s="974"/>
      <c r="AO309" s="974"/>
      <c r="AP309" s="974"/>
      <c r="AQ309" s="974"/>
      <c r="AR309" s="974"/>
      <c r="AS309" s="974"/>
      <c r="AT309" s="974"/>
      <c r="AU309" s="974"/>
      <c r="AV309" s="974"/>
      <c r="AW309" s="1181"/>
      <c r="AX309" s="978"/>
      <c r="AY309" s="898"/>
      <c r="AZ309" s="898"/>
      <c r="BA309" s="898"/>
      <c r="BB309" s="898"/>
      <c r="BC309" s="898"/>
      <c r="BD309" s="898"/>
      <c r="BE309" s="898"/>
      <c r="BF309" s="898"/>
      <c r="BG309" s="898"/>
      <c r="BH309" s="898"/>
      <c r="BI309" s="898"/>
      <c r="BJ309" s="898"/>
      <c r="BK309" s="898"/>
      <c r="BL309" s="898"/>
      <c r="BM309" s="898"/>
      <c r="BN309" s="898"/>
      <c r="BO309" s="898"/>
      <c r="BP309" s="898"/>
      <c r="BQ309" s="898"/>
      <c r="BR309" s="898"/>
      <c r="BS309" s="898"/>
      <c r="BT309" s="898"/>
      <c r="BU309" s="898"/>
      <c r="BV309" s="898"/>
      <c r="BW309" s="898"/>
      <c r="BX309" s="898"/>
      <c r="BY309" s="898"/>
      <c r="BZ309" s="898"/>
      <c r="CA309" s="898"/>
      <c r="CB309" s="898"/>
      <c r="CC309" s="898"/>
      <c r="CD309" s="898"/>
      <c r="CE309" s="898"/>
      <c r="CF309" s="898"/>
      <c r="CG309" s="898"/>
      <c r="CH309" s="898"/>
      <c r="CI309" s="898"/>
      <c r="CJ309" s="898"/>
      <c r="CK309" s="898"/>
      <c r="CL309" s="898"/>
      <c r="CM309" s="898"/>
      <c r="CN309" s="898"/>
      <c r="CO309" s="898"/>
      <c r="CP309" s="898"/>
      <c r="CQ309" s="898"/>
      <c r="CR309" s="898"/>
      <c r="CS309" s="898"/>
      <c r="CT309" s="898"/>
      <c r="CU309" s="898"/>
    </row>
    <row r="310" ht="16.5" customHeight="1">
      <c r="A310" s="718"/>
      <c r="B310" s="1195"/>
      <c r="C310" s="866"/>
      <c r="D310" s="968"/>
      <c r="E310" s="718"/>
      <c r="F310" s="718"/>
      <c r="G310" s="718"/>
      <c r="H310" s="718"/>
      <c r="I310" s="359"/>
      <c r="J310" s="359"/>
      <c r="K310" s="359"/>
      <c r="L310" s="359"/>
      <c r="M310" s="359"/>
      <c r="N310" s="359"/>
      <c r="O310" s="359"/>
      <c r="P310" s="359"/>
      <c r="Q310" s="359"/>
      <c r="R310" s="718"/>
      <c r="S310" s="669"/>
      <c r="T310" s="669"/>
      <c r="U310" s="967"/>
      <c r="V310" s="974"/>
      <c r="W310" s="1197"/>
      <c r="X310" s="974"/>
      <c r="Y310" s="974"/>
      <c r="Z310" s="974"/>
      <c r="AA310" s="974"/>
      <c r="AB310" s="974"/>
      <c r="AC310" s="974"/>
      <c r="AD310" s="974"/>
      <c r="AE310" s="974"/>
      <c r="AF310" s="974"/>
      <c r="AG310" s="974"/>
      <c r="AH310" s="974"/>
      <c r="AI310" s="1198"/>
      <c r="AJ310" s="974"/>
      <c r="AK310" s="1197"/>
      <c r="AL310" s="974"/>
      <c r="AM310" s="974"/>
      <c r="AN310" s="974"/>
      <c r="AO310" s="974"/>
      <c r="AP310" s="974"/>
      <c r="AQ310" s="974"/>
      <c r="AR310" s="974"/>
      <c r="AS310" s="974"/>
      <c r="AT310" s="974"/>
      <c r="AU310" s="974"/>
      <c r="AV310" s="974"/>
      <c r="AW310" s="1181"/>
      <c r="AX310" s="978"/>
      <c r="AY310" s="898"/>
      <c r="AZ310" s="898"/>
      <c r="BA310" s="898"/>
      <c r="BB310" s="898"/>
      <c r="BC310" s="898"/>
      <c r="BD310" s="898"/>
      <c r="BE310" s="898"/>
      <c r="BF310" s="898"/>
      <c r="BG310" s="898"/>
      <c r="BH310" s="898"/>
      <c r="BI310" s="898"/>
      <c r="BJ310" s="898"/>
      <c r="BK310" s="898"/>
      <c r="BL310" s="898"/>
      <c r="BM310" s="898"/>
      <c r="BN310" s="898"/>
      <c r="BO310" s="898"/>
      <c r="BP310" s="898"/>
      <c r="BQ310" s="898"/>
      <c r="BR310" s="898"/>
      <c r="BS310" s="898"/>
      <c r="BT310" s="898"/>
      <c r="BU310" s="898"/>
      <c r="BV310" s="898"/>
      <c r="BW310" s="898"/>
      <c r="BX310" s="898"/>
      <c r="BY310" s="898"/>
      <c r="BZ310" s="898"/>
      <c r="CA310" s="898"/>
      <c r="CB310" s="898"/>
      <c r="CC310" s="898"/>
      <c r="CD310" s="898"/>
      <c r="CE310" s="898"/>
      <c r="CF310" s="898"/>
      <c r="CG310" s="898"/>
      <c r="CH310" s="898"/>
      <c r="CI310" s="898"/>
      <c r="CJ310" s="898"/>
      <c r="CK310" s="898"/>
      <c r="CL310" s="898"/>
      <c r="CM310" s="898"/>
      <c r="CN310" s="898"/>
      <c r="CO310" s="898"/>
      <c r="CP310" s="898"/>
      <c r="CQ310" s="898"/>
      <c r="CR310" s="898"/>
      <c r="CS310" s="898"/>
      <c r="CT310" s="898"/>
      <c r="CU310" s="898"/>
    </row>
    <row r="311" ht="16.5" customHeight="1">
      <c r="A311" s="718"/>
      <c r="B311" s="1195"/>
      <c r="C311" s="866"/>
      <c r="D311" s="968"/>
      <c r="E311" s="718"/>
      <c r="F311" s="718"/>
      <c r="G311" s="718"/>
      <c r="H311" s="718"/>
      <c r="I311" s="359"/>
      <c r="J311" s="359"/>
      <c r="K311" s="359"/>
      <c r="L311" s="359"/>
      <c r="M311" s="359"/>
      <c r="N311" s="359"/>
      <c r="O311" s="359"/>
      <c r="P311" s="359"/>
      <c r="Q311" s="359"/>
      <c r="R311" s="718"/>
      <c r="S311" s="669"/>
      <c r="T311" s="669"/>
      <c r="U311" s="967"/>
      <c r="V311" s="974"/>
      <c r="W311" s="1197"/>
      <c r="X311" s="974"/>
      <c r="Y311" s="974"/>
      <c r="Z311" s="974"/>
      <c r="AA311" s="974"/>
      <c r="AB311" s="974"/>
      <c r="AC311" s="974"/>
      <c r="AD311" s="974"/>
      <c r="AE311" s="974"/>
      <c r="AF311" s="974"/>
      <c r="AG311" s="974"/>
      <c r="AH311" s="974"/>
      <c r="AI311" s="1198"/>
      <c r="AJ311" s="974"/>
      <c r="AK311" s="1197"/>
      <c r="AL311" s="974"/>
      <c r="AM311" s="974"/>
      <c r="AN311" s="974"/>
      <c r="AO311" s="974"/>
      <c r="AP311" s="974"/>
      <c r="AQ311" s="974"/>
      <c r="AR311" s="974"/>
      <c r="AS311" s="974"/>
      <c r="AT311" s="974"/>
      <c r="AU311" s="974"/>
      <c r="AV311" s="974"/>
      <c r="AW311" s="1181"/>
      <c r="AX311" s="978"/>
      <c r="AY311" s="898"/>
      <c r="AZ311" s="898"/>
      <c r="BA311" s="898"/>
      <c r="BB311" s="898"/>
      <c r="BC311" s="898"/>
      <c r="BD311" s="898"/>
      <c r="BE311" s="898"/>
      <c r="BF311" s="898"/>
      <c r="BG311" s="898"/>
      <c r="BH311" s="898"/>
      <c r="BI311" s="898"/>
      <c r="BJ311" s="898"/>
      <c r="BK311" s="898"/>
      <c r="BL311" s="898"/>
      <c r="BM311" s="898"/>
      <c r="BN311" s="898"/>
      <c r="BO311" s="898"/>
      <c r="BP311" s="898"/>
      <c r="BQ311" s="898"/>
      <c r="BR311" s="898"/>
      <c r="BS311" s="898"/>
      <c r="BT311" s="898"/>
      <c r="BU311" s="898"/>
      <c r="BV311" s="898"/>
      <c r="BW311" s="898"/>
      <c r="BX311" s="898"/>
      <c r="BY311" s="898"/>
      <c r="BZ311" s="898"/>
      <c r="CA311" s="898"/>
      <c r="CB311" s="898"/>
      <c r="CC311" s="898"/>
      <c r="CD311" s="898"/>
      <c r="CE311" s="898"/>
      <c r="CF311" s="898"/>
      <c r="CG311" s="898"/>
      <c r="CH311" s="898"/>
      <c r="CI311" s="898"/>
      <c r="CJ311" s="898"/>
      <c r="CK311" s="898"/>
      <c r="CL311" s="898"/>
      <c r="CM311" s="898"/>
      <c r="CN311" s="898"/>
      <c r="CO311" s="898"/>
      <c r="CP311" s="898"/>
      <c r="CQ311" s="898"/>
      <c r="CR311" s="898"/>
      <c r="CS311" s="898"/>
      <c r="CT311" s="898"/>
      <c r="CU311" s="898"/>
    </row>
    <row r="312" ht="16.5" customHeight="1">
      <c r="A312" s="718"/>
      <c r="B312" s="1195"/>
      <c r="C312" s="866"/>
      <c r="D312" s="968"/>
      <c r="E312" s="718"/>
      <c r="F312" s="718"/>
      <c r="G312" s="718"/>
      <c r="H312" s="718"/>
      <c r="I312" s="359"/>
      <c r="J312" s="359"/>
      <c r="K312" s="359"/>
      <c r="L312" s="359"/>
      <c r="M312" s="359"/>
      <c r="N312" s="359"/>
      <c r="O312" s="359"/>
      <c r="P312" s="359"/>
      <c r="Q312" s="359"/>
      <c r="R312" s="718"/>
      <c r="S312" s="669"/>
      <c r="T312" s="669"/>
      <c r="U312" s="967"/>
      <c r="V312" s="974"/>
      <c r="W312" s="1197"/>
      <c r="X312" s="974"/>
      <c r="Y312" s="974"/>
      <c r="Z312" s="974"/>
      <c r="AA312" s="974"/>
      <c r="AB312" s="974"/>
      <c r="AC312" s="974"/>
      <c r="AD312" s="974"/>
      <c r="AE312" s="974"/>
      <c r="AF312" s="974"/>
      <c r="AG312" s="974"/>
      <c r="AH312" s="974"/>
      <c r="AI312" s="1198"/>
      <c r="AJ312" s="974"/>
      <c r="AK312" s="1197"/>
      <c r="AL312" s="974"/>
      <c r="AM312" s="974"/>
      <c r="AN312" s="974"/>
      <c r="AO312" s="974"/>
      <c r="AP312" s="974"/>
      <c r="AQ312" s="974"/>
      <c r="AR312" s="974"/>
      <c r="AS312" s="974"/>
      <c r="AT312" s="974"/>
      <c r="AU312" s="974"/>
      <c r="AV312" s="974"/>
      <c r="AW312" s="1181"/>
      <c r="AX312" s="978"/>
      <c r="AY312" s="898"/>
      <c r="AZ312" s="898"/>
      <c r="BA312" s="898"/>
      <c r="BB312" s="898"/>
      <c r="BC312" s="898"/>
      <c r="BD312" s="898"/>
      <c r="BE312" s="898"/>
      <c r="BF312" s="898"/>
      <c r="BG312" s="898"/>
      <c r="BH312" s="898"/>
      <c r="BI312" s="898"/>
      <c r="BJ312" s="898"/>
      <c r="BK312" s="898"/>
      <c r="BL312" s="898"/>
      <c r="BM312" s="898"/>
      <c r="BN312" s="898"/>
      <c r="BO312" s="898"/>
      <c r="BP312" s="898"/>
      <c r="BQ312" s="898"/>
      <c r="BR312" s="898"/>
      <c r="BS312" s="898"/>
      <c r="BT312" s="898"/>
      <c r="BU312" s="898"/>
      <c r="BV312" s="898"/>
      <c r="BW312" s="898"/>
      <c r="BX312" s="898"/>
      <c r="BY312" s="898"/>
      <c r="BZ312" s="898"/>
      <c r="CA312" s="898"/>
      <c r="CB312" s="898"/>
      <c r="CC312" s="898"/>
      <c r="CD312" s="898"/>
      <c r="CE312" s="898"/>
      <c r="CF312" s="898"/>
      <c r="CG312" s="898"/>
      <c r="CH312" s="898"/>
      <c r="CI312" s="898"/>
      <c r="CJ312" s="898"/>
      <c r="CK312" s="898"/>
      <c r="CL312" s="898"/>
      <c r="CM312" s="898"/>
      <c r="CN312" s="898"/>
      <c r="CO312" s="898"/>
      <c r="CP312" s="898"/>
      <c r="CQ312" s="898"/>
      <c r="CR312" s="898"/>
      <c r="CS312" s="898"/>
      <c r="CT312" s="898"/>
      <c r="CU312" s="898"/>
    </row>
    <row r="313" ht="16.5" customHeight="1">
      <c r="A313" s="718"/>
      <c r="B313" s="1195"/>
      <c r="C313" s="866"/>
      <c r="D313" s="968"/>
      <c r="E313" s="718"/>
      <c r="F313" s="718"/>
      <c r="G313" s="718"/>
      <c r="H313" s="718"/>
      <c r="I313" s="359"/>
      <c r="J313" s="359"/>
      <c r="K313" s="359"/>
      <c r="L313" s="359"/>
      <c r="M313" s="359"/>
      <c r="N313" s="359"/>
      <c r="O313" s="359"/>
      <c r="P313" s="359"/>
      <c r="Q313" s="359"/>
      <c r="R313" s="718"/>
      <c r="S313" s="669"/>
      <c r="T313" s="669"/>
      <c r="U313" s="967"/>
      <c r="V313" s="974"/>
      <c r="W313" s="1197"/>
      <c r="X313" s="974"/>
      <c r="Y313" s="974"/>
      <c r="Z313" s="974"/>
      <c r="AA313" s="974"/>
      <c r="AB313" s="974"/>
      <c r="AC313" s="974"/>
      <c r="AD313" s="974"/>
      <c r="AE313" s="974"/>
      <c r="AF313" s="974"/>
      <c r="AG313" s="974"/>
      <c r="AH313" s="974"/>
      <c r="AI313" s="1198"/>
      <c r="AJ313" s="974"/>
      <c r="AK313" s="1197"/>
      <c r="AL313" s="974"/>
      <c r="AM313" s="974"/>
      <c r="AN313" s="974"/>
      <c r="AO313" s="974"/>
      <c r="AP313" s="974"/>
      <c r="AQ313" s="974"/>
      <c r="AR313" s="974"/>
      <c r="AS313" s="974"/>
      <c r="AT313" s="974"/>
      <c r="AU313" s="974"/>
      <c r="AV313" s="974"/>
      <c r="AW313" s="1181"/>
      <c r="AX313" s="978"/>
      <c r="AY313" s="898"/>
      <c r="AZ313" s="898"/>
      <c r="BA313" s="898"/>
      <c r="BB313" s="898"/>
      <c r="BC313" s="898"/>
      <c r="BD313" s="898"/>
      <c r="BE313" s="898"/>
      <c r="BF313" s="898"/>
      <c r="BG313" s="898"/>
      <c r="BH313" s="898"/>
      <c r="BI313" s="898"/>
      <c r="BJ313" s="898"/>
      <c r="BK313" s="898"/>
      <c r="BL313" s="898"/>
      <c r="BM313" s="898"/>
      <c r="BN313" s="898"/>
      <c r="BO313" s="898"/>
      <c r="BP313" s="898"/>
      <c r="BQ313" s="898"/>
      <c r="BR313" s="898"/>
      <c r="BS313" s="898"/>
      <c r="BT313" s="898"/>
      <c r="BU313" s="898"/>
      <c r="BV313" s="898"/>
      <c r="BW313" s="898"/>
      <c r="BX313" s="898"/>
      <c r="BY313" s="898"/>
      <c r="BZ313" s="898"/>
      <c r="CA313" s="898"/>
      <c r="CB313" s="898"/>
      <c r="CC313" s="898"/>
      <c r="CD313" s="898"/>
      <c r="CE313" s="898"/>
      <c r="CF313" s="898"/>
      <c r="CG313" s="898"/>
      <c r="CH313" s="898"/>
      <c r="CI313" s="898"/>
      <c r="CJ313" s="898"/>
      <c r="CK313" s="898"/>
      <c r="CL313" s="898"/>
      <c r="CM313" s="898"/>
      <c r="CN313" s="898"/>
      <c r="CO313" s="898"/>
      <c r="CP313" s="898"/>
      <c r="CQ313" s="898"/>
      <c r="CR313" s="898"/>
      <c r="CS313" s="898"/>
      <c r="CT313" s="898"/>
      <c r="CU313" s="898"/>
    </row>
    <row r="314" ht="16.5" customHeight="1">
      <c r="A314" s="718"/>
      <c r="B314" s="1195"/>
      <c r="C314" s="866"/>
      <c r="D314" s="968"/>
      <c r="E314" s="718"/>
      <c r="F314" s="718"/>
      <c r="G314" s="718"/>
      <c r="H314" s="718"/>
      <c r="I314" s="359"/>
      <c r="J314" s="359"/>
      <c r="K314" s="359"/>
      <c r="L314" s="359"/>
      <c r="M314" s="359"/>
      <c r="N314" s="359"/>
      <c r="O314" s="359"/>
      <c r="P314" s="359"/>
      <c r="Q314" s="359"/>
      <c r="R314" s="718"/>
      <c r="S314" s="669"/>
      <c r="T314" s="669"/>
      <c r="U314" s="967"/>
      <c r="V314" s="974"/>
      <c r="W314" s="1197"/>
      <c r="X314" s="974"/>
      <c r="Y314" s="974"/>
      <c r="Z314" s="974"/>
      <c r="AA314" s="974"/>
      <c r="AB314" s="974"/>
      <c r="AC314" s="974"/>
      <c r="AD314" s="974"/>
      <c r="AE314" s="974"/>
      <c r="AF314" s="974"/>
      <c r="AG314" s="974"/>
      <c r="AH314" s="974"/>
      <c r="AI314" s="1198"/>
      <c r="AJ314" s="974"/>
      <c r="AK314" s="1197"/>
      <c r="AL314" s="974"/>
      <c r="AM314" s="974"/>
      <c r="AN314" s="974"/>
      <c r="AO314" s="974"/>
      <c r="AP314" s="974"/>
      <c r="AQ314" s="974"/>
      <c r="AR314" s="974"/>
      <c r="AS314" s="974"/>
      <c r="AT314" s="974"/>
      <c r="AU314" s="974"/>
      <c r="AV314" s="974"/>
      <c r="AW314" s="1181"/>
      <c r="AX314" s="978"/>
      <c r="AY314" s="898"/>
      <c r="AZ314" s="898"/>
      <c r="BA314" s="898"/>
      <c r="BB314" s="898"/>
      <c r="BC314" s="898"/>
      <c r="BD314" s="898"/>
      <c r="BE314" s="898"/>
      <c r="BF314" s="898"/>
      <c r="BG314" s="898"/>
      <c r="BH314" s="898"/>
      <c r="BI314" s="898"/>
      <c r="BJ314" s="898"/>
      <c r="BK314" s="898"/>
      <c r="BL314" s="898"/>
      <c r="BM314" s="898"/>
      <c r="BN314" s="898"/>
      <c r="BO314" s="898"/>
      <c r="BP314" s="898"/>
      <c r="BQ314" s="898"/>
      <c r="BR314" s="898"/>
      <c r="BS314" s="898"/>
      <c r="BT314" s="898"/>
      <c r="BU314" s="898"/>
      <c r="BV314" s="898"/>
      <c r="BW314" s="898"/>
      <c r="BX314" s="898"/>
      <c r="BY314" s="898"/>
      <c r="BZ314" s="898"/>
      <c r="CA314" s="898"/>
      <c r="CB314" s="898"/>
      <c r="CC314" s="898"/>
      <c r="CD314" s="898"/>
      <c r="CE314" s="898"/>
      <c r="CF314" s="898"/>
      <c r="CG314" s="898"/>
      <c r="CH314" s="898"/>
      <c r="CI314" s="898"/>
      <c r="CJ314" s="898"/>
      <c r="CK314" s="898"/>
      <c r="CL314" s="898"/>
      <c r="CM314" s="898"/>
      <c r="CN314" s="898"/>
      <c r="CO314" s="898"/>
      <c r="CP314" s="898"/>
      <c r="CQ314" s="898"/>
      <c r="CR314" s="898"/>
      <c r="CS314" s="898"/>
      <c r="CT314" s="898"/>
      <c r="CU314" s="898"/>
    </row>
    <row r="315" ht="16.5" customHeight="1">
      <c r="A315" s="718"/>
      <c r="B315" s="1195"/>
      <c r="C315" s="866"/>
      <c r="D315" s="968"/>
      <c r="E315" s="718"/>
      <c r="F315" s="718"/>
      <c r="G315" s="718"/>
      <c r="H315" s="718"/>
      <c r="I315" s="359"/>
      <c r="J315" s="359"/>
      <c r="K315" s="359"/>
      <c r="L315" s="359"/>
      <c r="M315" s="359"/>
      <c r="N315" s="359"/>
      <c r="O315" s="359"/>
      <c r="P315" s="359"/>
      <c r="Q315" s="359"/>
      <c r="R315" s="718"/>
      <c r="S315" s="669"/>
      <c r="T315" s="669"/>
      <c r="U315" s="967"/>
      <c r="V315" s="974"/>
      <c r="W315" s="1197"/>
      <c r="X315" s="974"/>
      <c r="Y315" s="974"/>
      <c r="Z315" s="974"/>
      <c r="AA315" s="974"/>
      <c r="AB315" s="974"/>
      <c r="AC315" s="974"/>
      <c r="AD315" s="974"/>
      <c r="AE315" s="974"/>
      <c r="AF315" s="974"/>
      <c r="AG315" s="974"/>
      <c r="AH315" s="974"/>
      <c r="AI315" s="1198"/>
      <c r="AJ315" s="974"/>
      <c r="AK315" s="1197"/>
      <c r="AL315" s="974"/>
      <c r="AM315" s="974"/>
      <c r="AN315" s="974"/>
      <c r="AO315" s="974"/>
      <c r="AP315" s="974"/>
      <c r="AQ315" s="974"/>
      <c r="AR315" s="974"/>
      <c r="AS315" s="974"/>
      <c r="AT315" s="974"/>
      <c r="AU315" s="974"/>
      <c r="AV315" s="974"/>
      <c r="AW315" s="1181"/>
      <c r="AX315" s="978"/>
      <c r="AY315" s="898"/>
      <c r="AZ315" s="898"/>
      <c r="BA315" s="898"/>
      <c r="BB315" s="898"/>
      <c r="BC315" s="898"/>
      <c r="BD315" s="898"/>
      <c r="BE315" s="898"/>
      <c r="BF315" s="898"/>
      <c r="BG315" s="898"/>
      <c r="BH315" s="898"/>
      <c r="BI315" s="898"/>
      <c r="BJ315" s="898"/>
      <c r="BK315" s="898"/>
      <c r="BL315" s="898"/>
      <c r="BM315" s="898"/>
      <c r="BN315" s="898"/>
      <c r="BO315" s="898"/>
      <c r="BP315" s="898"/>
      <c r="BQ315" s="898"/>
      <c r="BR315" s="898"/>
      <c r="BS315" s="898"/>
      <c r="BT315" s="898"/>
      <c r="BU315" s="898"/>
      <c r="BV315" s="898"/>
      <c r="BW315" s="898"/>
      <c r="BX315" s="898"/>
      <c r="BY315" s="898"/>
      <c r="BZ315" s="898"/>
      <c r="CA315" s="898"/>
      <c r="CB315" s="898"/>
      <c r="CC315" s="898"/>
      <c r="CD315" s="898"/>
      <c r="CE315" s="898"/>
      <c r="CF315" s="898"/>
      <c r="CG315" s="898"/>
      <c r="CH315" s="898"/>
      <c r="CI315" s="898"/>
      <c r="CJ315" s="898"/>
      <c r="CK315" s="898"/>
      <c r="CL315" s="898"/>
      <c r="CM315" s="898"/>
      <c r="CN315" s="898"/>
      <c r="CO315" s="898"/>
      <c r="CP315" s="898"/>
      <c r="CQ315" s="898"/>
      <c r="CR315" s="898"/>
      <c r="CS315" s="898"/>
      <c r="CT315" s="898"/>
      <c r="CU315" s="898"/>
    </row>
    <row r="316" ht="16.5" customHeight="1">
      <c r="A316" s="718"/>
      <c r="B316" s="1195"/>
      <c r="C316" s="866"/>
      <c r="D316" s="968"/>
      <c r="E316" s="718"/>
      <c r="F316" s="718"/>
      <c r="G316" s="718"/>
      <c r="H316" s="718"/>
      <c r="I316" s="359"/>
      <c r="J316" s="359"/>
      <c r="K316" s="359"/>
      <c r="L316" s="359"/>
      <c r="M316" s="359"/>
      <c r="N316" s="359"/>
      <c r="O316" s="359"/>
      <c r="P316" s="359"/>
      <c r="Q316" s="359"/>
      <c r="R316" s="718"/>
      <c r="S316" s="669"/>
      <c r="T316" s="669"/>
      <c r="U316" s="967"/>
      <c r="V316" s="974"/>
      <c r="W316" s="1197"/>
      <c r="X316" s="974"/>
      <c r="Y316" s="974"/>
      <c r="Z316" s="974"/>
      <c r="AA316" s="974"/>
      <c r="AB316" s="974"/>
      <c r="AC316" s="974"/>
      <c r="AD316" s="974"/>
      <c r="AE316" s="974"/>
      <c r="AF316" s="974"/>
      <c r="AG316" s="974"/>
      <c r="AH316" s="974"/>
      <c r="AI316" s="1198"/>
      <c r="AJ316" s="974"/>
      <c r="AK316" s="1197"/>
      <c r="AL316" s="974"/>
      <c r="AM316" s="974"/>
      <c r="AN316" s="974"/>
      <c r="AO316" s="974"/>
      <c r="AP316" s="974"/>
      <c r="AQ316" s="974"/>
      <c r="AR316" s="974"/>
      <c r="AS316" s="974"/>
      <c r="AT316" s="974"/>
      <c r="AU316" s="974"/>
      <c r="AV316" s="974"/>
      <c r="AW316" s="1181"/>
      <c r="AX316" s="978"/>
      <c r="AY316" s="898"/>
      <c r="AZ316" s="898"/>
      <c r="BA316" s="898"/>
      <c r="BB316" s="898"/>
      <c r="BC316" s="898"/>
      <c r="BD316" s="898"/>
      <c r="BE316" s="898"/>
      <c r="BF316" s="898"/>
      <c r="BG316" s="898"/>
      <c r="BH316" s="898"/>
      <c r="BI316" s="898"/>
      <c r="BJ316" s="898"/>
      <c r="BK316" s="898"/>
      <c r="BL316" s="898"/>
      <c r="BM316" s="898"/>
      <c r="BN316" s="898"/>
      <c r="BO316" s="898"/>
      <c r="BP316" s="898"/>
      <c r="BQ316" s="898"/>
      <c r="BR316" s="898"/>
      <c r="BS316" s="898"/>
      <c r="BT316" s="898"/>
      <c r="BU316" s="898"/>
      <c r="BV316" s="898"/>
      <c r="BW316" s="898"/>
      <c r="BX316" s="898"/>
      <c r="BY316" s="898"/>
      <c r="BZ316" s="898"/>
      <c r="CA316" s="898"/>
      <c r="CB316" s="898"/>
      <c r="CC316" s="898"/>
      <c r="CD316" s="898"/>
      <c r="CE316" s="898"/>
      <c r="CF316" s="898"/>
      <c r="CG316" s="898"/>
      <c r="CH316" s="898"/>
      <c r="CI316" s="898"/>
      <c r="CJ316" s="898"/>
      <c r="CK316" s="898"/>
      <c r="CL316" s="898"/>
      <c r="CM316" s="898"/>
      <c r="CN316" s="898"/>
      <c r="CO316" s="898"/>
      <c r="CP316" s="898"/>
      <c r="CQ316" s="898"/>
      <c r="CR316" s="898"/>
      <c r="CS316" s="898"/>
      <c r="CT316" s="898"/>
      <c r="CU316" s="898"/>
    </row>
    <row r="317" ht="16.5" customHeight="1">
      <c r="A317" s="718"/>
      <c r="B317" s="1195"/>
      <c r="C317" s="866"/>
      <c r="D317" s="968"/>
      <c r="E317" s="718"/>
      <c r="F317" s="718"/>
      <c r="G317" s="718"/>
      <c r="H317" s="718"/>
      <c r="I317" s="359"/>
      <c r="J317" s="359"/>
      <c r="K317" s="359"/>
      <c r="L317" s="359"/>
      <c r="M317" s="359"/>
      <c r="N317" s="359"/>
      <c r="O317" s="359"/>
      <c r="P317" s="359"/>
      <c r="Q317" s="359"/>
      <c r="R317" s="718"/>
      <c r="S317" s="669"/>
      <c r="T317" s="669"/>
      <c r="U317" s="967"/>
      <c r="V317" s="974"/>
      <c r="W317" s="1197"/>
      <c r="X317" s="974"/>
      <c r="Y317" s="974"/>
      <c r="Z317" s="974"/>
      <c r="AA317" s="974"/>
      <c r="AB317" s="974"/>
      <c r="AC317" s="974"/>
      <c r="AD317" s="974"/>
      <c r="AE317" s="974"/>
      <c r="AF317" s="974"/>
      <c r="AG317" s="974"/>
      <c r="AH317" s="974"/>
      <c r="AI317" s="1198"/>
      <c r="AJ317" s="974"/>
      <c r="AK317" s="1197"/>
      <c r="AL317" s="974"/>
      <c r="AM317" s="974"/>
      <c r="AN317" s="974"/>
      <c r="AO317" s="974"/>
      <c r="AP317" s="974"/>
      <c r="AQ317" s="974"/>
      <c r="AR317" s="974"/>
      <c r="AS317" s="974"/>
      <c r="AT317" s="974"/>
      <c r="AU317" s="974"/>
      <c r="AV317" s="974"/>
      <c r="AW317" s="1181"/>
      <c r="AX317" s="978"/>
      <c r="AY317" s="898"/>
      <c r="AZ317" s="898"/>
      <c r="BA317" s="898"/>
      <c r="BB317" s="898"/>
      <c r="BC317" s="898"/>
      <c r="BD317" s="898"/>
      <c r="BE317" s="898"/>
      <c r="BF317" s="898"/>
      <c r="BG317" s="898"/>
      <c r="BH317" s="898"/>
      <c r="BI317" s="898"/>
      <c r="BJ317" s="898"/>
      <c r="BK317" s="898"/>
      <c r="BL317" s="898"/>
      <c r="BM317" s="898"/>
      <c r="BN317" s="898"/>
      <c r="BO317" s="898"/>
      <c r="BP317" s="898"/>
      <c r="BQ317" s="898"/>
      <c r="BR317" s="898"/>
      <c r="BS317" s="898"/>
      <c r="BT317" s="898"/>
      <c r="BU317" s="898"/>
      <c r="BV317" s="898"/>
      <c r="BW317" s="898"/>
      <c r="BX317" s="898"/>
      <c r="BY317" s="898"/>
      <c r="BZ317" s="898"/>
      <c r="CA317" s="898"/>
      <c r="CB317" s="898"/>
      <c r="CC317" s="898"/>
      <c r="CD317" s="898"/>
      <c r="CE317" s="898"/>
      <c r="CF317" s="898"/>
      <c r="CG317" s="898"/>
      <c r="CH317" s="898"/>
      <c r="CI317" s="898"/>
      <c r="CJ317" s="898"/>
      <c r="CK317" s="898"/>
      <c r="CL317" s="898"/>
      <c r="CM317" s="898"/>
      <c r="CN317" s="898"/>
      <c r="CO317" s="898"/>
      <c r="CP317" s="898"/>
      <c r="CQ317" s="898"/>
      <c r="CR317" s="898"/>
      <c r="CS317" s="898"/>
      <c r="CT317" s="898"/>
      <c r="CU317" s="898"/>
    </row>
    <row r="318" ht="16.5" customHeight="1">
      <c r="A318" s="718"/>
      <c r="B318" s="1195"/>
      <c r="C318" s="866"/>
      <c r="D318" s="968"/>
      <c r="E318" s="718"/>
      <c r="F318" s="718"/>
      <c r="G318" s="718"/>
      <c r="H318" s="718"/>
      <c r="I318" s="359"/>
      <c r="J318" s="359"/>
      <c r="K318" s="359"/>
      <c r="L318" s="359"/>
      <c r="M318" s="359"/>
      <c r="N318" s="359"/>
      <c r="O318" s="359"/>
      <c r="P318" s="359"/>
      <c r="Q318" s="359"/>
      <c r="R318" s="718"/>
      <c r="S318" s="669"/>
      <c r="T318" s="669"/>
      <c r="U318" s="967"/>
      <c r="V318" s="974"/>
      <c r="W318" s="1197"/>
      <c r="X318" s="974"/>
      <c r="Y318" s="974"/>
      <c r="Z318" s="974"/>
      <c r="AA318" s="974"/>
      <c r="AB318" s="974"/>
      <c r="AC318" s="974"/>
      <c r="AD318" s="974"/>
      <c r="AE318" s="974"/>
      <c r="AF318" s="974"/>
      <c r="AG318" s="974"/>
      <c r="AH318" s="974"/>
      <c r="AI318" s="1198"/>
      <c r="AJ318" s="974"/>
      <c r="AK318" s="1197"/>
      <c r="AL318" s="974"/>
      <c r="AM318" s="974"/>
      <c r="AN318" s="974"/>
      <c r="AO318" s="974"/>
      <c r="AP318" s="974"/>
      <c r="AQ318" s="974"/>
      <c r="AR318" s="974"/>
      <c r="AS318" s="974"/>
      <c r="AT318" s="974"/>
      <c r="AU318" s="974"/>
      <c r="AV318" s="974"/>
      <c r="AW318" s="1181"/>
      <c r="AX318" s="978"/>
      <c r="AY318" s="898"/>
      <c r="AZ318" s="898"/>
      <c r="BA318" s="898"/>
      <c r="BB318" s="898"/>
      <c r="BC318" s="898"/>
      <c r="BD318" s="898"/>
      <c r="BE318" s="898"/>
      <c r="BF318" s="898"/>
      <c r="BG318" s="898"/>
      <c r="BH318" s="898"/>
      <c r="BI318" s="898"/>
      <c r="BJ318" s="898"/>
      <c r="BK318" s="898"/>
      <c r="BL318" s="898"/>
      <c r="BM318" s="898"/>
      <c r="BN318" s="898"/>
      <c r="BO318" s="898"/>
      <c r="BP318" s="898"/>
      <c r="BQ318" s="898"/>
      <c r="BR318" s="898"/>
      <c r="BS318" s="898"/>
      <c r="BT318" s="898"/>
      <c r="BU318" s="898"/>
      <c r="BV318" s="898"/>
      <c r="BW318" s="898"/>
      <c r="BX318" s="898"/>
      <c r="BY318" s="898"/>
      <c r="BZ318" s="898"/>
      <c r="CA318" s="898"/>
      <c r="CB318" s="898"/>
      <c r="CC318" s="898"/>
      <c r="CD318" s="898"/>
      <c r="CE318" s="898"/>
      <c r="CF318" s="898"/>
      <c r="CG318" s="898"/>
      <c r="CH318" s="898"/>
      <c r="CI318" s="898"/>
      <c r="CJ318" s="898"/>
      <c r="CK318" s="898"/>
      <c r="CL318" s="898"/>
      <c r="CM318" s="898"/>
      <c r="CN318" s="898"/>
      <c r="CO318" s="898"/>
      <c r="CP318" s="898"/>
      <c r="CQ318" s="898"/>
      <c r="CR318" s="898"/>
      <c r="CS318" s="898"/>
      <c r="CT318" s="898"/>
      <c r="CU318" s="898"/>
    </row>
    <row r="319" ht="16.5" customHeight="1">
      <c r="A319" s="718"/>
      <c r="B319" s="1195"/>
      <c r="C319" s="866"/>
      <c r="D319" s="968"/>
      <c r="E319" s="718"/>
      <c r="F319" s="718"/>
      <c r="G319" s="718"/>
      <c r="H319" s="718"/>
      <c r="I319" s="359"/>
      <c r="J319" s="359"/>
      <c r="K319" s="359"/>
      <c r="L319" s="359"/>
      <c r="M319" s="359"/>
      <c r="N319" s="359"/>
      <c r="O319" s="359"/>
      <c r="P319" s="359"/>
      <c r="Q319" s="359"/>
      <c r="R319" s="718"/>
      <c r="S319" s="669"/>
      <c r="T319" s="669"/>
      <c r="U319" s="967"/>
      <c r="V319" s="974"/>
      <c r="W319" s="1197"/>
      <c r="X319" s="974"/>
      <c r="Y319" s="974"/>
      <c r="Z319" s="974"/>
      <c r="AA319" s="974"/>
      <c r="AB319" s="974"/>
      <c r="AC319" s="974"/>
      <c r="AD319" s="974"/>
      <c r="AE319" s="974"/>
      <c r="AF319" s="974"/>
      <c r="AG319" s="974"/>
      <c r="AH319" s="974"/>
      <c r="AI319" s="1198"/>
      <c r="AJ319" s="974"/>
      <c r="AK319" s="1197"/>
      <c r="AL319" s="974"/>
      <c r="AM319" s="974"/>
      <c r="AN319" s="974"/>
      <c r="AO319" s="974"/>
      <c r="AP319" s="974"/>
      <c r="AQ319" s="974"/>
      <c r="AR319" s="974"/>
      <c r="AS319" s="974"/>
      <c r="AT319" s="974"/>
      <c r="AU319" s="974"/>
      <c r="AV319" s="974"/>
      <c r="AW319" s="1181"/>
      <c r="AX319" s="978"/>
      <c r="AY319" s="898"/>
      <c r="AZ319" s="898"/>
      <c r="BA319" s="898"/>
      <c r="BB319" s="898"/>
      <c r="BC319" s="898"/>
      <c r="BD319" s="898"/>
      <c r="BE319" s="898"/>
      <c r="BF319" s="898"/>
      <c r="BG319" s="898"/>
      <c r="BH319" s="898"/>
      <c r="BI319" s="898"/>
      <c r="BJ319" s="898"/>
      <c r="BK319" s="898"/>
      <c r="BL319" s="898"/>
      <c r="BM319" s="898"/>
      <c r="BN319" s="898"/>
      <c r="BO319" s="898"/>
      <c r="BP319" s="898"/>
      <c r="BQ319" s="898"/>
      <c r="BR319" s="898"/>
      <c r="BS319" s="898"/>
      <c r="BT319" s="898"/>
      <c r="BU319" s="898"/>
      <c r="BV319" s="898"/>
      <c r="BW319" s="898"/>
      <c r="BX319" s="898"/>
      <c r="BY319" s="898"/>
      <c r="BZ319" s="898"/>
      <c r="CA319" s="898"/>
      <c r="CB319" s="898"/>
      <c r="CC319" s="898"/>
      <c r="CD319" s="898"/>
      <c r="CE319" s="898"/>
      <c r="CF319" s="898"/>
      <c r="CG319" s="898"/>
      <c r="CH319" s="898"/>
      <c r="CI319" s="898"/>
      <c r="CJ319" s="898"/>
      <c r="CK319" s="898"/>
      <c r="CL319" s="898"/>
      <c r="CM319" s="898"/>
      <c r="CN319" s="898"/>
      <c r="CO319" s="898"/>
      <c r="CP319" s="898"/>
      <c r="CQ319" s="898"/>
      <c r="CR319" s="898"/>
      <c r="CS319" s="898"/>
      <c r="CT319" s="898"/>
      <c r="CU319" s="898"/>
    </row>
    <row r="320" ht="16.5" customHeight="1">
      <c r="A320" s="718"/>
      <c r="B320" s="1195"/>
      <c r="C320" s="866"/>
      <c r="D320" s="968"/>
      <c r="E320" s="718"/>
      <c r="F320" s="718"/>
      <c r="G320" s="718"/>
      <c r="H320" s="718"/>
      <c r="I320" s="359"/>
      <c r="J320" s="359"/>
      <c r="K320" s="359"/>
      <c r="L320" s="359"/>
      <c r="M320" s="359"/>
      <c r="N320" s="359"/>
      <c r="O320" s="359"/>
      <c r="P320" s="359"/>
      <c r="Q320" s="359"/>
      <c r="R320" s="718"/>
      <c r="S320" s="669"/>
      <c r="T320" s="669"/>
      <c r="U320" s="967"/>
      <c r="V320" s="974"/>
      <c r="W320" s="1197"/>
      <c r="X320" s="974"/>
      <c r="Y320" s="974"/>
      <c r="Z320" s="974"/>
      <c r="AA320" s="974"/>
      <c r="AB320" s="974"/>
      <c r="AC320" s="974"/>
      <c r="AD320" s="974"/>
      <c r="AE320" s="974"/>
      <c r="AF320" s="974"/>
      <c r="AG320" s="974"/>
      <c r="AH320" s="974"/>
      <c r="AI320" s="1198"/>
      <c r="AJ320" s="974"/>
      <c r="AK320" s="1197"/>
      <c r="AL320" s="974"/>
      <c r="AM320" s="974"/>
      <c r="AN320" s="974"/>
      <c r="AO320" s="974"/>
      <c r="AP320" s="974"/>
      <c r="AQ320" s="974"/>
      <c r="AR320" s="974"/>
      <c r="AS320" s="974"/>
      <c r="AT320" s="974"/>
      <c r="AU320" s="974"/>
      <c r="AV320" s="974"/>
      <c r="AW320" s="1181"/>
      <c r="AX320" s="978"/>
      <c r="AY320" s="898"/>
      <c r="AZ320" s="898"/>
      <c r="BA320" s="898"/>
      <c r="BB320" s="898"/>
      <c r="BC320" s="898"/>
      <c r="BD320" s="898"/>
      <c r="BE320" s="898"/>
      <c r="BF320" s="898"/>
      <c r="BG320" s="898"/>
      <c r="BH320" s="898"/>
      <c r="BI320" s="898"/>
      <c r="BJ320" s="898"/>
      <c r="BK320" s="898"/>
      <c r="BL320" s="898"/>
      <c r="BM320" s="898"/>
      <c r="BN320" s="898"/>
      <c r="BO320" s="898"/>
      <c r="BP320" s="898"/>
      <c r="BQ320" s="898"/>
      <c r="BR320" s="898"/>
      <c r="BS320" s="898"/>
      <c r="BT320" s="898"/>
      <c r="BU320" s="898"/>
      <c r="BV320" s="898"/>
      <c r="BW320" s="898"/>
      <c r="BX320" s="898"/>
      <c r="BY320" s="898"/>
      <c r="BZ320" s="898"/>
      <c r="CA320" s="898"/>
      <c r="CB320" s="898"/>
      <c r="CC320" s="898"/>
      <c r="CD320" s="898"/>
      <c r="CE320" s="898"/>
      <c r="CF320" s="898"/>
      <c r="CG320" s="898"/>
      <c r="CH320" s="898"/>
      <c r="CI320" s="898"/>
      <c r="CJ320" s="898"/>
      <c r="CK320" s="898"/>
      <c r="CL320" s="898"/>
      <c r="CM320" s="898"/>
      <c r="CN320" s="898"/>
      <c r="CO320" s="898"/>
      <c r="CP320" s="898"/>
      <c r="CQ320" s="898"/>
      <c r="CR320" s="898"/>
      <c r="CS320" s="898"/>
      <c r="CT320" s="898"/>
      <c r="CU320" s="898"/>
    </row>
    <row r="321" ht="16.5" customHeight="1">
      <c r="A321" s="718"/>
      <c r="B321" s="1195"/>
      <c r="C321" s="866"/>
      <c r="D321" s="968"/>
      <c r="E321" s="718"/>
      <c r="F321" s="718"/>
      <c r="G321" s="718"/>
      <c r="H321" s="718"/>
      <c r="I321" s="359"/>
      <c r="J321" s="359"/>
      <c r="K321" s="359"/>
      <c r="L321" s="359"/>
      <c r="M321" s="359"/>
      <c r="N321" s="359"/>
      <c r="O321" s="359"/>
      <c r="P321" s="359"/>
      <c r="Q321" s="359"/>
      <c r="R321" s="718"/>
      <c r="S321" s="669"/>
      <c r="T321" s="669"/>
      <c r="U321" s="967"/>
      <c r="V321" s="974"/>
      <c r="W321" s="1197"/>
      <c r="X321" s="974"/>
      <c r="Y321" s="974"/>
      <c r="Z321" s="974"/>
      <c r="AA321" s="974"/>
      <c r="AB321" s="974"/>
      <c r="AC321" s="974"/>
      <c r="AD321" s="974"/>
      <c r="AE321" s="974"/>
      <c r="AF321" s="974"/>
      <c r="AG321" s="974"/>
      <c r="AH321" s="974"/>
      <c r="AI321" s="1198"/>
      <c r="AJ321" s="974"/>
      <c r="AK321" s="1197"/>
      <c r="AL321" s="974"/>
      <c r="AM321" s="974"/>
      <c r="AN321" s="974"/>
      <c r="AO321" s="974"/>
      <c r="AP321" s="974"/>
      <c r="AQ321" s="974"/>
      <c r="AR321" s="974"/>
      <c r="AS321" s="974"/>
      <c r="AT321" s="974"/>
      <c r="AU321" s="974"/>
      <c r="AV321" s="974"/>
      <c r="AW321" s="1181"/>
      <c r="AX321" s="978"/>
      <c r="AY321" s="898"/>
      <c r="AZ321" s="898"/>
      <c r="BA321" s="898"/>
      <c r="BB321" s="898"/>
      <c r="BC321" s="898"/>
      <c r="BD321" s="898"/>
      <c r="BE321" s="898"/>
      <c r="BF321" s="898"/>
      <c r="BG321" s="898"/>
      <c r="BH321" s="898"/>
      <c r="BI321" s="898"/>
      <c r="BJ321" s="898"/>
      <c r="BK321" s="898"/>
      <c r="BL321" s="898"/>
      <c r="BM321" s="898"/>
      <c r="BN321" s="898"/>
      <c r="BO321" s="898"/>
      <c r="BP321" s="898"/>
      <c r="BQ321" s="898"/>
      <c r="BR321" s="898"/>
      <c r="BS321" s="898"/>
      <c r="BT321" s="898"/>
      <c r="BU321" s="898"/>
      <c r="BV321" s="898"/>
      <c r="BW321" s="898"/>
      <c r="BX321" s="898"/>
      <c r="BY321" s="898"/>
      <c r="BZ321" s="898"/>
      <c r="CA321" s="898"/>
      <c r="CB321" s="898"/>
      <c r="CC321" s="898"/>
      <c r="CD321" s="898"/>
      <c r="CE321" s="898"/>
      <c r="CF321" s="898"/>
      <c r="CG321" s="898"/>
      <c r="CH321" s="898"/>
      <c r="CI321" s="898"/>
      <c r="CJ321" s="898"/>
      <c r="CK321" s="898"/>
      <c r="CL321" s="898"/>
      <c r="CM321" s="898"/>
      <c r="CN321" s="898"/>
      <c r="CO321" s="898"/>
      <c r="CP321" s="898"/>
      <c r="CQ321" s="898"/>
      <c r="CR321" s="898"/>
      <c r="CS321" s="898"/>
      <c r="CT321" s="898"/>
      <c r="CU321" s="898"/>
    </row>
    <row r="322" ht="16.5" customHeight="1">
      <c r="A322" s="718"/>
      <c r="B322" s="1195"/>
      <c r="C322" s="866"/>
      <c r="D322" s="968"/>
      <c r="E322" s="718"/>
      <c r="F322" s="718"/>
      <c r="G322" s="718"/>
      <c r="H322" s="718"/>
      <c r="I322" s="359"/>
      <c r="J322" s="359"/>
      <c r="K322" s="359"/>
      <c r="L322" s="359"/>
      <c r="M322" s="359"/>
      <c r="N322" s="359"/>
      <c r="O322" s="359"/>
      <c r="P322" s="359"/>
      <c r="Q322" s="359"/>
      <c r="R322" s="718"/>
      <c r="S322" s="669"/>
      <c r="T322" s="669"/>
      <c r="U322" s="967"/>
      <c r="V322" s="974"/>
      <c r="W322" s="1197"/>
      <c r="X322" s="974"/>
      <c r="Y322" s="974"/>
      <c r="Z322" s="974"/>
      <c r="AA322" s="974"/>
      <c r="AB322" s="974"/>
      <c r="AC322" s="974"/>
      <c r="AD322" s="974"/>
      <c r="AE322" s="974"/>
      <c r="AF322" s="974"/>
      <c r="AG322" s="974"/>
      <c r="AH322" s="974"/>
      <c r="AI322" s="1198"/>
      <c r="AJ322" s="974"/>
      <c r="AK322" s="1197"/>
      <c r="AL322" s="974"/>
      <c r="AM322" s="974"/>
      <c r="AN322" s="974"/>
      <c r="AO322" s="974"/>
      <c r="AP322" s="974"/>
      <c r="AQ322" s="974"/>
      <c r="AR322" s="974"/>
      <c r="AS322" s="974"/>
      <c r="AT322" s="974"/>
      <c r="AU322" s="974"/>
      <c r="AV322" s="974"/>
      <c r="AW322" s="1181"/>
      <c r="AX322" s="978"/>
      <c r="AY322" s="898"/>
      <c r="AZ322" s="898"/>
      <c r="BA322" s="898"/>
      <c r="BB322" s="898"/>
      <c r="BC322" s="898"/>
      <c r="BD322" s="898"/>
      <c r="BE322" s="898"/>
      <c r="BF322" s="898"/>
      <c r="BG322" s="898"/>
      <c r="BH322" s="898"/>
      <c r="BI322" s="898"/>
      <c r="BJ322" s="898"/>
      <c r="BK322" s="898"/>
      <c r="BL322" s="898"/>
      <c r="BM322" s="898"/>
      <c r="BN322" s="898"/>
      <c r="BO322" s="898"/>
      <c r="BP322" s="898"/>
      <c r="BQ322" s="898"/>
      <c r="BR322" s="898"/>
      <c r="BS322" s="898"/>
      <c r="BT322" s="898"/>
      <c r="BU322" s="898"/>
      <c r="BV322" s="898"/>
      <c r="BW322" s="898"/>
      <c r="BX322" s="898"/>
      <c r="BY322" s="898"/>
      <c r="BZ322" s="898"/>
      <c r="CA322" s="898"/>
      <c r="CB322" s="898"/>
      <c r="CC322" s="898"/>
      <c r="CD322" s="898"/>
      <c r="CE322" s="898"/>
      <c r="CF322" s="898"/>
      <c r="CG322" s="898"/>
      <c r="CH322" s="898"/>
      <c r="CI322" s="898"/>
      <c r="CJ322" s="898"/>
      <c r="CK322" s="898"/>
      <c r="CL322" s="898"/>
      <c r="CM322" s="898"/>
      <c r="CN322" s="898"/>
      <c r="CO322" s="898"/>
      <c r="CP322" s="898"/>
      <c r="CQ322" s="898"/>
      <c r="CR322" s="898"/>
      <c r="CS322" s="898"/>
      <c r="CT322" s="898"/>
      <c r="CU322" s="898"/>
    </row>
    <row r="323" ht="16.5" customHeight="1">
      <c r="A323" s="718"/>
      <c r="B323" s="1195"/>
      <c r="C323" s="866"/>
      <c r="D323" s="968"/>
      <c r="E323" s="718"/>
      <c r="F323" s="718"/>
      <c r="G323" s="718"/>
      <c r="H323" s="718"/>
      <c r="I323" s="359"/>
      <c r="J323" s="359"/>
      <c r="K323" s="359"/>
      <c r="L323" s="359"/>
      <c r="M323" s="359"/>
      <c r="N323" s="359"/>
      <c r="O323" s="359"/>
      <c r="P323" s="359"/>
      <c r="Q323" s="359"/>
      <c r="R323" s="718"/>
      <c r="S323" s="669"/>
      <c r="T323" s="669"/>
      <c r="U323" s="967"/>
      <c r="V323" s="974"/>
      <c r="W323" s="1197"/>
      <c r="X323" s="974"/>
      <c r="Y323" s="974"/>
      <c r="Z323" s="974"/>
      <c r="AA323" s="974"/>
      <c r="AB323" s="974"/>
      <c r="AC323" s="974"/>
      <c r="AD323" s="974"/>
      <c r="AE323" s="974"/>
      <c r="AF323" s="974"/>
      <c r="AG323" s="974"/>
      <c r="AH323" s="974"/>
      <c r="AI323" s="1198"/>
      <c r="AJ323" s="974"/>
      <c r="AK323" s="1197"/>
      <c r="AL323" s="974"/>
      <c r="AM323" s="974"/>
      <c r="AN323" s="974"/>
      <c r="AO323" s="974"/>
      <c r="AP323" s="974"/>
      <c r="AQ323" s="974"/>
      <c r="AR323" s="974"/>
      <c r="AS323" s="974"/>
      <c r="AT323" s="974"/>
      <c r="AU323" s="974"/>
      <c r="AV323" s="974"/>
      <c r="AW323" s="1181"/>
      <c r="AX323" s="978"/>
      <c r="AY323" s="898"/>
      <c r="AZ323" s="898"/>
      <c r="BA323" s="898"/>
      <c r="BB323" s="898"/>
      <c r="BC323" s="898"/>
      <c r="BD323" s="898"/>
      <c r="BE323" s="898"/>
      <c r="BF323" s="898"/>
      <c r="BG323" s="898"/>
      <c r="BH323" s="898"/>
      <c r="BI323" s="898"/>
      <c r="BJ323" s="898"/>
      <c r="BK323" s="898"/>
      <c r="BL323" s="898"/>
      <c r="BM323" s="898"/>
      <c r="BN323" s="898"/>
      <c r="BO323" s="898"/>
      <c r="BP323" s="898"/>
      <c r="BQ323" s="898"/>
      <c r="BR323" s="898"/>
      <c r="BS323" s="898"/>
      <c r="BT323" s="898"/>
      <c r="BU323" s="898"/>
      <c r="BV323" s="898"/>
      <c r="BW323" s="898"/>
      <c r="BX323" s="898"/>
      <c r="BY323" s="898"/>
      <c r="BZ323" s="898"/>
      <c r="CA323" s="898"/>
      <c r="CB323" s="898"/>
      <c r="CC323" s="898"/>
      <c r="CD323" s="898"/>
      <c r="CE323" s="898"/>
      <c r="CF323" s="898"/>
      <c r="CG323" s="898"/>
      <c r="CH323" s="898"/>
      <c r="CI323" s="898"/>
      <c r="CJ323" s="898"/>
      <c r="CK323" s="898"/>
      <c r="CL323" s="898"/>
      <c r="CM323" s="898"/>
      <c r="CN323" s="898"/>
      <c r="CO323" s="898"/>
      <c r="CP323" s="898"/>
      <c r="CQ323" s="898"/>
      <c r="CR323" s="898"/>
      <c r="CS323" s="898"/>
      <c r="CT323" s="898"/>
      <c r="CU323" s="898"/>
    </row>
    <row r="324" ht="16.5" customHeight="1">
      <c r="A324" s="718"/>
      <c r="B324" s="1195"/>
      <c r="C324" s="866"/>
      <c r="D324" s="968"/>
      <c r="E324" s="718"/>
      <c r="F324" s="718"/>
      <c r="G324" s="718"/>
      <c r="H324" s="718"/>
      <c r="I324" s="359"/>
      <c r="J324" s="359"/>
      <c r="K324" s="359"/>
      <c r="L324" s="359"/>
      <c r="M324" s="359"/>
      <c r="N324" s="359"/>
      <c r="O324" s="359"/>
      <c r="P324" s="359"/>
      <c r="Q324" s="359"/>
      <c r="R324" s="718"/>
      <c r="S324" s="669"/>
      <c r="T324" s="669"/>
      <c r="U324" s="967"/>
      <c r="V324" s="974"/>
      <c r="W324" s="1197"/>
      <c r="X324" s="974"/>
      <c r="Y324" s="974"/>
      <c r="Z324" s="974"/>
      <c r="AA324" s="974"/>
      <c r="AB324" s="974"/>
      <c r="AC324" s="974"/>
      <c r="AD324" s="974"/>
      <c r="AE324" s="974"/>
      <c r="AF324" s="974"/>
      <c r="AG324" s="974"/>
      <c r="AH324" s="974"/>
      <c r="AI324" s="1198"/>
      <c r="AJ324" s="974"/>
      <c r="AK324" s="1197"/>
      <c r="AL324" s="974"/>
      <c r="AM324" s="974"/>
      <c r="AN324" s="974"/>
      <c r="AO324" s="974"/>
      <c r="AP324" s="974"/>
      <c r="AQ324" s="974"/>
      <c r="AR324" s="974"/>
      <c r="AS324" s="974"/>
      <c r="AT324" s="974"/>
      <c r="AU324" s="974"/>
      <c r="AV324" s="974"/>
      <c r="AW324" s="1181"/>
      <c r="AX324" s="978"/>
      <c r="AY324" s="898"/>
      <c r="AZ324" s="898"/>
      <c r="BA324" s="898"/>
      <c r="BB324" s="898"/>
      <c r="BC324" s="898"/>
      <c r="BD324" s="898"/>
      <c r="BE324" s="898"/>
      <c r="BF324" s="898"/>
      <c r="BG324" s="898"/>
      <c r="BH324" s="898"/>
      <c r="BI324" s="898"/>
      <c r="BJ324" s="898"/>
      <c r="BK324" s="898"/>
      <c r="BL324" s="898"/>
      <c r="BM324" s="898"/>
      <c r="BN324" s="898"/>
      <c r="BO324" s="898"/>
      <c r="BP324" s="898"/>
      <c r="BQ324" s="898"/>
      <c r="BR324" s="898"/>
      <c r="BS324" s="898"/>
      <c r="BT324" s="898"/>
      <c r="BU324" s="898"/>
      <c r="BV324" s="898"/>
      <c r="BW324" s="898"/>
      <c r="BX324" s="898"/>
      <c r="BY324" s="898"/>
      <c r="BZ324" s="898"/>
      <c r="CA324" s="898"/>
      <c r="CB324" s="898"/>
      <c r="CC324" s="898"/>
      <c r="CD324" s="898"/>
      <c r="CE324" s="898"/>
      <c r="CF324" s="898"/>
      <c r="CG324" s="898"/>
      <c r="CH324" s="898"/>
      <c r="CI324" s="898"/>
      <c r="CJ324" s="898"/>
      <c r="CK324" s="898"/>
      <c r="CL324" s="898"/>
      <c r="CM324" s="898"/>
      <c r="CN324" s="898"/>
      <c r="CO324" s="898"/>
      <c r="CP324" s="898"/>
      <c r="CQ324" s="898"/>
      <c r="CR324" s="898"/>
      <c r="CS324" s="898"/>
      <c r="CT324" s="898"/>
      <c r="CU324" s="898"/>
    </row>
    <row r="325" ht="16.5" customHeight="1">
      <c r="A325" s="718"/>
      <c r="B325" s="1195"/>
      <c r="C325" s="866"/>
      <c r="D325" s="968"/>
      <c r="E325" s="718"/>
      <c r="F325" s="718"/>
      <c r="G325" s="718"/>
      <c r="H325" s="718"/>
      <c r="I325" s="359"/>
      <c r="J325" s="359"/>
      <c r="K325" s="359"/>
      <c r="L325" s="359"/>
      <c r="M325" s="359"/>
      <c r="N325" s="359"/>
      <c r="O325" s="359"/>
      <c r="P325" s="359"/>
      <c r="Q325" s="359"/>
      <c r="R325" s="718"/>
      <c r="S325" s="669"/>
      <c r="T325" s="669"/>
      <c r="U325" s="967"/>
      <c r="V325" s="974"/>
      <c r="W325" s="1197"/>
      <c r="X325" s="974"/>
      <c r="Y325" s="974"/>
      <c r="Z325" s="974"/>
      <c r="AA325" s="974"/>
      <c r="AB325" s="974"/>
      <c r="AC325" s="974"/>
      <c r="AD325" s="974"/>
      <c r="AE325" s="974"/>
      <c r="AF325" s="974"/>
      <c r="AG325" s="974"/>
      <c r="AH325" s="974"/>
      <c r="AI325" s="1198"/>
      <c r="AJ325" s="974"/>
      <c r="AK325" s="1197"/>
      <c r="AL325" s="974"/>
      <c r="AM325" s="974"/>
      <c r="AN325" s="974"/>
      <c r="AO325" s="974"/>
      <c r="AP325" s="974"/>
      <c r="AQ325" s="974"/>
      <c r="AR325" s="974"/>
      <c r="AS325" s="974"/>
      <c r="AT325" s="974"/>
      <c r="AU325" s="974"/>
      <c r="AV325" s="974"/>
      <c r="AW325" s="1181"/>
      <c r="AX325" s="978"/>
      <c r="AY325" s="898"/>
      <c r="AZ325" s="898"/>
      <c r="BA325" s="898"/>
      <c r="BB325" s="898"/>
      <c r="BC325" s="898"/>
      <c r="BD325" s="898"/>
      <c r="BE325" s="898"/>
      <c r="BF325" s="898"/>
      <c r="BG325" s="898"/>
      <c r="BH325" s="898"/>
      <c r="BI325" s="898"/>
      <c r="BJ325" s="898"/>
      <c r="BK325" s="898"/>
      <c r="BL325" s="898"/>
      <c r="BM325" s="898"/>
      <c r="BN325" s="898"/>
      <c r="BO325" s="898"/>
      <c r="BP325" s="898"/>
      <c r="BQ325" s="898"/>
      <c r="BR325" s="898"/>
      <c r="BS325" s="898"/>
      <c r="BT325" s="898"/>
      <c r="BU325" s="898"/>
      <c r="BV325" s="898"/>
      <c r="BW325" s="898"/>
      <c r="BX325" s="898"/>
      <c r="BY325" s="898"/>
      <c r="BZ325" s="898"/>
      <c r="CA325" s="898"/>
      <c r="CB325" s="898"/>
      <c r="CC325" s="898"/>
      <c r="CD325" s="898"/>
      <c r="CE325" s="898"/>
      <c r="CF325" s="898"/>
      <c r="CG325" s="898"/>
      <c r="CH325" s="898"/>
      <c r="CI325" s="898"/>
      <c r="CJ325" s="898"/>
      <c r="CK325" s="898"/>
      <c r="CL325" s="898"/>
      <c r="CM325" s="898"/>
      <c r="CN325" s="898"/>
      <c r="CO325" s="898"/>
      <c r="CP325" s="898"/>
      <c r="CQ325" s="898"/>
      <c r="CR325" s="898"/>
      <c r="CS325" s="898"/>
      <c r="CT325" s="898"/>
      <c r="CU325" s="898"/>
    </row>
    <row r="326" ht="16.5" customHeight="1">
      <c r="A326" s="718"/>
      <c r="B326" s="1195"/>
      <c r="C326" s="866"/>
      <c r="D326" s="968"/>
      <c r="E326" s="718"/>
      <c r="F326" s="718"/>
      <c r="G326" s="718"/>
      <c r="H326" s="718"/>
      <c r="I326" s="359"/>
      <c r="J326" s="359"/>
      <c r="K326" s="359"/>
      <c r="L326" s="359"/>
      <c r="M326" s="359"/>
      <c r="N326" s="359"/>
      <c r="O326" s="359"/>
      <c r="P326" s="359"/>
      <c r="Q326" s="359"/>
      <c r="R326" s="718"/>
      <c r="S326" s="669"/>
      <c r="T326" s="669"/>
      <c r="U326" s="967"/>
      <c r="V326" s="974"/>
      <c r="W326" s="1197"/>
      <c r="X326" s="974"/>
      <c r="Y326" s="974"/>
      <c r="Z326" s="974"/>
      <c r="AA326" s="974"/>
      <c r="AB326" s="974"/>
      <c r="AC326" s="974"/>
      <c r="AD326" s="974"/>
      <c r="AE326" s="974"/>
      <c r="AF326" s="974"/>
      <c r="AG326" s="974"/>
      <c r="AH326" s="974"/>
      <c r="AI326" s="1198"/>
      <c r="AJ326" s="974"/>
      <c r="AK326" s="1197"/>
      <c r="AL326" s="974"/>
      <c r="AM326" s="974"/>
      <c r="AN326" s="974"/>
      <c r="AO326" s="974"/>
      <c r="AP326" s="974"/>
      <c r="AQ326" s="974"/>
      <c r="AR326" s="974"/>
      <c r="AS326" s="974"/>
      <c r="AT326" s="974"/>
      <c r="AU326" s="974"/>
      <c r="AV326" s="974"/>
      <c r="AW326" s="1181"/>
      <c r="AX326" s="978"/>
      <c r="AY326" s="898"/>
      <c r="AZ326" s="898"/>
      <c r="BA326" s="898"/>
      <c r="BB326" s="898"/>
      <c r="BC326" s="898"/>
      <c r="BD326" s="898"/>
      <c r="BE326" s="898"/>
      <c r="BF326" s="898"/>
      <c r="BG326" s="898"/>
      <c r="BH326" s="898"/>
      <c r="BI326" s="898"/>
      <c r="BJ326" s="898"/>
      <c r="BK326" s="898"/>
      <c r="BL326" s="898"/>
      <c r="BM326" s="898"/>
      <c r="BN326" s="898"/>
      <c r="BO326" s="898"/>
      <c r="BP326" s="898"/>
      <c r="BQ326" s="898"/>
      <c r="BR326" s="898"/>
      <c r="BS326" s="898"/>
      <c r="BT326" s="898"/>
      <c r="BU326" s="898"/>
      <c r="BV326" s="898"/>
      <c r="BW326" s="898"/>
      <c r="BX326" s="898"/>
      <c r="BY326" s="898"/>
      <c r="BZ326" s="898"/>
      <c r="CA326" s="898"/>
      <c r="CB326" s="898"/>
      <c r="CC326" s="898"/>
      <c r="CD326" s="898"/>
      <c r="CE326" s="898"/>
      <c r="CF326" s="898"/>
      <c r="CG326" s="898"/>
      <c r="CH326" s="898"/>
      <c r="CI326" s="898"/>
      <c r="CJ326" s="898"/>
      <c r="CK326" s="898"/>
      <c r="CL326" s="898"/>
      <c r="CM326" s="898"/>
      <c r="CN326" s="898"/>
      <c r="CO326" s="898"/>
      <c r="CP326" s="898"/>
      <c r="CQ326" s="898"/>
      <c r="CR326" s="898"/>
      <c r="CS326" s="898"/>
      <c r="CT326" s="898"/>
      <c r="CU326" s="898"/>
    </row>
    <row r="327" ht="16.5" customHeight="1">
      <c r="A327" s="718"/>
      <c r="B327" s="1195"/>
      <c r="C327" s="866"/>
      <c r="D327" s="968"/>
      <c r="E327" s="718"/>
      <c r="F327" s="718"/>
      <c r="G327" s="718"/>
      <c r="H327" s="718"/>
      <c r="I327" s="359"/>
      <c r="J327" s="359"/>
      <c r="K327" s="359"/>
      <c r="L327" s="359"/>
      <c r="M327" s="359"/>
      <c r="N327" s="359"/>
      <c r="O327" s="359"/>
      <c r="P327" s="359"/>
      <c r="Q327" s="359"/>
      <c r="R327" s="718"/>
      <c r="S327" s="669"/>
      <c r="T327" s="669"/>
      <c r="U327" s="967"/>
      <c r="V327" s="974"/>
      <c r="W327" s="1197"/>
      <c r="X327" s="974"/>
      <c r="Y327" s="974"/>
      <c r="Z327" s="974"/>
      <c r="AA327" s="974"/>
      <c r="AB327" s="974"/>
      <c r="AC327" s="974"/>
      <c r="AD327" s="974"/>
      <c r="AE327" s="974"/>
      <c r="AF327" s="974"/>
      <c r="AG327" s="974"/>
      <c r="AH327" s="974"/>
      <c r="AI327" s="1198"/>
      <c r="AJ327" s="974"/>
      <c r="AK327" s="1197"/>
      <c r="AL327" s="974"/>
      <c r="AM327" s="974"/>
      <c r="AN327" s="974"/>
      <c r="AO327" s="974"/>
      <c r="AP327" s="974"/>
      <c r="AQ327" s="974"/>
      <c r="AR327" s="974"/>
      <c r="AS327" s="974"/>
      <c r="AT327" s="974"/>
      <c r="AU327" s="974"/>
      <c r="AV327" s="974"/>
      <c r="AW327" s="1181"/>
      <c r="AX327" s="978"/>
      <c r="AY327" s="898"/>
      <c r="AZ327" s="898"/>
      <c r="BA327" s="898"/>
      <c r="BB327" s="898"/>
      <c r="BC327" s="898"/>
      <c r="BD327" s="898"/>
      <c r="BE327" s="898"/>
      <c r="BF327" s="898"/>
      <c r="BG327" s="898"/>
      <c r="BH327" s="898"/>
      <c r="BI327" s="898"/>
      <c r="BJ327" s="898"/>
      <c r="BK327" s="898"/>
      <c r="BL327" s="898"/>
      <c r="BM327" s="898"/>
      <c r="BN327" s="898"/>
      <c r="BO327" s="898"/>
      <c r="BP327" s="898"/>
      <c r="BQ327" s="898"/>
      <c r="BR327" s="898"/>
      <c r="BS327" s="898"/>
      <c r="BT327" s="898"/>
      <c r="BU327" s="898"/>
      <c r="BV327" s="898"/>
      <c r="BW327" s="898"/>
      <c r="BX327" s="898"/>
      <c r="BY327" s="898"/>
      <c r="BZ327" s="898"/>
      <c r="CA327" s="898"/>
      <c r="CB327" s="898"/>
      <c r="CC327" s="898"/>
      <c r="CD327" s="898"/>
      <c r="CE327" s="898"/>
      <c r="CF327" s="898"/>
      <c r="CG327" s="898"/>
      <c r="CH327" s="898"/>
      <c r="CI327" s="898"/>
      <c r="CJ327" s="898"/>
      <c r="CK327" s="898"/>
      <c r="CL327" s="898"/>
      <c r="CM327" s="898"/>
      <c r="CN327" s="898"/>
      <c r="CO327" s="898"/>
      <c r="CP327" s="898"/>
      <c r="CQ327" s="898"/>
      <c r="CR327" s="898"/>
      <c r="CS327" s="898"/>
      <c r="CT327" s="898"/>
      <c r="CU327" s="898"/>
    </row>
    <row r="328" ht="16.5" customHeight="1">
      <c r="A328" s="718"/>
      <c r="B328" s="1195"/>
      <c r="C328" s="866"/>
      <c r="D328" s="968"/>
      <c r="E328" s="718"/>
      <c r="F328" s="718"/>
      <c r="G328" s="718"/>
      <c r="H328" s="718"/>
      <c r="I328" s="359"/>
      <c r="J328" s="359"/>
      <c r="K328" s="359"/>
      <c r="L328" s="359"/>
      <c r="M328" s="359"/>
      <c r="N328" s="359"/>
      <c r="O328" s="359"/>
      <c r="P328" s="359"/>
      <c r="Q328" s="359"/>
      <c r="R328" s="718"/>
      <c r="S328" s="669"/>
      <c r="T328" s="669"/>
      <c r="U328" s="967"/>
      <c r="V328" s="974"/>
      <c r="W328" s="1197"/>
      <c r="X328" s="974"/>
      <c r="Y328" s="974"/>
      <c r="Z328" s="974"/>
      <c r="AA328" s="974"/>
      <c r="AB328" s="974"/>
      <c r="AC328" s="974"/>
      <c r="AD328" s="974"/>
      <c r="AE328" s="974"/>
      <c r="AF328" s="974"/>
      <c r="AG328" s="974"/>
      <c r="AH328" s="974"/>
      <c r="AI328" s="1198"/>
      <c r="AJ328" s="974"/>
      <c r="AK328" s="1197"/>
      <c r="AL328" s="974"/>
      <c r="AM328" s="974"/>
      <c r="AN328" s="974"/>
      <c r="AO328" s="974"/>
      <c r="AP328" s="974"/>
      <c r="AQ328" s="974"/>
      <c r="AR328" s="974"/>
      <c r="AS328" s="974"/>
      <c r="AT328" s="974"/>
      <c r="AU328" s="974"/>
      <c r="AV328" s="974"/>
      <c r="AW328" s="1181"/>
      <c r="AX328" s="978"/>
      <c r="AY328" s="898"/>
      <c r="AZ328" s="898"/>
      <c r="BA328" s="898"/>
      <c r="BB328" s="898"/>
      <c r="BC328" s="898"/>
      <c r="BD328" s="898"/>
      <c r="BE328" s="898"/>
      <c r="BF328" s="898"/>
      <c r="BG328" s="898"/>
      <c r="BH328" s="898"/>
      <c r="BI328" s="898"/>
      <c r="BJ328" s="898"/>
      <c r="BK328" s="898"/>
      <c r="BL328" s="898"/>
      <c r="BM328" s="898"/>
      <c r="BN328" s="898"/>
      <c r="BO328" s="898"/>
      <c r="BP328" s="898"/>
      <c r="BQ328" s="898"/>
      <c r="BR328" s="898"/>
      <c r="BS328" s="898"/>
      <c r="BT328" s="898"/>
      <c r="BU328" s="898"/>
      <c r="BV328" s="898"/>
      <c r="BW328" s="898"/>
      <c r="BX328" s="898"/>
      <c r="BY328" s="898"/>
      <c r="BZ328" s="898"/>
      <c r="CA328" s="898"/>
      <c r="CB328" s="898"/>
      <c r="CC328" s="898"/>
      <c r="CD328" s="898"/>
      <c r="CE328" s="898"/>
      <c r="CF328" s="898"/>
      <c r="CG328" s="898"/>
      <c r="CH328" s="898"/>
      <c r="CI328" s="898"/>
      <c r="CJ328" s="898"/>
      <c r="CK328" s="898"/>
      <c r="CL328" s="898"/>
      <c r="CM328" s="898"/>
      <c r="CN328" s="898"/>
      <c r="CO328" s="898"/>
      <c r="CP328" s="898"/>
      <c r="CQ328" s="898"/>
      <c r="CR328" s="898"/>
      <c r="CS328" s="898"/>
      <c r="CT328" s="898"/>
      <c r="CU328" s="898"/>
    </row>
    <row r="329" ht="16.5" customHeight="1">
      <c r="A329" s="718"/>
      <c r="B329" s="1195"/>
      <c r="C329" s="866"/>
      <c r="D329" s="968"/>
      <c r="E329" s="718"/>
      <c r="F329" s="718"/>
      <c r="G329" s="718"/>
      <c r="H329" s="718"/>
      <c r="I329" s="359"/>
      <c r="J329" s="359"/>
      <c r="K329" s="359"/>
      <c r="L329" s="359"/>
      <c r="M329" s="359"/>
      <c r="N329" s="359"/>
      <c r="O329" s="359"/>
      <c r="P329" s="359"/>
      <c r="Q329" s="359"/>
      <c r="R329" s="718"/>
      <c r="S329" s="669"/>
      <c r="T329" s="669"/>
      <c r="U329" s="967"/>
      <c r="V329" s="974"/>
      <c r="W329" s="1197"/>
      <c r="X329" s="974"/>
      <c r="Y329" s="974"/>
      <c r="Z329" s="974"/>
      <c r="AA329" s="974"/>
      <c r="AB329" s="974"/>
      <c r="AC329" s="974"/>
      <c r="AD329" s="974"/>
      <c r="AE329" s="974"/>
      <c r="AF329" s="974"/>
      <c r="AG329" s="974"/>
      <c r="AH329" s="974"/>
      <c r="AI329" s="1198"/>
      <c r="AJ329" s="974"/>
      <c r="AK329" s="1197"/>
      <c r="AL329" s="974"/>
      <c r="AM329" s="974"/>
      <c r="AN329" s="974"/>
      <c r="AO329" s="974"/>
      <c r="AP329" s="974"/>
      <c r="AQ329" s="974"/>
      <c r="AR329" s="974"/>
      <c r="AS329" s="974"/>
      <c r="AT329" s="974"/>
      <c r="AU329" s="974"/>
      <c r="AV329" s="974"/>
      <c r="AW329" s="1181"/>
      <c r="AX329" s="978"/>
      <c r="AY329" s="898"/>
      <c r="AZ329" s="898"/>
      <c r="BA329" s="898"/>
      <c r="BB329" s="898"/>
      <c r="BC329" s="898"/>
      <c r="BD329" s="898"/>
      <c r="BE329" s="898"/>
      <c r="BF329" s="898"/>
      <c r="BG329" s="898"/>
      <c r="BH329" s="898"/>
      <c r="BI329" s="898"/>
      <c r="BJ329" s="898"/>
      <c r="BK329" s="898"/>
      <c r="BL329" s="898"/>
      <c r="BM329" s="898"/>
      <c r="BN329" s="898"/>
      <c r="BO329" s="898"/>
      <c r="BP329" s="898"/>
      <c r="BQ329" s="898"/>
      <c r="BR329" s="898"/>
      <c r="BS329" s="898"/>
      <c r="BT329" s="898"/>
      <c r="BU329" s="898"/>
      <c r="BV329" s="898"/>
      <c r="BW329" s="898"/>
      <c r="BX329" s="898"/>
      <c r="BY329" s="898"/>
      <c r="BZ329" s="898"/>
      <c r="CA329" s="898"/>
      <c r="CB329" s="898"/>
      <c r="CC329" s="898"/>
      <c r="CD329" s="898"/>
      <c r="CE329" s="898"/>
      <c r="CF329" s="898"/>
      <c r="CG329" s="898"/>
      <c r="CH329" s="898"/>
      <c r="CI329" s="898"/>
      <c r="CJ329" s="898"/>
      <c r="CK329" s="898"/>
      <c r="CL329" s="898"/>
      <c r="CM329" s="898"/>
      <c r="CN329" s="898"/>
      <c r="CO329" s="898"/>
      <c r="CP329" s="898"/>
      <c r="CQ329" s="898"/>
      <c r="CR329" s="898"/>
      <c r="CS329" s="898"/>
      <c r="CT329" s="898"/>
      <c r="CU329" s="898"/>
    </row>
    <row r="330" ht="16.5" customHeight="1">
      <c r="A330" s="718"/>
      <c r="B330" s="1195"/>
      <c r="C330" s="866"/>
      <c r="D330" s="968"/>
      <c r="E330" s="718"/>
      <c r="F330" s="718"/>
      <c r="G330" s="718"/>
      <c r="H330" s="718"/>
      <c r="I330" s="359"/>
      <c r="J330" s="359"/>
      <c r="K330" s="359"/>
      <c r="L330" s="359"/>
      <c r="M330" s="359"/>
      <c r="N330" s="359"/>
      <c r="O330" s="359"/>
      <c r="P330" s="359"/>
      <c r="Q330" s="359"/>
      <c r="R330" s="718"/>
      <c r="S330" s="669"/>
      <c r="T330" s="669"/>
      <c r="U330" s="967"/>
      <c r="V330" s="974"/>
      <c r="W330" s="1197"/>
      <c r="X330" s="974"/>
      <c r="Y330" s="974"/>
      <c r="Z330" s="974"/>
      <c r="AA330" s="974"/>
      <c r="AB330" s="974"/>
      <c r="AC330" s="974"/>
      <c r="AD330" s="974"/>
      <c r="AE330" s="974"/>
      <c r="AF330" s="974"/>
      <c r="AG330" s="974"/>
      <c r="AH330" s="974"/>
      <c r="AI330" s="1198"/>
      <c r="AJ330" s="974"/>
      <c r="AK330" s="1197"/>
      <c r="AL330" s="974"/>
      <c r="AM330" s="974"/>
      <c r="AN330" s="974"/>
      <c r="AO330" s="974"/>
      <c r="AP330" s="974"/>
      <c r="AQ330" s="974"/>
      <c r="AR330" s="974"/>
      <c r="AS330" s="974"/>
      <c r="AT330" s="974"/>
      <c r="AU330" s="974"/>
      <c r="AV330" s="974"/>
      <c r="AW330" s="1181"/>
      <c r="AX330" s="978"/>
      <c r="AY330" s="898"/>
      <c r="AZ330" s="898"/>
      <c r="BA330" s="898"/>
      <c r="BB330" s="898"/>
      <c r="BC330" s="898"/>
      <c r="BD330" s="898"/>
      <c r="BE330" s="898"/>
      <c r="BF330" s="898"/>
      <c r="BG330" s="898"/>
      <c r="BH330" s="898"/>
      <c r="BI330" s="898"/>
      <c r="BJ330" s="898"/>
      <c r="BK330" s="898"/>
      <c r="BL330" s="898"/>
      <c r="BM330" s="898"/>
      <c r="BN330" s="898"/>
      <c r="BO330" s="898"/>
      <c r="BP330" s="898"/>
      <c r="BQ330" s="898"/>
      <c r="BR330" s="898"/>
      <c r="BS330" s="898"/>
      <c r="BT330" s="898"/>
      <c r="BU330" s="898"/>
      <c r="BV330" s="898"/>
      <c r="BW330" s="898"/>
      <c r="BX330" s="898"/>
      <c r="BY330" s="898"/>
      <c r="BZ330" s="898"/>
      <c r="CA330" s="898"/>
      <c r="CB330" s="898"/>
      <c r="CC330" s="898"/>
      <c r="CD330" s="898"/>
      <c r="CE330" s="898"/>
      <c r="CF330" s="898"/>
      <c r="CG330" s="898"/>
      <c r="CH330" s="898"/>
      <c r="CI330" s="898"/>
      <c r="CJ330" s="898"/>
      <c r="CK330" s="898"/>
      <c r="CL330" s="898"/>
      <c r="CM330" s="898"/>
      <c r="CN330" s="898"/>
      <c r="CO330" s="898"/>
      <c r="CP330" s="898"/>
      <c r="CQ330" s="898"/>
      <c r="CR330" s="898"/>
      <c r="CS330" s="898"/>
      <c r="CT330" s="898"/>
      <c r="CU330" s="898"/>
    </row>
    <row r="331" ht="16.5" customHeight="1">
      <c r="A331" s="718"/>
      <c r="B331" s="1195"/>
      <c r="C331" s="866"/>
      <c r="D331" s="968"/>
      <c r="E331" s="718"/>
      <c r="F331" s="718"/>
      <c r="G331" s="718"/>
      <c r="H331" s="718"/>
      <c r="I331" s="359"/>
      <c r="J331" s="359"/>
      <c r="K331" s="359"/>
      <c r="L331" s="359"/>
      <c r="M331" s="359"/>
      <c r="N331" s="359"/>
      <c r="O331" s="359"/>
      <c r="P331" s="359"/>
      <c r="Q331" s="359"/>
      <c r="R331" s="718"/>
      <c r="S331" s="669"/>
      <c r="T331" s="669"/>
      <c r="U331" s="967"/>
      <c r="V331" s="974"/>
      <c r="W331" s="1197"/>
      <c r="X331" s="974"/>
      <c r="Y331" s="974"/>
      <c r="Z331" s="974"/>
      <c r="AA331" s="974"/>
      <c r="AB331" s="974"/>
      <c r="AC331" s="974"/>
      <c r="AD331" s="974"/>
      <c r="AE331" s="974"/>
      <c r="AF331" s="974"/>
      <c r="AG331" s="974"/>
      <c r="AH331" s="974"/>
      <c r="AI331" s="1198"/>
      <c r="AJ331" s="974"/>
      <c r="AK331" s="1197"/>
      <c r="AL331" s="974"/>
      <c r="AM331" s="974"/>
      <c r="AN331" s="974"/>
      <c r="AO331" s="974"/>
      <c r="AP331" s="974"/>
      <c r="AQ331" s="974"/>
      <c r="AR331" s="974"/>
      <c r="AS331" s="974"/>
      <c r="AT331" s="974"/>
      <c r="AU331" s="974"/>
      <c r="AV331" s="974"/>
      <c r="AW331" s="1181"/>
      <c r="AX331" s="978"/>
      <c r="AY331" s="898"/>
      <c r="AZ331" s="898"/>
      <c r="BA331" s="898"/>
      <c r="BB331" s="898"/>
      <c r="BC331" s="898"/>
      <c r="BD331" s="898"/>
      <c r="BE331" s="898"/>
      <c r="BF331" s="898"/>
      <c r="BG331" s="898"/>
      <c r="BH331" s="898"/>
      <c r="BI331" s="898"/>
      <c r="BJ331" s="898"/>
      <c r="BK331" s="898"/>
      <c r="BL331" s="898"/>
      <c r="BM331" s="898"/>
      <c r="BN331" s="898"/>
      <c r="BO331" s="898"/>
      <c r="BP331" s="898"/>
      <c r="BQ331" s="898"/>
      <c r="BR331" s="898"/>
      <c r="BS331" s="898"/>
      <c r="BT331" s="898"/>
      <c r="BU331" s="898"/>
      <c r="BV331" s="898"/>
      <c r="BW331" s="898"/>
      <c r="BX331" s="898"/>
      <c r="BY331" s="898"/>
      <c r="BZ331" s="898"/>
      <c r="CA331" s="898"/>
      <c r="CB331" s="898"/>
      <c r="CC331" s="898"/>
      <c r="CD331" s="898"/>
      <c r="CE331" s="898"/>
      <c r="CF331" s="898"/>
      <c r="CG331" s="898"/>
      <c r="CH331" s="898"/>
      <c r="CI331" s="898"/>
      <c r="CJ331" s="898"/>
      <c r="CK331" s="898"/>
      <c r="CL331" s="898"/>
      <c r="CM331" s="898"/>
      <c r="CN331" s="898"/>
      <c r="CO331" s="898"/>
      <c r="CP331" s="898"/>
      <c r="CQ331" s="898"/>
      <c r="CR331" s="898"/>
      <c r="CS331" s="898"/>
      <c r="CT331" s="898"/>
      <c r="CU331" s="898"/>
    </row>
    <row r="332" ht="16.5" customHeight="1">
      <c r="A332" s="718"/>
      <c r="B332" s="1195"/>
      <c r="C332" s="866"/>
      <c r="D332" s="968"/>
      <c r="E332" s="718"/>
      <c r="F332" s="718"/>
      <c r="G332" s="718"/>
      <c r="H332" s="718"/>
      <c r="I332" s="359"/>
      <c r="J332" s="359"/>
      <c r="K332" s="359"/>
      <c r="L332" s="359"/>
      <c r="M332" s="359"/>
      <c r="N332" s="359"/>
      <c r="O332" s="359"/>
      <c r="P332" s="359"/>
      <c r="Q332" s="359"/>
      <c r="R332" s="718"/>
      <c r="S332" s="669"/>
      <c r="T332" s="669"/>
      <c r="U332" s="967"/>
      <c r="V332" s="974"/>
      <c r="W332" s="1197"/>
      <c r="X332" s="974"/>
      <c r="Y332" s="974"/>
      <c r="Z332" s="974"/>
      <c r="AA332" s="974"/>
      <c r="AB332" s="974"/>
      <c r="AC332" s="974"/>
      <c r="AD332" s="974"/>
      <c r="AE332" s="974"/>
      <c r="AF332" s="974"/>
      <c r="AG332" s="974"/>
      <c r="AH332" s="974"/>
      <c r="AI332" s="1198"/>
      <c r="AJ332" s="974"/>
      <c r="AK332" s="1197"/>
      <c r="AL332" s="974"/>
      <c r="AM332" s="974"/>
      <c r="AN332" s="974"/>
      <c r="AO332" s="974"/>
      <c r="AP332" s="974"/>
      <c r="AQ332" s="974"/>
      <c r="AR332" s="974"/>
      <c r="AS332" s="974"/>
      <c r="AT332" s="974"/>
      <c r="AU332" s="974"/>
      <c r="AV332" s="974"/>
      <c r="AW332" s="1181"/>
      <c r="AX332" s="978"/>
      <c r="AY332" s="898"/>
      <c r="AZ332" s="898"/>
      <c r="BA332" s="898"/>
      <c r="BB332" s="898"/>
      <c r="BC332" s="898"/>
      <c r="BD332" s="898"/>
      <c r="BE332" s="898"/>
      <c r="BF332" s="898"/>
      <c r="BG332" s="898"/>
      <c r="BH332" s="898"/>
      <c r="BI332" s="898"/>
      <c r="BJ332" s="898"/>
      <c r="BK332" s="898"/>
      <c r="BL332" s="898"/>
      <c r="BM332" s="898"/>
      <c r="BN332" s="898"/>
      <c r="BO332" s="898"/>
      <c r="BP332" s="898"/>
      <c r="BQ332" s="898"/>
      <c r="BR332" s="898"/>
      <c r="BS332" s="898"/>
      <c r="BT332" s="898"/>
      <c r="BU332" s="898"/>
      <c r="BV332" s="898"/>
      <c r="BW332" s="898"/>
      <c r="BX332" s="898"/>
      <c r="BY332" s="898"/>
      <c r="BZ332" s="898"/>
      <c r="CA332" s="898"/>
      <c r="CB332" s="898"/>
      <c r="CC332" s="898"/>
      <c r="CD332" s="898"/>
      <c r="CE332" s="898"/>
      <c r="CF332" s="898"/>
      <c r="CG332" s="898"/>
      <c r="CH332" s="898"/>
      <c r="CI332" s="898"/>
      <c r="CJ332" s="898"/>
      <c r="CK332" s="898"/>
      <c r="CL332" s="898"/>
      <c r="CM332" s="898"/>
      <c r="CN332" s="898"/>
      <c r="CO332" s="898"/>
      <c r="CP332" s="898"/>
      <c r="CQ332" s="898"/>
      <c r="CR332" s="898"/>
      <c r="CS332" s="898"/>
      <c r="CT332" s="898"/>
      <c r="CU332" s="898"/>
    </row>
    <row r="333" ht="16.5" customHeight="1">
      <c r="A333" s="718"/>
      <c r="B333" s="1195"/>
      <c r="C333" s="866"/>
      <c r="D333" s="968"/>
      <c r="E333" s="718"/>
      <c r="F333" s="718"/>
      <c r="G333" s="718"/>
      <c r="H333" s="718"/>
      <c r="I333" s="359"/>
      <c r="J333" s="359"/>
      <c r="K333" s="359"/>
      <c r="L333" s="359"/>
      <c r="M333" s="359"/>
      <c r="N333" s="359"/>
      <c r="O333" s="359"/>
      <c r="P333" s="359"/>
      <c r="Q333" s="359"/>
      <c r="R333" s="718"/>
      <c r="S333" s="669"/>
      <c r="T333" s="669"/>
      <c r="U333" s="967"/>
      <c r="V333" s="974"/>
      <c r="W333" s="1197"/>
      <c r="X333" s="974"/>
      <c r="Y333" s="974"/>
      <c r="Z333" s="974"/>
      <c r="AA333" s="974"/>
      <c r="AB333" s="974"/>
      <c r="AC333" s="974"/>
      <c r="AD333" s="974"/>
      <c r="AE333" s="974"/>
      <c r="AF333" s="974"/>
      <c r="AG333" s="974"/>
      <c r="AH333" s="974"/>
      <c r="AI333" s="1198"/>
      <c r="AJ333" s="974"/>
      <c r="AK333" s="1197"/>
      <c r="AL333" s="974"/>
      <c r="AM333" s="974"/>
      <c r="AN333" s="974"/>
      <c r="AO333" s="974"/>
      <c r="AP333" s="974"/>
      <c r="AQ333" s="974"/>
      <c r="AR333" s="974"/>
      <c r="AS333" s="974"/>
      <c r="AT333" s="974"/>
      <c r="AU333" s="974"/>
      <c r="AV333" s="974"/>
      <c r="AW333" s="1181"/>
      <c r="AX333" s="978"/>
      <c r="AY333" s="898"/>
      <c r="AZ333" s="898"/>
      <c r="BA333" s="898"/>
      <c r="BB333" s="898"/>
      <c r="BC333" s="898"/>
      <c r="BD333" s="898"/>
      <c r="BE333" s="898"/>
      <c r="BF333" s="898"/>
      <c r="BG333" s="898"/>
      <c r="BH333" s="898"/>
      <c r="BI333" s="898"/>
      <c r="BJ333" s="898"/>
      <c r="BK333" s="898"/>
      <c r="BL333" s="898"/>
      <c r="BM333" s="898"/>
      <c r="BN333" s="898"/>
      <c r="BO333" s="898"/>
      <c r="BP333" s="898"/>
      <c r="BQ333" s="898"/>
      <c r="BR333" s="898"/>
      <c r="BS333" s="898"/>
      <c r="BT333" s="898"/>
      <c r="BU333" s="898"/>
      <c r="BV333" s="898"/>
      <c r="BW333" s="898"/>
      <c r="BX333" s="898"/>
      <c r="BY333" s="898"/>
      <c r="BZ333" s="898"/>
      <c r="CA333" s="898"/>
      <c r="CB333" s="898"/>
      <c r="CC333" s="898"/>
      <c r="CD333" s="898"/>
      <c r="CE333" s="898"/>
      <c r="CF333" s="898"/>
      <c r="CG333" s="898"/>
      <c r="CH333" s="898"/>
      <c r="CI333" s="898"/>
      <c r="CJ333" s="898"/>
      <c r="CK333" s="898"/>
      <c r="CL333" s="898"/>
      <c r="CM333" s="898"/>
      <c r="CN333" s="898"/>
      <c r="CO333" s="898"/>
      <c r="CP333" s="898"/>
      <c r="CQ333" s="898"/>
      <c r="CR333" s="898"/>
      <c r="CS333" s="898"/>
      <c r="CT333" s="898"/>
      <c r="CU333" s="898"/>
    </row>
    <row r="334" ht="16.5" customHeight="1">
      <c r="A334" s="718"/>
      <c r="B334" s="1195"/>
      <c r="C334" s="866"/>
      <c r="D334" s="968"/>
      <c r="E334" s="718"/>
      <c r="F334" s="718"/>
      <c r="G334" s="718"/>
      <c r="H334" s="718"/>
      <c r="I334" s="359"/>
      <c r="J334" s="359"/>
      <c r="K334" s="359"/>
      <c r="L334" s="359"/>
      <c r="M334" s="359"/>
      <c r="N334" s="359"/>
      <c r="O334" s="359"/>
      <c r="P334" s="359"/>
      <c r="Q334" s="359"/>
      <c r="R334" s="718"/>
      <c r="S334" s="669"/>
      <c r="T334" s="669"/>
      <c r="U334" s="967"/>
      <c r="V334" s="974"/>
      <c r="W334" s="1197"/>
      <c r="X334" s="974"/>
      <c r="Y334" s="974"/>
      <c r="Z334" s="974"/>
      <c r="AA334" s="974"/>
      <c r="AB334" s="974"/>
      <c r="AC334" s="974"/>
      <c r="AD334" s="974"/>
      <c r="AE334" s="974"/>
      <c r="AF334" s="974"/>
      <c r="AG334" s="974"/>
      <c r="AH334" s="974"/>
      <c r="AI334" s="1198"/>
      <c r="AJ334" s="974"/>
      <c r="AK334" s="1197"/>
      <c r="AL334" s="974"/>
      <c r="AM334" s="974"/>
      <c r="AN334" s="974"/>
      <c r="AO334" s="974"/>
      <c r="AP334" s="974"/>
      <c r="AQ334" s="974"/>
      <c r="AR334" s="974"/>
      <c r="AS334" s="974"/>
      <c r="AT334" s="974"/>
      <c r="AU334" s="974"/>
      <c r="AV334" s="974"/>
      <c r="AW334" s="1181"/>
      <c r="AX334" s="978"/>
      <c r="AY334" s="898"/>
      <c r="AZ334" s="898"/>
      <c r="BA334" s="898"/>
      <c r="BB334" s="898"/>
      <c r="BC334" s="898"/>
      <c r="BD334" s="898"/>
      <c r="BE334" s="898"/>
      <c r="BF334" s="898"/>
      <c r="BG334" s="898"/>
      <c r="BH334" s="898"/>
      <c r="BI334" s="898"/>
      <c r="BJ334" s="898"/>
      <c r="BK334" s="898"/>
      <c r="BL334" s="898"/>
      <c r="BM334" s="898"/>
      <c r="BN334" s="898"/>
      <c r="BO334" s="898"/>
      <c r="BP334" s="898"/>
      <c r="BQ334" s="898"/>
      <c r="BR334" s="898"/>
      <c r="BS334" s="898"/>
      <c r="BT334" s="898"/>
      <c r="BU334" s="898"/>
      <c r="BV334" s="898"/>
      <c r="BW334" s="898"/>
      <c r="BX334" s="898"/>
      <c r="BY334" s="898"/>
      <c r="BZ334" s="898"/>
      <c r="CA334" s="898"/>
      <c r="CB334" s="898"/>
      <c r="CC334" s="898"/>
      <c r="CD334" s="898"/>
      <c r="CE334" s="898"/>
      <c r="CF334" s="898"/>
      <c r="CG334" s="898"/>
      <c r="CH334" s="898"/>
      <c r="CI334" s="898"/>
      <c r="CJ334" s="898"/>
      <c r="CK334" s="898"/>
      <c r="CL334" s="898"/>
      <c r="CM334" s="898"/>
      <c r="CN334" s="898"/>
      <c r="CO334" s="898"/>
      <c r="CP334" s="898"/>
      <c r="CQ334" s="898"/>
      <c r="CR334" s="898"/>
      <c r="CS334" s="898"/>
      <c r="CT334" s="898"/>
      <c r="CU334" s="898"/>
    </row>
    <row r="335" ht="16.5" customHeight="1">
      <c r="A335" s="718"/>
      <c r="B335" s="1195"/>
      <c r="C335" s="866"/>
      <c r="D335" s="968"/>
      <c r="E335" s="718"/>
      <c r="F335" s="718"/>
      <c r="G335" s="718"/>
      <c r="H335" s="718"/>
      <c r="I335" s="359"/>
      <c r="J335" s="359"/>
      <c r="K335" s="359"/>
      <c r="L335" s="359"/>
      <c r="M335" s="359"/>
      <c r="N335" s="359"/>
      <c r="O335" s="359"/>
      <c r="P335" s="359"/>
      <c r="Q335" s="359"/>
      <c r="R335" s="718"/>
      <c r="S335" s="669"/>
      <c r="T335" s="669"/>
      <c r="U335" s="967"/>
      <c r="V335" s="974"/>
      <c r="W335" s="1197"/>
      <c r="X335" s="974"/>
      <c r="Y335" s="974"/>
      <c r="Z335" s="974"/>
      <c r="AA335" s="974"/>
      <c r="AB335" s="974"/>
      <c r="AC335" s="974"/>
      <c r="AD335" s="974"/>
      <c r="AE335" s="974"/>
      <c r="AF335" s="974"/>
      <c r="AG335" s="974"/>
      <c r="AH335" s="974"/>
      <c r="AI335" s="1198"/>
      <c r="AJ335" s="974"/>
      <c r="AK335" s="1197"/>
      <c r="AL335" s="974"/>
      <c r="AM335" s="974"/>
      <c r="AN335" s="974"/>
      <c r="AO335" s="974"/>
      <c r="AP335" s="974"/>
      <c r="AQ335" s="974"/>
      <c r="AR335" s="974"/>
      <c r="AS335" s="974"/>
      <c r="AT335" s="974"/>
      <c r="AU335" s="974"/>
      <c r="AV335" s="974"/>
      <c r="AW335" s="1181"/>
      <c r="AX335" s="978"/>
      <c r="AY335" s="898"/>
      <c r="AZ335" s="898"/>
      <c r="BA335" s="898"/>
      <c r="BB335" s="898"/>
      <c r="BC335" s="898"/>
      <c r="BD335" s="898"/>
      <c r="BE335" s="898"/>
      <c r="BF335" s="898"/>
      <c r="BG335" s="898"/>
      <c r="BH335" s="898"/>
      <c r="BI335" s="898"/>
      <c r="BJ335" s="898"/>
      <c r="BK335" s="898"/>
      <c r="BL335" s="898"/>
      <c r="BM335" s="898"/>
      <c r="BN335" s="898"/>
      <c r="BO335" s="898"/>
      <c r="BP335" s="898"/>
      <c r="BQ335" s="898"/>
      <c r="BR335" s="898"/>
      <c r="BS335" s="898"/>
      <c r="BT335" s="898"/>
      <c r="BU335" s="898"/>
      <c r="BV335" s="898"/>
      <c r="BW335" s="898"/>
      <c r="BX335" s="898"/>
      <c r="BY335" s="898"/>
      <c r="BZ335" s="898"/>
      <c r="CA335" s="898"/>
      <c r="CB335" s="898"/>
      <c r="CC335" s="898"/>
      <c r="CD335" s="898"/>
      <c r="CE335" s="898"/>
      <c r="CF335" s="898"/>
      <c r="CG335" s="898"/>
      <c r="CH335" s="898"/>
      <c r="CI335" s="898"/>
      <c r="CJ335" s="898"/>
      <c r="CK335" s="898"/>
      <c r="CL335" s="898"/>
      <c r="CM335" s="898"/>
      <c r="CN335" s="898"/>
      <c r="CO335" s="898"/>
      <c r="CP335" s="898"/>
      <c r="CQ335" s="898"/>
      <c r="CR335" s="898"/>
      <c r="CS335" s="898"/>
      <c r="CT335" s="898"/>
      <c r="CU335" s="898"/>
    </row>
    <row r="336" ht="16.5" customHeight="1">
      <c r="A336" s="718"/>
      <c r="B336" s="1195"/>
      <c r="C336" s="866"/>
      <c r="D336" s="968"/>
      <c r="E336" s="718"/>
      <c r="F336" s="718"/>
      <c r="G336" s="718"/>
      <c r="H336" s="718"/>
      <c r="I336" s="359"/>
      <c r="J336" s="359"/>
      <c r="K336" s="359"/>
      <c r="L336" s="359"/>
      <c r="M336" s="359"/>
      <c r="N336" s="359"/>
      <c r="O336" s="359"/>
      <c r="P336" s="359"/>
      <c r="Q336" s="359"/>
      <c r="R336" s="718"/>
      <c r="S336" s="669"/>
      <c r="T336" s="669"/>
      <c r="U336" s="967"/>
      <c r="V336" s="974"/>
      <c r="W336" s="1197"/>
      <c r="X336" s="974"/>
      <c r="Y336" s="974"/>
      <c r="Z336" s="974"/>
      <c r="AA336" s="974"/>
      <c r="AB336" s="974"/>
      <c r="AC336" s="974"/>
      <c r="AD336" s="974"/>
      <c r="AE336" s="974"/>
      <c r="AF336" s="974"/>
      <c r="AG336" s="974"/>
      <c r="AH336" s="974"/>
      <c r="AI336" s="1198"/>
      <c r="AJ336" s="974"/>
      <c r="AK336" s="1197"/>
      <c r="AL336" s="974"/>
      <c r="AM336" s="974"/>
      <c r="AN336" s="974"/>
      <c r="AO336" s="974"/>
      <c r="AP336" s="974"/>
      <c r="AQ336" s="974"/>
      <c r="AR336" s="974"/>
      <c r="AS336" s="974"/>
      <c r="AT336" s="974"/>
      <c r="AU336" s="974"/>
      <c r="AV336" s="974"/>
      <c r="AW336" s="1181"/>
      <c r="AX336" s="978"/>
      <c r="AY336" s="898"/>
      <c r="AZ336" s="898"/>
      <c r="BA336" s="898"/>
      <c r="BB336" s="898"/>
      <c r="BC336" s="898"/>
      <c r="BD336" s="898"/>
      <c r="BE336" s="898"/>
      <c r="BF336" s="898"/>
      <c r="BG336" s="898"/>
      <c r="BH336" s="898"/>
      <c r="BI336" s="898"/>
      <c r="BJ336" s="898"/>
      <c r="BK336" s="898"/>
      <c r="BL336" s="898"/>
      <c r="BM336" s="898"/>
      <c r="BN336" s="898"/>
      <c r="BO336" s="898"/>
      <c r="BP336" s="898"/>
      <c r="BQ336" s="898"/>
      <c r="BR336" s="898"/>
      <c r="BS336" s="898"/>
      <c r="BT336" s="898"/>
      <c r="BU336" s="898"/>
      <c r="BV336" s="898"/>
      <c r="BW336" s="898"/>
      <c r="BX336" s="898"/>
      <c r="BY336" s="898"/>
      <c r="BZ336" s="898"/>
      <c r="CA336" s="898"/>
      <c r="CB336" s="898"/>
      <c r="CC336" s="898"/>
      <c r="CD336" s="898"/>
      <c r="CE336" s="898"/>
      <c r="CF336" s="898"/>
      <c r="CG336" s="898"/>
      <c r="CH336" s="898"/>
      <c r="CI336" s="898"/>
      <c r="CJ336" s="898"/>
      <c r="CK336" s="898"/>
      <c r="CL336" s="898"/>
      <c r="CM336" s="898"/>
      <c r="CN336" s="898"/>
      <c r="CO336" s="898"/>
      <c r="CP336" s="898"/>
      <c r="CQ336" s="898"/>
      <c r="CR336" s="898"/>
      <c r="CS336" s="898"/>
      <c r="CT336" s="898"/>
      <c r="CU336" s="898"/>
    </row>
    <row r="337" ht="16.5" customHeight="1">
      <c r="A337" s="718"/>
      <c r="B337" s="1195"/>
      <c r="C337" s="866"/>
      <c r="D337" s="968"/>
      <c r="E337" s="718"/>
      <c r="F337" s="718"/>
      <c r="G337" s="718"/>
      <c r="H337" s="718"/>
      <c r="I337" s="359"/>
      <c r="J337" s="359"/>
      <c r="K337" s="359"/>
      <c r="L337" s="359"/>
      <c r="M337" s="359"/>
      <c r="N337" s="359"/>
      <c r="O337" s="359"/>
      <c r="P337" s="359"/>
      <c r="Q337" s="359"/>
      <c r="R337" s="718"/>
      <c r="S337" s="669"/>
      <c r="T337" s="669"/>
      <c r="U337" s="967"/>
      <c r="V337" s="974"/>
      <c r="W337" s="1197"/>
      <c r="X337" s="974"/>
      <c r="Y337" s="974"/>
      <c r="Z337" s="974"/>
      <c r="AA337" s="974"/>
      <c r="AB337" s="974"/>
      <c r="AC337" s="974"/>
      <c r="AD337" s="974"/>
      <c r="AE337" s="974"/>
      <c r="AF337" s="974"/>
      <c r="AG337" s="974"/>
      <c r="AH337" s="974"/>
      <c r="AI337" s="1198"/>
      <c r="AJ337" s="974"/>
      <c r="AK337" s="1197"/>
      <c r="AL337" s="974"/>
      <c r="AM337" s="974"/>
      <c r="AN337" s="974"/>
      <c r="AO337" s="974"/>
      <c r="AP337" s="974"/>
      <c r="AQ337" s="974"/>
      <c r="AR337" s="974"/>
      <c r="AS337" s="974"/>
      <c r="AT337" s="974"/>
      <c r="AU337" s="974"/>
      <c r="AV337" s="974"/>
      <c r="AW337" s="1181"/>
      <c r="AX337" s="978"/>
      <c r="AY337" s="898"/>
      <c r="AZ337" s="898"/>
      <c r="BA337" s="898"/>
      <c r="BB337" s="898"/>
      <c r="BC337" s="898"/>
      <c r="BD337" s="898"/>
      <c r="BE337" s="898"/>
      <c r="BF337" s="898"/>
      <c r="BG337" s="898"/>
      <c r="BH337" s="898"/>
      <c r="BI337" s="898"/>
      <c r="BJ337" s="898"/>
      <c r="BK337" s="898"/>
      <c r="BL337" s="898"/>
      <c r="BM337" s="898"/>
      <c r="BN337" s="898"/>
      <c r="BO337" s="898"/>
      <c r="BP337" s="898"/>
      <c r="BQ337" s="898"/>
      <c r="BR337" s="898"/>
      <c r="BS337" s="898"/>
      <c r="BT337" s="898"/>
      <c r="BU337" s="898"/>
      <c r="BV337" s="898"/>
      <c r="BW337" s="898"/>
      <c r="BX337" s="898"/>
      <c r="BY337" s="898"/>
      <c r="BZ337" s="898"/>
      <c r="CA337" s="898"/>
      <c r="CB337" s="898"/>
      <c r="CC337" s="898"/>
      <c r="CD337" s="898"/>
      <c r="CE337" s="898"/>
      <c r="CF337" s="898"/>
      <c r="CG337" s="898"/>
      <c r="CH337" s="898"/>
      <c r="CI337" s="898"/>
      <c r="CJ337" s="898"/>
      <c r="CK337" s="898"/>
      <c r="CL337" s="898"/>
      <c r="CM337" s="898"/>
      <c r="CN337" s="898"/>
      <c r="CO337" s="898"/>
      <c r="CP337" s="898"/>
      <c r="CQ337" s="898"/>
      <c r="CR337" s="898"/>
      <c r="CS337" s="898"/>
      <c r="CT337" s="898"/>
      <c r="CU337" s="898"/>
    </row>
    <row r="338" ht="16.5" customHeight="1">
      <c r="A338" s="718"/>
      <c r="B338" s="1195"/>
      <c r="C338" s="866"/>
      <c r="D338" s="968"/>
      <c r="E338" s="718"/>
      <c r="F338" s="718"/>
      <c r="G338" s="718"/>
      <c r="H338" s="718"/>
      <c r="I338" s="359"/>
      <c r="J338" s="359"/>
      <c r="K338" s="359"/>
      <c r="L338" s="359"/>
      <c r="M338" s="359"/>
      <c r="N338" s="359"/>
      <c r="O338" s="359"/>
      <c r="P338" s="359"/>
      <c r="Q338" s="359"/>
      <c r="R338" s="718"/>
      <c r="S338" s="669"/>
      <c r="T338" s="669"/>
      <c r="U338" s="967"/>
      <c r="V338" s="974"/>
      <c r="W338" s="1197"/>
      <c r="X338" s="974"/>
      <c r="Y338" s="974"/>
      <c r="Z338" s="974"/>
      <c r="AA338" s="974"/>
      <c r="AB338" s="974"/>
      <c r="AC338" s="974"/>
      <c r="AD338" s="974"/>
      <c r="AE338" s="974"/>
      <c r="AF338" s="974"/>
      <c r="AG338" s="974"/>
      <c r="AH338" s="974"/>
      <c r="AI338" s="1198"/>
      <c r="AJ338" s="974"/>
      <c r="AK338" s="1197"/>
      <c r="AL338" s="974"/>
      <c r="AM338" s="974"/>
      <c r="AN338" s="974"/>
      <c r="AO338" s="974"/>
      <c r="AP338" s="974"/>
      <c r="AQ338" s="974"/>
      <c r="AR338" s="974"/>
      <c r="AS338" s="974"/>
      <c r="AT338" s="974"/>
      <c r="AU338" s="974"/>
      <c r="AV338" s="974"/>
      <c r="AW338" s="1181"/>
      <c r="AX338" s="978"/>
      <c r="AY338" s="898"/>
      <c r="AZ338" s="898"/>
      <c r="BA338" s="898"/>
      <c r="BB338" s="898"/>
      <c r="BC338" s="898"/>
      <c r="BD338" s="898"/>
      <c r="BE338" s="898"/>
      <c r="BF338" s="898"/>
      <c r="BG338" s="898"/>
      <c r="BH338" s="898"/>
      <c r="BI338" s="898"/>
      <c r="BJ338" s="898"/>
      <c r="BK338" s="898"/>
      <c r="BL338" s="898"/>
      <c r="BM338" s="898"/>
      <c r="BN338" s="898"/>
      <c r="BO338" s="898"/>
      <c r="BP338" s="898"/>
      <c r="BQ338" s="898"/>
      <c r="BR338" s="898"/>
      <c r="BS338" s="898"/>
      <c r="BT338" s="898"/>
      <c r="BU338" s="898"/>
      <c r="BV338" s="898"/>
      <c r="BW338" s="898"/>
      <c r="BX338" s="898"/>
      <c r="BY338" s="898"/>
      <c r="BZ338" s="898"/>
      <c r="CA338" s="898"/>
      <c r="CB338" s="898"/>
      <c r="CC338" s="898"/>
      <c r="CD338" s="898"/>
      <c r="CE338" s="898"/>
      <c r="CF338" s="898"/>
      <c r="CG338" s="898"/>
      <c r="CH338" s="898"/>
      <c r="CI338" s="898"/>
      <c r="CJ338" s="898"/>
      <c r="CK338" s="898"/>
      <c r="CL338" s="898"/>
      <c r="CM338" s="898"/>
      <c r="CN338" s="898"/>
      <c r="CO338" s="898"/>
      <c r="CP338" s="898"/>
      <c r="CQ338" s="898"/>
      <c r="CR338" s="898"/>
      <c r="CS338" s="898"/>
      <c r="CT338" s="898"/>
      <c r="CU338" s="898"/>
    </row>
    <row r="339" ht="16.5" customHeight="1">
      <c r="A339" s="718"/>
      <c r="B339" s="1195"/>
      <c r="C339" s="866"/>
      <c r="D339" s="968"/>
      <c r="E339" s="718"/>
      <c r="F339" s="718"/>
      <c r="G339" s="718"/>
      <c r="H339" s="718"/>
      <c r="I339" s="359"/>
      <c r="J339" s="359"/>
      <c r="K339" s="359"/>
      <c r="L339" s="359"/>
      <c r="M339" s="359"/>
      <c r="N339" s="359"/>
      <c r="O339" s="359"/>
      <c r="P339" s="359"/>
      <c r="Q339" s="359"/>
      <c r="R339" s="718"/>
      <c r="S339" s="669"/>
      <c r="T339" s="669"/>
      <c r="U339" s="967"/>
      <c r="V339" s="974"/>
      <c r="W339" s="1197"/>
      <c r="X339" s="974"/>
      <c r="Y339" s="974"/>
      <c r="Z339" s="974"/>
      <c r="AA339" s="974"/>
      <c r="AB339" s="974"/>
      <c r="AC339" s="974"/>
      <c r="AD339" s="974"/>
      <c r="AE339" s="974"/>
      <c r="AF339" s="974"/>
      <c r="AG339" s="974"/>
      <c r="AH339" s="974"/>
      <c r="AI339" s="1198"/>
      <c r="AJ339" s="974"/>
      <c r="AK339" s="1197"/>
      <c r="AL339" s="974"/>
      <c r="AM339" s="974"/>
      <c r="AN339" s="974"/>
      <c r="AO339" s="974"/>
      <c r="AP339" s="974"/>
      <c r="AQ339" s="974"/>
      <c r="AR339" s="974"/>
      <c r="AS339" s="974"/>
      <c r="AT339" s="974"/>
      <c r="AU339" s="974"/>
      <c r="AV339" s="974"/>
      <c r="AW339" s="1181"/>
      <c r="AX339" s="978"/>
      <c r="AY339" s="898"/>
      <c r="AZ339" s="898"/>
      <c r="BA339" s="898"/>
      <c r="BB339" s="898"/>
      <c r="BC339" s="898"/>
      <c r="BD339" s="898"/>
      <c r="BE339" s="898"/>
      <c r="BF339" s="898"/>
      <c r="BG339" s="898"/>
      <c r="BH339" s="898"/>
      <c r="BI339" s="898"/>
      <c r="BJ339" s="898"/>
      <c r="BK339" s="898"/>
      <c r="BL339" s="898"/>
      <c r="BM339" s="898"/>
      <c r="BN339" s="898"/>
      <c r="BO339" s="898"/>
      <c r="BP339" s="898"/>
      <c r="BQ339" s="898"/>
      <c r="BR339" s="898"/>
      <c r="BS339" s="898"/>
      <c r="BT339" s="898"/>
      <c r="BU339" s="898"/>
      <c r="BV339" s="898"/>
      <c r="BW339" s="898"/>
      <c r="BX339" s="898"/>
      <c r="BY339" s="898"/>
      <c r="BZ339" s="898"/>
      <c r="CA339" s="898"/>
      <c r="CB339" s="898"/>
      <c r="CC339" s="898"/>
      <c r="CD339" s="898"/>
      <c r="CE339" s="898"/>
      <c r="CF339" s="898"/>
      <c r="CG339" s="898"/>
      <c r="CH339" s="898"/>
      <c r="CI339" s="898"/>
      <c r="CJ339" s="898"/>
      <c r="CK339" s="898"/>
      <c r="CL339" s="898"/>
      <c r="CM339" s="898"/>
      <c r="CN339" s="898"/>
      <c r="CO339" s="898"/>
      <c r="CP339" s="898"/>
      <c r="CQ339" s="898"/>
      <c r="CR339" s="898"/>
      <c r="CS339" s="898"/>
      <c r="CT339" s="898"/>
      <c r="CU339" s="898"/>
    </row>
    <row r="340" ht="16.5" customHeight="1">
      <c r="A340" s="718"/>
      <c r="B340" s="1195"/>
      <c r="C340" s="866"/>
      <c r="D340" s="968"/>
      <c r="E340" s="718"/>
      <c r="F340" s="718"/>
      <c r="G340" s="718"/>
      <c r="H340" s="718"/>
      <c r="I340" s="359"/>
      <c r="J340" s="359"/>
      <c r="K340" s="359"/>
      <c r="L340" s="359"/>
      <c r="M340" s="359"/>
      <c r="N340" s="359"/>
      <c r="O340" s="359"/>
      <c r="P340" s="359"/>
      <c r="Q340" s="359"/>
      <c r="R340" s="718"/>
      <c r="S340" s="669"/>
      <c r="T340" s="669"/>
      <c r="U340" s="967"/>
      <c r="V340" s="974"/>
      <c r="W340" s="1197"/>
      <c r="X340" s="974"/>
      <c r="Y340" s="974"/>
      <c r="Z340" s="974"/>
      <c r="AA340" s="974"/>
      <c r="AB340" s="974"/>
      <c r="AC340" s="974"/>
      <c r="AD340" s="974"/>
      <c r="AE340" s="974"/>
      <c r="AF340" s="974"/>
      <c r="AG340" s="974"/>
      <c r="AH340" s="974"/>
      <c r="AI340" s="1198"/>
      <c r="AJ340" s="974"/>
      <c r="AK340" s="1197"/>
      <c r="AL340" s="974"/>
      <c r="AM340" s="974"/>
      <c r="AN340" s="974"/>
      <c r="AO340" s="974"/>
      <c r="AP340" s="974"/>
      <c r="AQ340" s="974"/>
      <c r="AR340" s="974"/>
      <c r="AS340" s="974"/>
      <c r="AT340" s="974"/>
      <c r="AU340" s="974"/>
      <c r="AV340" s="974"/>
      <c r="AW340" s="1181"/>
      <c r="AX340" s="978"/>
      <c r="AY340" s="898"/>
      <c r="AZ340" s="898"/>
      <c r="BA340" s="898"/>
      <c r="BB340" s="898"/>
      <c r="BC340" s="898"/>
      <c r="BD340" s="898"/>
      <c r="BE340" s="898"/>
      <c r="BF340" s="898"/>
      <c r="BG340" s="898"/>
      <c r="BH340" s="898"/>
      <c r="BI340" s="898"/>
      <c r="BJ340" s="898"/>
      <c r="BK340" s="898"/>
      <c r="BL340" s="898"/>
      <c r="BM340" s="898"/>
      <c r="BN340" s="898"/>
      <c r="BO340" s="898"/>
      <c r="BP340" s="898"/>
      <c r="BQ340" s="898"/>
      <c r="BR340" s="898"/>
      <c r="BS340" s="898"/>
      <c r="BT340" s="898"/>
      <c r="BU340" s="898"/>
      <c r="BV340" s="898"/>
      <c r="BW340" s="898"/>
      <c r="BX340" s="898"/>
      <c r="BY340" s="898"/>
      <c r="BZ340" s="898"/>
      <c r="CA340" s="898"/>
      <c r="CB340" s="898"/>
      <c r="CC340" s="898"/>
      <c r="CD340" s="898"/>
      <c r="CE340" s="898"/>
      <c r="CF340" s="898"/>
      <c r="CG340" s="898"/>
      <c r="CH340" s="898"/>
      <c r="CI340" s="898"/>
      <c r="CJ340" s="898"/>
      <c r="CK340" s="898"/>
      <c r="CL340" s="898"/>
      <c r="CM340" s="898"/>
      <c r="CN340" s="898"/>
      <c r="CO340" s="898"/>
      <c r="CP340" s="898"/>
      <c r="CQ340" s="898"/>
      <c r="CR340" s="898"/>
      <c r="CS340" s="898"/>
      <c r="CT340" s="898"/>
      <c r="CU340" s="898"/>
    </row>
    <row r="341" ht="16.5" customHeight="1">
      <c r="A341" s="718"/>
      <c r="B341" s="1195"/>
      <c r="C341" s="866"/>
      <c r="D341" s="968"/>
      <c r="E341" s="718"/>
      <c r="F341" s="718"/>
      <c r="G341" s="718"/>
      <c r="H341" s="718"/>
      <c r="I341" s="359"/>
      <c r="J341" s="359"/>
      <c r="K341" s="359"/>
      <c r="L341" s="359"/>
      <c r="M341" s="359"/>
      <c r="N341" s="359"/>
      <c r="O341" s="359"/>
      <c r="P341" s="359"/>
      <c r="Q341" s="359"/>
      <c r="R341" s="718"/>
      <c r="S341" s="669"/>
      <c r="T341" s="669"/>
      <c r="U341" s="967"/>
      <c r="V341" s="974"/>
      <c r="W341" s="1197"/>
      <c r="X341" s="974"/>
      <c r="Y341" s="974"/>
      <c r="Z341" s="974"/>
      <c r="AA341" s="974"/>
      <c r="AB341" s="974"/>
      <c r="AC341" s="974"/>
      <c r="AD341" s="974"/>
      <c r="AE341" s="974"/>
      <c r="AF341" s="974"/>
      <c r="AG341" s="974"/>
      <c r="AH341" s="974"/>
      <c r="AI341" s="1198"/>
      <c r="AJ341" s="974"/>
      <c r="AK341" s="1197"/>
      <c r="AL341" s="974"/>
      <c r="AM341" s="974"/>
      <c r="AN341" s="974"/>
      <c r="AO341" s="974"/>
      <c r="AP341" s="974"/>
      <c r="AQ341" s="974"/>
      <c r="AR341" s="974"/>
      <c r="AS341" s="974"/>
      <c r="AT341" s="974"/>
      <c r="AU341" s="974"/>
      <c r="AV341" s="974"/>
      <c r="AW341" s="1181"/>
      <c r="AX341" s="978"/>
      <c r="AY341" s="898"/>
      <c r="AZ341" s="898"/>
      <c r="BA341" s="898"/>
      <c r="BB341" s="898"/>
      <c r="BC341" s="898"/>
      <c r="BD341" s="898"/>
      <c r="BE341" s="898"/>
      <c r="BF341" s="898"/>
      <c r="BG341" s="898"/>
      <c r="BH341" s="898"/>
      <c r="BI341" s="898"/>
      <c r="BJ341" s="898"/>
      <c r="BK341" s="898"/>
      <c r="BL341" s="898"/>
      <c r="BM341" s="898"/>
      <c r="BN341" s="898"/>
      <c r="BO341" s="898"/>
      <c r="BP341" s="898"/>
      <c r="BQ341" s="898"/>
      <c r="BR341" s="898"/>
      <c r="BS341" s="898"/>
      <c r="BT341" s="898"/>
      <c r="BU341" s="898"/>
      <c r="BV341" s="898"/>
      <c r="BW341" s="898"/>
      <c r="BX341" s="898"/>
      <c r="BY341" s="898"/>
      <c r="BZ341" s="898"/>
      <c r="CA341" s="898"/>
      <c r="CB341" s="898"/>
      <c r="CC341" s="898"/>
      <c r="CD341" s="898"/>
      <c r="CE341" s="898"/>
      <c r="CF341" s="898"/>
      <c r="CG341" s="898"/>
      <c r="CH341" s="898"/>
      <c r="CI341" s="898"/>
      <c r="CJ341" s="898"/>
      <c r="CK341" s="898"/>
      <c r="CL341" s="898"/>
      <c r="CM341" s="898"/>
      <c r="CN341" s="898"/>
      <c r="CO341" s="898"/>
      <c r="CP341" s="898"/>
      <c r="CQ341" s="898"/>
      <c r="CR341" s="898"/>
      <c r="CS341" s="898"/>
      <c r="CT341" s="898"/>
      <c r="CU341" s="898"/>
    </row>
    <row r="342" ht="16.5" customHeight="1">
      <c r="A342" s="718"/>
      <c r="B342" s="1195"/>
      <c r="C342" s="866"/>
      <c r="D342" s="968"/>
      <c r="E342" s="718"/>
      <c r="F342" s="718"/>
      <c r="G342" s="718"/>
      <c r="H342" s="718"/>
      <c r="I342" s="359"/>
      <c r="J342" s="359"/>
      <c r="K342" s="359"/>
      <c r="L342" s="359"/>
      <c r="M342" s="359"/>
      <c r="N342" s="359"/>
      <c r="O342" s="359"/>
      <c r="P342" s="359"/>
      <c r="Q342" s="359"/>
      <c r="R342" s="718"/>
      <c r="S342" s="669"/>
      <c r="T342" s="669"/>
      <c r="U342" s="967"/>
      <c r="V342" s="974"/>
      <c r="W342" s="1197"/>
      <c r="X342" s="974"/>
      <c r="Y342" s="974"/>
      <c r="Z342" s="974"/>
      <c r="AA342" s="974"/>
      <c r="AB342" s="974"/>
      <c r="AC342" s="974"/>
      <c r="AD342" s="974"/>
      <c r="AE342" s="974"/>
      <c r="AF342" s="974"/>
      <c r="AG342" s="974"/>
      <c r="AH342" s="974"/>
      <c r="AI342" s="1198"/>
      <c r="AJ342" s="974"/>
      <c r="AK342" s="1197"/>
      <c r="AL342" s="974"/>
      <c r="AM342" s="974"/>
      <c r="AN342" s="974"/>
      <c r="AO342" s="974"/>
      <c r="AP342" s="974"/>
      <c r="AQ342" s="974"/>
      <c r="AR342" s="974"/>
      <c r="AS342" s="974"/>
      <c r="AT342" s="974"/>
      <c r="AU342" s="974"/>
      <c r="AV342" s="974"/>
      <c r="AW342" s="1181"/>
      <c r="AX342" s="978"/>
      <c r="AY342" s="898"/>
      <c r="AZ342" s="898"/>
      <c r="BA342" s="898"/>
      <c r="BB342" s="898"/>
      <c r="BC342" s="898"/>
      <c r="BD342" s="898"/>
      <c r="BE342" s="898"/>
      <c r="BF342" s="898"/>
      <c r="BG342" s="898"/>
      <c r="BH342" s="898"/>
      <c r="BI342" s="898"/>
      <c r="BJ342" s="898"/>
      <c r="BK342" s="898"/>
      <c r="BL342" s="898"/>
      <c r="BM342" s="898"/>
      <c r="BN342" s="898"/>
      <c r="BO342" s="898"/>
      <c r="BP342" s="898"/>
      <c r="BQ342" s="898"/>
      <c r="BR342" s="898"/>
      <c r="BS342" s="898"/>
      <c r="BT342" s="898"/>
      <c r="BU342" s="898"/>
      <c r="BV342" s="898"/>
      <c r="BW342" s="898"/>
      <c r="BX342" s="898"/>
      <c r="BY342" s="898"/>
      <c r="BZ342" s="898"/>
      <c r="CA342" s="898"/>
      <c r="CB342" s="898"/>
      <c r="CC342" s="898"/>
      <c r="CD342" s="898"/>
      <c r="CE342" s="898"/>
      <c r="CF342" s="898"/>
      <c r="CG342" s="898"/>
      <c r="CH342" s="898"/>
      <c r="CI342" s="898"/>
      <c r="CJ342" s="898"/>
      <c r="CK342" s="898"/>
      <c r="CL342" s="898"/>
      <c r="CM342" s="898"/>
      <c r="CN342" s="898"/>
      <c r="CO342" s="898"/>
      <c r="CP342" s="898"/>
      <c r="CQ342" s="898"/>
      <c r="CR342" s="898"/>
      <c r="CS342" s="898"/>
      <c r="CT342" s="898"/>
      <c r="CU342" s="898"/>
    </row>
    <row r="343" ht="16.5" customHeight="1">
      <c r="A343" s="718"/>
      <c r="B343" s="1195"/>
      <c r="C343" s="866"/>
      <c r="D343" s="968"/>
      <c r="E343" s="718"/>
      <c r="F343" s="718"/>
      <c r="G343" s="718"/>
      <c r="H343" s="718"/>
      <c r="I343" s="359"/>
      <c r="J343" s="359"/>
      <c r="K343" s="359"/>
      <c r="L343" s="359"/>
      <c r="M343" s="359"/>
      <c r="N343" s="359"/>
      <c r="O343" s="359"/>
      <c r="P343" s="359"/>
      <c r="Q343" s="359"/>
      <c r="R343" s="718"/>
      <c r="S343" s="669"/>
      <c r="T343" s="669"/>
      <c r="U343" s="967"/>
      <c r="V343" s="974"/>
      <c r="W343" s="1197"/>
      <c r="X343" s="974"/>
      <c r="Y343" s="974"/>
      <c r="Z343" s="974"/>
      <c r="AA343" s="974"/>
      <c r="AB343" s="974"/>
      <c r="AC343" s="974"/>
      <c r="AD343" s="974"/>
      <c r="AE343" s="974"/>
      <c r="AF343" s="974"/>
      <c r="AG343" s="974"/>
      <c r="AH343" s="974"/>
      <c r="AI343" s="1198"/>
      <c r="AJ343" s="974"/>
      <c r="AK343" s="1197"/>
      <c r="AL343" s="974"/>
      <c r="AM343" s="974"/>
      <c r="AN343" s="974"/>
      <c r="AO343" s="974"/>
      <c r="AP343" s="974"/>
      <c r="AQ343" s="974"/>
      <c r="AR343" s="974"/>
      <c r="AS343" s="974"/>
      <c r="AT343" s="974"/>
      <c r="AU343" s="974"/>
      <c r="AV343" s="974"/>
      <c r="AW343" s="1181"/>
      <c r="AX343" s="978"/>
      <c r="AY343" s="898"/>
      <c r="AZ343" s="898"/>
      <c r="BA343" s="898"/>
      <c r="BB343" s="898"/>
      <c r="BC343" s="898"/>
      <c r="BD343" s="898"/>
      <c r="BE343" s="898"/>
      <c r="BF343" s="898"/>
      <c r="BG343" s="898"/>
      <c r="BH343" s="898"/>
      <c r="BI343" s="898"/>
      <c r="BJ343" s="898"/>
      <c r="BK343" s="898"/>
      <c r="BL343" s="898"/>
      <c r="BM343" s="898"/>
      <c r="BN343" s="898"/>
      <c r="BO343" s="898"/>
      <c r="BP343" s="898"/>
      <c r="BQ343" s="898"/>
      <c r="BR343" s="898"/>
      <c r="BS343" s="898"/>
      <c r="BT343" s="898"/>
      <c r="BU343" s="898"/>
      <c r="BV343" s="898"/>
      <c r="BW343" s="898"/>
      <c r="BX343" s="898"/>
      <c r="BY343" s="898"/>
      <c r="BZ343" s="898"/>
      <c r="CA343" s="898"/>
      <c r="CB343" s="898"/>
      <c r="CC343" s="898"/>
      <c r="CD343" s="898"/>
      <c r="CE343" s="898"/>
      <c r="CF343" s="898"/>
      <c r="CG343" s="898"/>
      <c r="CH343" s="898"/>
      <c r="CI343" s="898"/>
      <c r="CJ343" s="898"/>
      <c r="CK343" s="898"/>
      <c r="CL343" s="898"/>
      <c r="CM343" s="898"/>
      <c r="CN343" s="898"/>
      <c r="CO343" s="898"/>
      <c r="CP343" s="898"/>
      <c r="CQ343" s="898"/>
      <c r="CR343" s="898"/>
      <c r="CS343" s="898"/>
      <c r="CT343" s="898"/>
      <c r="CU343" s="898"/>
    </row>
    <row r="344" ht="16.5" customHeight="1">
      <c r="A344" s="718"/>
      <c r="B344" s="1195"/>
      <c r="C344" s="866"/>
      <c r="D344" s="968"/>
      <c r="E344" s="718"/>
      <c r="F344" s="718"/>
      <c r="G344" s="718"/>
      <c r="H344" s="718"/>
      <c r="I344" s="359"/>
      <c r="J344" s="359"/>
      <c r="K344" s="359"/>
      <c r="L344" s="359"/>
      <c r="M344" s="359"/>
      <c r="N344" s="359"/>
      <c r="O344" s="359"/>
      <c r="P344" s="359"/>
      <c r="Q344" s="359"/>
      <c r="R344" s="718"/>
      <c r="S344" s="669"/>
      <c r="T344" s="669"/>
      <c r="U344" s="967"/>
      <c r="V344" s="974"/>
      <c r="W344" s="1197"/>
      <c r="X344" s="974"/>
      <c r="Y344" s="974"/>
      <c r="Z344" s="974"/>
      <c r="AA344" s="974"/>
      <c r="AB344" s="974"/>
      <c r="AC344" s="974"/>
      <c r="AD344" s="974"/>
      <c r="AE344" s="974"/>
      <c r="AF344" s="974"/>
      <c r="AG344" s="974"/>
      <c r="AH344" s="974"/>
      <c r="AI344" s="1198"/>
      <c r="AJ344" s="974"/>
      <c r="AK344" s="1197"/>
      <c r="AL344" s="974"/>
      <c r="AM344" s="974"/>
      <c r="AN344" s="974"/>
      <c r="AO344" s="974"/>
      <c r="AP344" s="974"/>
      <c r="AQ344" s="974"/>
      <c r="AR344" s="974"/>
      <c r="AS344" s="974"/>
      <c r="AT344" s="974"/>
      <c r="AU344" s="974"/>
      <c r="AV344" s="974"/>
      <c r="AW344" s="1181"/>
      <c r="AX344" s="978"/>
      <c r="AY344" s="898"/>
      <c r="AZ344" s="898"/>
      <c r="BA344" s="898"/>
      <c r="BB344" s="898"/>
      <c r="BC344" s="898"/>
      <c r="BD344" s="898"/>
      <c r="BE344" s="898"/>
      <c r="BF344" s="898"/>
      <c r="BG344" s="898"/>
      <c r="BH344" s="898"/>
      <c r="BI344" s="898"/>
      <c r="BJ344" s="898"/>
      <c r="BK344" s="898"/>
      <c r="BL344" s="898"/>
      <c r="BM344" s="898"/>
      <c r="BN344" s="898"/>
      <c r="BO344" s="898"/>
      <c r="BP344" s="898"/>
      <c r="BQ344" s="898"/>
      <c r="BR344" s="898"/>
      <c r="BS344" s="898"/>
      <c r="BT344" s="898"/>
      <c r="BU344" s="898"/>
      <c r="BV344" s="898"/>
      <c r="BW344" s="898"/>
      <c r="BX344" s="898"/>
      <c r="BY344" s="898"/>
      <c r="BZ344" s="898"/>
      <c r="CA344" s="898"/>
      <c r="CB344" s="898"/>
      <c r="CC344" s="898"/>
      <c r="CD344" s="898"/>
      <c r="CE344" s="898"/>
      <c r="CF344" s="898"/>
      <c r="CG344" s="898"/>
      <c r="CH344" s="898"/>
      <c r="CI344" s="898"/>
      <c r="CJ344" s="898"/>
      <c r="CK344" s="898"/>
      <c r="CL344" s="898"/>
      <c r="CM344" s="898"/>
      <c r="CN344" s="898"/>
      <c r="CO344" s="898"/>
      <c r="CP344" s="898"/>
      <c r="CQ344" s="898"/>
      <c r="CR344" s="898"/>
      <c r="CS344" s="898"/>
      <c r="CT344" s="898"/>
      <c r="CU344" s="898"/>
    </row>
    <row r="345" ht="16.5" customHeight="1">
      <c r="A345" s="718"/>
      <c r="B345" s="1195"/>
      <c r="C345" s="866"/>
      <c r="D345" s="968"/>
      <c r="E345" s="718"/>
      <c r="F345" s="718"/>
      <c r="G345" s="718"/>
      <c r="H345" s="718"/>
      <c r="I345" s="359"/>
      <c r="J345" s="359"/>
      <c r="K345" s="359"/>
      <c r="L345" s="359"/>
      <c r="M345" s="359"/>
      <c r="N345" s="359"/>
      <c r="O345" s="359"/>
      <c r="P345" s="359"/>
      <c r="Q345" s="359"/>
      <c r="R345" s="718"/>
      <c r="S345" s="669"/>
      <c r="T345" s="669"/>
      <c r="U345" s="967"/>
      <c r="V345" s="974"/>
      <c r="W345" s="1197"/>
      <c r="X345" s="974"/>
      <c r="Y345" s="974"/>
      <c r="Z345" s="974"/>
      <c r="AA345" s="974"/>
      <c r="AB345" s="974"/>
      <c r="AC345" s="974"/>
      <c r="AD345" s="974"/>
      <c r="AE345" s="974"/>
      <c r="AF345" s="974"/>
      <c r="AG345" s="974"/>
      <c r="AH345" s="974"/>
      <c r="AI345" s="1198"/>
      <c r="AJ345" s="974"/>
      <c r="AK345" s="1197"/>
      <c r="AL345" s="974"/>
      <c r="AM345" s="974"/>
      <c r="AN345" s="974"/>
      <c r="AO345" s="974"/>
      <c r="AP345" s="974"/>
      <c r="AQ345" s="974"/>
      <c r="AR345" s="974"/>
      <c r="AS345" s="974"/>
      <c r="AT345" s="974"/>
      <c r="AU345" s="974"/>
      <c r="AV345" s="974"/>
      <c r="AW345" s="1181"/>
      <c r="AX345" s="978"/>
      <c r="AY345" s="898"/>
      <c r="AZ345" s="898"/>
      <c r="BA345" s="898"/>
      <c r="BB345" s="898"/>
      <c r="BC345" s="898"/>
      <c r="BD345" s="898"/>
      <c r="BE345" s="898"/>
      <c r="BF345" s="898"/>
      <c r="BG345" s="898"/>
      <c r="BH345" s="898"/>
      <c r="BI345" s="898"/>
      <c r="BJ345" s="898"/>
      <c r="BK345" s="898"/>
      <c r="BL345" s="898"/>
      <c r="BM345" s="898"/>
      <c r="BN345" s="898"/>
      <c r="BO345" s="898"/>
      <c r="BP345" s="898"/>
      <c r="BQ345" s="898"/>
      <c r="BR345" s="898"/>
      <c r="BS345" s="898"/>
      <c r="BT345" s="898"/>
      <c r="BU345" s="898"/>
      <c r="BV345" s="898"/>
      <c r="BW345" s="898"/>
      <c r="BX345" s="898"/>
      <c r="BY345" s="898"/>
      <c r="BZ345" s="898"/>
      <c r="CA345" s="898"/>
      <c r="CB345" s="898"/>
      <c r="CC345" s="898"/>
      <c r="CD345" s="898"/>
      <c r="CE345" s="898"/>
      <c r="CF345" s="898"/>
      <c r="CG345" s="898"/>
      <c r="CH345" s="898"/>
      <c r="CI345" s="898"/>
      <c r="CJ345" s="898"/>
      <c r="CK345" s="898"/>
      <c r="CL345" s="898"/>
      <c r="CM345" s="898"/>
      <c r="CN345" s="898"/>
      <c r="CO345" s="898"/>
      <c r="CP345" s="898"/>
      <c r="CQ345" s="898"/>
      <c r="CR345" s="898"/>
      <c r="CS345" s="898"/>
      <c r="CT345" s="898"/>
      <c r="CU345" s="898"/>
    </row>
    <row r="346" ht="16.5" customHeight="1">
      <c r="A346" s="718"/>
      <c r="B346" s="1195"/>
      <c r="C346" s="866"/>
      <c r="D346" s="968"/>
      <c r="E346" s="718"/>
      <c r="F346" s="718"/>
      <c r="G346" s="718"/>
      <c r="H346" s="718"/>
      <c r="I346" s="359"/>
      <c r="J346" s="359"/>
      <c r="K346" s="359"/>
      <c r="L346" s="359"/>
      <c r="M346" s="359"/>
      <c r="N346" s="359"/>
      <c r="O346" s="359"/>
      <c r="P346" s="359"/>
      <c r="Q346" s="359"/>
      <c r="R346" s="718"/>
      <c r="S346" s="669"/>
      <c r="T346" s="669"/>
      <c r="U346" s="967"/>
      <c r="V346" s="974"/>
      <c r="W346" s="1197"/>
      <c r="X346" s="974"/>
      <c r="Y346" s="974"/>
      <c r="Z346" s="974"/>
      <c r="AA346" s="974"/>
      <c r="AB346" s="974"/>
      <c r="AC346" s="974"/>
      <c r="AD346" s="974"/>
      <c r="AE346" s="974"/>
      <c r="AF346" s="974"/>
      <c r="AG346" s="974"/>
      <c r="AH346" s="974"/>
      <c r="AI346" s="1198"/>
      <c r="AJ346" s="974"/>
      <c r="AK346" s="1197"/>
      <c r="AL346" s="974"/>
      <c r="AM346" s="974"/>
      <c r="AN346" s="974"/>
      <c r="AO346" s="974"/>
      <c r="AP346" s="974"/>
      <c r="AQ346" s="974"/>
      <c r="AR346" s="974"/>
      <c r="AS346" s="974"/>
      <c r="AT346" s="974"/>
      <c r="AU346" s="974"/>
      <c r="AV346" s="974"/>
      <c r="AW346" s="1181"/>
      <c r="AX346" s="978"/>
      <c r="AY346" s="898"/>
      <c r="AZ346" s="898"/>
      <c r="BA346" s="898"/>
      <c r="BB346" s="898"/>
      <c r="BC346" s="898"/>
      <c r="BD346" s="898"/>
      <c r="BE346" s="898"/>
      <c r="BF346" s="898"/>
      <c r="BG346" s="898"/>
      <c r="BH346" s="898"/>
      <c r="BI346" s="898"/>
      <c r="BJ346" s="898"/>
      <c r="BK346" s="898"/>
      <c r="BL346" s="898"/>
      <c r="BM346" s="898"/>
      <c r="BN346" s="898"/>
      <c r="BO346" s="898"/>
      <c r="BP346" s="898"/>
      <c r="BQ346" s="898"/>
      <c r="BR346" s="898"/>
      <c r="BS346" s="898"/>
      <c r="BT346" s="898"/>
      <c r="BU346" s="898"/>
      <c r="BV346" s="898"/>
      <c r="BW346" s="898"/>
      <c r="BX346" s="898"/>
      <c r="BY346" s="898"/>
      <c r="BZ346" s="898"/>
      <c r="CA346" s="898"/>
      <c r="CB346" s="898"/>
      <c r="CC346" s="898"/>
      <c r="CD346" s="898"/>
      <c r="CE346" s="898"/>
      <c r="CF346" s="898"/>
      <c r="CG346" s="898"/>
      <c r="CH346" s="898"/>
      <c r="CI346" s="898"/>
      <c r="CJ346" s="898"/>
      <c r="CK346" s="898"/>
      <c r="CL346" s="898"/>
      <c r="CM346" s="898"/>
      <c r="CN346" s="898"/>
      <c r="CO346" s="898"/>
      <c r="CP346" s="898"/>
      <c r="CQ346" s="898"/>
      <c r="CR346" s="898"/>
      <c r="CS346" s="898"/>
      <c r="CT346" s="898"/>
      <c r="CU346" s="898"/>
    </row>
    <row r="347" ht="16.5" customHeight="1">
      <c r="A347" s="718"/>
      <c r="B347" s="1195"/>
      <c r="C347" s="866"/>
      <c r="D347" s="968"/>
      <c r="E347" s="718"/>
      <c r="F347" s="718"/>
      <c r="G347" s="718"/>
      <c r="H347" s="718"/>
      <c r="I347" s="359"/>
      <c r="J347" s="359"/>
      <c r="K347" s="359"/>
      <c r="L347" s="359"/>
      <c r="M347" s="359"/>
      <c r="N347" s="359"/>
      <c r="O347" s="359"/>
      <c r="P347" s="359"/>
      <c r="Q347" s="359"/>
      <c r="R347" s="718"/>
      <c r="S347" s="669"/>
      <c r="T347" s="669"/>
      <c r="U347" s="967"/>
      <c r="V347" s="974"/>
      <c r="W347" s="1197"/>
      <c r="X347" s="974"/>
      <c r="Y347" s="974"/>
      <c r="Z347" s="974"/>
      <c r="AA347" s="974"/>
      <c r="AB347" s="974"/>
      <c r="AC347" s="974"/>
      <c r="AD347" s="974"/>
      <c r="AE347" s="974"/>
      <c r="AF347" s="974"/>
      <c r="AG347" s="974"/>
      <c r="AH347" s="974"/>
      <c r="AI347" s="1198"/>
      <c r="AJ347" s="974"/>
      <c r="AK347" s="1197"/>
      <c r="AL347" s="974"/>
      <c r="AM347" s="974"/>
      <c r="AN347" s="974"/>
      <c r="AO347" s="974"/>
      <c r="AP347" s="974"/>
      <c r="AQ347" s="974"/>
      <c r="AR347" s="974"/>
      <c r="AS347" s="974"/>
      <c r="AT347" s="974"/>
      <c r="AU347" s="974"/>
      <c r="AV347" s="974"/>
      <c r="AW347" s="1181"/>
      <c r="AX347" s="978"/>
      <c r="AY347" s="898"/>
      <c r="AZ347" s="898"/>
      <c r="BA347" s="898"/>
      <c r="BB347" s="898"/>
      <c r="BC347" s="898"/>
      <c r="BD347" s="898"/>
      <c r="BE347" s="898"/>
      <c r="BF347" s="898"/>
      <c r="BG347" s="898"/>
      <c r="BH347" s="898"/>
      <c r="BI347" s="898"/>
      <c r="BJ347" s="898"/>
      <c r="BK347" s="898"/>
      <c r="BL347" s="898"/>
      <c r="BM347" s="898"/>
      <c r="BN347" s="898"/>
      <c r="BO347" s="898"/>
      <c r="BP347" s="898"/>
      <c r="BQ347" s="898"/>
      <c r="BR347" s="898"/>
      <c r="BS347" s="898"/>
      <c r="BT347" s="898"/>
      <c r="BU347" s="898"/>
      <c r="BV347" s="898"/>
      <c r="BW347" s="898"/>
      <c r="BX347" s="898"/>
      <c r="BY347" s="898"/>
      <c r="BZ347" s="898"/>
      <c r="CA347" s="898"/>
      <c r="CB347" s="898"/>
      <c r="CC347" s="898"/>
      <c r="CD347" s="898"/>
      <c r="CE347" s="898"/>
      <c r="CF347" s="898"/>
      <c r="CG347" s="898"/>
      <c r="CH347" s="898"/>
      <c r="CI347" s="898"/>
      <c r="CJ347" s="898"/>
      <c r="CK347" s="898"/>
      <c r="CL347" s="898"/>
      <c r="CM347" s="898"/>
      <c r="CN347" s="898"/>
      <c r="CO347" s="898"/>
      <c r="CP347" s="898"/>
      <c r="CQ347" s="898"/>
      <c r="CR347" s="898"/>
      <c r="CS347" s="898"/>
      <c r="CT347" s="898"/>
      <c r="CU347" s="898"/>
    </row>
    <row r="348" ht="16.5" customHeight="1">
      <c r="A348" s="718"/>
      <c r="B348" s="1195"/>
      <c r="C348" s="866"/>
      <c r="D348" s="968"/>
      <c r="E348" s="718"/>
      <c r="F348" s="718"/>
      <c r="G348" s="718"/>
      <c r="H348" s="718"/>
      <c r="I348" s="359"/>
      <c r="J348" s="359"/>
      <c r="K348" s="359"/>
      <c r="L348" s="359"/>
      <c r="M348" s="359"/>
      <c r="N348" s="359"/>
      <c r="O348" s="359"/>
      <c r="P348" s="359"/>
      <c r="Q348" s="359"/>
      <c r="R348" s="718"/>
      <c r="S348" s="669"/>
      <c r="T348" s="669"/>
      <c r="U348" s="967"/>
      <c r="V348" s="974"/>
      <c r="W348" s="1197"/>
      <c r="X348" s="974"/>
      <c r="Y348" s="974"/>
      <c r="Z348" s="974"/>
      <c r="AA348" s="974"/>
      <c r="AB348" s="974"/>
      <c r="AC348" s="974"/>
      <c r="AD348" s="974"/>
      <c r="AE348" s="974"/>
      <c r="AF348" s="974"/>
      <c r="AG348" s="974"/>
      <c r="AH348" s="974"/>
      <c r="AI348" s="1198"/>
      <c r="AJ348" s="974"/>
      <c r="AK348" s="1197"/>
      <c r="AL348" s="974"/>
      <c r="AM348" s="974"/>
      <c r="AN348" s="974"/>
      <c r="AO348" s="974"/>
      <c r="AP348" s="974"/>
      <c r="AQ348" s="974"/>
      <c r="AR348" s="974"/>
      <c r="AS348" s="974"/>
      <c r="AT348" s="974"/>
      <c r="AU348" s="974"/>
      <c r="AV348" s="974"/>
      <c r="AW348" s="1181"/>
      <c r="AX348" s="978"/>
      <c r="AY348" s="898"/>
      <c r="AZ348" s="898"/>
      <c r="BA348" s="898"/>
      <c r="BB348" s="898"/>
      <c r="BC348" s="898"/>
      <c r="BD348" s="898"/>
      <c r="BE348" s="898"/>
      <c r="BF348" s="898"/>
      <c r="BG348" s="898"/>
      <c r="BH348" s="898"/>
      <c r="BI348" s="898"/>
      <c r="BJ348" s="898"/>
      <c r="BK348" s="898"/>
      <c r="BL348" s="898"/>
      <c r="BM348" s="898"/>
      <c r="BN348" s="898"/>
      <c r="BO348" s="898"/>
      <c r="BP348" s="898"/>
      <c r="BQ348" s="898"/>
      <c r="BR348" s="898"/>
      <c r="BS348" s="898"/>
      <c r="BT348" s="898"/>
      <c r="BU348" s="898"/>
      <c r="BV348" s="898"/>
      <c r="BW348" s="898"/>
      <c r="BX348" s="898"/>
      <c r="BY348" s="898"/>
      <c r="BZ348" s="898"/>
      <c r="CA348" s="898"/>
      <c r="CB348" s="898"/>
      <c r="CC348" s="898"/>
      <c r="CD348" s="898"/>
      <c r="CE348" s="898"/>
      <c r="CF348" s="898"/>
      <c r="CG348" s="898"/>
      <c r="CH348" s="898"/>
      <c r="CI348" s="898"/>
      <c r="CJ348" s="898"/>
      <c r="CK348" s="898"/>
      <c r="CL348" s="898"/>
      <c r="CM348" s="898"/>
      <c r="CN348" s="898"/>
      <c r="CO348" s="898"/>
      <c r="CP348" s="898"/>
      <c r="CQ348" s="898"/>
      <c r="CR348" s="898"/>
      <c r="CS348" s="898"/>
      <c r="CT348" s="898"/>
      <c r="CU348" s="898"/>
    </row>
    <row r="349" ht="16.5" customHeight="1">
      <c r="A349" s="718"/>
      <c r="B349" s="1195"/>
      <c r="C349" s="866"/>
      <c r="D349" s="968"/>
      <c r="E349" s="718"/>
      <c r="F349" s="718"/>
      <c r="G349" s="718"/>
      <c r="H349" s="718"/>
      <c r="I349" s="359"/>
      <c r="J349" s="359"/>
      <c r="K349" s="359"/>
      <c r="L349" s="359"/>
      <c r="M349" s="359"/>
      <c r="N349" s="359"/>
      <c r="O349" s="359"/>
      <c r="P349" s="359"/>
      <c r="Q349" s="359"/>
      <c r="R349" s="718"/>
      <c r="S349" s="669"/>
      <c r="T349" s="669"/>
      <c r="U349" s="967"/>
      <c r="V349" s="974"/>
      <c r="W349" s="1197"/>
      <c r="X349" s="974"/>
      <c r="Y349" s="974"/>
      <c r="Z349" s="974"/>
      <c r="AA349" s="974"/>
      <c r="AB349" s="974"/>
      <c r="AC349" s="974"/>
      <c r="AD349" s="974"/>
      <c r="AE349" s="974"/>
      <c r="AF349" s="974"/>
      <c r="AG349" s="974"/>
      <c r="AH349" s="974"/>
      <c r="AI349" s="1198"/>
      <c r="AJ349" s="974"/>
      <c r="AK349" s="1197"/>
      <c r="AL349" s="974"/>
      <c r="AM349" s="974"/>
      <c r="AN349" s="974"/>
      <c r="AO349" s="974"/>
      <c r="AP349" s="974"/>
      <c r="AQ349" s="974"/>
      <c r="AR349" s="974"/>
      <c r="AS349" s="974"/>
      <c r="AT349" s="974"/>
      <c r="AU349" s="974"/>
      <c r="AV349" s="974"/>
      <c r="AW349" s="1181"/>
      <c r="AX349" s="978"/>
      <c r="AY349" s="898"/>
      <c r="AZ349" s="898"/>
      <c r="BA349" s="898"/>
      <c r="BB349" s="898"/>
      <c r="BC349" s="898"/>
      <c r="BD349" s="898"/>
      <c r="BE349" s="898"/>
      <c r="BF349" s="898"/>
      <c r="BG349" s="898"/>
      <c r="BH349" s="898"/>
      <c r="BI349" s="898"/>
      <c r="BJ349" s="898"/>
      <c r="BK349" s="898"/>
      <c r="BL349" s="898"/>
      <c r="BM349" s="898"/>
      <c r="BN349" s="898"/>
      <c r="BO349" s="898"/>
      <c r="BP349" s="898"/>
      <c r="BQ349" s="898"/>
      <c r="BR349" s="898"/>
      <c r="BS349" s="898"/>
      <c r="BT349" s="898"/>
      <c r="BU349" s="898"/>
      <c r="BV349" s="898"/>
      <c r="BW349" s="898"/>
      <c r="BX349" s="898"/>
      <c r="BY349" s="898"/>
      <c r="BZ349" s="898"/>
      <c r="CA349" s="898"/>
      <c r="CB349" s="898"/>
      <c r="CC349" s="898"/>
      <c r="CD349" s="898"/>
      <c r="CE349" s="898"/>
      <c r="CF349" s="898"/>
      <c r="CG349" s="898"/>
      <c r="CH349" s="898"/>
      <c r="CI349" s="898"/>
      <c r="CJ349" s="898"/>
      <c r="CK349" s="898"/>
      <c r="CL349" s="898"/>
      <c r="CM349" s="898"/>
      <c r="CN349" s="898"/>
      <c r="CO349" s="898"/>
      <c r="CP349" s="898"/>
      <c r="CQ349" s="898"/>
      <c r="CR349" s="898"/>
      <c r="CS349" s="898"/>
      <c r="CT349" s="898"/>
      <c r="CU349" s="898"/>
    </row>
    <row r="350" ht="16.5" customHeight="1">
      <c r="A350" s="718"/>
      <c r="B350" s="1195"/>
      <c r="C350" s="866"/>
      <c r="D350" s="968"/>
      <c r="E350" s="718"/>
      <c r="F350" s="718"/>
      <c r="G350" s="718"/>
      <c r="H350" s="718"/>
      <c r="I350" s="359"/>
      <c r="J350" s="359"/>
      <c r="K350" s="359"/>
      <c r="L350" s="359"/>
      <c r="M350" s="359"/>
      <c r="N350" s="359"/>
      <c r="O350" s="359"/>
      <c r="P350" s="359"/>
      <c r="Q350" s="359"/>
      <c r="R350" s="718"/>
      <c r="S350" s="669"/>
      <c r="T350" s="669"/>
      <c r="U350" s="967"/>
      <c r="V350" s="974"/>
      <c r="W350" s="1197"/>
      <c r="X350" s="974"/>
      <c r="Y350" s="974"/>
      <c r="Z350" s="974"/>
      <c r="AA350" s="974"/>
      <c r="AB350" s="974"/>
      <c r="AC350" s="974"/>
      <c r="AD350" s="974"/>
      <c r="AE350" s="974"/>
      <c r="AF350" s="974"/>
      <c r="AG350" s="974"/>
      <c r="AH350" s="974"/>
      <c r="AI350" s="1198"/>
      <c r="AJ350" s="974"/>
      <c r="AK350" s="1197"/>
      <c r="AL350" s="974"/>
      <c r="AM350" s="974"/>
      <c r="AN350" s="974"/>
      <c r="AO350" s="974"/>
      <c r="AP350" s="974"/>
      <c r="AQ350" s="974"/>
      <c r="AR350" s="974"/>
      <c r="AS350" s="974"/>
      <c r="AT350" s="974"/>
      <c r="AU350" s="974"/>
      <c r="AV350" s="974"/>
      <c r="AW350" s="1181"/>
      <c r="AX350" s="978"/>
      <c r="AY350" s="898"/>
      <c r="AZ350" s="898"/>
      <c r="BA350" s="898"/>
      <c r="BB350" s="898"/>
      <c r="BC350" s="898"/>
      <c r="BD350" s="898"/>
      <c r="BE350" s="898"/>
      <c r="BF350" s="898"/>
      <c r="BG350" s="898"/>
      <c r="BH350" s="898"/>
      <c r="BI350" s="898"/>
      <c r="BJ350" s="898"/>
      <c r="BK350" s="898"/>
      <c r="BL350" s="898"/>
      <c r="BM350" s="898"/>
      <c r="BN350" s="898"/>
      <c r="BO350" s="898"/>
      <c r="BP350" s="898"/>
      <c r="BQ350" s="898"/>
      <c r="BR350" s="898"/>
      <c r="BS350" s="898"/>
      <c r="BT350" s="898"/>
      <c r="BU350" s="898"/>
      <c r="BV350" s="898"/>
      <c r="BW350" s="898"/>
      <c r="BX350" s="898"/>
      <c r="BY350" s="898"/>
      <c r="BZ350" s="898"/>
      <c r="CA350" s="898"/>
      <c r="CB350" s="898"/>
      <c r="CC350" s="898"/>
      <c r="CD350" s="898"/>
      <c r="CE350" s="898"/>
      <c r="CF350" s="898"/>
      <c r="CG350" s="898"/>
      <c r="CH350" s="898"/>
      <c r="CI350" s="898"/>
      <c r="CJ350" s="898"/>
      <c r="CK350" s="898"/>
      <c r="CL350" s="898"/>
      <c r="CM350" s="898"/>
      <c r="CN350" s="898"/>
      <c r="CO350" s="898"/>
      <c r="CP350" s="898"/>
      <c r="CQ350" s="898"/>
      <c r="CR350" s="898"/>
      <c r="CS350" s="898"/>
      <c r="CT350" s="898"/>
      <c r="CU350" s="898"/>
    </row>
    <row r="351" ht="16.5" customHeight="1">
      <c r="A351" s="718"/>
      <c r="B351" s="1195"/>
      <c r="C351" s="866"/>
      <c r="D351" s="968"/>
      <c r="E351" s="718"/>
      <c r="F351" s="718"/>
      <c r="G351" s="718"/>
      <c r="H351" s="718"/>
      <c r="I351" s="359"/>
      <c r="J351" s="359"/>
      <c r="K351" s="359"/>
      <c r="L351" s="359"/>
      <c r="M351" s="359"/>
      <c r="N351" s="359"/>
      <c r="O351" s="359"/>
      <c r="P351" s="359"/>
      <c r="Q351" s="359"/>
      <c r="R351" s="718"/>
      <c r="S351" s="669"/>
      <c r="T351" s="669"/>
      <c r="U351" s="967"/>
      <c r="V351" s="974"/>
      <c r="W351" s="1197"/>
      <c r="X351" s="974"/>
      <c r="Y351" s="974"/>
      <c r="Z351" s="974"/>
      <c r="AA351" s="974"/>
      <c r="AB351" s="974"/>
      <c r="AC351" s="974"/>
      <c r="AD351" s="974"/>
      <c r="AE351" s="974"/>
      <c r="AF351" s="974"/>
      <c r="AG351" s="974"/>
      <c r="AH351" s="974"/>
      <c r="AI351" s="1198"/>
      <c r="AJ351" s="974"/>
      <c r="AK351" s="1197"/>
      <c r="AL351" s="974"/>
      <c r="AM351" s="974"/>
      <c r="AN351" s="974"/>
      <c r="AO351" s="974"/>
      <c r="AP351" s="974"/>
      <c r="AQ351" s="974"/>
      <c r="AR351" s="974"/>
      <c r="AS351" s="974"/>
      <c r="AT351" s="974"/>
      <c r="AU351" s="974"/>
      <c r="AV351" s="974"/>
      <c r="AW351" s="1181"/>
      <c r="AX351" s="978"/>
      <c r="AY351" s="898"/>
      <c r="AZ351" s="898"/>
      <c r="BA351" s="898"/>
      <c r="BB351" s="898"/>
      <c r="BC351" s="898"/>
      <c r="BD351" s="898"/>
      <c r="BE351" s="898"/>
      <c r="BF351" s="898"/>
      <c r="BG351" s="898"/>
      <c r="BH351" s="898"/>
      <c r="BI351" s="898"/>
      <c r="BJ351" s="898"/>
      <c r="BK351" s="898"/>
      <c r="BL351" s="898"/>
      <c r="BM351" s="898"/>
      <c r="BN351" s="898"/>
      <c r="BO351" s="898"/>
      <c r="BP351" s="898"/>
      <c r="BQ351" s="898"/>
      <c r="BR351" s="898"/>
      <c r="BS351" s="898"/>
      <c r="BT351" s="898"/>
      <c r="BU351" s="898"/>
      <c r="BV351" s="898"/>
      <c r="BW351" s="898"/>
      <c r="BX351" s="898"/>
      <c r="BY351" s="898"/>
      <c r="BZ351" s="898"/>
      <c r="CA351" s="898"/>
      <c r="CB351" s="898"/>
      <c r="CC351" s="898"/>
      <c r="CD351" s="898"/>
      <c r="CE351" s="898"/>
      <c r="CF351" s="898"/>
      <c r="CG351" s="898"/>
      <c r="CH351" s="898"/>
      <c r="CI351" s="898"/>
      <c r="CJ351" s="898"/>
      <c r="CK351" s="898"/>
      <c r="CL351" s="898"/>
      <c r="CM351" s="898"/>
      <c r="CN351" s="898"/>
      <c r="CO351" s="898"/>
      <c r="CP351" s="898"/>
      <c r="CQ351" s="898"/>
      <c r="CR351" s="898"/>
      <c r="CS351" s="898"/>
      <c r="CT351" s="898"/>
      <c r="CU351" s="898"/>
    </row>
    <row r="352" ht="16.5" customHeight="1">
      <c r="A352" s="718"/>
      <c r="B352" s="1195"/>
      <c r="C352" s="866"/>
      <c r="D352" s="968"/>
      <c r="E352" s="718"/>
      <c r="F352" s="718"/>
      <c r="G352" s="718"/>
      <c r="H352" s="718"/>
      <c r="I352" s="359"/>
      <c r="J352" s="359"/>
      <c r="K352" s="359"/>
      <c r="L352" s="359"/>
      <c r="M352" s="359"/>
      <c r="N352" s="359"/>
      <c r="O352" s="359"/>
      <c r="P352" s="359"/>
      <c r="Q352" s="359"/>
      <c r="R352" s="718"/>
      <c r="S352" s="669"/>
      <c r="T352" s="669"/>
      <c r="U352" s="967"/>
      <c r="V352" s="974"/>
      <c r="W352" s="1197"/>
      <c r="X352" s="974"/>
      <c r="Y352" s="974"/>
      <c r="Z352" s="974"/>
      <c r="AA352" s="974"/>
      <c r="AB352" s="974"/>
      <c r="AC352" s="974"/>
      <c r="AD352" s="974"/>
      <c r="AE352" s="974"/>
      <c r="AF352" s="974"/>
      <c r="AG352" s="974"/>
      <c r="AH352" s="974"/>
      <c r="AI352" s="1198"/>
      <c r="AJ352" s="974"/>
      <c r="AK352" s="1197"/>
      <c r="AL352" s="974"/>
      <c r="AM352" s="974"/>
      <c r="AN352" s="974"/>
      <c r="AO352" s="974"/>
      <c r="AP352" s="974"/>
      <c r="AQ352" s="974"/>
      <c r="AR352" s="974"/>
      <c r="AS352" s="974"/>
      <c r="AT352" s="974"/>
      <c r="AU352" s="974"/>
      <c r="AV352" s="974"/>
      <c r="AW352" s="1181"/>
      <c r="AX352" s="978"/>
      <c r="AY352" s="898"/>
      <c r="AZ352" s="898"/>
      <c r="BA352" s="898"/>
      <c r="BB352" s="898"/>
      <c r="BC352" s="898"/>
      <c r="BD352" s="898"/>
      <c r="BE352" s="898"/>
      <c r="BF352" s="898"/>
      <c r="BG352" s="898"/>
      <c r="BH352" s="898"/>
      <c r="BI352" s="898"/>
      <c r="BJ352" s="898"/>
      <c r="BK352" s="898"/>
      <c r="BL352" s="898"/>
      <c r="BM352" s="898"/>
      <c r="BN352" s="898"/>
      <c r="BO352" s="898"/>
      <c r="BP352" s="898"/>
      <c r="BQ352" s="898"/>
      <c r="BR352" s="898"/>
      <c r="BS352" s="898"/>
      <c r="BT352" s="898"/>
      <c r="BU352" s="898"/>
      <c r="BV352" s="898"/>
      <c r="BW352" s="898"/>
      <c r="BX352" s="898"/>
      <c r="BY352" s="898"/>
      <c r="BZ352" s="898"/>
      <c r="CA352" s="898"/>
      <c r="CB352" s="898"/>
      <c r="CC352" s="898"/>
      <c r="CD352" s="898"/>
      <c r="CE352" s="898"/>
      <c r="CF352" s="898"/>
      <c r="CG352" s="898"/>
      <c r="CH352" s="898"/>
      <c r="CI352" s="898"/>
      <c r="CJ352" s="898"/>
      <c r="CK352" s="898"/>
      <c r="CL352" s="898"/>
      <c r="CM352" s="898"/>
      <c r="CN352" s="898"/>
      <c r="CO352" s="898"/>
      <c r="CP352" s="898"/>
      <c r="CQ352" s="898"/>
      <c r="CR352" s="898"/>
      <c r="CS352" s="898"/>
      <c r="CT352" s="898"/>
      <c r="CU352" s="898"/>
    </row>
    <row r="353" ht="16.5" customHeight="1">
      <c r="A353" s="718"/>
      <c r="B353" s="1195"/>
      <c r="C353" s="866"/>
      <c r="D353" s="968"/>
      <c r="E353" s="718"/>
      <c r="F353" s="718"/>
      <c r="G353" s="718"/>
      <c r="H353" s="718"/>
      <c r="I353" s="359"/>
      <c r="J353" s="359"/>
      <c r="K353" s="359"/>
      <c r="L353" s="359"/>
      <c r="M353" s="359"/>
      <c r="N353" s="359"/>
      <c r="O353" s="359"/>
      <c r="P353" s="359"/>
      <c r="Q353" s="359"/>
      <c r="R353" s="718"/>
      <c r="S353" s="669"/>
      <c r="T353" s="669"/>
      <c r="U353" s="967"/>
      <c r="V353" s="974"/>
      <c r="W353" s="1197"/>
      <c r="X353" s="974"/>
      <c r="Y353" s="974"/>
      <c r="Z353" s="974"/>
      <c r="AA353" s="974"/>
      <c r="AB353" s="974"/>
      <c r="AC353" s="974"/>
      <c r="AD353" s="974"/>
      <c r="AE353" s="974"/>
      <c r="AF353" s="974"/>
      <c r="AG353" s="974"/>
      <c r="AH353" s="974"/>
      <c r="AI353" s="1198"/>
      <c r="AJ353" s="974"/>
      <c r="AK353" s="1197"/>
      <c r="AL353" s="974"/>
      <c r="AM353" s="974"/>
      <c r="AN353" s="974"/>
      <c r="AO353" s="974"/>
      <c r="AP353" s="974"/>
      <c r="AQ353" s="974"/>
      <c r="AR353" s="974"/>
      <c r="AS353" s="974"/>
      <c r="AT353" s="974"/>
      <c r="AU353" s="974"/>
      <c r="AV353" s="974"/>
      <c r="AW353" s="1181"/>
      <c r="AX353" s="978"/>
      <c r="AY353" s="898"/>
      <c r="AZ353" s="898"/>
      <c r="BA353" s="898"/>
      <c r="BB353" s="898"/>
      <c r="BC353" s="898"/>
      <c r="BD353" s="898"/>
      <c r="BE353" s="898"/>
      <c r="BF353" s="898"/>
      <c r="BG353" s="898"/>
      <c r="BH353" s="898"/>
      <c r="BI353" s="898"/>
      <c r="BJ353" s="898"/>
      <c r="BK353" s="898"/>
      <c r="BL353" s="898"/>
      <c r="BM353" s="898"/>
      <c r="BN353" s="898"/>
      <c r="BO353" s="898"/>
      <c r="BP353" s="898"/>
      <c r="BQ353" s="898"/>
      <c r="BR353" s="898"/>
      <c r="BS353" s="898"/>
      <c r="BT353" s="898"/>
      <c r="BU353" s="898"/>
      <c r="BV353" s="898"/>
      <c r="BW353" s="898"/>
      <c r="BX353" s="898"/>
      <c r="BY353" s="898"/>
      <c r="BZ353" s="898"/>
      <c r="CA353" s="898"/>
      <c r="CB353" s="898"/>
      <c r="CC353" s="898"/>
      <c r="CD353" s="898"/>
      <c r="CE353" s="898"/>
      <c r="CF353" s="898"/>
      <c r="CG353" s="898"/>
      <c r="CH353" s="898"/>
      <c r="CI353" s="898"/>
      <c r="CJ353" s="898"/>
      <c r="CK353" s="898"/>
      <c r="CL353" s="898"/>
      <c r="CM353" s="898"/>
      <c r="CN353" s="898"/>
      <c r="CO353" s="898"/>
      <c r="CP353" s="898"/>
      <c r="CQ353" s="898"/>
      <c r="CR353" s="898"/>
      <c r="CS353" s="898"/>
      <c r="CT353" s="898"/>
      <c r="CU353" s="898"/>
    </row>
    <row r="354" ht="16.5" customHeight="1">
      <c r="A354" s="718"/>
      <c r="B354" s="1195"/>
      <c r="C354" s="866"/>
      <c r="D354" s="968"/>
      <c r="E354" s="718"/>
      <c r="F354" s="718"/>
      <c r="G354" s="718"/>
      <c r="H354" s="718"/>
      <c r="I354" s="359"/>
      <c r="J354" s="359"/>
      <c r="K354" s="359"/>
      <c r="L354" s="359"/>
      <c r="M354" s="359"/>
      <c r="N354" s="359"/>
      <c r="O354" s="359"/>
      <c r="P354" s="359"/>
      <c r="Q354" s="359"/>
      <c r="R354" s="718"/>
      <c r="S354" s="669"/>
      <c r="T354" s="669"/>
      <c r="U354" s="967"/>
      <c r="V354" s="974"/>
      <c r="W354" s="1197"/>
      <c r="X354" s="974"/>
      <c r="Y354" s="974"/>
      <c r="Z354" s="974"/>
      <c r="AA354" s="974"/>
      <c r="AB354" s="974"/>
      <c r="AC354" s="974"/>
      <c r="AD354" s="974"/>
      <c r="AE354" s="974"/>
      <c r="AF354" s="974"/>
      <c r="AG354" s="974"/>
      <c r="AH354" s="974"/>
      <c r="AI354" s="1198"/>
      <c r="AJ354" s="974"/>
      <c r="AK354" s="1197"/>
      <c r="AL354" s="974"/>
      <c r="AM354" s="974"/>
      <c r="AN354" s="974"/>
      <c r="AO354" s="974"/>
      <c r="AP354" s="974"/>
      <c r="AQ354" s="974"/>
      <c r="AR354" s="974"/>
      <c r="AS354" s="974"/>
      <c r="AT354" s="974"/>
      <c r="AU354" s="974"/>
      <c r="AV354" s="974"/>
      <c r="AW354" s="1181"/>
      <c r="AX354" s="978"/>
      <c r="AY354" s="898"/>
      <c r="AZ354" s="898"/>
      <c r="BA354" s="898"/>
      <c r="BB354" s="898"/>
      <c r="BC354" s="898"/>
      <c r="BD354" s="898"/>
      <c r="BE354" s="898"/>
      <c r="BF354" s="898"/>
      <c r="BG354" s="898"/>
      <c r="BH354" s="898"/>
      <c r="BI354" s="898"/>
      <c r="BJ354" s="898"/>
      <c r="BK354" s="898"/>
      <c r="BL354" s="898"/>
      <c r="BM354" s="898"/>
      <c r="BN354" s="898"/>
      <c r="BO354" s="898"/>
      <c r="BP354" s="898"/>
      <c r="BQ354" s="898"/>
      <c r="BR354" s="898"/>
      <c r="BS354" s="898"/>
      <c r="BT354" s="898"/>
      <c r="BU354" s="898"/>
      <c r="BV354" s="898"/>
      <c r="BW354" s="898"/>
      <c r="BX354" s="898"/>
      <c r="BY354" s="898"/>
      <c r="BZ354" s="898"/>
      <c r="CA354" s="898"/>
      <c r="CB354" s="898"/>
      <c r="CC354" s="898"/>
      <c r="CD354" s="898"/>
      <c r="CE354" s="898"/>
      <c r="CF354" s="898"/>
      <c r="CG354" s="898"/>
      <c r="CH354" s="898"/>
      <c r="CI354" s="898"/>
      <c r="CJ354" s="898"/>
      <c r="CK354" s="898"/>
      <c r="CL354" s="898"/>
      <c r="CM354" s="898"/>
      <c r="CN354" s="898"/>
      <c r="CO354" s="898"/>
      <c r="CP354" s="898"/>
      <c r="CQ354" s="898"/>
      <c r="CR354" s="898"/>
      <c r="CS354" s="898"/>
      <c r="CT354" s="898"/>
      <c r="CU354" s="898"/>
    </row>
    <row r="355" ht="16.5" customHeight="1">
      <c r="A355" s="718"/>
      <c r="B355" s="1195"/>
      <c r="C355" s="866"/>
      <c r="D355" s="968"/>
      <c r="E355" s="718"/>
      <c r="F355" s="718"/>
      <c r="G355" s="718"/>
      <c r="H355" s="718"/>
      <c r="I355" s="359"/>
      <c r="J355" s="359"/>
      <c r="K355" s="359"/>
      <c r="L355" s="359"/>
      <c r="M355" s="359"/>
      <c r="N355" s="359"/>
      <c r="O355" s="359"/>
      <c r="P355" s="359"/>
      <c r="Q355" s="359"/>
      <c r="R355" s="718"/>
      <c r="S355" s="669"/>
      <c r="T355" s="669"/>
      <c r="U355" s="967"/>
      <c r="V355" s="974"/>
      <c r="W355" s="1197"/>
      <c r="X355" s="974"/>
      <c r="Y355" s="974"/>
      <c r="Z355" s="974"/>
      <c r="AA355" s="974"/>
      <c r="AB355" s="974"/>
      <c r="AC355" s="974"/>
      <c r="AD355" s="974"/>
      <c r="AE355" s="974"/>
      <c r="AF355" s="974"/>
      <c r="AG355" s="974"/>
      <c r="AH355" s="974"/>
      <c r="AI355" s="1198"/>
      <c r="AJ355" s="974"/>
      <c r="AK355" s="1197"/>
      <c r="AL355" s="974"/>
      <c r="AM355" s="974"/>
      <c r="AN355" s="974"/>
      <c r="AO355" s="974"/>
      <c r="AP355" s="974"/>
      <c r="AQ355" s="974"/>
      <c r="AR355" s="974"/>
      <c r="AS355" s="974"/>
      <c r="AT355" s="974"/>
      <c r="AU355" s="974"/>
      <c r="AV355" s="974"/>
      <c r="AW355" s="1181"/>
      <c r="AX355" s="978"/>
      <c r="AY355" s="898"/>
      <c r="AZ355" s="898"/>
      <c r="BA355" s="898"/>
      <c r="BB355" s="898"/>
      <c r="BC355" s="898"/>
      <c r="BD355" s="898"/>
      <c r="BE355" s="898"/>
      <c r="BF355" s="898"/>
      <c r="BG355" s="898"/>
      <c r="BH355" s="898"/>
      <c r="BI355" s="898"/>
      <c r="BJ355" s="898"/>
      <c r="BK355" s="898"/>
      <c r="BL355" s="898"/>
      <c r="BM355" s="898"/>
      <c r="BN355" s="898"/>
      <c r="BO355" s="898"/>
      <c r="BP355" s="898"/>
      <c r="BQ355" s="898"/>
      <c r="BR355" s="898"/>
      <c r="BS355" s="898"/>
      <c r="BT355" s="898"/>
      <c r="BU355" s="898"/>
      <c r="BV355" s="898"/>
      <c r="BW355" s="898"/>
      <c r="BX355" s="898"/>
      <c r="BY355" s="898"/>
      <c r="BZ355" s="898"/>
      <c r="CA355" s="898"/>
      <c r="CB355" s="898"/>
      <c r="CC355" s="898"/>
      <c r="CD355" s="898"/>
      <c r="CE355" s="898"/>
      <c r="CF355" s="898"/>
      <c r="CG355" s="898"/>
      <c r="CH355" s="898"/>
      <c r="CI355" s="898"/>
      <c r="CJ355" s="898"/>
      <c r="CK355" s="898"/>
      <c r="CL355" s="898"/>
      <c r="CM355" s="898"/>
      <c r="CN355" s="898"/>
      <c r="CO355" s="898"/>
      <c r="CP355" s="898"/>
      <c r="CQ355" s="898"/>
      <c r="CR355" s="898"/>
      <c r="CS355" s="898"/>
      <c r="CT355" s="898"/>
      <c r="CU355" s="898"/>
    </row>
    <row r="356" ht="16.5" customHeight="1">
      <c r="A356" s="718"/>
      <c r="B356" s="1195"/>
      <c r="C356" s="866"/>
      <c r="D356" s="968"/>
      <c r="E356" s="718"/>
      <c r="F356" s="718"/>
      <c r="G356" s="718"/>
      <c r="H356" s="718"/>
      <c r="I356" s="359"/>
      <c r="J356" s="359"/>
      <c r="K356" s="359"/>
      <c r="L356" s="359"/>
      <c r="M356" s="359"/>
      <c r="N356" s="359"/>
      <c r="O356" s="359"/>
      <c r="P356" s="359"/>
      <c r="Q356" s="359"/>
      <c r="R356" s="718"/>
      <c r="S356" s="669"/>
      <c r="T356" s="669"/>
      <c r="U356" s="967"/>
      <c r="V356" s="974"/>
      <c r="W356" s="1197"/>
      <c r="X356" s="974"/>
      <c r="Y356" s="974"/>
      <c r="Z356" s="974"/>
      <c r="AA356" s="974"/>
      <c r="AB356" s="974"/>
      <c r="AC356" s="974"/>
      <c r="AD356" s="974"/>
      <c r="AE356" s="974"/>
      <c r="AF356" s="974"/>
      <c r="AG356" s="974"/>
      <c r="AH356" s="974"/>
      <c r="AI356" s="1198"/>
      <c r="AJ356" s="974"/>
      <c r="AK356" s="1197"/>
      <c r="AL356" s="974"/>
      <c r="AM356" s="974"/>
      <c r="AN356" s="974"/>
      <c r="AO356" s="974"/>
      <c r="AP356" s="974"/>
      <c r="AQ356" s="974"/>
      <c r="AR356" s="974"/>
      <c r="AS356" s="974"/>
      <c r="AT356" s="974"/>
      <c r="AU356" s="974"/>
      <c r="AV356" s="974"/>
      <c r="AW356" s="1181"/>
      <c r="AX356" s="978"/>
      <c r="AY356" s="898"/>
      <c r="AZ356" s="898"/>
      <c r="BA356" s="898"/>
      <c r="BB356" s="898"/>
      <c r="BC356" s="898"/>
      <c r="BD356" s="898"/>
      <c r="BE356" s="898"/>
      <c r="BF356" s="898"/>
      <c r="BG356" s="898"/>
      <c r="BH356" s="898"/>
      <c r="BI356" s="898"/>
      <c r="BJ356" s="898"/>
      <c r="BK356" s="898"/>
      <c r="BL356" s="898"/>
      <c r="BM356" s="898"/>
      <c r="BN356" s="898"/>
      <c r="BO356" s="898"/>
      <c r="BP356" s="898"/>
      <c r="BQ356" s="898"/>
      <c r="BR356" s="898"/>
      <c r="BS356" s="898"/>
      <c r="BT356" s="898"/>
      <c r="BU356" s="898"/>
      <c r="BV356" s="898"/>
      <c r="BW356" s="898"/>
      <c r="BX356" s="898"/>
      <c r="BY356" s="898"/>
      <c r="BZ356" s="898"/>
      <c r="CA356" s="898"/>
      <c r="CB356" s="898"/>
      <c r="CC356" s="898"/>
      <c r="CD356" s="898"/>
      <c r="CE356" s="898"/>
      <c r="CF356" s="898"/>
      <c r="CG356" s="898"/>
      <c r="CH356" s="898"/>
      <c r="CI356" s="898"/>
      <c r="CJ356" s="898"/>
      <c r="CK356" s="898"/>
      <c r="CL356" s="898"/>
      <c r="CM356" s="898"/>
      <c r="CN356" s="898"/>
      <c r="CO356" s="898"/>
      <c r="CP356" s="898"/>
      <c r="CQ356" s="898"/>
      <c r="CR356" s="898"/>
      <c r="CS356" s="898"/>
      <c r="CT356" s="898"/>
      <c r="CU356" s="898"/>
    </row>
    <row r="357" ht="16.5" customHeight="1">
      <c r="A357" s="718"/>
      <c r="B357" s="1195"/>
      <c r="C357" s="866"/>
      <c r="D357" s="968"/>
      <c r="E357" s="718"/>
      <c r="F357" s="718"/>
      <c r="G357" s="718"/>
      <c r="H357" s="718"/>
      <c r="I357" s="359"/>
      <c r="J357" s="359"/>
      <c r="K357" s="359"/>
      <c r="L357" s="359"/>
      <c r="M357" s="359"/>
      <c r="N357" s="359"/>
      <c r="O357" s="359"/>
      <c r="P357" s="359"/>
      <c r="Q357" s="359"/>
      <c r="R357" s="718"/>
      <c r="S357" s="669"/>
      <c r="T357" s="669"/>
      <c r="U357" s="967"/>
      <c r="V357" s="974"/>
      <c r="W357" s="1197"/>
      <c r="X357" s="974"/>
      <c r="Y357" s="974"/>
      <c r="Z357" s="974"/>
      <c r="AA357" s="974"/>
      <c r="AB357" s="974"/>
      <c r="AC357" s="974"/>
      <c r="AD357" s="974"/>
      <c r="AE357" s="974"/>
      <c r="AF357" s="974"/>
      <c r="AG357" s="974"/>
      <c r="AH357" s="974"/>
      <c r="AI357" s="1198"/>
      <c r="AJ357" s="974"/>
      <c r="AK357" s="1197"/>
      <c r="AL357" s="974"/>
      <c r="AM357" s="974"/>
      <c r="AN357" s="974"/>
      <c r="AO357" s="974"/>
      <c r="AP357" s="974"/>
      <c r="AQ357" s="974"/>
      <c r="AR357" s="974"/>
      <c r="AS357" s="974"/>
      <c r="AT357" s="974"/>
      <c r="AU357" s="974"/>
      <c r="AV357" s="974"/>
      <c r="AW357" s="1181"/>
      <c r="AX357" s="978"/>
      <c r="AY357" s="898"/>
      <c r="AZ357" s="898"/>
      <c r="BA357" s="898"/>
      <c r="BB357" s="898"/>
      <c r="BC357" s="898"/>
      <c r="BD357" s="898"/>
      <c r="BE357" s="898"/>
      <c r="BF357" s="898"/>
      <c r="BG357" s="898"/>
      <c r="BH357" s="898"/>
      <c r="BI357" s="898"/>
      <c r="BJ357" s="898"/>
      <c r="BK357" s="898"/>
      <c r="BL357" s="898"/>
      <c r="BM357" s="898"/>
      <c r="BN357" s="898"/>
      <c r="BO357" s="898"/>
      <c r="BP357" s="898"/>
      <c r="BQ357" s="898"/>
      <c r="BR357" s="898"/>
      <c r="BS357" s="898"/>
      <c r="BT357" s="898"/>
      <c r="BU357" s="898"/>
      <c r="BV357" s="898"/>
      <c r="BW357" s="898"/>
      <c r="BX357" s="898"/>
      <c r="BY357" s="898"/>
      <c r="BZ357" s="898"/>
      <c r="CA357" s="898"/>
      <c r="CB357" s="898"/>
      <c r="CC357" s="898"/>
      <c r="CD357" s="898"/>
      <c r="CE357" s="898"/>
      <c r="CF357" s="898"/>
      <c r="CG357" s="898"/>
      <c r="CH357" s="898"/>
      <c r="CI357" s="898"/>
      <c r="CJ357" s="898"/>
      <c r="CK357" s="898"/>
      <c r="CL357" s="898"/>
      <c r="CM357" s="898"/>
      <c r="CN357" s="898"/>
      <c r="CO357" s="898"/>
      <c r="CP357" s="898"/>
      <c r="CQ357" s="898"/>
      <c r="CR357" s="898"/>
      <c r="CS357" s="898"/>
      <c r="CT357" s="898"/>
      <c r="CU357" s="898"/>
    </row>
    <row r="358" ht="16.5" customHeight="1">
      <c r="A358" s="718"/>
      <c r="B358" s="1195"/>
      <c r="C358" s="866"/>
      <c r="D358" s="968"/>
      <c r="E358" s="718"/>
      <c r="F358" s="718"/>
      <c r="G358" s="718"/>
      <c r="H358" s="718"/>
      <c r="I358" s="359"/>
      <c r="J358" s="359"/>
      <c r="K358" s="359"/>
      <c r="L358" s="359"/>
      <c r="M358" s="359"/>
      <c r="N358" s="359"/>
      <c r="O358" s="359"/>
      <c r="P358" s="359"/>
      <c r="Q358" s="359"/>
      <c r="R358" s="718"/>
      <c r="S358" s="669"/>
      <c r="T358" s="669"/>
      <c r="U358" s="967"/>
      <c r="V358" s="974"/>
      <c r="W358" s="1197"/>
      <c r="X358" s="974"/>
      <c r="Y358" s="974"/>
      <c r="Z358" s="974"/>
      <c r="AA358" s="974"/>
      <c r="AB358" s="974"/>
      <c r="AC358" s="974"/>
      <c r="AD358" s="974"/>
      <c r="AE358" s="974"/>
      <c r="AF358" s="974"/>
      <c r="AG358" s="974"/>
      <c r="AH358" s="974"/>
      <c r="AI358" s="1198"/>
      <c r="AJ358" s="974"/>
      <c r="AK358" s="1197"/>
      <c r="AL358" s="974"/>
      <c r="AM358" s="974"/>
      <c r="AN358" s="974"/>
      <c r="AO358" s="974"/>
      <c r="AP358" s="974"/>
      <c r="AQ358" s="974"/>
      <c r="AR358" s="974"/>
      <c r="AS358" s="974"/>
      <c r="AT358" s="974"/>
      <c r="AU358" s="974"/>
      <c r="AV358" s="974"/>
      <c r="AW358" s="1181"/>
      <c r="AX358" s="978"/>
      <c r="AY358" s="898"/>
      <c r="AZ358" s="898"/>
      <c r="BA358" s="898"/>
      <c r="BB358" s="898"/>
      <c r="BC358" s="898"/>
      <c r="BD358" s="898"/>
      <c r="BE358" s="898"/>
      <c r="BF358" s="898"/>
      <c r="BG358" s="898"/>
      <c r="BH358" s="898"/>
      <c r="BI358" s="898"/>
      <c r="BJ358" s="898"/>
      <c r="BK358" s="898"/>
      <c r="BL358" s="898"/>
      <c r="BM358" s="898"/>
      <c r="BN358" s="898"/>
      <c r="BO358" s="898"/>
      <c r="BP358" s="898"/>
      <c r="BQ358" s="898"/>
      <c r="BR358" s="898"/>
      <c r="BS358" s="898"/>
      <c r="BT358" s="898"/>
      <c r="BU358" s="898"/>
      <c r="BV358" s="898"/>
      <c r="BW358" s="898"/>
      <c r="BX358" s="898"/>
      <c r="BY358" s="898"/>
      <c r="BZ358" s="898"/>
      <c r="CA358" s="898"/>
      <c r="CB358" s="898"/>
      <c r="CC358" s="898"/>
      <c r="CD358" s="898"/>
      <c r="CE358" s="898"/>
      <c r="CF358" s="898"/>
      <c r="CG358" s="898"/>
      <c r="CH358" s="898"/>
      <c r="CI358" s="898"/>
      <c r="CJ358" s="898"/>
      <c r="CK358" s="898"/>
      <c r="CL358" s="898"/>
      <c r="CM358" s="898"/>
      <c r="CN358" s="898"/>
      <c r="CO358" s="898"/>
      <c r="CP358" s="898"/>
      <c r="CQ358" s="898"/>
      <c r="CR358" s="898"/>
      <c r="CS358" s="898"/>
      <c r="CT358" s="898"/>
      <c r="CU358" s="898"/>
    </row>
    <row r="359" ht="16.5" customHeight="1">
      <c r="A359" s="718"/>
      <c r="B359" s="1195"/>
      <c r="C359" s="866"/>
      <c r="D359" s="968"/>
      <c r="E359" s="718"/>
      <c r="F359" s="718"/>
      <c r="G359" s="718"/>
      <c r="H359" s="718"/>
      <c r="I359" s="359"/>
      <c r="J359" s="359"/>
      <c r="K359" s="359"/>
      <c r="L359" s="359"/>
      <c r="M359" s="359"/>
      <c r="N359" s="359"/>
      <c r="O359" s="359"/>
      <c r="P359" s="359"/>
      <c r="Q359" s="359"/>
      <c r="R359" s="718"/>
      <c r="S359" s="669"/>
      <c r="T359" s="669"/>
      <c r="U359" s="967"/>
      <c r="V359" s="974"/>
      <c r="W359" s="1197"/>
      <c r="X359" s="974"/>
      <c r="Y359" s="974"/>
      <c r="Z359" s="974"/>
      <c r="AA359" s="974"/>
      <c r="AB359" s="974"/>
      <c r="AC359" s="974"/>
      <c r="AD359" s="974"/>
      <c r="AE359" s="974"/>
      <c r="AF359" s="974"/>
      <c r="AG359" s="974"/>
      <c r="AH359" s="974"/>
      <c r="AI359" s="1198"/>
      <c r="AJ359" s="974"/>
      <c r="AK359" s="1197"/>
      <c r="AL359" s="974"/>
      <c r="AM359" s="974"/>
      <c r="AN359" s="974"/>
      <c r="AO359" s="974"/>
      <c r="AP359" s="974"/>
      <c r="AQ359" s="974"/>
      <c r="AR359" s="974"/>
      <c r="AS359" s="974"/>
      <c r="AT359" s="974"/>
      <c r="AU359" s="974"/>
      <c r="AV359" s="974"/>
      <c r="AW359" s="1181"/>
      <c r="AX359" s="978"/>
      <c r="AY359" s="898"/>
      <c r="AZ359" s="898"/>
      <c r="BA359" s="898"/>
      <c r="BB359" s="898"/>
      <c r="BC359" s="898"/>
      <c r="BD359" s="898"/>
      <c r="BE359" s="898"/>
      <c r="BF359" s="898"/>
      <c r="BG359" s="898"/>
      <c r="BH359" s="898"/>
      <c r="BI359" s="898"/>
      <c r="BJ359" s="898"/>
      <c r="BK359" s="898"/>
      <c r="BL359" s="898"/>
      <c r="BM359" s="898"/>
      <c r="BN359" s="898"/>
      <c r="BO359" s="898"/>
      <c r="BP359" s="898"/>
      <c r="BQ359" s="898"/>
      <c r="BR359" s="898"/>
      <c r="BS359" s="898"/>
      <c r="BT359" s="898"/>
      <c r="BU359" s="898"/>
      <c r="BV359" s="898"/>
      <c r="BW359" s="898"/>
      <c r="BX359" s="898"/>
      <c r="BY359" s="898"/>
      <c r="BZ359" s="898"/>
      <c r="CA359" s="898"/>
      <c r="CB359" s="898"/>
      <c r="CC359" s="898"/>
      <c r="CD359" s="898"/>
      <c r="CE359" s="898"/>
      <c r="CF359" s="898"/>
      <c r="CG359" s="898"/>
      <c r="CH359" s="898"/>
      <c r="CI359" s="898"/>
      <c r="CJ359" s="898"/>
      <c r="CK359" s="898"/>
      <c r="CL359" s="898"/>
      <c r="CM359" s="898"/>
      <c r="CN359" s="898"/>
      <c r="CO359" s="898"/>
      <c r="CP359" s="898"/>
      <c r="CQ359" s="898"/>
      <c r="CR359" s="898"/>
      <c r="CS359" s="898"/>
      <c r="CT359" s="898"/>
      <c r="CU359" s="898"/>
    </row>
    <row r="360" ht="16.5" customHeight="1">
      <c r="A360" s="718"/>
      <c r="B360" s="1195"/>
      <c r="C360" s="866"/>
      <c r="D360" s="968"/>
      <c r="E360" s="718"/>
      <c r="F360" s="718"/>
      <c r="G360" s="718"/>
      <c r="H360" s="718"/>
      <c r="I360" s="359"/>
      <c r="J360" s="359"/>
      <c r="K360" s="359"/>
      <c r="L360" s="359"/>
      <c r="M360" s="359"/>
      <c r="N360" s="359"/>
      <c r="O360" s="359"/>
      <c r="P360" s="359"/>
      <c r="Q360" s="359"/>
      <c r="R360" s="718"/>
      <c r="S360" s="669"/>
      <c r="T360" s="669"/>
      <c r="U360" s="967"/>
      <c r="V360" s="974"/>
      <c r="W360" s="1197"/>
      <c r="X360" s="974"/>
      <c r="Y360" s="974"/>
      <c r="Z360" s="974"/>
      <c r="AA360" s="974"/>
      <c r="AB360" s="974"/>
      <c r="AC360" s="974"/>
      <c r="AD360" s="974"/>
      <c r="AE360" s="974"/>
      <c r="AF360" s="974"/>
      <c r="AG360" s="974"/>
      <c r="AH360" s="974"/>
      <c r="AI360" s="1198"/>
      <c r="AJ360" s="974"/>
      <c r="AK360" s="1197"/>
      <c r="AL360" s="974"/>
      <c r="AM360" s="974"/>
      <c r="AN360" s="974"/>
      <c r="AO360" s="974"/>
      <c r="AP360" s="974"/>
      <c r="AQ360" s="974"/>
      <c r="AR360" s="974"/>
      <c r="AS360" s="974"/>
      <c r="AT360" s="974"/>
      <c r="AU360" s="974"/>
      <c r="AV360" s="974"/>
      <c r="AW360" s="1181"/>
      <c r="AX360" s="978"/>
      <c r="AY360" s="898"/>
      <c r="AZ360" s="898"/>
      <c r="BA360" s="898"/>
      <c r="BB360" s="898"/>
      <c r="BC360" s="898"/>
      <c r="BD360" s="898"/>
      <c r="BE360" s="898"/>
      <c r="BF360" s="898"/>
      <c r="BG360" s="898"/>
      <c r="BH360" s="898"/>
      <c r="BI360" s="898"/>
      <c r="BJ360" s="898"/>
      <c r="BK360" s="898"/>
      <c r="BL360" s="898"/>
      <c r="BM360" s="898"/>
      <c r="BN360" s="898"/>
      <c r="BO360" s="898"/>
      <c r="BP360" s="898"/>
      <c r="BQ360" s="898"/>
      <c r="BR360" s="898"/>
      <c r="BS360" s="898"/>
      <c r="BT360" s="898"/>
      <c r="BU360" s="898"/>
      <c r="BV360" s="898"/>
      <c r="BW360" s="898"/>
      <c r="BX360" s="898"/>
      <c r="BY360" s="898"/>
      <c r="BZ360" s="898"/>
      <c r="CA360" s="898"/>
      <c r="CB360" s="898"/>
      <c r="CC360" s="898"/>
      <c r="CD360" s="898"/>
      <c r="CE360" s="898"/>
      <c r="CF360" s="898"/>
      <c r="CG360" s="898"/>
      <c r="CH360" s="898"/>
      <c r="CI360" s="898"/>
      <c r="CJ360" s="898"/>
      <c r="CK360" s="898"/>
      <c r="CL360" s="898"/>
      <c r="CM360" s="898"/>
      <c r="CN360" s="898"/>
      <c r="CO360" s="898"/>
      <c r="CP360" s="898"/>
      <c r="CQ360" s="898"/>
      <c r="CR360" s="898"/>
      <c r="CS360" s="898"/>
      <c r="CT360" s="898"/>
      <c r="CU360" s="898"/>
    </row>
    <row r="361" ht="16.5" customHeight="1">
      <c r="A361" s="718"/>
      <c r="B361" s="1195"/>
      <c r="C361" s="866"/>
      <c r="D361" s="968"/>
      <c r="E361" s="718"/>
      <c r="F361" s="718"/>
      <c r="G361" s="718"/>
      <c r="H361" s="718"/>
      <c r="I361" s="359"/>
      <c r="J361" s="359"/>
      <c r="K361" s="359"/>
      <c r="L361" s="359"/>
      <c r="M361" s="359"/>
      <c r="N361" s="359"/>
      <c r="O361" s="359"/>
      <c r="P361" s="359"/>
      <c r="Q361" s="359"/>
      <c r="R361" s="718"/>
      <c r="S361" s="669"/>
      <c r="T361" s="669"/>
      <c r="U361" s="967"/>
      <c r="V361" s="974"/>
      <c r="W361" s="1197"/>
      <c r="X361" s="974"/>
      <c r="Y361" s="974"/>
      <c r="Z361" s="974"/>
      <c r="AA361" s="974"/>
      <c r="AB361" s="974"/>
      <c r="AC361" s="974"/>
      <c r="AD361" s="974"/>
      <c r="AE361" s="974"/>
      <c r="AF361" s="974"/>
      <c r="AG361" s="974"/>
      <c r="AH361" s="974"/>
      <c r="AI361" s="1198"/>
      <c r="AJ361" s="974"/>
      <c r="AK361" s="1197"/>
      <c r="AL361" s="974"/>
      <c r="AM361" s="974"/>
      <c r="AN361" s="974"/>
      <c r="AO361" s="974"/>
      <c r="AP361" s="974"/>
      <c r="AQ361" s="974"/>
      <c r="AR361" s="974"/>
      <c r="AS361" s="974"/>
      <c r="AT361" s="974"/>
      <c r="AU361" s="974"/>
      <c r="AV361" s="974"/>
      <c r="AW361" s="1181"/>
      <c r="AX361" s="978"/>
      <c r="AY361" s="898"/>
      <c r="AZ361" s="898"/>
      <c r="BA361" s="898"/>
      <c r="BB361" s="898"/>
      <c r="BC361" s="898"/>
      <c r="BD361" s="898"/>
      <c r="BE361" s="898"/>
      <c r="BF361" s="898"/>
      <c r="BG361" s="898"/>
      <c r="BH361" s="898"/>
      <c r="BI361" s="898"/>
      <c r="BJ361" s="898"/>
      <c r="BK361" s="898"/>
      <c r="BL361" s="898"/>
      <c r="BM361" s="898"/>
      <c r="BN361" s="898"/>
      <c r="BO361" s="898"/>
      <c r="BP361" s="898"/>
      <c r="BQ361" s="898"/>
      <c r="BR361" s="898"/>
      <c r="BS361" s="898"/>
      <c r="BT361" s="898"/>
      <c r="BU361" s="898"/>
      <c r="BV361" s="898"/>
      <c r="BW361" s="898"/>
      <c r="BX361" s="898"/>
      <c r="BY361" s="898"/>
      <c r="BZ361" s="898"/>
      <c r="CA361" s="898"/>
      <c r="CB361" s="898"/>
      <c r="CC361" s="898"/>
      <c r="CD361" s="898"/>
      <c r="CE361" s="898"/>
      <c r="CF361" s="898"/>
      <c r="CG361" s="898"/>
      <c r="CH361" s="898"/>
      <c r="CI361" s="898"/>
      <c r="CJ361" s="898"/>
      <c r="CK361" s="898"/>
      <c r="CL361" s="898"/>
      <c r="CM361" s="898"/>
      <c r="CN361" s="898"/>
      <c r="CO361" s="898"/>
      <c r="CP361" s="898"/>
      <c r="CQ361" s="898"/>
      <c r="CR361" s="898"/>
      <c r="CS361" s="898"/>
      <c r="CT361" s="898"/>
      <c r="CU361" s="898"/>
    </row>
    <row r="362" ht="16.5" customHeight="1">
      <c r="A362" s="718"/>
      <c r="B362" s="1195"/>
      <c r="C362" s="866"/>
      <c r="D362" s="968"/>
      <c r="E362" s="718"/>
      <c r="F362" s="718"/>
      <c r="G362" s="718"/>
      <c r="H362" s="718"/>
      <c r="I362" s="359"/>
      <c r="J362" s="359"/>
      <c r="K362" s="359"/>
      <c r="L362" s="359"/>
      <c r="M362" s="359"/>
      <c r="N362" s="359"/>
      <c r="O362" s="359"/>
      <c r="P362" s="359"/>
      <c r="Q362" s="359"/>
      <c r="R362" s="718"/>
      <c r="S362" s="669"/>
      <c r="T362" s="669"/>
      <c r="U362" s="967"/>
      <c r="V362" s="974"/>
      <c r="W362" s="1197"/>
      <c r="X362" s="974"/>
      <c r="Y362" s="974"/>
      <c r="Z362" s="974"/>
      <c r="AA362" s="974"/>
      <c r="AB362" s="974"/>
      <c r="AC362" s="974"/>
      <c r="AD362" s="974"/>
      <c r="AE362" s="974"/>
      <c r="AF362" s="974"/>
      <c r="AG362" s="974"/>
      <c r="AH362" s="974"/>
      <c r="AI362" s="1198"/>
      <c r="AJ362" s="974"/>
      <c r="AK362" s="1197"/>
      <c r="AL362" s="974"/>
      <c r="AM362" s="974"/>
      <c r="AN362" s="974"/>
      <c r="AO362" s="974"/>
      <c r="AP362" s="974"/>
      <c r="AQ362" s="974"/>
      <c r="AR362" s="974"/>
      <c r="AS362" s="974"/>
      <c r="AT362" s="974"/>
      <c r="AU362" s="974"/>
      <c r="AV362" s="974"/>
      <c r="AW362" s="1181"/>
      <c r="AX362" s="978"/>
      <c r="AY362" s="898"/>
      <c r="AZ362" s="898"/>
      <c r="BA362" s="898"/>
      <c r="BB362" s="898"/>
      <c r="BC362" s="898"/>
      <c r="BD362" s="898"/>
      <c r="BE362" s="898"/>
      <c r="BF362" s="898"/>
      <c r="BG362" s="898"/>
      <c r="BH362" s="898"/>
      <c r="BI362" s="898"/>
      <c r="BJ362" s="898"/>
      <c r="BK362" s="898"/>
      <c r="BL362" s="898"/>
      <c r="BM362" s="898"/>
      <c r="BN362" s="898"/>
      <c r="BO362" s="898"/>
      <c r="BP362" s="898"/>
      <c r="BQ362" s="898"/>
      <c r="BR362" s="898"/>
      <c r="BS362" s="898"/>
      <c r="BT362" s="898"/>
      <c r="BU362" s="898"/>
      <c r="BV362" s="898"/>
      <c r="BW362" s="898"/>
      <c r="BX362" s="898"/>
      <c r="BY362" s="898"/>
      <c r="BZ362" s="898"/>
      <c r="CA362" s="898"/>
      <c r="CB362" s="898"/>
      <c r="CC362" s="898"/>
      <c r="CD362" s="898"/>
      <c r="CE362" s="898"/>
      <c r="CF362" s="898"/>
      <c r="CG362" s="898"/>
      <c r="CH362" s="898"/>
      <c r="CI362" s="898"/>
      <c r="CJ362" s="898"/>
      <c r="CK362" s="898"/>
      <c r="CL362" s="898"/>
      <c r="CM362" s="898"/>
      <c r="CN362" s="898"/>
      <c r="CO362" s="898"/>
      <c r="CP362" s="898"/>
      <c r="CQ362" s="898"/>
      <c r="CR362" s="898"/>
      <c r="CS362" s="898"/>
      <c r="CT362" s="898"/>
      <c r="CU362" s="898"/>
    </row>
    <row r="363" ht="16.5" customHeight="1">
      <c r="A363" s="718"/>
      <c r="B363" s="1195"/>
      <c r="C363" s="866"/>
      <c r="D363" s="968"/>
      <c r="E363" s="718"/>
      <c r="F363" s="718"/>
      <c r="G363" s="718"/>
      <c r="H363" s="718"/>
      <c r="I363" s="359"/>
      <c r="J363" s="359"/>
      <c r="K363" s="359"/>
      <c r="L363" s="359"/>
      <c r="M363" s="359"/>
      <c r="N363" s="359"/>
      <c r="O363" s="359"/>
      <c r="P363" s="359"/>
      <c r="Q363" s="359"/>
      <c r="R363" s="718"/>
      <c r="S363" s="669"/>
      <c r="T363" s="669"/>
      <c r="U363" s="967"/>
      <c r="V363" s="974"/>
      <c r="W363" s="1197"/>
      <c r="X363" s="974"/>
      <c r="Y363" s="974"/>
      <c r="Z363" s="974"/>
      <c r="AA363" s="974"/>
      <c r="AB363" s="974"/>
      <c r="AC363" s="974"/>
      <c r="AD363" s="974"/>
      <c r="AE363" s="974"/>
      <c r="AF363" s="974"/>
      <c r="AG363" s="974"/>
      <c r="AH363" s="974"/>
      <c r="AI363" s="1198"/>
      <c r="AJ363" s="974"/>
      <c r="AK363" s="1197"/>
      <c r="AL363" s="974"/>
      <c r="AM363" s="974"/>
      <c r="AN363" s="974"/>
      <c r="AO363" s="974"/>
      <c r="AP363" s="974"/>
      <c r="AQ363" s="974"/>
      <c r="AR363" s="974"/>
      <c r="AS363" s="974"/>
      <c r="AT363" s="974"/>
      <c r="AU363" s="974"/>
      <c r="AV363" s="974"/>
      <c r="AW363" s="1181"/>
      <c r="AX363" s="978"/>
      <c r="AY363" s="898"/>
      <c r="AZ363" s="898"/>
      <c r="BA363" s="898"/>
      <c r="BB363" s="898"/>
      <c r="BC363" s="898"/>
      <c r="BD363" s="898"/>
      <c r="BE363" s="898"/>
      <c r="BF363" s="898"/>
      <c r="BG363" s="898"/>
      <c r="BH363" s="898"/>
      <c r="BI363" s="898"/>
      <c r="BJ363" s="898"/>
      <c r="BK363" s="898"/>
      <c r="BL363" s="898"/>
      <c r="BM363" s="898"/>
      <c r="BN363" s="898"/>
      <c r="BO363" s="898"/>
      <c r="BP363" s="898"/>
      <c r="BQ363" s="898"/>
      <c r="BR363" s="898"/>
      <c r="BS363" s="898"/>
      <c r="BT363" s="898"/>
      <c r="BU363" s="898"/>
      <c r="BV363" s="898"/>
      <c r="BW363" s="898"/>
      <c r="BX363" s="898"/>
      <c r="BY363" s="898"/>
      <c r="BZ363" s="898"/>
      <c r="CA363" s="898"/>
      <c r="CB363" s="898"/>
      <c r="CC363" s="898"/>
      <c r="CD363" s="898"/>
      <c r="CE363" s="898"/>
      <c r="CF363" s="898"/>
      <c r="CG363" s="898"/>
      <c r="CH363" s="898"/>
      <c r="CI363" s="898"/>
      <c r="CJ363" s="898"/>
      <c r="CK363" s="898"/>
      <c r="CL363" s="898"/>
      <c r="CM363" s="898"/>
      <c r="CN363" s="898"/>
      <c r="CO363" s="898"/>
      <c r="CP363" s="898"/>
      <c r="CQ363" s="898"/>
      <c r="CR363" s="898"/>
      <c r="CS363" s="898"/>
      <c r="CT363" s="898"/>
      <c r="CU363" s="898"/>
    </row>
    <row r="364" ht="16.5" customHeight="1">
      <c r="A364" s="718"/>
      <c r="B364" s="1195"/>
      <c r="C364" s="866"/>
      <c r="D364" s="968"/>
      <c r="E364" s="718"/>
      <c r="F364" s="718"/>
      <c r="G364" s="718"/>
      <c r="H364" s="718"/>
      <c r="I364" s="359"/>
      <c r="J364" s="359"/>
      <c r="K364" s="359"/>
      <c r="L364" s="359"/>
      <c r="M364" s="359"/>
      <c r="N364" s="359"/>
      <c r="O364" s="359"/>
      <c r="P364" s="359"/>
      <c r="Q364" s="359"/>
      <c r="R364" s="718"/>
      <c r="S364" s="669"/>
      <c r="T364" s="669"/>
      <c r="U364" s="967"/>
      <c r="V364" s="974"/>
      <c r="W364" s="1197"/>
      <c r="X364" s="974"/>
      <c r="Y364" s="974"/>
      <c r="Z364" s="974"/>
      <c r="AA364" s="974"/>
      <c r="AB364" s="974"/>
      <c r="AC364" s="974"/>
      <c r="AD364" s="974"/>
      <c r="AE364" s="974"/>
      <c r="AF364" s="974"/>
      <c r="AG364" s="974"/>
      <c r="AH364" s="974"/>
      <c r="AI364" s="1198"/>
      <c r="AJ364" s="974"/>
      <c r="AK364" s="1197"/>
      <c r="AL364" s="974"/>
      <c r="AM364" s="974"/>
      <c r="AN364" s="974"/>
      <c r="AO364" s="974"/>
      <c r="AP364" s="974"/>
      <c r="AQ364" s="974"/>
      <c r="AR364" s="974"/>
      <c r="AS364" s="974"/>
      <c r="AT364" s="974"/>
      <c r="AU364" s="974"/>
      <c r="AV364" s="974"/>
      <c r="AW364" s="1181"/>
      <c r="AX364" s="978"/>
      <c r="AY364" s="898"/>
      <c r="AZ364" s="898"/>
      <c r="BA364" s="898"/>
      <c r="BB364" s="898"/>
      <c r="BC364" s="898"/>
      <c r="BD364" s="898"/>
      <c r="BE364" s="898"/>
      <c r="BF364" s="898"/>
      <c r="BG364" s="898"/>
      <c r="BH364" s="898"/>
      <c r="BI364" s="898"/>
      <c r="BJ364" s="898"/>
      <c r="BK364" s="898"/>
      <c r="BL364" s="898"/>
      <c r="BM364" s="898"/>
      <c r="BN364" s="898"/>
      <c r="BO364" s="898"/>
      <c r="BP364" s="898"/>
      <c r="BQ364" s="898"/>
      <c r="BR364" s="898"/>
      <c r="BS364" s="898"/>
      <c r="BT364" s="898"/>
      <c r="BU364" s="898"/>
      <c r="BV364" s="898"/>
      <c r="BW364" s="898"/>
      <c r="BX364" s="898"/>
      <c r="BY364" s="898"/>
      <c r="BZ364" s="898"/>
      <c r="CA364" s="898"/>
      <c r="CB364" s="898"/>
      <c r="CC364" s="898"/>
      <c r="CD364" s="898"/>
      <c r="CE364" s="898"/>
      <c r="CF364" s="898"/>
      <c r="CG364" s="898"/>
      <c r="CH364" s="898"/>
      <c r="CI364" s="898"/>
      <c r="CJ364" s="898"/>
      <c r="CK364" s="898"/>
      <c r="CL364" s="898"/>
      <c r="CM364" s="898"/>
      <c r="CN364" s="898"/>
      <c r="CO364" s="898"/>
      <c r="CP364" s="898"/>
      <c r="CQ364" s="898"/>
      <c r="CR364" s="898"/>
      <c r="CS364" s="898"/>
      <c r="CT364" s="898"/>
      <c r="CU364" s="898"/>
    </row>
    <row r="365" ht="16.5" customHeight="1">
      <c r="A365" s="718"/>
      <c r="B365" s="1195"/>
      <c r="C365" s="866"/>
      <c r="D365" s="968"/>
      <c r="E365" s="718"/>
      <c r="F365" s="718"/>
      <c r="G365" s="718"/>
      <c r="H365" s="718"/>
      <c r="I365" s="359"/>
      <c r="J365" s="359"/>
      <c r="K365" s="359"/>
      <c r="L365" s="359"/>
      <c r="M365" s="359"/>
      <c r="N365" s="359"/>
      <c r="O365" s="359"/>
      <c r="P365" s="359"/>
      <c r="Q365" s="359"/>
      <c r="R365" s="718"/>
      <c r="S365" s="669"/>
      <c r="T365" s="669"/>
      <c r="U365" s="967"/>
      <c r="V365" s="974"/>
      <c r="W365" s="1197"/>
      <c r="X365" s="974"/>
      <c r="Y365" s="974"/>
      <c r="Z365" s="974"/>
      <c r="AA365" s="974"/>
      <c r="AB365" s="974"/>
      <c r="AC365" s="974"/>
      <c r="AD365" s="974"/>
      <c r="AE365" s="974"/>
      <c r="AF365" s="974"/>
      <c r="AG365" s="974"/>
      <c r="AH365" s="974"/>
      <c r="AI365" s="1198"/>
      <c r="AJ365" s="974"/>
      <c r="AK365" s="1197"/>
      <c r="AL365" s="974"/>
      <c r="AM365" s="974"/>
      <c r="AN365" s="974"/>
      <c r="AO365" s="974"/>
      <c r="AP365" s="974"/>
      <c r="AQ365" s="974"/>
      <c r="AR365" s="974"/>
      <c r="AS365" s="974"/>
      <c r="AT365" s="974"/>
      <c r="AU365" s="974"/>
      <c r="AV365" s="974"/>
      <c r="AW365" s="1181"/>
      <c r="AX365" s="978"/>
      <c r="AY365" s="898"/>
      <c r="AZ365" s="898"/>
      <c r="BA365" s="898"/>
      <c r="BB365" s="898"/>
      <c r="BC365" s="898"/>
      <c r="BD365" s="898"/>
      <c r="BE365" s="898"/>
      <c r="BF365" s="898"/>
      <c r="BG365" s="898"/>
      <c r="BH365" s="898"/>
      <c r="BI365" s="898"/>
      <c r="BJ365" s="898"/>
      <c r="BK365" s="898"/>
      <c r="BL365" s="898"/>
      <c r="BM365" s="898"/>
      <c r="BN365" s="898"/>
      <c r="BO365" s="898"/>
      <c r="BP365" s="898"/>
      <c r="BQ365" s="898"/>
      <c r="BR365" s="898"/>
      <c r="BS365" s="898"/>
      <c r="BT365" s="898"/>
      <c r="BU365" s="898"/>
      <c r="BV365" s="898"/>
      <c r="BW365" s="898"/>
      <c r="BX365" s="898"/>
      <c r="BY365" s="898"/>
      <c r="BZ365" s="898"/>
      <c r="CA365" s="898"/>
      <c r="CB365" s="898"/>
      <c r="CC365" s="898"/>
      <c r="CD365" s="898"/>
      <c r="CE365" s="898"/>
      <c r="CF365" s="898"/>
      <c r="CG365" s="898"/>
      <c r="CH365" s="898"/>
      <c r="CI365" s="898"/>
      <c r="CJ365" s="898"/>
      <c r="CK365" s="898"/>
      <c r="CL365" s="898"/>
      <c r="CM365" s="898"/>
      <c r="CN365" s="898"/>
      <c r="CO365" s="898"/>
      <c r="CP365" s="898"/>
      <c r="CQ365" s="898"/>
      <c r="CR365" s="898"/>
      <c r="CS365" s="898"/>
      <c r="CT365" s="898"/>
      <c r="CU365" s="898"/>
    </row>
    <row r="366" ht="16.5" customHeight="1">
      <c r="A366" s="718"/>
      <c r="B366" s="1195"/>
      <c r="C366" s="866"/>
      <c r="D366" s="968"/>
      <c r="E366" s="718"/>
      <c r="F366" s="718"/>
      <c r="G366" s="718"/>
      <c r="H366" s="718"/>
      <c r="I366" s="359"/>
      <c r="J366" s="359"/>
      <c r="K366" s="359"/>
      <c r="L366" s="359"/>
      <c r="M366" s="359"/>
      <c r="N366" s="359"/>
      <c r="O366" s="359"/>
      <c r="P366" s="359"/>
      <c r="Q366" s="359"/>
      <c r="R366" s="718"/>
      <c r="S366" s="669"/>
      <c r="T366" s="669"/>
      <c r="U366" s="967"/>
      <c r="V366" s="974"/>
      <c r="W366" s="1197"/>
      <c r="X366" s="974"/>
      <c r="Y366" s="974"/>
      <c r="Z366" s="974"/>
      <c r="AA366" s="974"/>
      <c r="AB366" s="974"/>
      <c r="AC366" s="974"/>
      <c r="AD366" s="974"/>
      <c r="AE366" s="974"/>
      <c r="AF366" s="974"/>
      <c r="AG366" s="974"/>
      <c r="AH366" s="974"/>
      <c r="AI366" s="1198"/>
      <c r="AJ366" s="974"/>
      <c r="AK366" s="1197"/>
      <c r="AL366" s="974"/>
      <c r="AM366" s="974"/>
      <c r="AN366" s="974"/>
      <c r="AO366" s="974"/>
      <c r="AP366" s="974"/>
      <c r="AQ366" s="974"/>
      <c r="AR366" s="974"/>
      <c r="AS366" s="974"/>
      <c r="AT366" s="974"/>
      <c r="AU366" s="974"/>
      <c r="AV366" s="974"/>
      <c r="AW366" s="1181"/>
      <c r="AX366" s="978"/>
      <c r="AY366" s="898"/>
      <c r="AZ366" s="898"/>
      <c r="BA366" s="898"/>
      <c r="BB366" s="898"/>
      <c r="BC366" s="898"/>
      <c r="BD366" s="898"/>
      <c r="BE366" s="898"/>
      <c r="BF366" s="898"/>
      <c r="BG366" s="898"/>
      <c r="BH366" s="898"/>
      <c r="BI366" s="898"/>
      <c r="BJ366" s="898"/>
      <c r="BK366" s="898"/>
      <c r="BL366" s="898"/>
      <c r="BM366" s="898"/>
      <c r="BN366" s="898"/>
      <c r="BO366" s="898"/>
      <c r="BP366" s="898"/>
      <c r="BQ366" s="898"/>
      <c r="BR366" s="898"/>
      <c r="BS366" s="898"/>
      <c r="BT366" s="898"/>
      <c r="BU366" s="898"/>
      <c r="BV366" s="898"/>
      <c r="BW366" s="898"/>
      <c r="BX366" s="898"/>
      <c r="BY366" s="898"/>
      <c r="BZ366" s="898"/>
      <c r="CA366" s="898"/>
      <c r="CB366" s="898"/>
      <c r="CC366" s="898"/>
      <c r="CD366" s="898"/>
      <c r="CE366" s="898"/>
      <c r="CF366" s="898"/>
      <c r="CG366" s="898"/>
      <c r="CH366" s="898"/>
      <c r="CI366" s="898"/>
      <c r="CJ366" s="898"/>
      <c r="CK366" s="898"/>
      <c r="CL366" s="898"/>
      <c r="CM366" s="898"/>
      <c r="CN366" s="898"/>
      <c r="CO366" s="898"/>
      <c r="CP366" s="898"/>
      <c r="CQ366" s="898"/>
      <c r="CR366" s="898"/>
      <c r="CS366" s="898"/>
      <c r="CT366" s="898"/>
      <c r="CU366" s="898"/>
    </row>
    <row r="367" ht="16.5" customHeight="1">
      <c r="A367" s="718"/>
      <c r="B367" s="1195"/>
      <c r="C367" s="866"/>
      <c r="D367" s="968"/>
      <c r="E367" s="718"/>
      <c r="F367" s="718"/>
      <c r="G367" s="718"/>
      <c r="H367" s="718"/>
      <c r="I367" s="359"/>
      <c r="J367" s="359"/>
      <c r="K367" s="359"/>
      <c r="L367" s="359"/>
      <c r="M367" s="359"/>
      <c r="N367" s="359"/>
      <c r="O367" s="359"/>
      <c r="P367" s="359"/>
      <c r="Q367" s="359"/>
      <c r="R367" s="718"/>
      <c r="S367" s="669"/>
      <c r="T367" s="669"/>
      <c r="U367" s="967"/>
      <c r="V367" s="974"/>
      <c r="W367" s="1197"/>
      <c r="X367" s="974"/>
      <c r="Y367" s="974"/>
      <c r="Z367" s="974"/>
      <c r="AA367" s="974"/>
      <c r="AB367" s="974"/>
      <c r="AC367" s="974"/>
      <c r="AD367" s="974"/>
      <c r="AE367" s="974"/>
      <c r="AF367" s="974"/>
      <c r="AG367" s="974"/>
      <c r="AH367" s="974"/>
      <c r="AI367" s="1198"/>
      <c r="AJ367" s="974"/>
      <c r="AK367" s="1197"/>
      <c r="AL367" s="974"/>
      <c r="AM367" s="974"/>
      <c r="AN367" s="974"/>
      <c r="AO367" s="974"/>
      <c r="AP367" s="974"/>
      <c r="AQ367" s="974"/>
      <c r="AR367" s="974"/>
      <c r="AS367" s="974"/>
      <c r="AT367" s="974"/>
      <c r="AU367" s="974"/>
      <c r="AV367" s="974"/>
      <c r="AW367" s="1181"/>
      <c r="AX367" s="978"/>
      <c r="AY367" s="898"/>
      <c r="AZ367" s="898"/>
      <c r="BA367" s="898"/>
      <c r="BB367" s="898"/>
      <c r="BC367" s="898"/>
      <c r="BD367" s="898"/>
      <c r="BE367" s="898"/>
      <c r="BF367" s="898"/>
      <c r="BG367" s="898"/>
      <c r="BH367" s="898"/>
      <c r="BI367" s="898"/>
      <c r="BJ367" s="898"/>
      <c r="BK367" s="898"/>
      <c r="BL367" s="898"/>
      <c r="BM367" s="898"/>
      <c r="BN367" s="898"/>
      <c r="BO367" s="898"/>
      <c r="BP367" s="898"/>
      <c r="BQ367" s="898"/>
      <c r="BR367" s="898"/>
      <c r="BS367" s="898"/>
      <c r="BT367" s="898"/>
      <c r="BU367" s="898"/>
      <c r="BV367" s="898"/>
      <c r="BW367" s="898"/>
      <c r="BX367" s="898"/>
      <c r="BY367" s="898"/>
      <c r="BZ367" s="898"/>
      <c r="CA367" s="898"/>
      <c r="CB367" s="898"/>
      <c r="CC367" s="898"/>
      <c r="CD367" s="898"/>
      <c r="CE367" s="898"/>
      <c r="CF367" s="898"/>
      <c r="CG367" s="898"/>
      <c r="CH367" s="898"/>
      <c r="CI367" s="898"/>
      <c r="CJ367" s="898"/>
      <c r="CK367" s="898"/>
      <c r="CL367" s="898"/>
      <c r="CM367" s="898"/>
      <c r="CN367" s="898"/>
      <c r="CO367" s="898"/>
      <c r="CP367" s="898"/>
      <c r="CQ367" s="898"/>
      <c r="CR367" s="898"/>
      <c r="CS367" s="898"/>
      <c r="CT367" s="898"/>
      <c r="CU367" s="898"/>
    </row>
    <row r="368" ht="16.5" customHeight="1">
      <c r="A368" s="718"/>
      <c r="B368" s="1195"/>
      <c r="C368" s="866"/>
      <c r="D368" s="968"/>
      <c r="E368" s="718"/>
      <c r="F368" s="718"/>
      <c r="G368" s="718"/>
      <c r="H368" s="718"/>
      <c r="I368" s="359"/>
      <c r="J368" s="359"/>
      <c r="K368" s="359"/>
      <c r="L368" s="359"/>
      <c r="M368" s="359"/>
      <c r="N368" s="359"/>
      <c r="O368" s="359"/>
      <c r="P368" s="359"/>
      <c r="Q368" s="359"/>
      <c r="R368" s="718"/>
      <c r="S368" s="669"/>
      <c r="T368" s="669"/>
      <c r="U368" s="967"/>
      <c r="V368" s="974"/>
      <c r="W368" s="1197"/>
      <c r="X368" s="974"/>
      <c r="Y368" s="974"/>
      <c r="Z368" s="974"/>
      <c r="AA368" s="974"/>
      <c r="AB368" s="974"/>
      <c r="AC368" s="974"/>
      <c r="AD368" s="974"/>
      <c r="AE368" s="974"/>
      <c r="AF368" s="974"/>
      <c r="AG368" s="974"/>
      <c r="AH368" s="974"/>
      <c r="AI368" s="1198"/>
      <c r="AJ368" s="974"/>
      <c r="AK368" s="1197"/>
      <c r="AL368" s="974"/>
      <c r="AM368" s="974"/>
      <c r="AN368" s="974"/>
      <c r="AO368" s="974"/>
      <c r="AP368" s="974"/>
      <c r="AQ368" s="974"/>
      <c r="AR368" s="974"/>
      <c r="AS368" s="974"/>
      <c r="AT368" s="974"/>
      <c r="AU368" s="974"/>
      <c r="AV368" s="974"/>
      <c r="AW368" s="1181"/>
      <c r="AX368" s="978"/>
      <c r="AY368" s="898"/>
      <c r="AZ368" s="898"/>
      <c r="BA368" s="898"/>
      <c r="BB368" s="898"/>
      <c r="BC368" s="898"/>
      <c r="BD368" s="898"/>
      <c r="BE368" s="898"/>
      <c r="BF368" s="898"/>
      <c r="BG368" s="898"/>
      <c r="BH368" s="898"/>
      <c r="BI368" s="898"/>
      <c r="BJ368" s="898"/>
      <c r="BK368" s="898"/>
      <c r="BL368" s="898"/>
      <c r="BM368" s="898"/>
      <c r="BN368" s="898"/>
      <c r="BO368" s="898"/>
      <c r="BP368" s="898"/>
      <c r="BQ368" s="898"/>
      <c r="BR368" s="898"/>
      <c r="BS368" s="898"/>
      <c r="BT368" s="898"/>
      <c r="BU368" s="898"/>
      <c r="BV368" s="898"/>
      <c r="BW368" s="898"/>
      <c r="BX368" s="898"/>
      <c r="BY368" s="898"/>
      <c r="BZ368" s="898"/>
      <c r="CA368" s="898"/>
      <c r="CB368" s="898"/>
      <c r="CC368" s="898"/>
      <c r="CD368" s="898"/>
      <c r="CE368" s="898"/>
      <c r="CF368" s="898"/>
      <c r="CG368" s="898"/>
      <c r="CH368" s="898"/>
      <c r="CI368" s="898"/>
      <c r="CJ368" s="898"/>
      <c r="CK368" s="898"/>
      <c r="CL368" s="898"/>
      <c r="CM368" s="898"/>
      <c r="CN368" s="898"/>
      <c r="CO368" s="898"/>
      <c r="CP368" s="898"/>
      <c r="CQ368" s="898"/>
      <c r="CR368" s="898"/>
      <c r="CS368" s="898"/>
      <c r="CT368" s="898"/>
      <c r="CU368" s="898"/>
    </row>
    <row r="369" ht="16.5" customHeight="1">
      <c r="A369" s="718"/>
      <c r="B369" s="1195"/>
      <c r="C369" s="866"/>
      <c r="D369" s="968"/>
      <c r="E369" s="718"/>
      <c r="F369" s="718"/>
      <c r="G369" s="718"/>
      <c r="H369" s="718"/>
      <c r="I369" s="359"/>
      <c r="J369" s="359"/>
      <c r="K369" s="359"/>
      <c r="L369" s="359"/>
      <c r="M369" s="359"/>
      <c r="N369" s="359"/>
      <c r="O369" s="359"/>
      <c r="P369" s="359"/>
      <c r="Q369" s="359"/>
      <c r="R369" s="718"/>
      <c r="S369" s="669"/>
      <c r="T369" s="669"/>
      <c r="U369" s="967"/>
      <c r="V369" s="974"/>
      <c r="W369" s="1197"/>
      <c r="X369" s="974"/>
      <c r="Y369" s="974"/>
      <c r="Z369" s="974"/>
      <c r="AA369" s="974"/>
      <c r="AB369" s="974"/>
      <c r="AC369" s="974"/>
      <c r="AD369" s="974"/>
      <c r="AE369" s="974"/>
      <c r="AF369" s="974"/>
      <c r="AG369" s="974"/>
      <c r="AH369" s="974"/>
      <c r="AI369" s="1198"/>
      <c r="AJ369" s="974"/>
      <c r="AK369" s="1197"/>
      <c r="AL369" s="974"/>
      <c r="AM369" s="974"/>
      <c r="AN369" s="974"/>
      <c r="AO369" s="974"/>
      <c r="AP369" s="974"/>
      <c r="AQ369" s="974"/>
      <c r="AR369" s="974"/>
      <c r="AS369" s="974"/>
      <c r="AT369" s="974"/>
      <c r="AU369" s="974"/>
      <c r="AV369" s="974"/>
      <c r="AW369" s="1181"/>
      <c r="AX369" s="978"/>
      <c r="AY369" s="898"/>
      <c r="AZ369" s="898"/>
      <c r="BA369" s="898"/>
      <c r="BB369" s="898"/>
      <c r="BC369" s="898"/>
      <c r="BD369" s="898"/>
      <c r="BE369" s="898"/>
      <c r="BF369" s="898"/>
      <c r="BG369" s="898"/>
      <c r="BH369" s="898"/>
      <c r="BI369" s="898"/>
      <c r="BJ369" s="898"/>
      <c r="BK369" s="898"/>
      <c r="BL369" s="898"/>
      <c r="BM369" s="898"/>
      <c r="BN369" s="898"/>
      <c r="BO369" s="898"/>
      <c r="BP369" s="898"/>
      <c r="BQ369" s="898"/>
      <c r="BR369" s="898"/>
      <c r="BS369" s="898"/>
      <c r="BT369" s="898"/>
      <c r="BU369" s="898"/>
      <c r="BV369" s="898"/>
      <c r="BW369" s="898"/>
      <c r="BX369" s="898"/>
      <c r="BY369" s="898"/>
      <c r="BZ369" s="898"/>
      <c r="CA369" s="898"/>
      <c r="CB369" s="898"/>
      <c r="CC369" s="898"/>
      <c r="CD369" s="898"/>
      <c r="CE369" s="898"/>
      <c r="CF369" s="898"/>
      <c r="CG369" s="898"/>
      <c r="CH369" s="898"/>
      <c r="CI369" s="898"/>
      <c r="CJ369" s="898"/>
      <c r="CK369" s="898"/>
      <c r="CL369" s="898"/>
      <c r="CM369" s="898"/>
      <c r="CN369" s="898"/>
      <c r="CO369" s="898"/>
      <c r="CP369" s="898"/>
      <c r="CQ369" s="898"/>
      <c r="CR369" s="898"/>
      <c r="CS369" s="898"/>
      <c r="CT369" s="898"/>
      <c r="CU369" s="898"/>
    </row>
    <row r="370" ht="16.5" customHeight="1">
      <c r="A370" s="718"/>
      <c r="B370" s="1195"/>
      <c r="C370" s="866"/>
      <c r="D370" s="968"/>
      <c r="E370" s="718"/>
      <c r="F370" s="718"/>
      <c r="G370" s="718"/>
      <c r="H370" s="718"/>
      <c r="I370" s="359"/>
      <c r="J370" s="359"/>
      <c r="K370" s="359"/>
      <c r="L370" s="359"/>
      <c r="M370" s="359"/>
      <c r="N370" s="359"/>
      <c r="O370" s="359"/>
      <c r="P370" s="359"/>
      <c r="Q370" s="359"/>
      <c r="R370" s="718"/>
      <c r="S370" s="669"/>
      <c r="T370" s="669"/>
      <c r="U370" s="967"/>
      <c r="V370" s="974"/>
      <c r="W370" s="1197"/>
      <c r="X370" s="974"/>
      <c r="Y370" s="974"/>
      <c r="Z370" s="974"/>
      <c r="AA370" s="974"/>
      <c r="AB370" s="974"/>
      <c r="AC370" s="974"/>
      <c r="AD370" s="974"/>
      <c r="AE370" s="974"/>
      <c r="AF370" s="974"/>
      <c r="AG370" s="974"/>
      <c r="AH370" s="974"/>
      <c r="AI370" s="1198"/>
      <c r="AJ370" s="974"/>
      <c r="AK370" s="1197"/>
      <c r="AL370" s="974"/>
      <c r="AM370" s="974"/>
      <c r="AN370" s="974"/>
      <c r="AO370" s="974"/>
      <c r="AP370" s="974"/>
      <c r="AQ370" s="974"/>
      <c r="AR370" s="974"/>
      <c r="AS370" s="974"/>
      <c r="AT370" s="974"/>
      <c r="AU370" s="974"/>
      <c r="AV370" s="974"/>
      <c r="AW370" s="1181"/>
      <c r="AX370" s="978"/>
      <c r="AY370" s="898"/>
      <c r="AZ370" s="898"/>
      <c r="BA370" s="898"/>
      <c r="BB370" s="898"/>
      <c r="BC370" s="898"/>
      <c r="BD370" s="898"/>
      <c r="BE370" s="898"/>
      <c r="BF370" s="898"/>
      <c r="BG370" s="898"/>
      <c r="BH370" s="898"/>
      <c r="BI370" s="898"/>
      <c r="BJ370" s="898"/>
      <c r="BK370" s="898"/>
      <c r="BL370" s="898"/>
      <c r="BM370" s="898"/>
      <c r="BN370" s="898"/>
      <c r="BO370" s="898"/>
      <c r="BP370" s="898"/>
      <c r="BQ370" s="898"/>
      <c r="BR370" s="898"/>
      <c r="BS370" s="898"/>
      <c r="BT370" s="898"/>
      <c r="BU370" s="898"/>
      <c r="BV370" s="898"/>
      <c r="BW370" s="898"/>
      <c r="BX370" s="898"/>
      <c r="BY370" s="898"/>
      <c r="BZ370" s="898"/>
      <c r="CA370" s="898"/>
      <c r="CB370" s="898"/>
      <c r="CC370" s="898"/>
      <c r="CD370" s="898"/>
      <c r="CE370" s="898"/>
      <c r="CF370" s="898"/>
      <c r="CG370" s="898"/>
      <c r="CH370" s="898"/>
      <c r="CI370" s="898"/>
      <c r="CJ370" s="898"/>
      <c r="CK370" s="898"/>
      <c r="CL370" s="898"/>
      <c r="CM370" s="898"/>
      <c r="CN370" s="898"/>
      <c r="CO370" s="898"/>
      <c r="CP370" s="898"/>
      <c r="CQ370" s="898"/>
      <c r="CR370" s="898"/>
      <c r="CS370" s="898"/>
      <c r="CT370" s="898"/>
      <c r="CU370" s="898"/>
    </row>
    <row r="371" ht="16.5" customHeight="1">
      <c r="A371" s="718"/>
      <c r="B371" s="1195"/>
      <c r="C371" s="866"/>
      <c r="D371" s="968"/>
      <c r="E371" s="718"/>
      <c r="F371" s="718"/>
      <c r="G371" s="718"/>
      <c r="H371" s="718"/>
      <c r="I371" s="359"/>
      <c r="J371" s="359"/>
      <c r="K371" s="359"/>
      <c r="L371" s="359"/>
      <c r="M371" s="359"/>
      <c r="N371" s="359"/>
      <c r="O371" s="359"/>
      <c r="P371" s="359"/>
      <c r="Q371" s="359"/>
      <c r="R371" s="718"/>
      <c r="S371" s="669"/>
      <c r="T371" s="669"/>
      <c r="U371" s="967"/>
      <c r="V371" s="974"/>
      <c r="W371" s="1197"/>
      <c r="X371" s="974"/>
      <c r="Y371" s="974"/>
      <c r="Z371" s="974"/>
      <c r="AA371" s="974"/>
      <c r="AB371" s="974"/>
      <c r="AC371" s="974"/>
      <c r="AD371" s="974"/>
      <c r="AE371" s="974"/>
      <c r="AF371" s="974"/>
      <c r="AG371" s="974"/>
      <c r="AH371" s="974"/>
      <c r="AI371" s="1198"/>
      <c r="AJ371" s="974"/>
      <c r="AK371" s="1197"/>
      <c r="AL371" s="974"/>
      <c r="AM371" s="974"/>
      <c r="AN371" s="974"/>
      <c r="AO371" s="974"/>
      <c r="AP371" s="974"/>
      <c r="AQ371" s="974"/>
      <c r="AR371" s="974"/>
      <c r="AS371" s="974"/>
      <c r="AT371" s="974"/>
      <c r="AU371" s="974"/>
      <c r="AV371" s="974"/>
      <c r="AW371" s="1181"/>
      <c r="AX371" s="978"/>
      <c r="AY371" s="898"/>
      <c r="AZ371" s="898"/>
      <c r="BA371" s="898"/>
      <c r="BB371" s="898"/>
      <c r="BC371" s="898"/>
      <c r="BD371" s="898"/>
      <c r="BE371" s="898"/>
      <c r="BF371" s="898"/>
      <c r="BG371" s="898"/>
      <c r="BH371" s="898"/>
      <c r="BI371" s="898"/>
      <c r="BJ371" s="898"/>
      <c r="BK371" s="898"/>
      <c r="BL371" s="898"/>
      <c r="BM371" s="898"/>
      <c r="BN371" s="898"/>
      <c r="BO371" s="898"/>
      <c r="BP371" s="898"/>
      <c r="BQ371" s="898"/>
      <c r="BR371" s="898"/>
      <c r="BS371" s="898"/>
      <c r="BT371" s="898"/>
      <c r="BU371" s="898"/>
      <c r="BV371" s="898"/>
      <c r="BW371" s="898"/>
      <c r="BX371" s="898"/>
      <c r="BY371" s="898"/>
      <c r="BZ371" s="898"/>
      <c r="CA371" s="898"/>
      <c r="CB371" s="898"/>
      <c r="CC371" s="898"/>
      <c r="CD371" s="898"/>
      <c r="CE371" s="898"/>
      <c r="CF371" s="898"/>
      <c r="CG371" s="898"/>
      <c r="CH371" s="898"/>
      <c r="CI371" s="898"/>
      <c r="CJ371" s="898"/>
      <c r="CK371" s="898"/>
      <c r="CL371" s="898"/>
      <c r="CM371" s="898"/>
      <c r="CN371" s="898"/>
      <c r="CO371" s="898"/>
      <c r="CP371" s="898"/>
      <c r="CQ371" s="898"/>
      <c r="CR371" s="898"/>
      <c r="CS371" s="898"/>
      <c r="CT371" s="898"/>
      <c r="CU371" s="898"/>
    </row>
    <row r="372" ht="16.5" customHeight="1">
      <c r="A372" s="718"/>
      <c r="B372" s="1195"/>
      <c r="C372" s="866"/>
      <c r="D372" s="968"/>
      <c r="E372" s="718"/>
      <c r="F372" s="718"/>
      <c r="G372" s="718"/>
      <c r="H372" s="718"/>
      <c r="I372" s="359"/>
      <c r="J372" s="359"/>
      <c r="K372" s="359"/>
      <c r="L372" s="359"/>
      <c r="M372" s="359"/>
      <c r="N372" s="359"/>
      <c r="O372" s="359"/>
      <c r="P372" s="359"/>
      <c r="Q372" s="359"/>
      <c r="R372" s="718"/>
      <c r="S372" s="669"/>
      <c r="T372" s="669"/>
      <c r="U372" s="967"/>
      <c r="V372" s="974"/>
      <c r="W372" s="1197"/>
      <c r="X372" s="974"/>
      <c r="Y372" s="974"/>
      <c r="Z372" s="974"/>
      <c r="AA372" s="974"/>
      <c r="AB372" s="974"/>
      <c r="AC372" s="974"/>
      <c r="AD372" s="974"/>
      <c r="AE372" s="974"/>
      <c r="AF372" s="974"/>
      <c r="AG372" s="974"/>
      <c r="AH372" s="974"/>
      <c r="AI372" s="1198"/>
      <c r="AJ372" s="974"/>
      <c r="AK372" s="1197"/>
      <c r="AL372" s="974"/>
      <c r="AM372" s="974"/>
      <c r="AN372" s="974"/>
      <c r="AO372" s="974"/>
      <c r="AP372" s="974"/>
      <c r="AQ372" s="974"/>
      <c r="AR372" s="974"/>
      <c r="AS372" s="974"/>
      <c r="AT372" s="974"/>
      <c r="AU372" s="974"/>
      <c r="AV372" s="974"/>
      <c r="AW372" s="1181"/>
      <c r="AX372" s="978"/>
      <c r="AY372" s="898"/>
      <c r="AZ372" s="898"/>
      <c r="BA372" s="898"/>
      <c r="BB372" s="898"/>
      <c r="BC372" s="898"/>
      <c r="BD372" s="898"/>
      <c r="BE372" s="898"/>
      <c r="BF372" s="898"/>
      <c r="BG372" s="898"/>
      <c r="BH372" s="898"/>
      <c r="BI372" s="898"/>
      <c r="BJ372" s="898"/>
      <c r="BK372" s="898"/>
      <c r="BL372" s="898"/>
      <c r="BM372" s="898"/>
      <c r="BN372" s="898"/>
      <c r="BO372" s="898"/>
      <c r="BP372" s="898"/>
      <c r="BQ372" s="898"/>
      <c r="BR372" s="898"/>
      <c r="BS372" s="898"/>
      <c r="BT372" s="898"/>
      <c r="BU372" s="898"/>
      <c r="BV372" s="898"/>
      <c r="BW372" s="898"/>
      <c r="BX372" s="898"/>
      <c r="BY372" s="898"/>
      <c r="BZ372" s="898"/>
      <c r="CA372" s="898"/>
      <c r="CB372" s="898"/>
      <c r="CC372" s="898"/>
      <c r="CD372" s="898"/>
      <c r="CE372" s="898"/>
      <c r="CF372" s="898"/>
      <c r="CG372" s="898"/>
      <c r="CH372" s="898"/>
      <c r="CI372" s="898"/>
      <c r="CJ372" s="898"/>
      <c r="CK372" s="898"/>
      <c r="CL372" s="898"/>
      <c r="CM372" s="898"/>
      <c r="CN372" s="898"/>
      <c r="CO372" s="898"/>
      <c r="CP372" s="898"/>
      <c r="CQ372" s="898"/>
      <c r="CR372" s="898"/>
      <c r="CS372" s="898"/>
      <c r="CT372" s="898"/>
      <c r="CU372" s="898"/>
    </row>
    <row r="373" ht="16.5" customHeight="1">
      <c r="A373" s="718"/>
      <c r="B373" s="1195"/>
      <c r="C373" s="866"/>
      <c r="D373" s="968"/>
      <c r="E373" s="718"/>
      <c r="F373" s="718"/>
      <c r="G373" s="718"/>
      <c r="H373" s="718"/>
      <c r="I373" s="359"/>
      <c r="J373" s="359"/>
      <c r="K373" s="359"/>
      <c r="L373" s="359"/>
      <c r="M373" s="359"/>
      <c r="N373" s="359"/>
      <c r="O373" s="359"/>
      <c r="P373" s="359"/>
      <c r="Q373" s="359"/>
      <c r="R373" s="718"/>
      <c r="S373" s="669"/>
      <c r="T373" s="669"/>
      <c r="U373" s="967"/>
      <c r="V373" s="974"/>
      <c r="W373" s="1197"/>
      <c r="X373" s="974"/>
      <c r="Y373" s="974"/>
      <c r="Z373" s="974"/>
      <c r="AA373" s="974"/>
      <c r="AB373" s="974"/>
      <c r="AC373" s="974"/>
      <c r="AD373" s="974"/>
      <c r="AE373" s="974"/>
      <c r="AF373" s="974"/>
      <c r="AG373" s="974"/>
      <c r="AH373" s="974"/>
      <c r="AI373" s="1198"/>
      <c r="AJ373" s="974"/>
      <c r="AK373" s="1197"/>
      <c r="AL373" s="974"/>
      <c r="AM373" s="974"/>
      <c r="AN373" s="974"/>
      <c r="AO373" s="974"/>
      <c r="AP373" s="974"/>
      <c r="AQ373" s="974"/>
      <c r="AR373" s="974"/>
      <c r="AS373" s="974"/>
      <c r="AT373" s="974"/>
      <c r="AU373" s="974"/>
      <c r="AV373" s="974"/>
      <c r="AW373" s="1181"/>
      <c r="AX373" s="978"/>
      <c r="AY373" s="898"/>
      <c r="AZ373" s="898"/>
      <c r="BA373" s="898"/>
      <c r="BB373" s="898"/>
      <c r="BC373" s="898"/>
      <c r="BD373" s="898"/>
      <c r="BE373" s="898"/>
      <c r="BF373" s="898"/>
      <c r="BG373" s="898"/>
      <c r="BH373" s="898"/>
      <c r="BI373" s="898"/>
      <c r="BJ373" s="898"/>
      <c r="BK373" s="898"/>
      <c r="BL373" s="898"/>
      <c r="BM373" s="898"/>
      <c r="BN373" s="898"/>
      <c r="BO373" s="898"/>
      <c r="BP373" s="898"/>
      <c r="BQ373" s="898"/>
      <c r="BR373" s="898"/>
      <c r="BS373" s="898"/>
      <c r="BT373" s="898"/>
      <c r="BU373" s="898"/>
      <c r="BV373" s="898"/>
      <c r="BW373" s="898"/>
      <c r="BX373" s="898"/>
      <c r="BY373" s="898"/>
      <c r="BZ373" s="898"/>
      <c r="CA373" s="898"/>
      <c r="CB373" s="898"/>
      <c r="CC373" s="898"/>
      <c r="CD373" s="898"/>
      <c r="CE373" s="898"/>
      <c r="CF373" s="898"/>
      <c r="CG373" s="898"/>
      <c r="CH373" s="898"/>
      <c r="CI373" s="898"/>
      <c r="CJ373" s="898"/>
      <c r="CK373" s="898"/>
      <c r="CL373" s="898"/>
      <c r="CM373" s="898"/>
      <c r="CN373" s="898"/>
      <c r="CO373" s="898"/>
      <c r="CP373" s="898"/>
      <c r="CQ373" s="898"/>
      <c r="CR373" s="898"/>
      <c r="CS373" s="898"/>
      <c r="CT373" s="898"/>
      <c r="CU373" s="898"/>
    </row>
    <row r="374" ht="16.5" customHeight="1">
      <c r="A374" s="718"/>
      <c r="B374" s="1195"/>
      <c r="C374" s="866"/>
      <c r="D374" s="968"/>
      <c r="E374" s="718"/>
      <c r="F374" s="718"/>
      <c r="G374" s="718"/>
      <c r="H374" s="718"/>
      <c r="I374" s="359"/>
      <c r="J374" s="359"/>
      <c r="K374" s="359"/>
      <c r="L374" s="359"/>
      <c r="M374" s="359"/>
      <c r="N374" s="359"/>
      <c r="O374" s="359"/>
      <c r="P374" s="359"/>
      <c r="Q374" s="359"/>
      <c r="R374" s="718"/>
      <c r="S374" s="669"/>
      <c r="T374" s="669"/>
      <c r="U374" s="967"/>
      <c r="V374" s="974"/>
      <c r="W374" s="1197"/>
      <c r="X374" s="974"/>
      <c r="Y374" s="974"/>
      <c r="Z374" s="974"/>
      <c r="AA374" s="974"/>
      <c r="AB374" s="974"/>
      <c r="AC374" s="974"/>
      <c r="AD374" s="974"/>
      <c r="AE374" s="974"/>
      <c r="AF374" s="974"/>
      <c r="AG374" s="974"/>
      <c r="AH374" s="974"/>
      <c r="AI374" s="1198"/>
      <c r="AJ374" s="974"/>
      <c r="AK374" s="1197"/>
      <c r="AL374" s="974"/>
      <c r="AM374" s="974"/>
      <c r="AN374" s="974"/>
      <c r="AO374" s="974"/>
      <c r="AP374" s="974"/>
      <c r="AQ374" s="974"/>
      <c r="AR374" s="974"/>
      <c r="AS374" s="974"/>
      <c r="AT374" s="974"/>
      <c r="AU374" s="974"/>
      <c r="AV374" s="974"/>
      <c r="AW374" s="1181"/>
      <c r="AX374" s="978"/>
      <c r="AY374" s="898"/>
      <c r="AZ374" s="898"/>
      <c r="BA374" s="898"/>
      <c r="BB374" s="898"/>
      <c r="BC374" s="898"/>
      <c r="BD374" s="898"/>
      <c r="BE374" s="898"/>
      <c r="BF374" s="898"/>
      <c r="BG374" s="898"/>
      <c r="BH374" s="898"/>
      <c r="BI374" s="898"/>
      <c r="BJ374" s="898"/>
      <c r="BK374" s="898"/>
      <c r="BL374" s="898"/>
      <c r="BM374" s="898"/>
      <c r="BN374" s="898"/>
      <c r="BO374" s="898"/>
      <c r="BP374" s="898"/>
      <c r="BQ374" s="898"/>
      <c r="BR374" s="898"/>
      <c r="BS374" s="898"/>
      <c r="BT374" s="898"/>
      <c r="BU374" s="898"/>
      <c r="BV374" s="898"/>
      <c r="BW374" s="898"/>
      <c r="BX374" s="898"/>
      <c r="BY374" s="898"/>
      <c r="BZ374" s="898"/>
      <c r="CA374" s="898"/>
      <c r="CB374" s="898"/>
      <c r="CC374" s="898"/>
      <c r="CD374" s="898"/>
      <c r="CE374" s="898"/>
      <c r="CF374" s="898"/>
      <c r="CG374" s="898"/>
      <c r="CH374" s="898"/>
      <c r="CI374" s="898"/>
      <c r="CJ374" s="898"/>
      <c r="CK374" s="898"/>
      <c r="CL374" s="898"/>
      <c r="CM374" s="898"/>
      <c r="CN374" s="898"/>
      <c r="CO374" s="898"/>
      <c r="CP374" s="898"/>
      <c r="CQ374" s="898"/>
      <c r="CR374" s="898"/>
      <c r="CS374" s="898"/>
      <c r="CT374" s="898"/>
      <c r="CU374" s="898"/>
    </row>
    <row r="375" ht="16.5" customHeight="1">
      <c r="A375" s="718"/>
      <c r="B375" s="1195"/>
      <c r="C375" s="866"/>
      <c r="D375" s="968"/>
      <c r="E375" s="718"/>
      <c r="F375" s="718"/>
      <c r="G375" s="718"/>
      <c r="H375" s="718"/>
      <c r="I375" s="359"/>
      <c r="J375" s="359"/>
      <c r="K375" s="359"/>
      <c r="L375" s="359"/>
      <c r="M375" s="359"/>
      <c r="N375" s="359"/>
      <c r="O375" s="359"/>
      <c r="P375" s="359"/>
      <c r="Q375" s="359"/>
      <c r="R375" s="718"/>
      <c r="S375" s="669"/>
      <c r="T375" s="669"/>
      <c r="U375" s="967"/>
      <c r="V375" s="974"/>
      <c r="W375" s="1197"/>
      <c r="X375" s="974"/>
      <c r="Y375" s="974"/>
      <c r="Z375" s="974"/>
      <c r="AA375" s="974"/>
      <c r="AB375" s="974"/>
      <c r="AC375" s="974"/>
      <c r="AD375" s="974"/>
      <c r="AE375" s="974"/>
      <c r="AF375" s="974"/>
      <c r="AG375" s="974"/>
      <c r="AH375" s="974"/>
      <c r="AI375" s="1198"/>
      <c r="AJ375" s="974"/>
      <c r="AK375" s="1197"/>
      <c r="AL375" s="974"/>
      <c r="AM375" s="974"/>
      <c r="AN375" s="974"/>
      <c r="AO375" s="974"/>
      <c r="AP375" s="974"/>
      <c r="AQ375" s="974"/>
      <c r="AR375" s="974"/>
      <c r="AS375" s="974"/>
      <c r="AT375" s="974"/>
      <c r="AU375" s="974"/>
      <c r="AV375" s="974"/>
      <c r="AW375" s="1181"/>
      <c r="AX375" s="978"/>
      <c r="AY375" s="898"/>
      <c r="AZ375" s="898"/>
      <c r="BA375" s="898"/>
      <c r="BB375" s="898"/>
      <c r="BC375" s="898"/>
      <c r="BD375" s="898"/>
      <c r="BE375" s="898"/>
      <c r="BF375" s="898"/>
      <c r="BG375" s="898"/>
      <c r="BH375" s="898"/>
      <c r="BI375" s="898"/>
      <c r="BJ375" s="898"/>
      <c r="BK375" s="898"/>
      <c r="BL375" s="898"/>
      <c r="BM375" s="898"/>
      <c r="BN375" s="898"/>
      <c r="BO375" s="898"/>
      <c r="BP375" s="898"/>
      <c r="BQ375" s="898"/>
      <c r="BR375" s="898"/>
      <c r="BS375" s="898"/>
      <c r="BT375" s="898"/>
      <c r="BU375" s="898"/>
      <c r="BV375" s="898"/>
      <c r="BW375" s="898"/>
      <c r="BX375" s="898"/>
      <c r="BY375" s="898"/>
      <c r="BZ375" s="898"/>
      <c r="CA375" s="898"/>
      <c r="CB375" s="898"/>
      <c r="CC375" s="898"/>
      <c r="CD375" s="898"/>
      <c r="CE375" s="898"/>
      <c r="CF375" s="898"/>
      <c r="CG375" s="898"/>
      <c r="CH375" s="898"/>
      <c r="CI375" s="898"/>
      <c r="CJ375" s="898"/>
      <c r="CK375" s="898"/>
      <c r="CL375" s="898"/>
      <c r="CM375" s="898"/>
      <c r="CN375" s="898"/>
      <c r="CO375" s="898"/>
      <c r="CP375" s="898"/>
      <c r="CQ375" s="898"/>
      <c r="CR375" s="898"/>
      <c r="CS375" s="898"/>
      <c r="CT375" s="898"/>
      <c r="CU375" s="898"/>
    </row>
    <row r="376" ht="16.5" customHeight="1">
      <c r="A376" s="718"/>
      <c r="B376" s="1195"/>
      <c r="C376" s="866"/>
      <c r="D376" s="968"/>
      <c r="E376" s="718"/>
      <c r="F376" s="718"/>
      <c r="G376" s="718"/>
      <c r="H376" s="718"/>
      <c r="I376" s="359"/>
      <c r="J376" s="359"/>
      <c r="K376" s="359"/>
      <c r="L376" s="359"/>
      <c r="M376" s="359"/>
      <c r="N376" s="359"/>
      <c r="O376" s="359"/>
      <c r="P376" s="359"/>
      <c r="Q376" s="359"/>
      <c r="R376" s="718"/>
      <c r="S376" s="669"/>
      <c r="T376" s="669"/>
      <c r="U376" s="967"/>
      <c r="V376" s="974"/>
      <c r="W376" s="1197"/>
      <c r="X376" s="974"/>
      <c r="Y376" s="974"/>
      <c r="Z376" s="974"/>
      <c r="AA376" s="974"/>
      <c r="AB376" s="974"/>
      <c r="AC376" s="974"/>
      <c r="AD376" s="974"/>
      <c r="AE376" s="974"/>
      <c r="AF376" s="974"/>
      <c r="AG376" s="974"/>
      <c r="AH376" s="974"/>
      <c r="AI376" s="1198"/>
      <c r="AJ376" s="974"/>
      <c r="AK376" s="1197"/>
      <c r="AL376" s="974"/>
      <c r="AM376" s="974"/>
      <c r="AN376" s="974"/>
      <c r="AO376" s="974"/>
      <c r="AP376" s="974"/>
      <c r="AQ376" s="974"/>
      <c r="AR376" s="974"/>
      <c r="AS376" s="974"/>
      <c r="AT376" s="974"/>
      <c r="AU376" s="974"/>
      <c r="AV376" s="974"/>
      <c r="AW376" s="1181"/>
      <c r="AX376" s="978"/>
      <c r="AY376" s="898"/>
      <c r="AZ376" s="898"/>
      <c r="BA376" s="898"/>
      <c r="BB376" s="898"/>
      <c r="BC376" s="898"/>
      <c r="BD376" s="898"/>
      <c r="BE376" s="898"/>
      <c r="BF376" s="898"/>
      <c r="BG376" s="898"/>
      <c r="BH376" s="898"/>
      <c r="BI376" s="898"/>
      <c r="BJ376" s="898"/>
      <c r="BK376" s="898"/>
      <c r="BL376" s="898"/>
      <c r="BM376" s="898"/>
      <c r="BN376" s="898"/>
      <c r="BO376" s="898"/>
      <c r="BP376" s="898"/>
      <c r="BQ376" s="898"/>
      <c r="BR376" s="898"/>
      <c r="BS376" s="898"/>
      <c r="BT376" s="898"/>
      <c r="BU376" s="898"/>
      <c r="BV376" s="898"/>
      <c r="BW376" s="898"/>
      <c r="BX376" s="898"/>
      <c r="BY376" s="898"/>
      <c r="BZ376" s="898"/>
      <c r="CA376" s="898"/>
      <c r="CB376" s="898"/>
      <c r="CC376" s="898"/>
      <c r="CD376" s="898"/>
      <c r="CE376" s="898"/>
      <c r="CF376" s="898"/>
      <c r="CG376" s="898"/>
      <c r="CH376" s="898"/>
      <c r="CI376" s="898"/>
      <c r="CJ376" s="898"/>
      <c r="CK376" s="898"/>
      <c r="CL376" s="898"/>
      <c r="CM376" s="898"/>
      <c r="CN376" s="898"/>
      <c r="CO376" s="898"/>
      <c r="CP376" s="898"/>
      <c r="CQ376" s="898"/>
      <c r="CR376" s="898"/>
      <c r="CS376" s="898"/>
      <c r="CT376" s="898"/>
      <c r="CU376" s="898"/>
    </row>
    <row r="377" ht="16.5" customHeight="1">
      <c r="A377" s="718"/>
      <c r="B377" s="1195"/>
      <c r="C377" s="866"/>
      <c r="D377" s="968"/>
      <c r="E377" s="718"/>
      <c r="F377" s="718"/>
      <c r="G377" s="718"/>
      <c r="H377" s="718"/>
      <c r="I377" s="359"/>
      <c r="J377" s="359"/>
      <c r="K377" s="359"/>
      <c r="L377" s="359"/>
      <c r="M377" s="359"/>
      <c r="N377" s="359"/>
      <c r="O377" s="359"/>
      <c r="P377" s="359"/>
      <c r="Q377" s="359"/>
      <c r="R377" s="718"/>
      <c r="S377" s="669"/>
      <c r="T377" s="669"/>
      <c r="U377" s="967"/>
      <c r="V377" s="974"/>
      <c r="W377" s="1197"/>
      <c r="X377" s="974"/>
      <c r="Y377" s="974"/>
      <c r="Z377" s="974"/>
      <c r="AA377" s="974"/>
      <c r="AB377" s="974"/>
      <c r="AC377" s="974"/>
      <c r="AD377" s="974"/>
      <c r="AE377" s="974"/>
      <c r="AF377" s="974"/>
      <c r="AG377" s="974"/>
      <c r="AH377" s="974"/>
      <c r="AI377" s="1198"/>
      <c r="AJ377" s="974"/>
      <c r="AK377" s="1197"/>
      <c r="AL377" s="974"/>
      <c r="AM377" s="974"/>
      <c r="AN377" s="974"/>
      <c r="AO377" s="974"/>
      <c r="AP377" s="974"/>
      <c r="AQ377" s="974"/>
      <c r="AR377" s="974"/>
      <c r="AS377" s="974"/>
      <c r="AT377" s="974"/>
      <c r="AU377" s="974"/>
      <c r="AV377" s="974"/>
      <c r="AW377" s="1181"/>
      <c r="AX377" s="978"/>
      <c r="AY377" s="898"/>
      <c r="AZ377" s="898"/>
      <c r="BA377" s="898"/>
      <c r="BB377" s="898"/>
      <c r="BC377" s="898"/>
      <c r="BD377" s="898"/>
      <c r="BE377" s="898"/>
      <c r="BF377" s="898"/>
      <c r="BG377" s="898"/>
      <c r="BH377" s="898"/>
      <c r="BI377" s="898"/>
      <c r="BJ377" s="898"/>
      <c r="BK377" s="898"/>
      <c r="BL377" s="898"/>
      <c r="BM377" s="898"/>
      <c r="BN377" s="898"/>
      <c r="BO377" s="898"/>
      <c r="BP377" s="898"/>
      <c r="BQ377" s="898"/>
      <c r="BR377" s="898"/>
      <c r="BS377" s="898"/>
      <c r="BT377" s="898"/>
      <c r="BU377" s="898"/>
      <c r="BV377" s="898"/>
      <c r="BW377" s="898"/>
      <c r="BX377" s="898"/>
      <c r="BY377" s="898"/>
      <c r="BZ377" s="898"/>
      <c r="CA377" s="898"/>
      <c r="CB377" s="898"/>
      <c r="CC377" s="898"/>
      <c r="CD377" s="898"/>
      <c r="CE377" s="898"/>
      <c r="CF377" s="898"/>
      <c r="CG377" s="898"/>
      <c r="CH377" s="898"/>
      <c r="CI377" s="898"/>
      <c r="CJ377" s="898"/>
      <c r="CK377" s="898"/>
      <c r="CL377" s="898"/>
      <c r="CM377" s="898"/>
      <c r="CN377" s="898"/>
      <c r="CO377" s="898"/>
      <c r="CP377" s="898"/>
      <c r="CQ377" s="898"/>
      <c r="CR377" s="898"/>
      <c r="CS377" s="898"/>
      <c r="CT377" s="898"/>
      <c r="CU377" s="898"/>
    </row>
    <row r="378" ht="16.5" customHeight="1">
      <c r="A378" s="718"/>
      <c r="B378" s="1195"/>
      <c r="C378" s="866"/>
      <c r="D378" s="968"/>
      <c r="E378" s="718"/>
      <c r="F378" s="718"/>
      <c r="G378" s="718"/>
      <c r="H378" s="718"/>
      <c r="I378" s="359"/>
      <c r="J378" s="359"/>
      <c r="K378" s="359"/>
      <c r="L378" s="359"/>
      <c r="M378" s="359"/>
      <c r="N378" s="359"/>
      <c r="O378" s="359"/>
      <c r="P378" s="359"/>
      <c r="Q378" s="359"/>
      <c r="R378" s="718"/>
      <c r="S378" s="669"/>
      <c r="T378" s="669"/>
      <c r="U378" s="967"/>
      <c r="V378" s="974"/>
      <c r="W378" s="1197"/>
      <c r="X378" s="974"/>
      <c r="Y378" s="974"/>
      <c r="Z378" s="974"/>
      <c r="AA378" s="974"/>
      <c r="AB378" s="974"/>
      <c r="AC378" s="974"/>
      <c r="AD378" s="974"/>
      <c r="AE378" s="974"/>
      <c r="AF378" s="974"/>
      <c r="AG378" s="974"/>
      <c r="AH378" s="974"/>
      <c r="AI378" s="1198"/>
      <c r="AJ378" s="974"/>
      <c r="AK378" s="1197"/>
      <c r="AL378" s="974"/>
      <c r="AM378" s="974"/>
      <c r="AN378" s="974"/>
      <c r="AO378" s="974"/>
      <c r="AP378" s="974"/>
      <c r="AQ378" s="974"/>
      <c r="AR378" s="974"/>
      <c r="AS378" s="974"/>
      <c r="AT378" s="974"/>
      <c r="AU378" s="974"/>
      <c r="AV378" s="974"/>
      <c r="AW378" s="1181"/>
      <c r="AX378" s="978"/>
      <c r="AY378" s="898"/>
      <c r="AZ378" s="898"/>
      <c r="BA378" s="898"/>
      <c r="BB378" s="898"/>
      <c r="BC378" s="898"/>
      <c r="BD378" s="898"/>
      <c r="BE378" s="898"/>
      <c r="BF378" s="898"/>
      <c r="BG378" s="898"/>
      <c r="BH378" s="898"/>
      <c r="BI378" s="898"/>
      <c r="BJ378" s="898"/>
      <c r="BK378" s="898"/>
      <c r="BL378" s="898"/>
      <c r="BM378" s="898"/>
      <c r="BN378" s="898"/>
      <c r="BO378" s="898"/>
      <c r="BP378" s="898"/>
      <c r="BQ378" s="898"/>
      <c r="BR378" s="898"/>
      <c r="BS378" s="898"/>
      <c r="BT378" s="898"/>
      <c r="BU378" s="898"/>
      <c r="BV378" s="898"/>
      <c r="BW378" s="898"/>
      <c r="BX378" s="898"/>
      <c r="BY378" s="898"/>
      <c r="BZ378" s="898"/>
      <c r="CA378" s="898"/>
      <c r="CB378" s="898"/>
      <c r="CC378" s="898"/>
      <c r="CD378" s="898"/>
      <c r="CE378" s="898"/>
      <c r="CF378" s="898"/>
      <c r="CG378" s="898"/>
      <c r="CH378" s="898"/>
      <c r="CI378" s="898"/>
      <c r="CJ378" s="898"/>
      <c r="CK378" s="898"/>
      <c r="CL378" s="898"/>
      <c r="CM378" s="898"/>
      <c r="CN378" s="898"/>
      <c r="CO378" s="898"/>
      <c r="CP378" s="898"/>
      <c r="CQ378" s="898"/>
      <c r="CR378" s="898"/>
      <c r="CS378" s="898"/>
      <c r="CT378" s="898"/>
      <c r="CU378" s="898"/>
    </row>
    <row r="379" ht="16.5" customHeight="1">
      <c r="A379" s="718"/>
      <c r="B379" s="1195"/>
      <c r="C379" s="866"/>
      <c r="D379" s="968"/>
      <c r="E379" s="718"/>
      <c r="F379" s="718"/>
      <c r="G379" s="718"/>
      <c r="H379" s="718"/>
      <c r="I379" s="359"/>
      <c r="J379" s="359"/>
      <c r="K379" s="359"/>
      <c r="L379" s="359"/>
      <c r="M379" s="359"/>
      <c r="N379" s="359"/>
      <c r="O379" s="359"/>
      <c r="P379" s="359"/>
      <c r="Q379" s="359"/>
      <c r="R379" s="718"/>
      <c r="S379" s="669"/>
      <c r="T379" s="669"/>
      <c r="U379" s="967"/>
      <c r="V379" s="974"/>
      <c r="W379" s="1197"/>
      <c r="X379" s="974"/>
      <c r="Y379" s="974"/>
      <c r="Z379" s="974"/>
      <c r="AA379" s="974"/>
      <c r="AB379" s="974"/>
      <c r="AC379" s="974"/>
      <c r="AD379" s="974"/>
      <c r="AE379" s="974"/>
      <c r="AF379" s="974"/>
      <c r="AG379" s="974"/>
      <c r="AH379" s="974"/>
      <c r="AI379" s="1198"/>
      <c r="AJ379" s="974"/>
      <c r="AK379" s="1197"/>
      <c r="AL379" s="974"/>
      <c r="AM379" s="974"/>
      <c r="AN379" s="974"/>
      <c r="AO379" s="974"/>
      <c r="AP379" s="974"/>
      <c r="AQ379" s="974"/>
      <c r="AR379" s="974"/>
      <c r="AS379" s="974"/>
      <c r="AT379" s="974"/>
      <c r="AU379" s="974"/>
      <c r="AV379" s="974"/>
      <c r="AW379" s="1181"/>
      <c r="AX379" s="978"/>
      <c r="AY379" s="898"/>
      <c r="AZ379" s="898"/>
      <c r="BA379" s="898"/>
      <c r="BB379" s="898"/>
      <c r="BC379" s="898"/>
      <c r="BD379" s="898"/>
      <c r="BE379" s="898"/>
      <c r="BF379" s="898"/>
      <c r="BG379" s="898"/>
      <c r="BH379" s="898"/>
      <c r="BI379" s="898"/>
      <c r="BJ379" s="898"/>
      <c r="BK379" s="898"/>
      <c r="BL379" s="898"/>
      <c r="BM379" s="898"/>
      <c r="BN379" s="898"/>
      <c r="BO379" s="898"/>
      <c r="BP379" s="898"/>
      <c r="BQ379" s="898"/>
      <c r="BR379" s="898"/>
      <c r="BS379" s="898"/>
      <c r="BT379" s="898"/>
      <c r="BU379" s="898"/>
      <c r="BV379" s="898"/>
      <c r="BW379" s="898"/>
      <c r="BX379" s="898"/>
      <c r="BY379" s="898"/>
      <c r="BZ379" s="898"/>
      <c r="CA379" s="898"/>
      <c r="CB379" s="898"/>
      <c r="CC379" s="898"/>
      <c r="CD379" s="898"/>
      <c r="CE379" s="898"/>
      <c r="CF379" s="898"/>
      <c r="CG379" s="898"/>
      <c r="CH379" s="898"/>
      <c r="CI379" s="898"/>
      <c r="CJ379" s="898"/>
      <c r="CK379" s="898"/>
      <c r="CL379" s="898"/>
      <c r="CM379" s="898"/>
      <c r="CN379" s="898"/>
      <c r="CO379" s="898"/>
      <c r="CP379" s="898"/>
      <c r="CQ379" s="898"/>
      <c r="CR379" s="898"/>
      <c r="CS379" s="898"/>
      <c r="CT379" s="898"/>
      <c r="CU379" s="898"/>
    </row>
    <row r="380" ht="16.5" customHeight="1">
      <c r="A380" s="718"/>
      <c r="B380" s="1195"/>
      <c r="C380" s="866"/>
      <c r="D380" s="968"/>
      <c r="E380" s="718"/>
      <c r="F380" s="718"/>
      <c r="G380" s="718"/>
      <c r="H380" s="718"/>
      <c r="I380" s="359"/>
      <c r="J380" s="359"/>
      <c r="K380" s="359"/>
      <c r="L380" s="359"/>
      <c r="M380" s="359"/>
      <c r="N380" s="359"/>
      <c r="O380" s="359"/>
      <c r="P380" s="359"/>
      <c r="Q380" s="359"/>
      <c r="R380" s="718"/>
      <c r="S380" s="669"/>
      <c r="T380" s="669"/>
      <c r="U380" s="967"/>
      <c r="V380" s="974"/>
      <c r="W380" s="1197"/>
      <c r="X380" s="974"/>
      <c r="Y380" s="974"/>
      <c r="Z380" s="974"/>
      <c r="AA380" s="974"/>
      <c r="AB380" s="974"/>
      <c r="AC380" s="974"/>
      <c r="AD380" s="974"/>
      <c r="AE380" s="974"/>
      <c r="AF380" s="974"/>
      <c r="AG380" s="974"/>
      <c r="AH380" s="974"/>
      <c r="AI380" s="1198"/>
      <c r="AJ380" s="974"/>
      <c r="AK380" s="1197"/>
      <c r="AL380" s="974"/>
      <c r="AM380" s="974"/>
      <c r="AN380" s="974"/>
      <c r="AO380" s="974"/>
      <c r="AP380" s="974"/>
      <c r="AQ380" s="974"/>
      <c r="AR380" s="974"/>
      <c r="AS380" s="974"/>
      <c r="AT380" s="974"/>
      <c r="AU380" s="974"/>
      <c r="AV380" s="974"/>
      <c r="AW380" s="1181"/>
      <c r="AX380" s="978"/>
      <c r="AY380" s="898"/>
      <c r="AZ380" s="898"/>
      <c r="BA380" s="898"/>
      <c r="BB380" s="898"/>
      <c r="BC380" s="898"/>
      <c r="BD380" s="898"/>
      <c r="BE380" s="898"/>
      <c r="BF380" s="898"/>
      <c r="BG380" s="898"/>
      <c r="BH380" s="898"/>
      <c r="BI380" s="898"/>
      <c r="BJ380" s="898"/>
      <c r="BK380" s="898"/>
      <c r="BL380" s="898"/>
      <c r="BM380" s="898"/>
      <c r="BN380" s="898"/>
      <c r="BO380" s="898"/>
      <c r="BP380" s="898"/>
      <c r="BQ380" s="898"/>
      <c r="BR380" s="898"/>
      <c r="BS380" s="898"/>
      <c r="BT380" s="898"/>
      <c r="BU380" s="898"/>
      <c r="BV380" s="898"/>
      <c r="BW380" s="898"/>
      <c r="BX380" s="898"/>
      <c r="BY380" s="898"/>
      <c r="BZ380" s="898"/>
      <c r="CA380" s="898"/>
      <c r="CB380" s="898"/>
      <c r="CC380" s="898"/>
      <c r="CD380" s="898"/>
      <c r="CE380" s="898"/>
      <c r="CF380" s="898"/>
      <c r="CG380" s="898"/>
      <c r="CH380" s="898"/>
      <c r="CI380" s="898"/>
      <c r="CJ380" s="898"/>
      <c r="CK380" s="898"/>
      <c r="CL380" s="898"/>
      <c r="CM380" s="898"/>
      <c r="CN380" s="898"/>
      <c r="CO380" s="898"/>
      <c r="CP380" s="898"/>
      <c r="CQ380" s="898"/>
      <c r="CR380" s="898"/>
      <c r="CS380" s="898"/>
      <c r="CT380" s="898"/>
      <c r="CU380" s="898"/>
    </row>
    <row r="381" ht="16.5" customHeight="1">
      <c r="A381" s="718"/>
      <c r="B381" s="1195"/>
      <c r="C381" s="866"/>
      <c r="D381" s="968"/>
      <c r="E381" s="718"/>
      <c r="F381" s="718"/>
      <c r="G381" s="718"/>
      <c r="H381" s="718"/>
      <c r="I381" s="359"/>
      <c r="J381" s="359"/>
      <c r="K381" s="359"/>
      <c r="L381" s="359"/>
      <c r="M381" s="359"/>
      <c r="N381" s="359"/>
      <c r="O381" s="359"/>
      <c r="P381" s="359"/>
      <c r="Q381" s="359"/>
      <c r="R381" s="718"/>
      <c r="S381" s="669"/>
      <c r="T381" s="669"/>
      <c r="U381" s="967"/>
      <c r="V381" s="974"/>
      <c r="W381" s="1197"/>
      <c r="X381" s="974"/>
      <c r="Y381" s="974"/>
      <c r="Z381" s="974"/>
      <c r="AA381" s="974"/>
      <c r="AB381" s="974"/>
      <c r="AC381" s="974"/>
      <c r="AD381" s="974"/>
      <c r="AE381" s="974"/>
      <c r="AF381" s="974"/>
      <c r="AG381" s="974"/>
      <c r="AH381" s="974"/>
      <c r="AI381" s="1198"/>
      <c r="AJ381" s="974"/>
      <c r="AK381" s="1197"/>
      <c r="AL381" s="974"/>
      <c r="AM381" s="974"/>
      <c r="AN381" s="974"/>
      <c r="AO381" s="974"/>
      <c r="AP381" s="974"/>
      <c r="AQ381" s="974"/>
      <c r="AR381" s="974"/>
      <c r="AS381" s="974"/>
      <c r="AT381" s="974"/>
      <c r="AU381" s="974"/>
      <c r="AV381" s="974"/>
      <c r="AW381" s="1181"/>
      <c r="AX381" s="978"/>
      <c r="AY381" s="898"/>
      <c r="AZ381" s="898"/>
      <c r="BA381" s="898"/>
      <c r="BB381" s="898"/>
      <c r="BC381" s="898"/>
      <c r="BD381" s="898"/>
      <c r="BE381" s="898"/>
      <c r="BF381" s="898"/>
      <c r="BG381" s="898"/>
      <c r="BH381" s="898"/>
      <c r="BI381" s="898"/>
      <c r="BJ381" s="898"/>
      <c r="BK381" s="898"/>
      <c r="BL381" s="898"/>
      <c r="BM381" s="898"/>
      <c r="BN381" s="898"/>
      <c r="BO381" s="898"/>
      <c r="BP381" s="898"/>
      <c r="BQ381" s="898"/>
      <c r="BR381" s="898"/>
      <c r="BS381" s="898"/>
      <c r="BT381" s="898"/>
      <c r="BU381" s="898"/>
      <c r="BV381" s="898"/>
      <c r="BW381" s="898"/>
      <c r="BX381" s="898"/>
      <c r="BY381" s="898"/>
      <c r="BZ381" s="898"/>
      <c r="CA381" s="898"/>
      <c r="CB381" s="898"/>
      <c r="CC381" s="898"/>
      <c r="CD381" s="898"/>
      <c r="CE381" s="898"/>
      <c r="CF381" s="898"/>
      <c r="CG381" s="898"/>
      <c r="CH381" s="898"/>
      <c r="CI381" s="898"/>
      <c r="CJ381" s="898"/>
      <c r="CK381" s="898"/>
      <c r="CL381" s="898"/>
      <c r="CM381" s="898"/>
      <c r="CN381" s="898"/>
      <c r="CO381" s="898"/>
      <c r="CP381" s="898"/>
      <c r="CQ381" s="898"/>
      <c r="CR381" s="898"/>
      <c r="CS381" s="898"/>
      <c r="CT381" s="898"/>
      <c r="CU381" s="898"/>
    </row>
    <row r="382" ht="16.5" customHeight="1">
      <c r="A382" s="718"/>
      <c r="B382" s="1195"/>
      <c r="C382" s="866"/>
      <c r="D382" s="968"/>
      <c r="E382" s="718"/>
      <c r="F382" s="718"/>
      <c r="G382" s="718"/>
      <c r="H382" s="718"/>
      <c r="I382" s="359"/>
      <c r="J382" s="359"/>
      <c r="K382" s="359"/>
      <c r="L382" s="359"/>
      <c r="M382" s="359"/>
      <c r="N382" s="359"/>
      <c r="O382" s="359"/>
      <c r="P382" s="359"/>
      <c r="Q382" s="359"/>
      <c r="R382" s="718"/>
      <c r="S382" s="669"/>
      <c r="T382" s="669"/>
      <c r="U382" s="967"/>
      <c r="V382" s="974"/>
      <c r="W382" s="1197"/>
      <c r="X382" s="974"/>
      <c r="Y382" s="974"/>
      <c r="Z382" s="974"/>
      <c r="AA382" s="974"/>
      <c r="AB382" s="974"/>
      <c r="AC382" s="974"/>
      <c r="AD382" s="974"/>
      <c r="AE382" s="974"/>
      <c r="AF382" s="974"/>
      <c r="AG382" s="974"/>
      <c r="AH382" s="974"/>
      <c r="AI382" s="1198"/>
      <c r="AJ382" s="974"/>
      <c r="AK382" s="1197"/>
      <c r="AL382" s="974"/>
      <c r="AM382" s="974"/>
      <c r="AN382" s="974"/>
      <c r="AO382" s="974"/>
      <c r="AP382" s="974"/>
      <c r="AQ382" s="974"/>
      <c r="AR382" s="974"/>
      <c r="AS382" s="974"/>
      <c r="AT382" s="974"/>
      <c r="AU382" s="974"/>
      <c r="AV382" s="974"/>
      <c r="AW382" s="1181"/>
      <c r="AX382" s="978"/>
      <c r="AY382" s="898"/>
      <c r="AZ382" s="898"/>
      <c r="BA382" s="898"/>
      <c r="BB382" s="898"/>
      <c r="BC382" s="898"/>
      <c r="BD382" s="898"/>
      <c r="BE382" s="898"/>
      <c r="BF382" s="898"/>
      <c r="BG382" s="898"/>
      <c r="BH382" s="898"/>
      <c r="BI382" s="898"/>
      <c r="BJ382" s="898"/>
      <c r="BK382" s="898"/>
      <c r="BL382" s="898"/>
      <c r="BM382" s="898"/>
      <c r="BN382" s="898"/>
      <c r="BO382" s="898"/>
      <c r="BP382" s="898"/>
      <c r="BQ382" s="898"/>
      <c r="BR382" s="898"/>
      <c r="BS382" s="898"/>
      <c r="BT382" s="898"/>
      <c r="BU382" s="898"/>
      <c r="BV382" s="898"/>
      <c r="BW382" s="898"/>
      <c r="BX382" s="898"/>
      <c r="BY382" s="898"/>
      <c r="BZ382" s="898"/>
      <c r="CA382" s="898"/>
      <c r="CB382" s="898"/>
      <c r="CC382" s="898"/>
      <c r="CD382" s="898"/>
      <c r="CE382" s="898"/>
      <c r="CF382" s="898"/>
      <c r="CG382" s="898"/>
      <c r="CH382" s="898"/>
      <c r="CI382" s="898"/>
      <c r="CJ382" s="898"/>
      <c r="CK382" s="898"/>
      <c r="CL382" s="898"/>
      <c r="CM382" s="898"/>
      <c r="CN382" s="898"/>
      <c r="CO382" s="898"/>
      <c r="CP382" s="898"/>
      <c r="CQ382" s="898"/>
      <c r="CR382" s="898"/>
      <c r="CS382" s="898"/>
      <c r="CT382" s="898"/>
      <c r="CU382" s="898"/>
    </row>
    <row r="383" ht="16.5" customHeight="1">
      <c r="A383" s="718"/>
      <c r="B383" s="1195"/>
      <c r="C383" s="866"/>
      <c r="D383" s="968"/>
      <c r="E383" s="718"/>
      <c r="F383" s="718"/>
      <c r="G383" s="718"/>
      <c r="H383" s="718"/>
      <c r="I383" s="359"/>
      <c r="J383" s="359"/>
      <c r="K383" s="359"/>
      <c r="L383" s="359"/>
      <c r="M383" s="359"/>
      <c r="N383" s="359"/>
      <c r="O383" s="359"/>
      <c r="P383" s="359"/>
      <c r="Q383" s="359"/>
      <c r="R383" s="718"/>
      <c r="S383" s="669"/>
      <c r="T383" s="669"/>
      <c r="U383" s="967"/>
      <c r="V383" s="974"/>
      <c r="W383" s="1197"/>
      <c r="X383" s="974"/>
      <c r="Y383" s="974"/>
      <c r="Z383" s="974"/>
      <c r="AA383" s="974"/>
      <c r="AB383" s="974"/>
      <c r="AC383" s="974"/>
      <c r="AD383" s="974"/>
      <c r="AE383" s="974"/>
      <c r="AF383" s="974"/>
      <c r="AG383" s="974"/>
      <c r="AH383" s="974"/>
      <c r="AI383" s="1198"/>
      <c r="AJ383" s="974"/>
      <c r="AK383" s="1197"/>
      <c r="AL383" s="974"/>
      <c r="AM383" s="974"/>
      <c r="AN383" s="974"/>
      <c r="AO383" s="974"/>
      <c r="AP383" s="974"/>
      <c r="AQ383" s="974"/>
      <c r="AR383" s="974"/>
      <c r="AS383" s="974"/>
      <c r="AT383" s="974"/>
      <c r="AU383" s="974"/>
      <c r="AV383" s="974"/>
      <c r="AW383" s="1181"/>
      <c r="AX383" s="978"/>
      <c r="AY383" s="898"/>
      <c r="AZ383" s="898"/>
      <c r="BA383" s="898"/>
      <c r="BB383" s="898"/>
      <c r="BC383" s="898"/>
      <c r="BD383" s="898"/>
      <c r="BE383" s="898"/>
      <c r="BF383" s="898"/>
      <c r="BG383" s="898"/>
      <c r="BH383" s="898"/>
      <c r="BI383" s="898"/>
      <c r="BJ383" s="898"/>
      <c r="BK383" s="898"/>
      <c r="BL383" s="898"/>
      <c r="BM383" s="898"/>
      <c r="BN383" s="898"/>
      <c r="BO383" s="898"/>
      <c r="BP383" s="898"/>
      <c r="BQ383" s="898"/>
      <c r="BR383" s="898"/>
      <c r="BS383" s="898"/>
      <c r="BT383" s="898"/>
      <c r="BU383" s="898"/>
      <c r="BV383" s="898"/>
      <c r="BW383" s="898"/>
      <c r="BX383" s="898"/>
      <c r="BY383" s="898"/>
      <c r="BZ383" s="898"/>
      <c r="CA383" s="898"/>
      <c r="CB383" s="898"/>
      <c r="CC383" s="898"/>
      <c r="CD383" s="898"/>
      <c r="CE383" s="898"/>
      <c r="CF383" s="898"/>
      <c r="CG383" s="898"/>
      <c r="CH383" s="898"/>
      <c r="CI383" s="898"/>
      <c r="CJ383" s="898"/>
      <c r="CK383" s="898"/>
      <c r="CL383" s="898"/>
      <c r="CM383" s="898"/>
      <c r="CN383" s="898"/>
      <c r="CO383" s="898"/>
      <c r="CP383" s="898"/>
      <c r="CQ383" s="898"/>
      <c r="CR383" s="898"/>
      <c r="CS383" s="898"/>
      <c r="CT383" s="898"/>
      <c r="CU383" s="898"/>
    </row>
    <row r="384" ht="16.5" customHeight="1">
      <c r="A384" s="718"/>
      <c r="B384" s="1195"/>
      <c r="C384" s="866"/>
      <c r="D384" s="968"/>
      <c r="E384" s="718"/>
      <c r="F384" s="718"/>
      <c r="G384" s="718"/>
      <c r="H384" s="718"/>
      <c r="I384" s="359"/>
      <c r="J384" s="359"/>
      <c r="K384" s="359"/>
      <c r="L384" s="359"/>
      <c r="M384" s="359"/>
      <c r="N384" s="359"/>
      <c r="O384" s="359"/>
      <c r="P384" s="359"/>
      <c r="Q384" s="359"/>
      <c r="R384" s="718"/>
      <c r="S384" s="669"/>
      <c r="T384" s="669"/>
      <c r="U384" s="967"/>
      <c r="V384" s="974"/>
      <c r="W384" s="1197"/>
      <c r="X384" s="974"/>
      <c r="Y384" s="974"/>
      <c r="Z384" s="974"/>
      <c r="AA384" s="974"/>
      <c r="AB384" s="974"/>
      <c r="AC384" s="974"/>
      <c r="AD384" s="974"/>
      <c r="AE384" s="974"/>
      <c r="AF384" s="974"/>
      <c r="AG384" s="974"/>
      <c r="AH384" s="974"/>
      <c r="AI384" s="1198"/>
      <c r="AJ384" s="974"/>
      <c r="AK384" s="1197"/>
      <c r="AL384" s="974"/>
      <c r="AM384" s="974"/>
      <c r="AN384" s="974"/>
      <c r="AO384" s="974"/>
      <c r="AP384" s="974"/>
      <c r="AQ384" s="974"/>
      <c r="AR384" s="974"/>
      <c r="AS384" s="974"/>
      <c r="AT384" s="974"/>
      <c r="AU384" s="974"/>
      <c r="AV384" s="974"/>
      <c r="AW384" s="1181"/>
      <c r="AX384" s="978"/>
      <c r="AY384" s="898"/>
      <c r="AZ384" s="898"/>
      <c r="BA384" s="898"/>
      <c r="BB384" s="898"/>
      <c r="BC384" s="898"/>
      <c r="BD384" s="898"/>
      <c r="BE384" s="898"/>
      <c r="BF384" s="898"/>
      <c r="BG384" s="898"/>
      <c r="BH384" s="898"/>
      <c r="BI384" s="898"/>
      <c r="BJ384" s="898"/>
      <c r="BK384" s="898"/>
      <c r="BL384" s="898"/>
      <c r="BM384" s="898"/>
      <c r="BN384" s="898"/>
      <c r="BO384" s="898"/>
      <c r="BP384" s="898"/>
      <c r="BQ384" s="898"/>
      <c r="BR384" s="898"/>
      <c r="BS384" s="898"/>
      <c r="BT384" s="898"/>
      <c r="BU384" s="898"/>
      <c r="BV384" s="898"/>
      <c r="BW384" s="898"/>
      <c r="BX384" s="898"/>
      <c r="BY384" s="898"/>
      <c r="BZ384" s="898"/>
      <c r="CA384" s="898"/>
      <c r="CB384" s="898"/>
      <c r="CC384" s="898"/>
      <c r="CD384" s="898"/>
      <c r="CE384" s="898"/>
      <c r="CF384" s="898"/>
      <c r="CG384" s="898"/>
      <c r="CH384" s="898"/>
      <c r="CI384" s="898"/>
      <c r="CJ384" s="898"/>
      <c r="CK384" s="898"/>
      <c r="CL384" s="898"/>
      <c r="CM384" s="898"/>
      <c r="CN384" s="898"/>
      <c r="CO384" s="898"/>
      <c r="CP384" s="898"/>
      <c r="CQ384" s="898"/>
      <c r="CR384" s="898"/>
      <c r="CS384" s="898"/>
      <c r="CT384" s="898"/>
      <c r="CU384" s="898"/>
    </row>
    <row r="385" ht="16.5" customHeight="1">
      <c r="A385" s="718"/>
      <c r="B385" s="1195"/>
      <c r="C385" s="866"/>
      <c r="D385" s="968"/>
      <c r="E385" s="718"/>
      <c r="F385" s="718"/>
      <c r="G385" s="718"/>
      <c r="H385" s="718"/>
      <c r="I385" s="359"/>
      <c r="J385" s="359"/>
      <c r="K385" s="359"/>
      <c r="L385" s="359"/>
      <c r="M385" s="359"/>
      <c r="N385" s="359"/>
      <c r="O385" s="359"/>
      <c r="P385" s="359"/>
      <c r="Q385" s="359"/>
      <c r="R385" s="718"/>
      <c r="S385" s="669"/>
      <c r="T385" s="669"/>
      <c r="U385" s="967"/>
      <c r="V385" s="974"/>
      <c r="W385" s="1197"/>
      <c r="X385" s="974"/>
      <c r="Y385" s="974"/>
      <c r="Z385" s="974"/>
      <c r="AA385" s="974"/>
      <c r="AB385" s="974"/>
      <c r="AC385" s="974"/>
      <c r="AD385" s="974"/>
      <c r="AE385" s="974"/>
      <c r="AF385" s="974"/>
      <c r="AG385" s="974"/>
      <c r="AH385" s="974"/>
      <c r="AI385" s="1198"/>
      <c r="AJ385" s="974"/>
      <c r="AK385" s="1197"/>
      <c r="AL385" s="974"/>
      <c r="AM385" s="974"/>
      <c r="AN385" s="974"/>
      <c r="AO385" s="974"/>
      <c r="AP385" s="974"/>
      <c r="AQ385" s="974"/>
      <c r="AR385" s="974"/>
      <c r="AS385" s="974"/>
      <c r="AT385" s="974"/>
      <c r="AU385" s="974"/>
      <c r="AV385" s="974"/>
      <c r="AW385" s="1181"/>
      <c r="AX385" s="978"/>
      <c r="AY385" s="898"/>
      <c r="AZ385" s="898"/>
      <c r="BA385" s="898"/>
      <c r="BB385" s="898"/>
      <c r="BC385" s="898"/>
      <c r="BD385" s="898"/>
      <c r="BE385" s="898"/>
      <c r="BF385" s="898"/>
      <c r="BG385" s="898"/>
      <c r="BH385" s="898"/>
      <c r="BI385" s="898"/>
      <c r="BJ385" s="898"/>
      <c r="BK385" s="898"/>
      <c r="BL385" s="898"/>
      <c r="BM385" s="898"/>
      <c r="BN385" s="898"/>
      <c r="BO385" s="898"/>
      <c r="BP385" s="898"/>
      <c r="BQ385" s="898"/>
      <c r="BR385" s="898"/>
      <c r="BS385" s="898"/>
      <c r="BT385" s="898"/>
      <c r="BU385" s="898"/>
      <c r="BV385" s="898"/>
      <c r="BW385" s="898"/>
      <c r="BX385" s="898"/>
      <c r="BY385" s="898"/>
      <c r="BZ385" s="898"/>
      <c r="CA385" s="898"/>
      <c r="CB385" s="898"/>
      <c r="CC385" s="898"/>
      <c r="CD385" s="898"/>
      <c r="CE385" s="898"/>
      <c r="CF385" s="898"/>
      <c r="CG385" s="898"/>
      <c r="CH385" s="898"/>
      <c r="CI385" s="898"/>
      <c r="CJ385" s="898"/>
      <c r="CK385" s="898"/>
      <c r="CL385" s="898"/>
      <c r="CM385" s="898"/>
      <c r="CN385" s="898"/>
      <c r="CO385" s="898"/>
      <c r="CP385" s="898"/>
      <c r="CQ385" s="898"/>
      <c r="CR385" s="898"/>
      <c r="CS385" s="898"/>
      <c r="CT385" s="898"/>
      <c r="CU385" s="898"/>
    </row>
    <row r="386" ht="16.5" customHeight="1">
      <c r="A386" s="718"/>
      <c r="B386" s="1195"/>
      <c r="C386" s="866"/>
      <c r="D386" s="968"/>
      <c r="E386" s="718"/>
      <c r="F386" s="718"/>
      <c r="G386" s="718"/>
      <c r="H386" s="718"/>
      <c r="I386" s="359"/>
      <c r="J386" s="359"/>
      <c r="K386" s="359"/>
      <c r="L386" s="359"/>
      <c r="M386" s="359"/>
      <c r="N386" s="359"/>
      <c r="O386" s="359"/>
      <c r="P386" s="359"/>
      <c r="Q386" s="359"/>
      <c r="R386" s="718"/>
      <c r="S386" s="669"/>
      <c r="T386" s="669"/>
      <c r="U386" s="967"/>
      <c r="V386" s="974"/>
      <c r="W386" s="1197"/>
      <c r="X386" s="974"/>
      <c r="Y386" s="974"/>
      <c r="Z386" s="974"/>
      <c r="AA386" s="974"/>
      <c r="AB386" s="974"/>
      <c r="AC386" s="974"/>
      <c r="AD386" s="974"/>
      <c r="AE386" s="974"/>
      <c r="AF386" s="974"/>
      <c r="AG386" s="974"/>
      <c r="AH386" s="974"/>
      <c r="AI386" s="1198"/>
      <c r="AJ386" s="974"/>
      <c r="AK386" s="1197"/>
      <c r="AL386" s="974"/>
      <c r="AM386" s="974"/>
      <c r="AN386" s="974"/>
      <c r="AO386" s="974"/>
      <c r="AP386" s="974"/>
      <c r="AQ386" s="974"/>
      <c r="AR386" s="974"/>
      <c r="AS386" s="974"/>
      <c r="AT386" s="974"/>
      <c r="AU386" s="974"/>
      <c r="AV386" s="974"/>
      <c r="AW386" s="1181"/>
      <c r="AX386" s="978"/>
      <c r="AY386" s="898"/>
      <c r="AZ386" s="898"/>
      <c r="BA386" s="898"/>
      <c r="BB386" s="898"/>
      <c r="BC386" s="898"/>
      <c r="BD386" s="898"/>
      <c r="BE386" s="898"/>
      <c r="BF386" s="898"/>
      <c r="BG386" s="898"/>
      <c r="BH386" s="898"/>
      <c r="BI386" s="898"/>
      <c r="BJ386" s="898"/>
      <c r="BK386" s="898"/>
      <c r="BL386" s="898"/>
      <c r="BM386" s="898"/>
      <c r="BN386" s="898"/>
      <c r="BO386" s="898"/>
      <c r="BP386" s="898"/>
      <c r="BQ386" s="898"/>
      <c r="BR386" s="898"/>
      <c r="BS386" s="898"/>
      <c r="BT386" s="898"/>
      <c r="BU386" s="898"/>
      <c r="BV386" s="898"/>
      <c r="BW386" s="898"/>
      <c r="BX386" s="898"/>
      <c r="BY386" s="898"/>
      <c r="BZ386" s="898"/>
      <c r="CA386" s="898"/>
      <c r="CB386" s="898"/>
      <c r="CC386" s="898"/>
      <c r="CD386" s="898"/>
      <c r="CE386" s="898"/>
      <c r="CF386" s="898"/>
      <c r="CG386" s="898"/>
      <c r="CH386" s="898"/>
      <c r="CI386" s="898"/>
      <c r="CJ386" s="898"/>
      <c r="CK386" s="898"/>
      <c r="CL386" s="898"/>
      <c r="CM386" s="898"/>
      <c r="CN386" s="898"/>
      <c r="CO386" s="898"/>
      <c r="CP386" s="898"/>
      <c r="CQ386" s="898"/>
      <c r="CR386" s="898"/>
      <c r="CS386" s="898"/>
      <c r="CT386" s="898"/>
      <c r="CU386" s="898"/>
    </row>
    <row r="387" ht="16.5" customHeight="1">
      <c r="A387" s="718"/>
      <c r="B387" s="1195"/>
      <c r="C387" s="866"/>
      <c r="D387" s="968"/>
      <c r="E387" s="718"/>
      <c r="F387" s="718"/>
      <c r="G387" s="718"/>
      <c r="H387" s="718"/>
      <c r="I387" s="359"/>
      <c r="J387" s="359"/>
      <c r="K387" s="359"/>
      <c r="L387" s="359"/>
      <c r="M387" s="359"/>
      <c r="N387" s="359"/>
      <c r="O387" s="359"/>
      <c r="P387" s="359"/>
      <c r="Q387" s="359"/>
      <c r="R387" s="718"/>
      <c r="S387" s="669"/>
      <c r="T387" s="669"/>
      <c r="U387" s="967"/>
      <c r="V387" s="974"/>
      <c r="W387" s="1197"/>
      <c r="X387" s="974"/>
      <c r="Y387" s="974"/>
      <c r="Z387" s="974"/>
      <c r="AA387" s="974"/>
      <c r="AB387" s="974"/>
      <c r="AC387" s="974"/>
      <c r="AD387" s="974"/>
      <c r="AE387" s="974"/>
      <c r="AF387" s="974"/>
      <c r="AG387" s="974"/>
      <c r="AH387" s="974"/>
      <c r="AI387" s="1198"/>
      <c r="AJ387" s="974"/>
      <c r="AK387" s="1197"/>
      <c r="AL387" s="974"/>
      <c r="AM387" s="974"/>
      <c r="AN387" s="974"/>
      <c r="AO387" s="974"/>
      <c r="AP387" s="974"/>
      <c r="AQ387" s="974"/>
      <c r="AR387" s="974"/>
      <c r="AS387" s="974"/>
      <c r="AT387" s="974"/>
      <c r="AU387" s="974"/>
      <c r="AV387" s="974"/>
      <c r="AW387" s="1181"/>
      <c r="AX387" s="978"/>
      <c r="AY387" s="898"/>
      <c r="AZ387" s="898"/>
      <c r="BA387" s="898"/>
      <c r="BB387" s="898"/>
      <c r="BC387" s="898"/>
      <c r="BD387" s="898"/>
      <c r="BE387" s="898"/>
      <c r="BF387" s="898"/>
      <c r="BG387" s="898"/>
      <c r="BH387" s="898"/>
      <c r="BI387" s="898"/>
      <c r="BJ387" s="898"/>
      <c r="BK387" s="898"/>
      <c r="BL387" s="898"/>
      <c r="BM387" s="898"/>
      <c r="BN387" s="898"/>
      <c r="BO387" s="898"/>
      <c r="BP387" s="898"/>
      <c r="BQ387" s="898"/>
      <c r="BR387" s="898"/>
      <c r="BS387" s="898"/>
      <c r="BT387" s="898"/>
      <c r="BU387" s="898"/>
      <c r="BV387" s="898"/>
      <c r="BW387" s="898"/>
      <c r="BX387" s="898"/>
      <c r="BY387" s="898"/>
      <c r="BZ387" s="898"/>
      <c r="CA387" s="898"/>
      <c r="CB387" s="898"/>
      <c r="CC387" s="898"/>
      <c r="CD387" s="898"/>
      <c r="CE387" s="898"/>
      <c r="CF387" s="898"/>
      <c r="CG387" s="898"/>
      <c r="CH387" s="898"/>
      <c r="CI387" s="898"/>
      <c r="CJ387" s="898"/>
      <c r="CK387" s="898"/>
      <c r="CL387" s="898"/>
      <c r="CM387" s="898"/>
      <c r="CN387" s="898"/>
      <c r="CO387" s="898"/>
      <c r="CP387" s="898"/>
      <c r="CQ387" s="898"/>
      <c r="CR387" s="898"/>
      <c r="CS387" s="898"/>
      <c r="CT387" s="898"/>
      <c r="CU387" s="898"/>
    </row>
    <row r="388" ht="16.5" customHeight="1">
      <c r="A388" s="718"/>
      <c r="B388" s="1195"/>
      <c r="C388" s="866"/>
      <c r="D388" s="968"/>
      <c r="E388" s="718"/>
      <c r="F388" s="718"/>
      <c r="G388" s="718"/>
      <c r="H388" s="718"/>
      <c r="I388" s="359"/>
      <c r="J388" s="359"/>
      <c r="K388" s="359"/>
      <c r="L388" s="359"/>
      <c r="M388" s="359"/>
      <c r="N388" s="359"/>
      <c r="O388" s="359"/>
      <c r="P388" s="359"/>
      <c r="Q388" s="359"/>
      <c r="R388" s="718"/>
      <c r="S388" s="669"/>
      <c r="T388" s="669"/>
      <c r="U388" s="967"/>
      <c r="V388" s="974"/>
      <c r="W388" s="1197"/>
      <c r="X388" s="974"/>
      <c r="Y388" s="974"/>
      <c r="Z388" s="974"/>
      <c r="AA388" s="974"/>
      <c r="AB388" s="974"/>
      <c r="AC388" s="974"/>
      <c r="AD388" s="974"/>
      <c r="AE388" s="974"/>
      <c r="AF388" s="974"/>
      <c r="AG388" s="974"/>
      <c r="AH388" s="974"/>
      <c r="AI388" s="1198"/>
      <c r="AJ388" s="974"/>
      <c r="AK388" s="1197"/>
      <c r="AL388" s="974"/>
      <c r="AM388" s="974"/>
      <c r="AN388" s="974"/>
      <c r="AO388" s="974"/>
      <c r="AP388" s="974"/>
      <c r="AQ388" s="974"/>
      <c r="AR388" s="974"/>
      <c r="AS388" s="974"/>
      <c r="AT388" s="974"/>
      <c r="AU388" s="974"/>
      <c r="AV388" s="974"/>
      <c r="AW388" s="1181"/>
      <c r="AX388" s="978"/>
      <c r="AY388" s="898"/>
      <c r="AZ388" s="898"/>
      <c r="BA388" s="898"/>
      <c r="BB388" s="898"/>
      <c r="BC388" s="898"/>
      <c r="BD388" s="898"/>
      <c r="BE388" s="898"/>
      <c r="BF388" s="898"/>
      <c r="BG388" s="898"/>
      <c r="BH388" s="898"/>
      <c r="BI388" s="898"/>
      <c r="BJ388" s="898"/>
      <c r="BK388" s="898"/>
      <c r="BL388" s="898"/>
      <c r="BM388" s="898"/>
      <c r="BN388" s="898"/>
      <c r="BO388" s="898"/>
      <c r="BP388" s="898"/>
      <c r="BQ388" s="898"/>
      <c r="BR388" s="898"/>
      <c r="BS388" s="898"/>
      <c r="BT388" s="898"/>
      <c r="BU388" s="898"/>
      <c r="BV388" s="898"/>
      <c r="BW388" s="898"/>
      <c r="BX388" s="898"/>
      <c r="BY388" s="898"/>
      <c r="BZ388" s="898"/>
      <c r="CA388" s="898"/>
      <c r="CB388" s="898"/>
      <c r="CC388" s="898"/>
      <c r="CD388" s="898"/>
      <c r="CE388" s="898"/>
      <c r="CF388" s="898"/>
      <c r="CG388" s="898"/>
      <c r="CH388" s="898"/>
      <c r="CI388" s="898"/>
      <c r="CJ388" s="898"/>
      <c r="CK388" s="898"/>
      <c r="CL388" s="898"/>
      <c r="CM388" s="898"/>
      <c r="CN388" s="898"/>
      <c r="CO388" s="898"/>
      <c r="CP388" s="898"/>
      <c r="CQ388" s="898"/>
      <c r="CR388" s="898"/>
      <c r="CS388" s="898"/>
      <c r="CT388" s="898"/>
      <c r="CU388" s="898"/>
    </row>
    <row r="389" ht="16.5" customHeight="1">
      <c r="A389" s="718"/>
      <c r="B389" s="1195"/>
      <c r="C389" s="866"/>
      <c r="D389" s="968"/>
      <c r="E389" s="718"/>
      <c r="F389" s="718"/>
      <c r="G389" s="718"/>
      <c r="H389" s="718"/>
      <c r="I389" s="359"/>
      <c r="J389" s="359"/>
      <c r="K389" s="359"/>
      <c r="L389" s="359"/>
      <c r="M389" s="359"/>
      <c r="N389" s="359"/>
      <c r="O389" s="359"/>
      <c r="P389" s="359"/>
      <c r="Q389" s="359"/>
      <c r="R389" s="718"/>
      <c r="S389" s="669"/>
      <c r="T389" s="669"/>
      <c r="U389" s="967"/>
      <c r="V389" s="974"/>
      <c r="W389" s="1197"/>
      <c r="X389" s="974"/>
      <c r="Y389" s="974"/>
      <c r="Z389" s="974"/>
      <c r="AA389" s="974"/>
      <c r="AB389" s="974"/>
      <c r="AC389" s="974"/>
      <c r="AD389" s="974"/>
      <c r="AE389" s="974"/>
      <c r="AF389" s="974"/>
      <c r="AG389" s="974"/>
      <c r="AH389" s="974"/>
      <c r="AI389" s="1198"/>
      <c r="AJ389" s="974"/>
      <c r="AK389" s="1197"/>
      <c r="AL389" s="974"/>
      <c r="AM389" s="974"/>
      <c r="AN389" s="974"/>
      <c r="AO389" s="974"/>
      <c r="AP389" s="974"/>
      <c r="AQ389" s="974"/>
      <c r="AR389" s="974"/>
      <c r="AS389" s="974"/>
      <c r="AT389" s="974"/>
      <c r="AU389" s="974"/>
      <c r="AV389" s="974"/>
      <c r="AW389" s="1181"/>
      <c r="AX389" s="978"/>
      <c r="AY389" s="898"/>
      <c r="AZ389" s="898"/>
      <c r="BA389" s="898"/>
      <c r="BB389" s="898"/>
      <c r="BC389" s="898"/>
      <c r="BD389" s="898"/>
      <c r="BE389" s="898"/>
      <c r="BF389" s="898"/>
      <c r="BG389" s="898"/>
      <c r="BH389" s="898"/>
      <c r="BI389" s="898"/>
      <c r="BJ389" s="898"/>
      <c r="BK389" s="898"/>
      <c r="BL389" s="898"/>
      <c r="BM389" s="898"/>
      <c r="BN389" s="898"/>
      <c r="BO389" s="898"/>
      <c r="BP389" s="898"/>
      <c r="BQ389" s="898"/>
      <c r="BR389" s="898"/>
      <c r="BS389" s="898"/>
      <c r="BT389" s="898"/>
      <c r="BU389" s="898"/>
      <c r="BV389" s="898"/>
      <c r="BW389" s="898"/>
      <c r="BX389" s="898"/>
      <c r="BY389" s="898"/>
      <c r="BZ389" s="898"/>
      <c r="CA389" s="898"/>
      <c r="CB389" s="898"/>
      <c r="CC389" s="898"/>
      <c r="CD389" s="898"/>
      <c r="CE389" s="898"/>
      <c r="CF389" s="898"/>
      <c r="CG389" s="898"/>
      <c r="CH389" s="898"/>
      <c r="CI389" s="898"/>
      <c r="CJ389" s="898"/>
      <c r="CK389" s="898"/>
      <c r="CL389" s="898"/>
      <c r="CM389" s="898"/>
      <c r="CN389" s="898"/>
      <c r="CO389" s="898"/>
      <c r="CP389" s="898"/>
      <c r="CQ389" s="898"/>
      <c r="CR389" s="898"/>
      <c r="CS389" s="898"/>
      <c r="CT389" s="898"/>
      <c r="CU389" s="898"/>
    </row>
    <row r="390" ht="16.5" customHeight="1">
      <c r="A390" s="718"/>
      <c r="B390" s="1195"/>
      <c r="C390" s="866"/>
      <c r="D390" s="968"/>
      <c r="E390" s="718"/>
      <c r="F390" s="718"/>
      <c r="G390" s="718"/>
      <c r="H390" s="718"/>
      <c r="I390" s="359"/>
      <c r="J390" s="359"/>
      <c r="K390" s="359"/>
      <c r="L390" s="359"/>
      <c r="M390" s="359"/>
      <c r="N390" s="359"/>
      <c r="O390" s="359"/>
      <c r="P390" s="359"/>
      <c r="Q390" s="359"/>
      <c r="R390" s="718"/>
      <c r="S390" s="669"/>
      <c r="T390" s="669"/>
      <c r="U390" s="967"/>
      <c r="V390" s="974"/>
      <c r="W390" s="1197"/>
      <c r="X390" s="974"/>
      <c r="Y390" s="974"/>
      <c r="Z390" s="974"/>
      <c r="AA390" s="974"/>
      <c r="AB390" s="974"/>
      <c r="AC390" s="974"/>
      <c r="AD390" s="974"/>
      <c r="AE390" s="974"/>
      <c r="AF390" s="974"/>
      <c r="AG390" s="974"/>
      <c r="AH390" s="974"/>
      <c r="AI390" s="1198"/>
      <c r="AJ390" s="974"/>
      <c r="AK390" s="1197"/>
      <c r="AL390" s="974"/>
      <c r="AM390" s="974"/>
      <c r="AN390" s="974"/>
      <c r="AO390" s="974"/>
      <c r="AP390" s="974"/>
      <c r="AQ390" s="974"/>
      <c r="AR390" s="974"/>
      <c r="AS390" s="974"/>
      <c r="AT390" s="974"/>
      <c r="AU390" s="974"/>
      <c r="AV390" s="974"/>
      <c r="AW390" s="1181"/>
      <c r="AX390" s="978"/>
      <c r="AY390" s="898"/>
      <c r="AZ390" s="898"/>
      <c r="BA390" s="898"/>
      <c r="BB390" s="898"/>
      <c r="BC390" s="898"/>
      <c r="BD390" s="898"/>
      <c r="BE390" s="898"/>
      <c r="BF390" s="898"/>
      <c r="BG390" s="898"/>
      <c r="BH390" s="898"/>
      <c r="BI390" s="898"/>
      <c r="BJ390" s="898"/>
      <c r="BK390" s="898"/>
      <c r="BL390" s="898"/>
      <c r="BM390" s="898"/>
      <c r="BN390" s="898"/>
      <c r="BO390" s="898"/>
      <c r="BP390" s="898"/>
      <c r="BQ390" s="898"/>
      <c r="BR390" s="898"/>
      <c r="BS390" s="898"/>
      <c r="BT390" s="898"/>
      <c r="BU390" s="898"/>
      <c r="BV390" s="898"/>
      <c r="BW390" s="898"/>
      <c r="BX390" s="898"/>
      <c r="BY390" s="898"/>
      <c r="BZ390" s="898"/>
      <c r="CA390" s="898"/>
      <c r="CB390" s="898"/>
      <c r="CC390" s="898"/>
      <c r="CD390" s="898"/>
      <c r="CE390" s="898"/>
      <c r="CF390" s="898"/>
      <c r="CG390" s="898"/>
      <c r="CH390" s="898"/>
      <c r="CI390" s="898"/>
      <c r="CJ390" s="898"/>
      <c r="CK390" s="898"/>
      <c r="CL390" s="898"/>
      <c r="CM390" s="898"/>
      <c r="CN390" s="898"/>
      <c r="CO390" s="898"/>
      <c r="CP390" s="898"/>
      <c r="CQ390" s="898"/>
      <c r="CR390" s="898"/>
      <c r="CS390" s="898"/>
      <c r="CT390" s="898"/>
      <c r="CU390" s="898"/>
    </row>
    <row r="391" ht="16.5" customHeight="1">
      <c r="A391" s="718"/>
      <c r="B391" s="1195"/>
      <c r="C391" s="866"/>
      <c r="D391" s="968"/>
      <c r="E391" s="718"/>
      <c r="F391" s="718"/>
      <c r="G391" s="718"/>
      <c r="H391" s="718"/>
      <c r="I391" s="359"/>
      <c r="J391" s="359"/>
      <c r="K391" s="359"/>
      <c r="L391" s="359"/>
      <c r="M391" s="359"/>
      <c r="N391" s="359"/>
      <c r="O391" s="359"/>
      <c r="P391" s="359"/>
      <c r="Q391" s="359"/>
      <c r="R391" s="718"/>
      <c r="S391" s="669"/>
      <c r="T391" s="669"/>
      <c r="U391" s="967"/>
      <c r="V391" s="974"/>
      <c r="W391" s="1197"/>
      <c r="X391" s="974"/>
      <c r="Y391" s="974"/>
      <c r="Z391" s="974"/>
      <c r="AA391" s="974"/>
      <c r="AB391" s="974"/>
      <c r="AC391" s="974"/>
      <c r="AD391" s="974"/>
      <c r="AE391" s="974"/>
      <c r="AF391" s="974"/>
      <c r="AG391" s="974"/>
      <c r="AH391" s="974"/>
      <c r="AI391" s="1198"/>
      <c r="AJ391" s="974"/>
      <c r="AK391" s="1197"/>
      <c r="AL391" s="974"/>
      <c r="AM391" s="974"/>
      <c r="AN391" s="974"/>
      <c r="AO391" s="974"/>
      <c r="AP391" s="974"/>
      <c r="AQ391" s="974"/>
      <c r="AR391" s="974"/>
      <c r="AS391" s="974"/>
      <c r="AT391" s="974"/>
      <c r="AU391" s="974"/>
      <c r="AV391" s="974"/>
      <c r="AW391" s="1181"/>
      <c r="AX391" s="978"/>
      <c r="AY391" s="898"/>
      <c r="AZ391" s="898"/>
      <c r="BA391" s="898"/>
      <c r="BB391" s="898"/>
      <c r="BC391" s="898"/>
      <c r="BD391" s="898"/>
      <c r="BE391" s="898"/>
      <c r="BF391" s="898"/>
      <c r="BG391" s="898"/>
      <c r="BH391" s="898"/>
      <c r="BI391" s="898"/>
      <c r="BJ391" s="898"/>
      <c r="BK391" s="898"/>
      <c r="BL391" s="898"/>
      <c r="BM391" s="898"/>
      <c r="BN391" s="898"/>
      <c r="BO391" s="898"/>
      <c r="BP391" s="898"/>
      <c r="BQ391" s="898"/>
      <c r="BR391" s="898"/>
      <c r="BS391" s="898"/>
      <c r="BT391" s="898"/>
      <c r="BU391" s="898"/>
      <c r="BV391" s="898"/>
      <c r="BW391" s="898"/>
      <c r="BX391" s="898"/>
      <c r="BY391" s="898"/>
      <c r="BZ391" s="898"/>
      <c r="CA391" s="898"/>
      <c r="CB391" s="898"/>
      <c r="CC391" s="898"/>
      <c r="CD391" s="898"/>
      <c r="CE391" s="898"/>
      <c r="CF391" s="898"/>
      <c r="CG391" s="898"/>
      <c r="CH391" s="898"/>
      <c r="CI391" s="898"/>
      <c r="CJ391" s="898"/>
      <c r="CK391" s="898"/>
      <c r="CL391" s="898"/>
      <c r="CM391" s="898"/>
      <c r="CN391" s="898"/>
      <c r="CO391" s="898"/>
      <c r="CP391" s="898"/>
      <c r="CQ391" s="898"/>
      <c r="CR391" s="898"/>
      <c r="CS391" s="898"/>
      <c r="CT391" s="898"/>
      <c r="CU391" s="898"/>
    </row>
    <row r="392" ht="16.5" customHeight="1">
      <c r="A392" s="718"/>
      <c r="B392" s="1195"/>
      <c r="C392" s="866"/>
      <c r="D392" s="968"/>
      <c r="E392" s="718"/>
      <c r="F392" s="718"/>
      <c r="G392" s="718"/>
      <c r="H392" s="718"/>
      <c r="I392" s="359"/>
      <c r="J392" s="359"/>
      <c r="K392" s="359"/>
      <c r="L392" s="359"/>
      <c r="M392" s="359"/>
      <c r="N392" s="359"/>
      <c r="O392" s="359"/>
      <c r="P392" s="359"/>
      <c r="Q392" s="359"/>
      <c r="R392" s="718"/>
      <c r="S392" s="669"/>
      <c r="T392" s="669"/>
      <c r="U392" s="967"/>
      <c r="V392" s="974"/>
      <c r="W392" s="1197"/>
      <c r="X392" s="974"/>
      <c r="Y392" s="974"/>
      <c r="Z392" s="974"/>
      <c r="AA392" s="974"/>
      <c r="AB392" s="974"/>
      <c r="AC392" s="974"/>
      <c r="AD392" s="974"/>
      <c r="AE392" s="974"/>
      <c r="AF392" s="974"/>
      <c r="AG392" s="974"/>
      <c r="AH392" s="974"/>
      <c r="AI392" s="1198"/>
      <c r="AJ392" s="974"/>
      <c r="AK392" s="1197"/>
      <c r="AL392" s="974"/>
      <c r="AM392" s="974"/>
      <c r="AN392" s="974"/>
      <c r="AO392" s="974"/>
      <c r="AP392" s="974"/>
      <c r="AQ392" s="974"/>
      <c r="AR392" s="974"/>
      <c r="AS392" s="974"/>
      <c r="AT392" s="974"/>
      <c r="AU392" s="974"/>
      <c r="AV392" s="974"/>
      <c r="AW392" s="1181"/>
      <c r="AX392" s="978"/>
      <c r="AY392" s="898"/>
      <c r="AZ392" s="898"/>
      <c r="BA392" s="898"/>
      <c r="BB392" s="898"/>
      <c r="BC392" s="898"/>
      <c r="BD392" s="898"/>
      <c r="BE392" s="898"/>
      <c r="BF392" s="898"/>
      <c r="BG392" s="898"/>
      <c r="BH392" s="898"/>
      <c r="BI392" s="898"/>
      <c r="BJ392" s="898"/>
      <c r="BK392" s="898"/>
      <c r="BL392" s="898"/>
      <c r="BM392" s="898"/>
      <c r="BN392" s="898"/>
      <c r="BO392" s="898"/>
      <c r="BP392" s="898"/>
      <c r="BQ392" s="898"/>
      <c r="BR392" s="898"/>
      <c r="BS392" s="898"/>
      <c r="BT392" s="898"/>
      <c r="BU392" s="898"/>
      <c r="BV392" s="898"/>
      <c r="BW392" s="898"/>
      <c r="BX392" s="898"/>
      <c r="BY392" s="898"/>
      <c r="BZ392" s="898"/>
      <c r="CA392" s="898"/>
      <c r="CB392" s="898"/>
      <c r="CC392" s="898"/>
      <c r="CD392" s="898"/>
      <c r="CE392" s="898"/>
      <c r="CF392" s="898"/>
      <c r="CG392" s="898"/>
      <c r="CH392" s="898"/>
      <c r="CI392" s="898"/>
      <c r="CJ392" s="898"/>
      <c r="CK392" s="898"/>
      <c r="CL392" s="898"/>
      <c r="CM392" s="898"/>
      <c r="CN392" s="898"/>
      <c r="CO392" s="898"/>
      <c r="CP392" s="898"/>
      <c r="CQ392" s="898"/>
      <c r="CR392" s="898"/>
      <c r="CS392" s="898"/>
      <c r="CT392" s="898"/>
      <c r="CU392" s="898"/>
    </row>
    <row r="393" ht="16.5" customHeight="1">
      <c r="A393" s="718"/>
      <c r="B393" s="1195"/>
      <c r="C393" s="866"/>
      <c r="D393" s="968"/>
      <c r="E393" s="718"/>
      <c r="F393" s="718"/>
      <c r="G393" s="718"/>
      <c r="H393" s="718"/>
      <c r="I393" s="359"/>
      <c r="J393" s="359"/>
      <c r="K393" s="359"/>
      <c r="L393" s="359"/>
      <c r="M393" s="359"/>
      <c r="N393" s="359"/>
      <c r="O393" s="359"/>
      <c r="P393" s="359"/>
      <c r="Q393" s="359"/>
      <c r="R393" s="718"/>
      <c r="S393" s="669"/>
      <c r="T393" s="669"/>
      <c r="U393" s="967"/>
      <c r="V393" s="974"/>
      <c r="W393" s="1197"/>
      <c r="X393" s="974"/>
      <c r="Y393" s="974"/>
      <c r="Z393" s="974"/>
      <c r="AA393" s="974"/>
      <c r="AB393" s="974"/>
      <c r="AC393" s="974"/>
      <c r="AD393" s="974"/>
      <c r="AE393" s="974"/>
      <c r="AF393" s="974"/>
      <c r="AG393" s="974"/>
      <c r="AH393" s="974"/>
      <c r="AI393" s="1198"/>
      <c r="AJ393" s="974"/>
      <c r="AK393" s="1197"/>
      <c r="AL393" s="974"/>
      <c r="AM393" s="974"/>
      <c r="AN393" s="974"/>
      <c r="AO393" s="974"/>
      <c r="AP393" s="974"/>
      <c r="AQ393" s="974"/>
      <c r="AR393" s="974"/>
      <c r="AS393" s="974"/>
      <c r="AT393" s="974"/>
      <c r="AU393" s="974"/>
      <c r="AV393" s="974"/>
      <c r="AW393" s="1181"/>
      <c r="AX393" s="978"/>
      <c r="AY393" s="898"/>
      <c r="AZ393" s="898"/>
      <c r="BA393" s="898"/>
      <c r="BB393" s="898"/>
      <c r="BC393" s="898"/>
      <c r="BD393" s="898"/>
      <c r="BE393" s="898"/>
      <c r="BF393" s="898"/>
      <c r="BG393" s="898"/>
      <c r="BH393" s="898"/>
      <c r="BI393" s="898"/>
      <c r="BJ393" s="898"/>
      <c r="BK393" s="898"/>
      <c r="BL393" s="898"/>
      <c r="BM393" s="898"/>
      <c r="BN393" s="898"/>
      <c r="BO393" s="898"/>
      <c r="BP393" s="898"/>
      <c r="BQ393" s="898"/>
      <c r="BR393" s="898"/>
      <c r="BS393" s="898"/>
      <c r="BT393" s="898"/>
      <c r="BU393" s="898"/>
      <c r="BV393" s="898"/>
      <c r="BW393" s="898"/>
      <c r="BX393" s="898"/>
      <c r="BY393" s="898"/>
      <c r="BZ393" s="898"/>
      <c r="CA393" s="898"/>
      <c r="CB393" s="898"/>
      <c r="CC393" s="898"/>
      <c r="CD393" s="898"/>
      <c r="CE393" s="898"/>
      <c r="CF393" s="898"/>
      <c r="CG393" s="898"/>
      <c r="CH393" s="898"/>
      <c r="CI393" s="898"/>
      <c r="CJ393" s="898"/>
      <c r="CK393" s="898"/>
      <c r="CL393" s="898"/>
      <c r="CM393" s="898"/>
      <c r="CN393" s="898"/>
      <c r="CO393" s="898"/>
      <c r="CP393" s="898"/>
      <c r="CQ393" s="898"/>
      <c r="CR393" s="898"/>
      <c r="CS393" s="898"/>
      <c r="CT393" s="898"/>
      <c r="CU393" s="898"/>
    </row>
    <row r="394" ht="16.5" customHeight="1">
      <c r="A394" s="718"/>
      <c r="B394" s="1195"/>
      <c r="C394" s="866"/>
      <c r="D394" s="968"/>
      <c r="E394" s="718"/>
      <c r="F394" s="718"/>
      <c r="G394" s="718"/>
      <c r="H394" s="718"/>
      <c r="I394" s="359"/>
      <c r="J394" s="359"/>
      <c r="K394" s="359"/>
      <c r="L394" s="359"/>
      <c r="M394" s="359"/>
      <c r="N394" s="359"/>
      <c r="O394" s="359"/>
      <c r="P394" s="359"/>
      <c r="Q394" s="359"/>
      <c r="R394" s="718"/>
      <c r="S394" s="669"/>
      <c r="T394" s="669"/>
      <c r="U394" s="967"/>
      <c r="V394" s="974"/>
      <c r="W394" s="1197"/>
      <c r="X394" s="974"/>
      <c r="Y394" s="974"/>
      <c r="Z394" s="974"/>
      <c r="AA394" s="974"/>
      <c r="AB394" s="974"/>
      <c r="AC394" s="974"/>
      <c r="AD394" s="974"/>
      <c r="AE394" s="974"/>
      <c r="AF394" s="974"/>
      <c r="AG394" s="974"/>
      <c r="AH394" s="974"/>
      <c r="AI394" s="1198"/>
      <c r="AJ394" s="974"/>
      <c r="AK394" s="1197"/>
      <c r="AL394" s="974"/>
      <c r="AM394" s="974"/>
      <c r="AN394" s="974"/>
      <c r="AO394" s="974"/>
      <c r="AP394" s="974"/>
      <c r="AQ394" s="974"/>
      <c r="AR394" s="974"/>
      <c r="AS394" s="974"/>
      <c r="AT394" s="974"/>
      <c r="AU394" s="974"/>
      <c r="AV394" s="974"/>
      <c r="AW394" s="1181"/>
      <c r="AX394" s="978"/>
      <c r="AY394" s="898"/>
      <c r="AZ394" s="898"/>
      <c r="BA394" s="898"/>
      <c r="BB394" s="898"/>
      <c r="BC394" s="898"/>
      <c r="BD394" s="898"/>
      <c r="BE394" s="898"/>
      <c r="BF394" s="898"/>
      <c r="BG394" s="898"/>
      <c r="BH394" s="898"/>
      <c r="BI394" s="898"/>
      <c r="BJ394" s="898"/>
      <c r="BK394" s="898"/>
      <c r="BL394" s="898"/>
      <c r="BM394" s="898"/>
      <c r="BN394" s="898"/>
      <c r="BO394" s="898"/>
      <c r="BP394" s="898"/>
      <c r="BQ394" s="898"/>
      <c r="BR394" s="898"/>
      <c r="BS394" s="898"/>
      <c r="BT394" s="898"/>
      <c r="BU394" s="898"/>
      <c r="BV394" s="898"/>
      <c r="BW394" s="898"/>
      <c r="BX394" s="898"/>
      <c r="BY394" s="898"/>
      <c r="BZ394" s="898"/>
      <c r="CA394" s="898"/>
      <c r="CB394" s="898"/>
      <c r="CC394" s="898"/>
      <c r="CD394" s="898"/>
      <c r="CE394" s="898"/>
      <c r="CF394" s="898"/>
      <c r="CG394" s="898"/>
      <c r="CH394" s="898"/>
      <c r="CI394" s="898"/>
      <c r="CJ394" s="898"/>
      <c r="CK394" s="898"/>
      <c r="CL394" s="898"/>
      <c r="CM394" s="898"/>
      <c r="CN394" s="898"/>
      <c r="CO394" s="898"/>
      <c r="CP394" s="898"/>
      <c r="CQ394" s="898"/>
      <c r="CR394" s="898"/>
      <c r="CS394" s="898"/>
      <c r="CT394" s="898"/>
      <c r="CU394" s="898"/>
    </row>
    <row r="395" ht="16.5" customHeight="1">
      <c r="A395" s="718"/>
      <c r="B395" s="1195"/>
      <c r="C395" s="866"/>
      <c r="D395" s="968"/>
      <c r="E395" s="718"/>
      <c r="F395" s="718"/>
      <c r="G395" s="718"/>
      <c r="H395" s="718"/>
      <c r="I395" s="359"/>
      <c r="J395" s="359"/>
      <c r="K395" s="359"/>
      <c r="L395" s="359"/>
      <c r="M395" s="359"/>
      <c r="N395" s="359"/>
      <c r="O395" s="359"/>
      <c r="P395" s="359"/>
      <c r="Q395" s="359"/>
      <c r="R395" s="718"/>
      <c r="S395" s="669"/>
      <c r="T395" s="669"/>
      <c r="U395" s="967"/>
      <c r="V395" s="974"/>
      <c r="W395" s="1197"/>
      <c r="X395" s="974"/>
      <c r="Y395" s="974"/>
      <c r="Z395" s="974"/>
      <c r="AA395" s="974"/>
      <c r="AB395" s="974"/>
      <c r="AC395" s="974"/>
      <c r="AD395" s="974"/>
      <c r="AE395" s="974"/>
      <c r="AF395" s="974"/>
      <c r="AG395" s="974"/>
      <c r="AH395" s="974"/>
      <c r="AI395" s="1198"/>
      <c r="AJ395" s="974"/>
      <c r="AK395" s="1197"/>
      <c r="AL395" s="974"/>
      <c r="AM395" s="974"/>
      <c r="AN395" s="974"/>
      <c r="AO395" s="974"/>
      <c r="AP395" s="974"/>
      <c r="AQ395" s="974"/>
      <c r="AR395" s="974"/>
      <c r="AS395" s="974"/>
      <c r="AT395" s="974"/>
      <c r="AU395" s="974"/>
      <c r="AV395" s="974"/>
      <c r="AW395" s="1181"/>
      <c r="AX395" s="978"/>
      <c r="AY395" s="898"/>
      <c r="AZ395" s="898"/>
      <c r="BA395" s="898"/>
      <c r="BB395" s="898"/>
      <c r="BC395" s="898"/>
      <c r="BD395" s="898"/>
      <c r="BE395" s="898"/>
      <c r="BF395" s="898"/>
      <c r="BG395" s="898"/>
      <c r="BH395" s="898"/>
      <c r="BI395" s="898"/>
      <c r="BJ395" s="898"/>
      <c r="BK395" s="898"/>
      <c r="BL395" s="898"/>
      <c r="BM395" s="898"/>
      <c r="BN395" s="898"/>
      <c r="BO395" s="898"/>
      <c r="BP395" s="898"/>
      <c r="BQ395" s="898"/>
      <c r="BR395" s="898"/>
      <c r="BS395" s="898"/>
      <c r="BT395" s="898"/>
      <c r="BU395" s="898"/>
      <c r="BV395" s="898"/>
      <c r="BW395" s="898"/>
      <c r="BX395" s="898"/>
      <c r="BY395" s="898"/>
      <c r="BZ395" s="898"/>
      <c r="CA395" s="898"/>
      <c r="CB395" s="898"/>
      <c r="CC395" s="898"/>
      <c r="CD395" s="898"/>
      <c r="CE395" s="898"/>
      <c r="CF395" s="898"/>
      <c r="CG395" s="898"/>
      <c r="CH395" s="898"/>
      <c r="CI395" s="898"/>
      <c r="CJ395" s="898"/>
      <c r="CK395" s="898"/>
      <c r="CL395" s="898"/>
      <c r="CM395" s="898"/>
      <c r="CN395" s="898"/>
      <c r="CO395" s="898"/>
      <c r="CP395" s="898"/>
      <c r="CQ395" s="898"/>
      <c r="CR395" s="898"/>
      <c r="CS395" s="898"/>
      <c r="CT395" s="898"/>
      <c r="CU395" s="898"/>
    </row>
    <row r="396" ht="16.5" customHeight="1">
      <c r="A396" s="718"/>
      <c r="B396" s="1195"/>
      <c r="C396" s="866"/>
      <c r="D396" s="968"/>
      <c r="E396" s="718"/>
      <c r="F396" s="718"/>
      <c r="G396" s="718"/>
      <c r="H396" s="718"/>
      <c r="I396" s="359"/>
      <c r="J396" s="359"/>
      <c r="K396" s="359"/>
      <c r="L396" s="359"/>
      <c r="M396" s="359"/>
      <c r="N396" s="359"/>
      <c r="O396" s="359"/>
      <c r="P396" s="359"/>
      <c r="Q396" s="359"/>
      <c r="R396" s="718"/>
      <c r="S396" s="669"/>
      <c r="T396" s="669"/>
      <c r="U396" s="967"/>
      <c r="V396" s="974"/>
      <c r="W396" s="1197"/>
      <c r="X396" s="974"/>
      <c r="Y396" s="974"/>
      <c r="Z396" s="974"/>
      <c r="AA396" s="974"/>
      <c r="AB396" s="974"/>
      <c r="AC396" s="974"/>
      <c r="AD396" s="974"/>
      <c r="AE396" s="974"/>
      <c r="AF396" s="974"/>
      <c r="AG396" s="974"/>
      <c r="AH396" s="974"/>
      <c r="AI396" s="1198"/>
      <c r="AJ396" s="974"/>
      <c r="AK396" s="1197"/>
      <c r="AL396" s="974"/>
      <c r="AM396" s="974"/>
      <c r="AN396" s="974"/>
      <c r="AO396" s="974"/>
      <c r="AP396" s="974"/>
      <c r="AQ396" s="974"/>
      <c r="AR396" s="974"/>
      <c r="AS396" s="974"/>
      <c r="AT396" s="974"/>
      <c r="AU396" s="974"/>
      <c r="AV396" s="974"/>
      <c r="AW396" s="1181"/>
      <c r="AX396" s="978"/>
      <c r="AY396" s="898"/>
      <c r="AZ396" s="898"/>
      <c r="BA396" s="898"/>
      <c r="BB396" s="898"/>
      <c r="BC396" s="898"/>
      <c r="BD396" s="898"/>
      <c r="BE396" s="898"/>
      <c r="BF396" s="898"/>
      <c r="BG396" s="898"/>
      <c r="BH396" s="898"/>
      <c r="BI396" s="898"/>
      <c r="BJ396" s="898"/>
      <c r="BK396" s="898"/>
      <c r="BL396" s="898"/>
      <c r="BM396" s="898"/>
      <c r="BN396" s="898"/>
      <c r="BO396" s="898"/>
      <c r="BP396" s="898"/>
      <c r="BQ396" s="898"/>
      <c r="BR396" s="898"/>
      <c r="BS396" s="898"/>
      <c r="BT396" s="898"/>
      <c r="BU396" s="898"/>
      <c r="BV396" s="898"/>
      <c r="BW396" s="898"/>
      <c r="BX396" s="898"/>
      <c r="BY396" s="898"/>
      <c r="BZ396" s="898"/>
      <c r="CA396" s="898"/>
      <c r="CB396" s="898"/>
      <c r="CC396" s="898"/>
      <c r="CD396" s="898"/>
      <c r="CE396" s="898"/>
      <c r="CF396" s="898"/>
      <c r="CG396" s="898"/>
      <c r="CH396" s="898"/>
      <c r="CI396" s="898"/>
      <c r="CJ396" s="898"/>
      <c r="CK396" s="898"/>
      <c r="CL396" s="898"/>
      <c r="CM396" s="898"/>
      <c r="CN396" s="898"/>
      <c r="CO396" s="898"/>
      <c r="CP396" s="898"/>
      <c r="CQ396" s="898"/>
      <c r="CR396" s="898"/>
      <c r="CS396" s="898"/>
      <c r="CT396" s="898"/>
      <c r="CU396" s="898"/>
    </row>
    <row r="397" ht="16.5" customHeight="1">
      <c r="A397" s="718"/>
      <c r="B397" s="1195"/>
      <c r="C397" s="866"/>
      <c r="D397" s="968"/>
      <c r="E397" s="718"/>
      <c r="F397" s="718"/>
      <c r="G397" s="718"/>
      <c r="H397" s="718"/>
      <c r="I397" s="359"/>
      <c r="J397" s="359"/>
      <c r="K397" s="359"/>
      <c r="L397" s="359"/>
      <c r="M397" s="359"/>
      <c r="N397" s="359"/>
      <c r="O397" s="359"/>
      <c r="P397" s="359"/>
      <c r="Q397" s="359"/>
      <c r="R397" s="718"/>
      <c r="S397" s="669"/>
      <c r="T397" s="669"/>
      <c r="U397" s="967"/>
      <c r="V397" s="974"/>
      <c r="W397" s="1197"/>
      <c r="X397" s="974"/>
      <c r="Y397" s="974"/>
      <c r="Z397" s="974"/>
      <c r="AA397" s="974"/>
      <c r="AB397" s="974"/>
      <c r="AC397" s="974"/>
      <c r="AD397" s="974"/>
      <c r="AE397" s="974"/>
      <c r="AF397" s="974"/>
      <c r="AG397" s="974"/>
      <c r="AH397" s="974"/>
      <c r="AI397" s="1198"/>
      <c r="AJ397" s="974"/>
      <c r="AK397" s="1197"/>
      <c r="AL397" s="974"/>
      <c r="AM397" s="974"/>
      <c r="AN397" s="974"/>
      <c r="AO397" s="974"/>
      <c r="AP397" s="974"/>
      <c r="AQ397" s="974"/>
      <c r="AR397" s="974"/>
      <c r="AS397" s="974"/>
      <c r="AT397" s="974"/>
      <c r="AU397" s="974"/>
      <c r="AV397" s="974"/>
      <c r="AW397" s="1181"/>
      <c r="AX397" s="978"/>
      <c r="AY397" s="898"/>
      <c r="AZ397" s="898"/>
      <c r="BA397" s="898"/>
      <c r="BB397" s="898"/>
      <c r="BC397" s="898"/>
      <c r="BD397" s="898"/>
      <c r="BE397" s="898"/>
      <c r="BF397" s="898"/>
      <c r="BG397" s="898"/>
      <c r="BH397" s="898"/>
      <c r="BI397" s="898"/>
      <c r="BJ397" s="898"/>
      <c r="BK397" s="898"/>
      <c r="BL397" s="898"/>
      <c r="BM397" s="898"/>
      <c r="BN397" s="898"/>
      <c r="BO397" s="898"/>
      <c r="BP397" s="898"/>
      <c r="BQ397" s="898"/>
      <c r="BR397" s="898"/>
      <c r="BS397" s="898"/>
      <c r="BT397" s="898"/>
      <c r="BU397" s="898"/>
      <c r="BV397" s="898"/>
      <c r="BW397" s="898"/>
      <c r="BX397" s="898"/>
      <c r="BY397" s="898"/>
      <c r="BZ397" s="898"/>
      <c r="CA397" s="898"/>
      <c r="CB397" s="898"/>
      <c r="CC397" s="898"/>
      <c r="CD397" s="898"/>
      <c r="CE397" s="898"/>
      <c r="CF397" s="898"/>
      <c r="CG397" s="898"/>
      <c r="CH397" s="898"/>
      <c r="CI397" s="898"/>
      <c r="CJ397" s="898"/>
      <c r="CK397" s="898"/>
      <c r="CL397" s="898"/>
      <c r="CM397" s="898"/>
      <c r="CN397" s="898"/>
      <c r="CO397" s="898"/>
      <c r="CP397" s="898"/>
      <c r="CQ397" s="898"/>
      <c r="CR397" s="898"/>
      <c r="CS397" s="898"/>
      <c r="CT397" s="898"/>
      <c r="CU397" s="898"/>
    </row>
    <row r="398" ht="16.5" customHeight="1">
      <c r="A398" s="718"/>
      <c r="B398" s="1195"/>
      <c r="C398" s="866"/>
      <c r="D398" s="968"/>
      <c r="E398" s="718"/>
      <c r="F398" s="718"/>
      <c r="G398" s="718"/>
      <c r="H398" s="718"/>
      <c r="I398" s="359"/>
      <c r="J398" s="359"/>
      <c r="K398" s="359"/>
      <c r="L398" s="359"/>
      <c r="M398" s="359"/>
      <c r="N398" s="359"/>
      <c r="O398" s="359"/>
      <c r="P398" s="359"/>
      <c r="Q398" s="359"/>
      <c r="R398" s="718"/>
      <c r="S398" s="669"/>
      <c r="T398" s="669"/>
      <c r="U398" s="967"/>
      <c r="V398" s="974"/>
      <c r="W398" s="1197"/>
      <c r="X398" s="974"/>
      <c r="Y398" s="974"/>
      <c r="Z398" s="974"/>
      <c r="AA398" s="974"/>
      <c r="AB398" s="974"/>
      <c r="AC398" s="974"/>
      <c r="AD398" s="974"/>
      <c r="AE398" s="974"/>
      <c r="AF398" s="974"/>
      <c r="AG398" s="974"/>
      <c r="AH398" s="974"/>
      <c r="AI398" s="1198"/>
      <c r="AJ398" s="974"/>
      <c r="AK398" s="1197"/>
      <c r="AL398" s="974"/>
      <c r="AM398" s="974"/>
      <c r="AN398" s="974"/>
      <c r="AO398" s="974"/>
      <c r="AP398" s="974"/>
      <c r="AQ398" s="974"/>
      <c r="AR398" s="974"/>
      <c r="AS398" s="974"/>
      <c r="AT398" s="974"/>
      <c r="AU398" s="974"/>
      <c r="AV398" s="974"/>
      <c r="AW398" s="1181"/>
      <c r="AX398" s="978"/>
      <c r="AY398" s="898"/>
      <c r="AZ398" s="898"/>
      <c r="BA398" s="898"/>
      <c r="BB398" s="898"/>
      <c r="BC398" s="898"/>
      <c r="BD398" s="898"/>
      <c r="BE398" s="898"/>
      <c r="BF398" s="898"/>
      <c r="BG398" s="898"/>
      <c r="BH398" s="898"/>
      <c r="BI398" s="898"/>
      <c r="BJ398" s="898"/>
      <c r="BK398" s="898"/>
      <c r="BL398" s="898"/>
      <c r="BM398" s="898"/>
      <c r="BN398" s="898"/>
      <c r="BO398" s="898"/>
      <c r="BP398" s="898"/>
      <c r="BQ398" s="898"/>
      <c r="BR398" s="898"/>
      <c r="BS398" s="898"/>
      <c r="BT398" s="898"/>
      <c r="BU398" s="898"/>
      <c r="BV398" s="898"/>
      <c r="BW398" s="898"/>
      <c r="BX398" s="898"/>
      <c r="BY398" s="898"/>
      <c r="BZ398" s="898"/>
      <c r="CA398" s="898"/>
      <c r="CB398" s="898"/>
      <c r="CC398" s="898"/>
      <c r="CD398" s="898"/>
      <c r="CE398" s="898"/>
      <c r="CF398" s="898"/>
      <c r="CG398" s="898"/>
      <c r="CH398" s="898"/>
      <c r="CI398" s="898"/>
      <c r="CJ398" s="898"/>
      <c r="CK398" s="898"/>
      <c r="CL398" s="898"/>
      <c r="CM398" s="898"/>
      <c r="CN398" s="898"/>
      <c r="CO398" s="898"/>
      <c r="CP398" s="898"/>
      <c r="CQ398" s="898"/>
      <c r="CR398" s="898"/>
      <c r="CS398" s="898"/>
      <c r="CT398" s="898"/>
      <c r="CU398" s="898"/>
    </row>
    <row r="399" ht="16.5" customHeight="1">
      <c r="A399" s="718"/>
      <c r="B399" s="1195"/>
      <c r="C399" s="866"/>
      <c r="D399" s="968"/>
      <c r="E399" s="718"/>
      <c r="F399" s="718"/>
      <c r="G399" s="718"/>
      <c r="H399" s="718"/>
      <c r="I399" s="359"/>
      <c r="J399" s="359"/>
      <c r="K399" s="359"/>
      <c r="L399" s="359"/>
      <c r="M399" s="359"/>
      <c r="N399" s="359"/>
      <c r="O399" s="359"/>
      <c r="P399" s="359"/>
      <c r="Q399" s="359"/>
      <c r="R399" s="718"/>
      <c r="S399" s="669"/>
      <c r="T399" s="669"/>
      <c r="U399" s="967"/>
      <c r="V399" s="974"/>
      <c r="W399" s="1197"/>
      <c r="X399" s="974"/>
      <c r="Y399" s="974"/>
      <c r="Z399" s="974"/>
      <c r="AA399" s="974"/>
      <c r="AB399" s="974"/>
      <c r="AC399" s="974"/>
      <c r="AD399" s="974"/>
      <c r="AE399" s="974"/>
      <c r="AF399" s="974"/>
      <c r="AG399" s="974"/>
      <c r="AH399" s="974"/>
      <c r="AI399" s="1198"/>
      <c r="AJ399" s="974"/>
      <c r="AK399" s="1197"/>
      <c r="AL399" s="974"/>
      <c r="AM399" s="974"/>
      <c r="AN399" s="974"/>
      <c r="AO399" s="974"/>
      <c r="AP399" s="974"/>
      <c r="AQ399" s="974"/>
      <c r="AR399" s="974"/>
      <c r="AS399" s="974"/>
      <c r="AT399" s="974"/>
      <c r="AU399" s="974"/>
      <c r="AV399" s="974"/>
      <c r="AW399" s="1181"/>
      <c r="AX399" s="978"/>
      <c r="AY399" s="898"/>
      <c r="AZ399" s="898"/>
      <c r="BA399" s="898"/>
      <c r="BB399" s="898"/>
      <c r="BC399" s="898"/>
      <c r="BD399" s="898"/>
      <c r="BE399" s="898"/>
      <c r="BF399" s="898"/>
      <c r="BG399" s="898"/>
      <c r="BH399" s="898"/>
      <c r="BI399" s="898"/>
      <c r="BJ399" s="898"/>
      <c r="BK399" s="898"/>
      <c r="BL399" s="898"/>
      <c r="BM399" s="898"/>
      <c r="BN399" s="898"/>
      <c r="BO399" s="898"/>
      <c r="BP399" s="898"/>
      <c r="BQ399" s="898"/>
      <c r="BR399" s="898"/>
      <c r="BS399" s="898"/>
      <c r="BT399" s="898"/>
      <c r="BU399" s="898"/>
      <c r="BV399" s="898"/>
      <c r="BW399" s="898"/>
      <c r="BX399" s="898"/>
      <c r="BY399" s="898"/>
      <c r="BZ399" s="898"/>
      <c r="CA399" s="898"/>
      <c r="CB399" s="898"/>
      <c r="CC399" s="898"/>
      <c r="CD399" s="898"/>
      <c r="CE399" s="898"/>
      <c r="CF399" s="898"/>
      <c r="CG399" s="898"/>
      <c r="CH399" s="898"/>
      <c r="CI399" s="898"/>
      <c r="CJ399" s="898"/>
      <c r="CK399" s="898"/>
      <c r="CL399" s="898"/>
      <c r="CM399" s="898"/>
      <c r="CN399" s="898"/>
      <c r="CO399" s="898"/>
      <c r="CP399" s="898"/>
      <c r="CQ399" s="898"/>
      <c r="CR399" s="898"/>
      <c r="CS399" s="898"/>
      <c r="CT399" s="898"/>
      <c r="CU399" s="898"/>
    </row>
    <row r="400" ht="16.5" customHeight="1">
      <c r="A400" s="718"/>
      <c r="B400" s="1195"/>
      <c r="C400" s="866"/>
      <c r="D400" s="968"/>
      <c r="E400" s="718"/>
      <c r="F400" s="718"/>
      <c r="G400" s="718"/>
      <c r="H400" s="718"/>
      <c r="I400" s="359"/>
      <c r="J400" s="359"/>
      <c r="K400" s="359"/>
      <c r="L400" s="359"/>
      <c r="M400" s="359"/>
      <c r="N400" s="359"/>
      <c r="O400" s="359"/>
      <c r="P400" s="359"/>
      <c r="Q400" s="359"/>
      <c r="R400" s="718"/>
      <c r="S400" s="669"/>
      <c r="T400" s="669"/>
      <c r="U400" s="967"/>
      <c r="V400" s="974"/>
      <c r="W400" s="1197"/>
      <c r="X400" s="974"/>
      <c r="Y400" s="974"/>
      <c r="Z400" s="974"/>
      <c r="AA400" s="974"/>
      <c r="AB400" s="974"/>
      <c r="AC400" s="974"/>
      <c r="AD400" s="974"/>
      <c r="AE400" s="974"/>
      <c r="AF400" s="974"/>
      <c r="AG400" s="974"/>
      <c r="AH400" s="974"/>
      <c r="AI400" s="1198"/>
      <c r="AJ400" s="974"/>
      <c r="AK400" s="1197"/>
      <c r="AL400" s="974"/>
      <c r="AM400" s="974"/>
      <c r="AN400" s="974"/>
      <c r="AO400" s="974"/>
      <c r="AP400" s="974"/>
      <c r="AQ400" s="974"/>
      <c r="AR400" s="974"/>
      <c r="AS400" s="974"/>
      <c r="AT400" s="974"/>
      <c r="AU400" s="974"/>
      <c r="AV400" s="974"/>
      <c r="AW400" s="1181"/>
      <c r="AX400" s="978"/>
      <c r="AY400" s="898"/>
      <c r="AZ400" s="898"/>
      <c r="BA400" s="898"/>
      <c r="BB400" s="898"/>
      <c r="BC400" s="898"/>
      <c r="BD400" s="898"/>
      <c r="BE400" s="898"/>
      <c r="BF400" s="898"/>
      <c r="BG400" s="898"/>
      <c r="BH400" s="898"/>
      <c r="BI400" s="898"/>
      <c r="BJ400" s="898"/>
      <c r="BK400" s="898"/>
      <c r="BL400" s="898"/>
      <c r="BM400" s="898"/>
      <c r="BN400" s="898"/>
      <c r="BO400" s="898"/>
      <c r="BP400" s="898"/>
      <c r="BQ400" s="898"/>
      <c r="BR400" s="898"/>
      <c r="BS400" s="898"/>
      <c r="BT400" s="898"/>
      <c r="BU400" s="898"/>
      <c r="BV400" s="898"/>
      <c r="BW400" s="898"/>
      <c r="BX400" s="898"/>
      <c r="BY400" s="898"/>
      <c r="BZ400" s="898"/>
      <c r="CA400" s="898"/>
      <c r="CB400" s="898"/>
      <c r="CC400" s="898"/>
      <c r="CD400" s="898"/>
      <c r="CE400" s="898"/>
      <c r="CF400" s="898"/>
      <c r="CG400" s="898"/>
      <c r="CH400" s="898"/>
      <c r="CI400" s="898"/>
      <c r="CJ400" s="898"/>
      <c r="CK400" s="898"/>
      <c r="CL400" s="898"/>
      <c r="CM400" s="898"/>
      <c r="CN400" s="898"/>
      <c r="CO400" s="898"/>
      <c r="CP400" s="898"/>
      <c r="CQ400" s="898"/>
      <c r="CR400" s="898"/>
      <c r="CS400" s="898"/>
      <c r="CT400" s="898"/>
      <c r="CU400" s="898"/>
    </row>
    <row r="401" ht="16.5" customHeight="1">
      <c r="A401" s="718"/>
      <c r="B401" s="1195"/>
      <c r="C401" s="866"/>
      <c r="D401" s="968"/>
      <c r="E401" s="718"/>
      <c r="F401" s="718"/>
      <c r="G401" s="718"/>
      <c r="H401" s="718"/>
      <c r="I401" s="359"/>
      <c r="J401" s="359"/>
      <c r="K401" s="359"/>
      <c r="L401" s="359"/>
      <c r="M401" s="359"/>
      <c r="N401" s="359"/>
      <c r="O401" s="359"/>
      <c r="P401" s="359"/>
      <c r="Q401" s="359"/>
      <c r="R401" s="718"/>
      <c r="S401" s="669"/>
      <c r="T401" s="669"/>
      <c r="U401" s="967"/>
      <c r="V401" s="974"/>
      <c r="W401" s="1197"/>
      <c r="X401" s="974"/>
      <c r="Y401" s="974"/>
      <c r="Z401" s="974"/>
      <c r="AA401" s="974"/>
      <c r="AB401" s="974"/>
      <c r="AC401" s="974"/>
      <c r="AD401" s="974"/>
      <c r="AE401" s="974"/>
      <c r="AF401" s="974"/>
      <c r="AG401" s="974"/>
      <c r="AH401" s="974"/>
      <c r="AI401" s="1198"/>
      <c r="AJ401" s="974"/>
      <c r="AK401" s="1197"/>
      <c r="AL401" s="974"/>
      <c r="AM401" s="974"/>
      <c r="AN401" s="974"/>
      <c r="AO401" s="974"/>
      <c r="AP401" s="974"/>
      <c r="AQ401" s="974"/>
      <c r="AR401" s="974"/>
      <c r="AS401" s="974"/>
      <c r="AT401" s="974"/>
      <c r="AU401" s="974"/>
      <c r="AV401" s="974"/>
      <c r="AW401" s="1181"/>
      <c r="AX401" s="978"/>
      <c r="AY401" s="898"/>
      <c r="AZ401" s="898"/>
      <c r="BA401" s="898"/>
      <c r="BB401" s="898"/>
      <c r="BC401" s="898"/>
      <c r="BD401" s="898"/>
      <c r="BE401" s="898"/>
      <c r="BF401" s="898"/>
      <c r="BG401" s="898"/>
      <c r="BH401" s="898"/>
      <c r="BI401" s="898"/>
      <c r="BJ401" s="898"/>
      <c r="BK401" s="898"/>
      <c r="BL401" s="898"/>
      <c r="BM401" s="898"/>
      <c r="BN401" s="898"/>
      <c r="BO401" s="898"/>
      <c r="BP401" s="898"/>
      <c r="BQ401" s="898"/>
      <c r="BR401" s="898"/>
      <c r="BS401" s="898"/>
      <c r="BT401" s="898"/>
      <c r="BU401" s="898"/>
      <c r="BV401" s="898"/>
      <c r="BW401" s="898"/>
      <c r="BX401" s="898"/>
      <c r="BY401" s="898"/>
      <c r="BZ401" s="898"/>
      <c r="CA401" s="898"/>
      <c r="CB401" s="898"/>
      <c r="CC401" s="898"/>
      <c r="CD401" s="898"/>
      <c r="CE401" s="898"/>
      <c r="CF401" s="898"/>
      <c r="CG401" s="898"/>
      <c r="CH401" s="898"/>
      <c r="CI401" s="898"/>
      <c r="CJ401" s="898"/>
      <c r="CK401" s="898"/>
      <c r="CL401" s="898"/>
      <c r="CM401" s="898"/>
      <c r="CN401" s="898"/>
      <c r="CO401" s="898"/>
      <c r="CP401" s="898"/>
      <c r="CQ401" s="898"/>
      <c r="CR401" s="898"/>
      <c r="CS401" s="898"/>
      <c r="CT401" s="898"/>
      <c r="CU401" s="898"/>
    </row>
    <row r="402" ht="16.5" customHeight="1">
      <c r="A402" s="718"/>
      <c r="B402" s="1195"/>
      <c r="C402" s="866"/>
      <c r="D402" s="968"/>
      <c r="E402" s="718"/>
      <c r="F402" s="718"/>
      <c r="G402" s="718"/>
      <c r="H402" s="718"/>
      <c r="I402" s="359"/>
      <c r="J402" s="359"/>
      <c r="K402" s="359"/>
      <c r="L402" s="359"/>
      <c r="M402" s="359"/>
      <c r="N402" s="359"/>
      <c r="O402" s="359"/>
      <c r="P402" s="359"/>
      <c r="Q402" s="359"/>
      <c r="R402" s="718"/>
      <c r="S402" s="669"/>
      <c r="T402" s="669"/>
      <c r="U402" s="967"/>
      <c r="V402" s="974"/>
      <c r="W402" s="1197"/>
      <c r="X402" s="974"/>
      <c r="Y402" s="974"/>
      <c r="Z402" s="974"/>
      <c r="AA402" s="974"/>
      <c r="AB402" s="974"/>
      <c r="AC402" s="974"/>
      <c r="AD402" s="974"/>
      <c r="AE402" s="974"/>
      <c r="AF402" s="974"/>
      <c r="AG402" s="974"/>
      <c r="AH402" s="974"/>
      <c r="AI402" s="1198"/>
      <c r="AJ402" s="974"/>
      <c r="AK402" s="1197"/>
      <c r="AL402" s="974"/>
      <c r="AM402" s="974"/>
      <c r="AN402" s="974"/>
      <c r="AO402" s="974"/>
      <c r="AP402" s="974"/>
      <c r="AQ402" s="974"/>
      <c r="AR402" s="974"/>
      <c r="AS402" s="974"/>
      <c r="AT402" s="974"/>
      <c r="AU402" s="974"/>
      <c r="AV402" s="974"/>
      <c r="AW402" s="1181"/>
      <c r="AX402" s="978"/>
      <c r="AY402" s="898"/>
      <c r="AZ402" s="898"/>
      <c r="BA402" s="898"/>
      <c r="BB402" s="898"/>
      <c r="BC402" s="898"/>
      <c r="BD402" s="898"/>
      <c r="BE402" s="898"/>
      <c r="BF402" s="898"/>
      <c r="BG402" s="898"/>
      <c r="BH402" s="898"/>
      <c r="BI402" s="898"/>
      <c r="BJ402" s="898"/>
      <c r="BK402" s="898"/>
      <c r="BL402" s="898"/>
      <c r="BM402" s="898"/>
      <c r="BN402" s="898"/>
      <c r="BO402" s="898"/>
      <c r="BP402" s="898"/>
      <c r="BQ402" s="898"/>
      <c r="BR402" s="898"/>
      <c r="BS402" s="898"/>
      <c r="BT402" s="898"/>
      <c r="BU402" s="898"/>
      <c r="BV402" s="898"/>
      <c r="BW402" s="898"/>
      <c r="BX402" s="898"/>
      <c r="BY402" s="898"/>
      <c r="BZ402" s="898"/>
      <c r="CA402" s="898"/>
      <c r="CB402" s="898"/>
      <c r="CC402" s="898"/>
      <c r="CD402" s="898"/>
      <c r="CE402" s="898"/>
      <c r="CF402" s="898"/>
      <c r="CG402" s="898"/>
      <c r="CH402" s="898"/>
      <c r="CI402" s="898"/>
      <c r="CJ402" s="898"/>
      <c r="CK402" s="898"/>
      <c r="CL402" s="898"/>
      <c r="CM402" s="898"/>
      <c r="CN402" s="898"/>
      <c r="CO402" s="898"/>
      <c r="CP402" s="898"/>
      <c r="CQ402" s="898"/>
      <c r="CR402" s="898"/>
      <c r="CS402" s="898"/>
      <c r="CT402" s="898"/>
      <c r="CU402" s="898"/>
    </row>
    <row r="403" ht="16.5" customHeight="1">
      <c r="A403" s="718"/>
      <c r="B403" s="1195"/>
      <c r="C403" s="866"/>
      <c r="D403" s="968"/>
      <c r="E403" s="718"/>
      <c r="F403" s="718"/>
      <c r="G403" s="718"/>
      <c r="H403" s="718"/>
      <c r="I403" s="359"/>
      <c r="J403" s="359"/>
      <c r="K403" s="359"/>
      <c r="L403" s="359"/>
      <c r="M403" s="359"/>
      <c r="N403" s="359"/>
      <c r="O403" s="359"/>
      <c r="P403" s="359"/>
      <c r="Q403" s="359"/>
      <c r="R403" s="718"/>
      <c r="S403" s="669"/>
      <c r="T403" s="669"/>
      <c r="U403" s="967"/>
      <c r="V403" s="974"/>
      <c r="W403" s="1197"/>
      <c r="X403" s="974"/>
      <c r="Y403" s="974"/>
      <c r="Z403" s="974"/>
      <c r="AA403" s="974"/>
      <c r="AB403" s="974"/>
      <c r="AC403" s="974"/>
      <c r="AD403" s="974"/>
      <c r="AE403" s="974"/>
      <c r="AF403" s="974"/>
      <c r="AG403" s="974"/>
      <c r="AH403" s="974"/>
      <c r="AI403" s="1198"/>
      <c r="AJ403" s="974"/>
      <c r="AK403" s="1197"/>
      <c r="AL403" s="974"/>
      <c r="AM403" s="974"/>
      <c r="AN403" s="974"/>
      <c r="AO403" s="974"/>
      <c r="AP403" s="974"/>
      <c r="AQ403" s="974"/>
      <c r="AR403" s="974"/>
      <c r="AS403" s="974"/>
      <c r="AT403" s="974"/>
      <c r="AU403" s="974"/>
      <c r="AV403" s="974"/>
      <c r="AW403" s="1181"/>
      <c r="AX403" s="978"/>
      <c r="AY403" s="898"/>
      <c r="AZ403" s="898"/>
      <c r="BA403" s="898"/>
      <c r="BB403" s="898"/>
      <c r="BC403" s="898"/>
      <c r="BD403" s="898"/>
      <c r="BE403" s="898"/>
      <c r="BF403" s="898"/>
      <c r="BG403" s="898"/>
      <c r="BH403" s="898"/>
      <c r="BI403" s="898"/>
      <c r="BJ403" s="898"/>
      <c r="BK403" s="898"/>
      <c r="BL403" s="898"/>
      <c r="BM403" s="898"/>
      <c r="BN403" s="898"/>
      <c r="BO403" s="898"/>
      <c r="BP403" s="898"/>
      <c r="BQ403" s="898"/>
      <c r="BR403" s="898"/>
      <c r="BS403" s="898"/>
      <c r="BT403" s="898"/>
      <c r="BU403" s="898"/>
      <c r="BV403" s="898"/>
      <c r="BW403" s="898"/>
      <c r="BX403" s="898"/>
      <c r="BY403" s="898"/>
      <c r="BZ403" s="898"/>
      <c r="CA403" s="898"/>
      <c r="CB403" s="898"/>
      <c r="CC403" s="898"/>
      <c r="CD403" s="898"/>
      <c r="CE403" s="898"/>
      <c r="CF403" s="898"/>
      <c r="CG403" s="898"/>
      <c r="CH403" s="898"/>
      <c r="CI403" s="898"/>
      <c r="CJ403" s="898"/>
      <c r="CK403" s="898"/>
      <c r="CL403" s="898"/>
      <c r="CM403" s="898"/>
      <c r="CN403" s="898"/>
      <c r="CO403" s="898"/>
      <c r="CP403" s="898"/>
      <c r="CQ403" s="898"/>
      <c r="CR403" s="898"/>
      <c r="CS403" s="898"/>
      <c r="CT403" s="898"/>
      <c r="CU403" s="898"/>
    </row>
    <row r="404" ht="16.5" customHeight="1">
      <c r="A404" s="718"/>
      <c r="B404" s="1195"/>
      <c r="C404" s="866"/>
      <c r="D404" s="968"/>
      <c r="E404" s="718"/>
      <c r="F404" s="718"/>
      <c r="G404" s="718"/>
      <c r="H404" s="718"/>
      <c r="I404" s="359"/>
      <c r="J404" s="359"/>
      <c r="K404" s="359"/>
      <c r="L404" s="359"/>
      <c r="M404" s="359"/>
      <c r="N404" s="359"/>
      <c r="O404" s="359"/>
      <c r="P404" s="359"/>
      <c r="Q404" s="359"/>
      <c r="R404" s="718"/>
      <c r="S404" s="669"/>
      <c r="T404" s="669"/>
      <c r="U404" s="967"/>
      <c r="V404" s="974"/>
      <c r="W404" s="1197"/>
      <c r="X404" s="974"/>
      <c r="Y404" s="974"/>
      <c r="Z404" s="974"/>
      <c r="AA404" s="974"/>
      <c r="AB404" s="974"/>
      <c r="AC404" s="974"/>
      <c r="AD404" s="974"/>
      <c r="AE404" s="974"/>
      <c r="AF404" s="974"/>
      <c r="AG404" s="974"/>
      <c r="AH404" s="974"/>
      <c r="AI404" s="1198"/>
      <c r="AJ404" s="974"/>
      <c r="AK404" s="1197"/>
      <c r="AL404" s="974"/>
      <c r="AM404" s="974"/>
      <c r="AN404" s="974"/>
      <c r="AO404" s="974"/>
      <c r="AP404" s="974"/>
      <c r="AQ404" s="974"/>
      <c r="AR404" s="974"/>
      <c r="AS404" s="974"/>
      <c r="AT404" s="974"/>
      <c r="AU404" s="974"/>
      <c r="AV404" s="974"/>
      <c r="AW404" s="1181"/>
      <c r="AX404" s="978"/>
      <c r="AY404" s="898"/>
      <c r="AZ404" s="898"/>
      <c r="BA404" s="898"/>
      <c r="BB404" s="898"/>
      <c r="BC404" s="898"/>
      <c r="BD404" s="898"/>
      <c r="BE404" s="898"/>
      <c r="BF404" s="898"/>
      <c r="BG404" s="898"/>
      <c r="BH404" s="898"/>
      <c r="BI404" s="898"/>
      <c r="BJ404" s="898"/>
      <c r="BK404" s="898"/>
      <c r="BL404" s="898"/>
      <c r="BM404" s="898"/>
      <c r="BN404" s="898"/>
      <c r="BO404" s="898"/>
      <c r="BP404" s="898"/>
      <c r="BQ404" s="898"/>
      <c r="BR404" s="898"/>
      <c r="BS404" s="898"/>
      <c r="BT404" s="898"/>
      <c r="BU404" s="898"/>
      <c r="BV404" s="898"/>
      <c r="BW404" s="898"/>
      <c r="BX404" s="898"/>
      <c r="BY404" s="898"/>
      <c r="BZ404" s="898"/>
      <c r="CA404" s="898"/>
      <c r="CB404" s="898"/>
      <c r="CC404" s="898"/>
      <c r="CD404" s="898"/>
      <c r="CE404" s="898"/>
      <c r="CF404" s="898"/>
      <c r="CG404" s="898"/>
      <c r="CH404" s="898"/>
      <c r="CI404" s="898"/>
      <c r="CJ404" s="898"/>
      <c r="CK404" s="898"/>
      <c r="CL404" s="898"/>
      <c r="CM404" s="898"/>
      <c r="CN404" s="898"/>
      <c r="CO404" s="898"/>
      <c r="CP404" s="898"/>
      <c r="CQ404" s="898"/>
      <c r="CR404" s="898"/>
      <c r="CS404" s="898"/>
      <c r="CT404" s="898"/>
      <c r="CU404" s="898"/>
    </row>
    <row r="405" ht="16.5" customHeight="1">
      <c r="A405" s="718"/>
      <c r="B405" s="1195"/>
      <c r="C405" s="866"/>
      <c r="D405" s="968"/>
      <c r="E405" s="718"/>
      <c r="F405" s="718"/>
      <c r="G405" s="718"/>
      <c r="H405" s="718"/>
      <c r="I405" s="359"/>
      <c r="J405" s="359"/>
      <c r="K405" s="359"/>
      <c r="L405" s="359"/>
      <c r="M405" s="359"/>
      <c r="N405" s="359"/>
      <c r="O405" s="359"/>
      <c r="P405" s="359"/>
      <c r="Q405" s="359"/>
      <c r="R405" s="718"/>
      <c r="S405" s="669"/>
      <c r="T405" s="669"/>
      <c r="U405" s="967"/>
      <c r="V405" s="974"/>
      <c r="W405" s="1197"/>
      <c r="X405" s="974"/>
      <c r="Y405" s="974"/>
      <c r="Z405" s="974"/>
      <c r="AA405" s="974"/>
      <c r="AB405" s="974"/>
      <c r="AC405" s="974"/>
      <c r="AD405" s="974"/>
      <c r="AE405" s="974"/>
      <c r="AF405" s="974"/>
      <c r="AG405" s="974"/>
      <c r="AH405" s="974"/>
      <c r="AI405" s="1198"/>
      <c r="AJ405" s="974"/>
      <c r="AK405" s="1197"/>
      <c r="AL405" s="974"/>
      <c r="AM405" s="974"/>
      <c r="AN405" s="974"/>
      <c r="AO405" s="974"/>
      <c r="AP405" s="974"/>
      <c r="AQ405" s="974"/>
      <c r="AR405" s="974"/>
      <c r="AS405" s="974"/>
      <c r="AT405" s="974"/>
      <c r="AU405" s="974"/>
      <c r="AV405" s="974"/>
      <c r="AW405" s="1181"/>
      <c r="AX405" s="978"/>
      <c r="AY405" s="898"/>
      <c r="AZ405" s="898"/>
      <c r="BA405" s="898"/>
      <c r="BB405" s="898"/>
      <c r="BC405" s="898"/>
      <c r="BD405" s="898"/>
      <c r="BE405" s="898"/>
      <c r="BF405" s="898"/>
      <c r="BG405" s="898"/>
      <c r="BH405" s="898"/>
      <c r="BI405" s="898"/>
      <c r="BJ405" s="898"/>
      <c r="BK405" s="898"/>
      <c r="BL405" s="898"/>
      <c r="BM405" s="898"/>
      <c r="BN405" s="898"/>
      <c r="BO405" s="898"/>
      <c r="BP405" s="898"/>
      <c r="BQ405" s="898"/>
      <c r="BR405" s="898"/>
      <c r="BS405" s="898"/>
      <c r="BT405" s="898"/>
      <c r="BU405" s="898"/>
      <c r="BV405" s="898"/>
      <c r="BW405" s="898"/>
      <c r="BX405" s="898"/>
      <c r="BY405" s="898"/>
      <c r="BZ405" s="898"/>
      <c r="CA405" s="898"/>
      <c r="CB405" s="898"/>
      <c r="CC405" s="898"/>
      <c r="CD405" s="898"/>
      <c r="CE405" s="898"/>
      <c r="CF405" s="898"/>
      <c r="CG405" s="898"/>
      <c r="CH405" s="898"/>
      <c r="CI405" s="898"/>
      <c r="CJ405" s="898"/>
      <c r="CK405" s="898"/>
      <c r="CL405" s="898"/>
      <c r="CM405" s="898"/>
      <c r="CN405" s="898"/>
      <c r="CO405" s="898"/>
      <c r="CP405" s="898"/>
      <c r="CQ405" s="898"/>
      <c r="CR405" s="898"/>
      <c r="CS405" s="898"/>
      <c r="CT405" s="898"/>
      <c r="CU405" s="898"/>
    </row>
    <row r="406" ht="16.5" customHeight="1">
      <c r="A406" s="718"/>
      <c r="B406" s="1195"/>
      <c r="C406" s="866"/>
      <c r="D406" s="968"/>
      <c r="E406" s="718"/>
      <c r="F406" s="718"/>
      <c r="G406" s="718"/>
      <c r="H406" s="718"/>
      <c r="I406" s="359"/>
      <c r="J406" s="359"/>
      <c r="K406" s="359"/>
      <c r="L406" s="359"/>
      <c r="M406" s="359"/>
      <c r="N406" s="359"/>
      <c r="O406" s="359"/>
      <c r="P406" s="359"/>
      <c r="Q406" s="359"/>
      <c r="R406" s="718"/>
      <c r="S406" s="669"/>
      <c r="T406" s="669"/>
      <c r="U406" s="967"/>
      <c r="V406" s="974"/>
      <c r="W406" s="1197"/>
      <c r="X406" s="974"/>
      <c r="Y406" s="974"/>
      <c r="Z406" s="974"/>
      <c r="AA406" s="974"/>
      <c r="AB406" s="974"/>
      <c r="AC406" s="974"/>
      <c r="AD406" s="974"/>
      <c r="AE406" s="974"/>
      <c r="AF406" s="974"/>
      <c r="AG406" s="974"/>
      <c r="AH406" s="974"/>
      <c r="AI406" s="1198"/>
      <c r="AJ406" s="974"/>
      <c r="AK406" s="1197"/>
      <c r="AL406" s="974"/>
      <c r="AM406" s="974"/>
      <c r="AN406" s="974"/>
      <c r="AO406" s="974"/>
      <c r="AP406" s="974"/>
      <c r="AQ406" s="974"/>
      <c r="AR406" s="974"/>
      <c r="AS406" s="974"/>
      <c r="AT406" s="974"/>
      <c r="AU406" s="974"/>
      <c r="AV406" s="974"/>
      <c r="AW406" s="1181"/>
      <c r="AX406" s="978"/>
      <c r="AY406" s="898"/>
      <c r="AZ406" s="898"/>
      <c r="BA406" s="898"/>
      <c r="BB406" s="898"/>
      <c r="BC406" s="898"/>
      <c r="BD406" s="898"/>
      <c r="BE406" s="898"/>
      <c r="BF406" s="898"/>
      <c r="BG406" s="898"/>
      <c r="BH406" s="898"/>
      <c r="BI406" s="898"/>
      <c r="BJ406" s="898"/>
      <c r="BK406" s="898"/>
      <c r="BL406" s="898"/>
      <c r="BM406" s="898"/>
      <c r="BN406" s="898"/>
      <c r="BO406" s="898"/>
      <c r="BP406" s="898"/>
      <c r="BQ406" s="898"/>
      <c r="BR406" s="898"/>
      <c r="BS406" s="898"/>
      <c r="BT406" s="898"/>
      <c r="BU406" s="898"/>
      <c r="BV406" s="898"/>
      <c r="BW406" s="898"/>
      <c r="BX406" s="898"/>
      <c r="BY406" s="898"/>
      <c r="BZ406" s="898"/>
      <c r="CA406" s="898"/>
      <c r="CB406" s="898"/>
      <c r="CC406" s="898"/>
      <c r="CD406" s="898"/>
      <c r="CE406" s="898"/>
      <c r="CF406" s="898"/>
      <c r="CG406" s="898"/>
      <c r="CH406" s="898"/>
      <c r="CI406" s="898"/>
      <c r="CJ406" s="898"/>
      <c r="CK406" s="898"/>
      <c r="CL406" s="898"/>
      <c r="CM406" s="898"/>
      <c r="CN406" s="898"/>
      <c r="CO406" s="898"/>
      <c r="CP406" s="898"/>
      <c r="CQ406" s="898"/>
      <c r="CR406" s="898"/>
      <c r="CS406" s="898"/>
      <c r="CT406" s="898"/>
      <c r="CU406" s="898"/>
    </row>
    <row r="407" ht="16.5" customHeight="1">
      <c r="A407" s="718"/>
      <c r="B407" s="1195"/>
      <c r="C407" s="866"/>
      <c r="D407" s="968"/>
      <c r="E407" s="718"/>
      <c r="F407" s="718"/>
      <c r="G407" s="718"/>
      <c r="H407" s="718"/>
      <c r="I407" s="359"/>
      <c r="J407" s="359"/>
      <c r="K407" s="359"/>
      <c r="L407" s="359"/>
      <c r="M407" s="359"/>
      <c r="N407" s="359"/>
      <c r="O407" s="359"/>
      <c r="P407" s="359"/>
      <c r="Q407" s="359"/>
      <c r="R407" s="718"/>
      <c r="S407" s="669"/>
      <c r="T407" s="669"/>
      <c r="U407" s="967"/>
      <c r="V407" s="974"/>
      <c r="W407" s="1197"/>
      <c r="X407" s="974"/>
      <c r="Y407" s="974"/>
      <c r="Z407" s="974"/>
      <c r="AA407" s="974"/>
      <c r="AB407" s="974"/>
      <c r="AC407" s="974"/>
      <c r="AD407" s="974"/>
      <c r="AE407" s="974"/>
      <c r="AF407" s="974"/>
      <c r="AG407" s="974"/>
      <c r="AH407" s="974"/>
      <c r="AI407" s="1198"/>
      <c r="AJ407" s="974"/>
      <c r="AK407" s="1197"/>
      <c r="AL407" s="974"/>
      <c r="AM407" s="974"/>
      <c r="AN407" s="974"/>
      <c r="AO407" s="974"/>
      <c r="AP407" s="974"/>
      <c r="AQ407" s="974"/>
      <c r="AR407" s="974"/>
      <c r="AS407" s="974"/>
      <c r="AT407" s="974"/>
      <c r="AU407" s="974"/>
      <c r="AV407" s="974"/>
      <c r="AW407" s="1181"/>
      <c r="AX407" s="978"/>
      <c r="AY407" s="898"/>
      <c r="AZ407" s="898"/>
      <c r="BA407" s="898"/>
      <c r="BB407" s="898"/>
      <c r="BC407" s="898"/>
      <c r="BD407" s="898"/>
      <c r="BE407" s="898"/>
      <c r="BF407" s="898"/>
      <c r="BG407" s="898"/>
      <c r="BH407" s="898"/>
      <c r="BI407" s="898"/>
      <c r="BJ407" s="898"/>
      <c r="BK407" s="898"/>
      <c r="BL407" s="898"/>
      <c r="BM407" s="898"/>
      <c r="BN407" s="898"/>
      <c r="BO407" s="898"/>
      <c r="BP407" s="898"/>
      <c r="BQ407" s="898"/>
      <c r="BR407" s="898"/>
      <c r="BS407" s="898"/>
      <c r="BT407" s="898"/>
      <c r="BU407" s="898"/>
      <c r="BV407" s="898"/>
      <c r="BW407" s="898"/>
      <c r="BX407" s="898"/>
      <c r="BY407" s="898"/>
      <c r="BZ407" s="898"/>
      <c r="CA407" s="898"/>
      <c r="CB407" s="898"/>
      <c r="CC407" s="898"/>
      <c r="CD407" s="898"/>
      <c r="CE407" s="898"/>
      <c r="CF407" s="898"/>
      <c r="CG407" s="898"/>
      <c r="CH407" s="898"/>
      <c r="CI407" s="898"/>
      <c r="CJ407" s="898"/>
      <c r="CK407" s="898"/>
      <c r="CL407" s="898"/>
      <c r="CM407" s="898"/>
      <c r="CN407" s="898"/>
      <c r="CO407" s="898"/>
      <c r="CP407" s="898"/>
      <c r="CQ407" s="898"/>
      <c r="CR407" s="898"/>
      <c r="CS407" s="898"/>
      <c r="CT407" s="898"/>
      <c r="CU407" s="898"/>
    </row>
    <row r="408" ht="16.5" customHeight="1">
      <c r="A408" s="718"/>
      <c r="B408" s="1195"/>
      <c r="C408" s="866"/>
      <c r="D408" s="968"/>
      <c r="E408" s="718"/>
      <c r="F408" s="718"/>
      <c r="G408" s="718"/>
      <c r="H408" s="718"/>
      <c r="I408" s="359"/>
      <c r="J408" s="359"/>
      <c r="K408" s="359"/>
      <c r="L408" s="359"/>
      <c r="M408" s="359"/>
      <c r="N408" s="359"/>
      <c r="O408" s="359"/>
      <c r="P408" s="359"/>
      <c r="Q408" s="359"/>
      <c r="R408" s="718"/>
      <c r="S408" s="669"/>
      <c r="T408" s="669"/>
      <c r="U408" s="967"/>
      <c r="V408" s="974"/>
      <c r="W408" s="1197"/>
      <c r="X408" s="974"/>
      <c r="Y408" s="974"/>
      <c r="Z408" s="974"/>
      <c r="AA408" s="974"/>
      <c r="AB408" s="974"/>
      <c r="AC408" s="974"/>
      <c r="AD408" s="974"/>
      <c r="AE408" s="974"/>
      <c r="AF408" s="974"/>
      <c r="AG408" s="974"/>
      <c r="AH408" s="974"/>
      <c r="AI408" s="1198"/>
      <c r="AJ408" s="974"/>
      <c r="AK408" s="1197"/>
      <c r="AL408" s="974"/>
      <c r="AM408" s="974"/>
      <c r="AN408" s="974"/>
      <c r="AO408" s="974"/>
      <c r="AP408" s="974"/>
      <c r="AQ408" s="974"/>
      <c r="AR408" s="974"/>
      <c r="AS408" s="974"/>
      <c r="AT408" s="974"/>
      <c r="AU408" s="974"/>
      <c r="AV408" s="974"/>
      <c r="AW408" s="1181"/>
      <c r="AX408" s="978"/>
      <c r="AY408" s="898"/>
      <c r="AZ408" s="898"/>
      <c r="BA408" s="898"/>
      <c r="BB408" s="898"/>
      <c r="BC408" s="898"/>
      <c r="BD408" s="898"/>
      <c r="BE408" s="898"/>
      <c r="BF408" s="898"/>
      <c r="BG408" s="898"/>
      <c r="BH408" s="898"/>
      <c r="BI408" s="898"/>
      <c r="BJ408" s="898"/>
      <c r="BK408" s="898"/>
      <c r="BL408" s="898"/>
      <c r="BM408" s="898"/>
      <c r="BN408" s="898"/>
      <c r="BO408" s="898"/>
      <c r="BP408" s="898"/>
      <c r="BQ408" s="898"/>
      <c r="BR408" s="898"/>
      <c r="BS408" s="898"/>
      <c r="BT408" s="898"/>
      <c r="BU408" s="898"/>
      <c r="BV408" s="898"/>
      <c r="BW408" s="898"/>
      <c r="BX408" s="898"/>
      <c r="BY408" s="898"/>
      <c r="BZ408" s="898"/>
      <c r="CA408" s="898"/>
      <c r="CB408" s="898"/>
      <c r="CC408" s="898"/>
      <c r="CD408" s="898"/>
      <c r="CE408" s="898"/>
      <c r="CF408" s="898"/>
      <c r="CG408" s="898"/>
      <c r="CH408" s="898"/>
      <c r="CI408" s="898"/>
      <c r="CJ408" s="898"/>
      <c r="CK408" s="898"/>
      <c r="CL408" s="898"/>
      <c r="CM408" s="898"/>
      <c r="CN408" s="898"/>
      <c r="CO408" s="898"/>
      <c r="CP408" s="898"/>
      <c r="CQ408" s="898"/>
      <c r="CR408" s="898"/>
      <c r="CS408" s="898"/>
      <c r="CT408" s="898"/>
      <c r="CU408" s="898"/>
    </row>
    <row r="409" ht="16.5" customHeight="1">
      <c r="A409" s="718"/>
      <c r="B409" s="1195"/>
      <c r="C409" s="866"/>
      <c r="D409" s="968"/>
      <c r="E409" s="718"/>
      <c r="F409" s="718"/>
      <c r="G409" s="718"/>
      <c r="H409" s="718"/>
      <c r="I409" s="359"/>
      <c r="J409" s="359"/>
      <c r="K409" s="359"/>
      <c r="L409" s="359"/>
      <c r="M409" s="359"/>
      <c r="N409" s="359"/>
      <c r="O409" s="359"/>
      <c r="P409" s="359"/>
      <c r="Q409" s="359"/>
      <c r="R409" s="718"/>
      <c r="S409" s="669"/>
      <c r="T409" s="669"/>
      <c r="U409" s="967"/>
      <c r="V409" s="974"/>
      <c r="W409" s="1197"/>
      <c r="X409" s="974"/>
      <c r="Y409" s="974"/>
      <c r="Z409" s="974"/>
      <c r="AA409" s="974"/>
      <c r="AB409" s="974"/>
      <c r="AC409" s="974"/>
      <c r="AD409" s="974"/>
      <c r="AE409" s="974"/>
      <c r="AF409" s="974"/>
      <c r="AG409" s="974"/>
      <c r="AH409" s="974"/>
      <c r="AI409" s="1198"/>
      <c r="AJ409" s="974"/>
      <c r="AK409" s="1197"/>
      <c r="AL409" s="974"/>
      <c r="AM409" s="974"/>
      <c r="AN409" s="974"/>
      <c r="AO409" s="974"/>
      <c r="AP409" s="974"/>
      <c r="AQ409" s="974"/>
      <c r="AR409" s="974"/>
      <c r="AS409" s="974"/>
      <c r="AT409" s="974"/>
      <c r="AU409" s="974"/>
      <c r="AV409" s="974"/>
      <c r="AW409" s="1181"/>
      <c r="AX409" s="978"/>
      <c r="AY409" s="898"/>
      <c r="AZ409" s="898"/>
      <c r="BA409" s="898"/>
      <c r="BB409" s="898"/>
      <c r="BC409" s="898"/>
      <c r="BD409" s="898"/>
      <c r="BE409" s="898"/>
      <c r="BF409" s="898"/>
      <c r="BG409" s="898"/>
      <c r="BH409" s="898"/>
      <c r="BI409" s="898"/>
      <c r="BJ409" s="898"/>
      <c r="BK409" s="898"/>
      <c r="BL409" s="898"/>
      <c r="BM409" s="898"/>
      <c r="BN409" s="898"/>
      <c r="BO409" s="898"/>
      <c r="BP409" s="898"/>
      <c r="BQ409" s="898"/>
      <c r="BR409" s="898"/>
      <c r="BS409" s="898"/>
      <c r="BT409" s="898"/>
      <c r="BU409" s="898"/>
      <c r="BV409" s="898"/>
      <c r="BW409" s="898"/>
      <c r="BX409" s="898"/>
      <c r="BY409" s="898"/>
      <c r="BZ409" s="898"/>
      <c r="CA409" s="898"/>
      <c r="CB409" s="898"/>
      <c r="CC409" s="898"/>
      <c r="CD409" s="898"/>
      <c r="CE409" s="898"/>
      <c r="CF409" s="898"/>
      <c r="CG409" s="898"/>
      <c r="CH409" s="898"/>
      <c r="CI409" s="898"/>
      <c r="CJ409" s="898"/>
      <c r="CK409" s="898"/>
      <c r="CL409" s="898"/>
      <c r="CM409" s="898"/>
      <c r="CN409" s="898"/>
      <c r="CO409" s="898"/>
      <c r="CP409" s="898"/>
      <c r="CQ409" s="898"/>
      <c r="CR409" s="898"/>
      <c r="CS409" s="898"/>
      <c r="CT409" s="898"/>
      <c r="CU409" s="898"/>
    </row>
    <row r="410" ht="16.5" customHeight="1">
      <c r="A410" s="718"/>
      <c r="B410" s="1195"/>
      <c r="C410" s="866"/>
      <c r="D410" s="968"/>
      <c r="E410" s="718"/>
      <c r="F410" s="718"/>
      <c r="G410" s="718"/>
      <c r="H410" s="718"/>
      <c r="I410" s="359"/>
      <c r="J410" s="359"/>
      <c r="K410" s="359"/>
      <c r="L410" s="359"/>
      <c r="M410" s="359"/>
      <c r="N410" s="359"/>
      <c r="O410" s="359"/>
      <c r="P410" s="359"/>
      <c r="Q410" s="359"/>
      <c r="R410" s="718"/>
      <c r="S410" s="669"/>
      <c r="T410" s="669"/>
      <c r="U410" s="967"/>
      <c r="V410" s="974"/>
      <c r="W410" s="1197"/>
      <c r="X410" s="974"/>
      <c r="Y410" s="974"/>
      <c r="Z410" s="974"/>
      <c r="AA410" s="974"/>
      <c r="AB410" s="974"/>
      <c r="AC410" s="974"/>
      <c r="AD410" s="974"/>
      <c r="AE410" s="974"/>
      <c r="AF410" s="974"/>
      <c r="AG410" s="974"/>
      <c r="AH410" s="974"/>
      <c r="AI410" s="1198"/>
      <c r="AJ410" s="974"/>
      <c r="AK410" s="1197"/>
      <c r="AL410" s="974"/>
      <c r="AM410" s="974"/>
      <c r="AN410" s="974"/>
      <c r="AO410" s="974"/>
      <c r="AP410" s="974"/>
      <c r="AQ410" s="974"/>
      <c r="AR410" s="974"/>
      <c r="AS410" s="974"/>
      <c r="AT410" s="974"/>
      <c r="AU410" s="974"/>
      <c r="AV410" s="974"/>
      <c r="AW410" s="1181"/>
      <c r="AX410" s="978"/>
      <c r="AY410" s="898"/>
      <c r="AZ410" s="898"/>
      <c r="BA410" s="898"/>
      <c r="BB410" s="898"/>
      <c r="BC410" s="898"/>
      <c r="BD410" s="898"/>
      <c r="BE410" s="898"/>
      <c r="BF410" s="898"/>
      <c r="BG410" s="898"/>
      <c r="BH410" s="898"/>
      <c r="BI410" s="898"/>
      <c r="BJ410" s="898"/>
      <c r="BK410" s="898"/>
      <c r="BL410" s="898"/>
      <c r="BM410" s="898"/>
      <c r="BN410" s="898"/>
      <c r="BO410" s="898"/>
      <c r="BP410" s="898"/>
      <c r="BQ410" s="898"/>
      <c r="BR410" s="898"/>
      <c r="BS410" s="898"/>
      <c r="BT410" s="898"/>
      <c r="BU410" s="898"/>
      <c r="BV410" s="898"/>
      <c r="BW410" s="898"/>
      <c r="BX410" s="898"/>
      <c r="BY410" s="898"/>
      <c r="BZ410" s="898"/>
      <c r="CA410" s="898"/>
      <c r="CB410" s="898"/>
      <c r="CC410" s="898"/>
      <c r="CD410" s="898"/>
      <c r="CE410" s="898"/>
      <c r="CF410" s="898"/>
      <c r="CG410" s="898"/>
      <c r="CH410" s="898"/>
      <c r="CI410" s="898"/>
      <c r="CJ410" s="898"/>
      <c r="CK410" s="898"/>
      <c r="CL410" s="898"/>
      <c r="CM410" s="898"/>
      <c r="CN410" s="898"/>
      <c r="CO410" s="898"/>
      <c r="CP410" s="898"/>
      <c r="CQ410" s="898"/>
      <c r="CR410" s="898"/>
      <c r="CS410" s="898"/>
      <c r="CT410" s="898"/>
      <c r="CU410" s="898"/>
    </row>
    <row r="411" ht="16.5" customHeight="1">
      <c r="A411" s="718"/>
      <c r="B411" s="1195"/>
      <c r="C411" s="866"/>
      <c r="D411" s="968"/>
      <c r="E411" s="718"/>
      <c r="F411" s="718"/>
      <c r="G411" s="718"/>
      <c r="H411" s="718"/>
      <c r="I411" s="359"/>
      <c r="J411" s="359"/>
      <c r="K411" s="359"/>
      <c r="L411" s="359"/>
      <c r="M411" s="359"/>
      <c r="N411" s="359"/>
      <c r="O411" s="359"/>
      <c r="P411" s="359"/>
      <c r="Q411" s="359"/>
      <c r="R411" s="718"/>
      <c r="S411" s="669"/>
      <c r="T411" s="669"/>
      <c r="U411" s="967"/>
      <c r="V411" s="974"/>
      <c r="W411" s="1197"/>
      <c r="X411" s="974"/>
      <c r="Y411" s="974"/>
      <c r="Z411" s="974"/>
      <c r="AA411" s="974"/>
      <c r="AB411" s="974"/>
      <c r="AC411" s="974"/>
      <c r="AD411" s="974"/>
      <c r="AE411" s="974"/>
      <c r="AF411" s="974"/>
      <c r="AG411" s="974"/>
      <c r="AH411" s="974"/>
      <c r="AI411" s="1198"/>
      <c r="AJ411" s="974"/>
      <c r="AK411" s="1197"/>
      <c r="AL411" s="974"/>
      <c r="AM411" s="974"/>
      <c r="AN411" s="974"/>
      <c r="AO411" s="974"/>
      <c r="AP411" s="974"/>
      <c r="AQ411" s="974"/>
      <c r="AR411" s="974"/>
      <c r="AS411" s="974"/>
      <c r="AT411" s="974"/>
      <c r="AU411" s="974"/>
      <c r="AV411" s="974"/>
      <c r="AW411" s="1181"/>
      <c r="AX411" s="978"/>
      <c r="AY411" s="898"/>
      <c r="AZ411" s="898"/>
      <c r="BA411" s="898"/>
      <c r="BB411" s="898"/>
      <c r="BC411" s="898"/>
      <c r="BD411" s="898"/>
      <c r="BE411" s="898"/>
      <c r="BF411" s="898"/>
      <c r="BG411" s="898"/>
      <c r="BH411" s="898"/>
      <c r="BI411" s="898"/>
      <c r="BJ411" s="898"/>
      <c r="BK411" s="898"/>
      <c r="BL411" s="898"/>
      <c r="BM411" s="898"/>
      <c r="BN411" s="898"/>
      <c r="BO411" s="898"/>
      <c r="BP411" s="898"/>
      <c r="BQ411" s="898"/>
      <c r="BR411" s="898"/>
      <c r="BS411" s="898"/>
      <c r="BT411" s="898"/>
      <c r="BU411" s="898"/>
      <c r="BV411" s="898"/>
      <c r="BW411" s="898"/>
      <c r="BX411" s="898"/>
      <c r="BY411" s="898"/>
      <c r="BZ411" s="898"/>
      <c r="CA411" s="898"/>
      <c r="CB411" s="898"/>
      <c r="CC411" s="898"/>
      <c r="CD411" s="898"/>
      <c r="CE411" s="898"/>
      <c r="CF411" s="898"/>
      <c r="CG411" s="898"/>
      <c r="CH411" s="898"/>
      <c r="CI411" s="898"/>
      <c r="CJ411" s="898"/>
      <c r="CK411" s="898"/>
      <c r="CL411" s="898"/>
      <c r="CM411" s="898"/>
      <c r="CN411" s="898"/>
      <c r="CO411" s="898"/>
      <c r="CP411" s="898"/>
      <c r="CQ411" s="898"/>
      <c r="CR411" s="898"/>
      <c r="CS411" s="898"/>
      <c r="CT411" s="898"/>
      <c r="CU411" s="898"/>
    </row>
    <row r="412" ht="16.5" customHeight="1">
      <c r="A412" s="718"/>
      <c r="B412" s="1195"/>
      <c r="C412" s="866"/>
      <c r="D412" s="968"/>
      <c r="E412" s="718"/>
      <c r="F412" s="718"/>
      <c r="G412" s="718"/>
      <c r="H412" s="718"/>
      <c r="I412" s="359"/>
      <c r="J412" s="359"/>
      <c r="K412" s="359"/>
      <c r="L412" s="359"/>
      <c r="M412" s="359"/>
      <c r="N412" s="359"/>
      <c r="O412" s="359"/>
      <c r="P412" s="359"/>
      <c r="Q412" s="359"/>
      <c r="R412" s="718"/>
      <c r="S412" s="669"/>
      <c r="T412" s="669"/>
      <c r="U412" s="967"/>
      <c r="V412" s="974"/>
      <c r="W412" s="1197"/>
      <c r="X412" s="974"/>
      <c r="Y412" s="974"/>
      <c r="Z412" s="974"/>
      <c r="AA412" s="974"/>
      <c r="AB412" s="974"/>
      <c r="AC412" s="974"/>
      <c r="AD412" s="974"/>
      <c r="AE412" s="974"/>
      <c r="AF412" s="974"/>
      <c r="AG412" s="974"/>
      <c r="AH412" s="974"/>
      <c r="AI412" s="1198"/>
      <c r="AJ412" s="974"/>
      <c r="AK412" s="1197"/>
      <c r="AL412" s="974"/>
      <c r="AM412" s="974"/>
      <c r="AN412" s="974"/>
      <c r="AO412" s="974"/>
      <c r="AP412" s="974"/>
      <c r="AQ412" s="974"/>
      <c r="AR412" s="974"/>
      <c r="AS412" s="974"/>
      <c r="AT412" s="974"/>
      <c r="AU412" s="974"/>
      <c r="AV412" s="974"/>
      <c r="AW412" s="1181"/>
      <c r="AX412" s="978"/>
      <c r="AY412" s="898"/>
      <c r="AZ412" s="898"/>
      <c r="BA412" s="898"/>
      <c r="BB412" s="898"/>
      <c r="BC412" s="898"/>
      <c r="BD412" s="898"/>
      <c r="BE412" s="898"/>
      <c r="BF412" s="898"/>
      <c r="BG412" s="898"/>
      <c r="BH412" s="898"/>
      <c r="BI412" s="898"/>
      <c r="BJ412" s="898"/>
      <c r="BK412" s="898"/>
      <c r="BL412" s="898"/>
      <c r="BM412" s="898"/>
      <c r="BN412" s="898"/>
      <c r="BO412" s="898"/>
      <c r="BP412" s="898"/>
      <c r="BQ412" s="898"/>
      <c r="BR412" s="898"/>
      <c r="BS412" s="898"/>
      <c r="BT412" s="898"/>
      <c r="BU412" s="898"/>
      <c r="BV412" s="898"/>
      <c r="BW412" s="898"/>
      <c r="BX412" s="898"/>
      <c r="BY412" s="898"/>
      <c r="BZ412" s="898"/>
      <c r="CA412" s="898"/>
      <c r="CB412" s="898"/>
      <c r="CC412" s="898"/>
      <c r="CD412" s="898"/>
      <c r="CE412" s="898"/>
      <c r="CF412" s="898"/>
      <c r="CG412" s="898"/>
      <c r="CH412" s="898"/>
      <c r="CI412" s="898"/>
      <c r="CJ412" s="898"/>
      <c r="CK412" s="898"/>
      <c r="CL412" s="898"/>
      <c r="CM412" s="898"/>
      <c r="CN412" s="898"/>
      <c r="CO412" s="898"/>
      <c r="CP412" s="898"/>
      <c r="CQ412" s="898"/>
      <c r="CR412" s="898"/>
      <c r="CS412" s="898"/>
      <c r="CT412" s="898"/>
      <c r="CU412" s="898"/>
    </row>
    <row r="413" ht="16.5" customHeight="1">
      <c r="A413" s="718"/>
      <c r="B413" s="1195"/>
      <c r="C413" s="866"/>
      <c r="D413" s="968"/>
      <c r="E413" s="718"/>
      <c r="F413" s="718"/>
      <c r="G413" s="718"/>
      <c r="H413" s="718"/>
      <c r="I413" s="359"/>
      <c r="J413" s="359"/>
      <c r="K413" s="359"/>
      <c r="L413" s="359"/>
      <c r="M413" s="359"/>
      <c r="N413" s="359"/>
      <c r="O413" s="359"/>
      <c r="P413" s="359"/>
      <c r="Q413" s="359"/>
      <c r="R413" s="718"/>
      <c r="S413" s="669"/>
      <c r="T413" s="669"/>
      <c r="U413" s="967"/>
      <c r="V413" s="974"/>
      <c r="W413" s="1197"/>
      <c r="X413" s="974"/>
      <c r="Y413" s="974"/>
      <c r="Z413" s="974"/>
      <c r="AA413" s="974"/>
      <c r="AB413" s="974"/>
      <c r="AC413" s="974"/>
      <c r="AD413" s="974"/>
      <c r="AE413" s="974"/>
      <c r="AF413" s="974"/>
      <c r="AG413" s="974"/>
      <c r="AH413" s="974"/>
      <c r="AI413" s="1198"/>
      <c r="AJ413" s="974"/>
      <c r="AK413" s="1197"/>
      <c r="AL413" s="974"/>
      <c r="AM413" s="974"/>
      <c r="AN413" s="974"/>
      <c r="AO413" s="974"/>
      <c r="AP413" s="974"/>
      <c r="AQ413" s="974"/>
      <c r="AR413" s="974"/>
      <c r="AS413" s="974"/>
      <c r="AT413" s="974"/>
      <c r="AU413" s="974"/>
      <c r="AV413" s="974"/>
      <c r="AW413" s="1181"/>
      <c r="AX413" s="978"/>
      <c r="AY413" s="898"/>
      <c r="AZ413" s="898"/>
      <c r="BA413" s="898"/>
      <c r="BB413" s="898"/>
      <c r="BC413" s="898"/>
      <c r="BD413" s="898"/>
      <c r="BE413" s="898"/>
      <c r="BF413" s="898"/>
      <c r="BG413" s="898"/>
      <c r="BH413" s="898"/>
      <c r="BI413" s="898"/>
      <c r="BJ413" s="898"/>
      <c r="BK413" s="898"/>
      <c r="BL413" s="898"/>
      <c r="BM413" s="898"/>
      <c r="BN413" s="898"/>
      <c r="BO413" s="898"/>
      <c r="BP413" s="898"/>
      <c r="BQ413" s="898"/>
      <c r="BR413" s="898"/>
      <c r="BS413" s="898"/>
      <c r="BT413" s="898"/>
      <c r="BU413" s="898"/>
      <c r="BV413" s="898"/>
      <c r="BW413" s="898"/>
      <c r="BX413" s="898"/>
      <c r="BY413" s="898"/>
      <c r="BZ413" s="898"/>
      <c r="CA413" s="898"/>
      <c r="CB413" s="898"/>
      <c r="CC413" s="898"/>
      <c r="CD413" s="898"/>
      <c r="CE413" s="898"/>
      <c r="CF413" s="898"/>
      <c r="CG413" s="898"/>
      <c r="CH413" s="898"/>
      <c r="CI413" s="898"/>
      <c r="CJ413" s="898"/>
      <c r="CK413" s="898"/>
      <c r="CL413" s="898"/>
      <c r="CM413" s="898"/>
      <c r="CN413" s="898"/>
      <c r="CO413" s="898"/>
      <c r="CP413" s="898"/>
      <c r="CQ413" s="898"/>
      <c r="CR413" s="898"/>
      <c r="CS413" s="898"/>
      <c r="CT413" s="898"/>
      <c r="CU413" s="898"/>
    </row>
    <row r="414" ht="16.5" customHeight="1">
      <c r="A414" s="718"/>
      <c r="B414" s="1195"/>
      <c r="C414" s="866"/>
      <c r="D414" s="968"/>
      <c r="E414" s="718"/>
      <c r="F414" s="718"/>
      <c r="G414" s="718"/>
      <c r="H414" s="718"/>
      <c r="I414" s="359"/>
      <c r="J414" s="359"/>
      <c r="K414" s="359"/>
      <c r="L414" s="359"/>
      <c r="M414" s="359"/>
      <c r="N414" s="359"/>
      <c r="O414" s="359"/>
      <c r="P414" s="359"/>
      <c r="Q414" s="359"/>
      <c r="R414" s="718"/>
      <c r="S414" s="669"/>
      <c r="T414" s="669"/>
      <c r="U414" s="967"/>
      <c r="V414" s="974"/>
      <c r="W414" s="1197"/>
      <c r="X414" s="974"/>
      <c r="Y414" s="974"/>
      <c r="Z414" s="974"/>
      <c r="AA414" s="974"/>
      <c r="AB414" s="974"/>
      <c r="AC414" s="974"/>
      <c r="AD414" s="974"/>
      <c r="AE414" s="974"/>
      <c r="AF414" s="974"/>
      <c r="AG414" s="974"/>
      <c r="AH414" s="974"/>
      <c r="AI414" s="1198"/>
      <c r="AJ414" s="974"/>
      <c r="AK414" s="1197"/>
      <c r="AL414" s="974"/>
      <c r="AM414" s="974"/>
      <c r="AN414" s="974"/>
      <c r="AO414" s="974"/>
      <c r="AP414" s="974"/>
      <c r="AQ414" s="974"/>
      <c r="AR414" s="974"/>
      <c r="AS414" s="974"/>
      <c r="AT414" s="974"/>
      <c r="AU414" s="974"/>
      <c r="AV414" s="974"/>
      <c r="AW414" s="1181"/>
      <c r="AX414" s="978"/>
      <c r="AY414" s="898"/>
      <c r="AZ414" s="898"/>
      <c r="BA414" s="898"/>
      <c r="BB414" s="898"/>
      <c r="BC414" s="898"/>
      <c r="BD414" s="898"/>
      <c r="BE414" s="898"/>
      <c r="BF414" s="898"/>
      <c r="BG414" s="898"/>
      <c r="BH414" s="898"/>
      <c r="BI414" s="898"/>
      <c r="BJ414" s="898"/>
      <c r="BK414" s="898"/>
      <c r="BL414" s="898"/>
      <c r="BM414" s="898"/>
      <c r="BN414" s="898"/>
      <c r="BO414" s="898"/>
      <c r="BP414" s="898"/>
      <c r="BQ414" s="898"/>
      <c r="BR414" s="898"/>
      <c r="BS414" s="898"/>
      <c r="BT414" s="898"/>
      <c r="BU414" s="898"/>
      <c r="BV414" s="898"/>
      <c r="BW414" s="898"/>
      <c r="BX414" s="898"/>
      <c r="BY414" s="898"/>
      <c r="BZ414" s="898"/>
      <c r="CA414" s="898"/>
      <c r="CB414" s="898"/>
      <c r="CC414" s="898"/>
      <c r="CD414" s="898"/>
      <c r="CE414" s="898"/>
      <c r="CF414" s="898"/>
      <c r="CG414" s="898"/>
      <c r="CH414" s="898"/>
      <c r="CI414" s="898"/>
      <c r="CJ414" s="898"/>
      <c r="CK414" s="898"/>
      <c r="CL414" s="898"/>
      <c r="CM414" s="898"/>
      <c r="CN414" s="898"/>
      <c r="CO414" s="898"/>
      <c r="CP414" s="898"/>
      <c r="CQ414" s="898"/>
      <c r="CR414" s="898"/>
      <c r="CS414" s="898"/>
      <c r="CT414" s="898"/>
      <c r="CU414" s="898"/>
    </row>
    <row r="415" ht="16.5" customHeight="1">
      <c r="A415" s="718"/>
      <c r="B415" s="1195"/>
      <c r="C415" s="866"/>
      <c r="D415" s="968"/>
      <c r="E415" s="718"/>
      <c r="F415" s="718"/>
      <c r="G415" s="718"/>
      <c r="H415" s="718"/>
      <c r="I415" s="359"/>
      <c r="J415" s="359"/>
      <c r="K415" s="359"/>
      <c r="L415" s="359"/>
      <c r="M415" s="359"/>
      <c r="N415" s="359"/>
      <c r="O415" s="359"/>
      <c r="P415" s="359"/>
      <c r="Q415" s="359"/>
      <c r="R415" s="718"/>
      <c r="S415" s="669"/>
      <c r="T415" s="669"/>
      <c r="U415" s="967"/>
      <c r="V415" s="974"/>
      <c r="W415" s="1197"/>
      <c r="X415" s="974"/>
      <c r="Y415" s="974"/>
      <c r="Z415" s="974"/>
      <c r="AA415" s="974"/>
      <c r="AB415" s="974"/>
      <c r="AC415" s="974"/>
      <c r="AD415" s="974"/>
      <c r="AE415" s="974"/>
      <c r="AF415" s="974"/>
      <c r="AG415" s="974"/>
      <c r="AH415" s="974"/>
      <c r="AI415" s="1198"/>
      <c r="AJ415" s="974"/>
      <c r="AK415" s="1197"/>
      <c r="AL415" s="974"/>
      <c r="AM415" s="974"/>
      <c r="AN415" s="974"/>
      <c r="AO415" s="974"/>
      <c r="AP415" s="974"/>
      <c r="AQ415" s="974"/>
      <c r="AR415" s="974"/>
      <c r="AS415" s="974"/>
      <c r="AT415" s="974"/>
      <c r="AU415" s="974"/>
      <c r="AV415" s="974"/>
      <c r="AW415" s="1181"/>
      <c r="AX415" s="978"/>
      <c r="AY415" s="898"/>
      <c r="AZ415" s="898"/>
      <c r="BA415" s="898"/>
      <c r="BB415" s="898"/>
      <c r="BC415" s="898"/>
      <c r="BD415" s="898"/>
      <c r="BE415" s="898"/>
      <c r="BF415" s="898"/>
      <c r="BG415" s="898"/>
      <c r="BH415" s="898"/>
      <c r="BI415" s="898"/>
      <c r="BJ415" s="898"/>
      <c r="BK415" s="898"/>
      <c r="BL415" s="898"/>
      <c r="BM415" s="898"/>
      <c r="BN415" s="898"/>
      <c r="BO415" s="898"/>
      <c r="BP415" s="898"/>
      <c r="BQ415" s="898"/>
      <c r="BR415" s="898"/>
      <c r="BS415" s="898"/>
      <c r="BT415" s="898"/>
      <c r="BU415" s="898"/>
      <c r="BV415" s="898"/>
      <c r="BW415" s="898"/>
      <c r="BX415" s="898"/>
      <c r="BY415" s="898"/>
      <c r="BZ415" s="898"/>
      <c r="CA415" s="898"/>
      <c r="CB415" s="898"/>
      <c r="CC415" s="898"/>
      <c r="CD415" s="898"/>
      <c r="CE415" s="898"/>
      <c r="CF415" s="898"/>
      <c r="CG415" s="898"/>
      <c r="CH415" s="898"/>
      <c r="CI415" s="898"/>
      <c r="CJ415" s="898"/>
      <c r="CK415" s="898"/>
      <c r="CL415" s="898"/>
      <c r="CM415" s="898"/>
      <c r="CN415" s="898"/>
      <c r="CO415" s="898"/>
      <c r="CP415" s="898"/>
      <c r="CQ415" s="898"/>
      <c r="CR415" s="898"/>
      <c r="CS415" s="898"/>
      <c r="CT415" s="898"/>
      <c r="CU415" s="898"/>
    </row>
    <row r="416" ht="16.5" customHeight="1">
      <c r="A416" s="718"/>
      <c r="B416" s="1195"/>
      <c r="C416" s="866"/>
      <c r="D416" s="968"/>
      <c r="E416" s="718"/>
      <c r="F416" s="718"/>
      <c r="G416" s="718"/>
      <c r="H416" s="718"/>
      <c r="I416" s="359"/>
      <c r="J416" s="359"/>
      <c r="K416" s="359"/>
      <c r="L416" s="359"/>
      <c r="M416" s="359"/>
      <c r="N416" s="359"/>
      <c r="O416" s="359"/>
      <c r="P416" s="359"/>
      <c r="Q416" s="359"/>
      <c r="R416" s="718"/>
      <c r="S416" s="669"/>
      <c r="T416" s="669"/>
      <c r="U416" s="967"/>
      <c r="V416" s="974"/>
      <c r="W416" s="1197"/>
      <c r="X416" s="974"/>
      <c r="Y416" s="974"/>
      <c r="Z416" s="974"/>
      <c r="AA416" s="974"/>
      <c r="AB416" s="974"/>
      <c r="AC416" s="974"/>
      <c r="AD416" s="974"/>
      <c r="AE416" s="974"/>
      <c r="AF416" s="974"/>
      <c r="AG416" s="974"/>
      <c r="AH416" s="974"/>
      <c r="AI416" s="1198"/>
      <c r="AJ416" s="974"/>
      <c r="AK416" s="1197"/>
      <c r="AL416" s="974"/>
      <c r="AM416" s="974"/>
      <c r="AN416" s="974"/>
      <c r="AO416" s="974"/>
      <c r="AP416" s="974"/>
      <c r="AQ416" s="974"/>
      <c r="AR416" s="974"/>
      <c r="AS416" s="974"/>
      <c r="AT416" s="974"/>
      <c r="AU416" s="974"/>
      <c r="AV416" s="974"/>
      <c r="AW416" s="1181"/>
      <c r="AX416" s="978"/>
      <c r="AY416" s="898"/>
      <c r="AZ416" s="898"/>
      <c r="BA416" s="898"/>
      <c r="BB416" s="898"/>
      <c r="BC416" s="898"/>
      <c r="BD416" s="898"/>
      <c r="BE416" s="898"/>
      <c r="BF416" s="898"/>
      <c r="BG416" s="898"/>
      <c r="BH416" s="898"/>
      <c r="BI416" s="898"/>
      <c r="BJ416" s="898"/>
      <c r="BK416" s="898"/>
      <c r="BL416" s="898"/>
      <c r="BM416" s="898"/>
      <c r="BN416" s="898"/>
      <c r="BO416" s="898"/>
      <c r="BP416" s="898"/>
      <c r="BQ416" s="898"/>
      <c r="BR416" s="898"/>
      <c r="BS416" s="898"/>
      <c r="BT416" s="898"/>
      <c r="BU416" s="898"/>
      <c r="BV416" s="898"/>
      <c r="BW416" s="898"/>
      <c r="BX416" s="898"/>
      <c r="BY416" s="898"/>
      <c r="BZ416" s="898"/>
      <c r="CA416" s="898"/>
      <c r="CB416" s="898"/>
      <c r="CC416" s="898"/>
      <c r="CD416" s="898"/>
      <c r="CE416" s="898"/>
      <c r="CF416" s="898"/>
      <c r="CG416" s="898"/>
      <c r="CH416" s="898"/>
      <c r="CI416" s="898"/>
      <c r="CJ416" s="898"/>
      <c r="CK416" s="898"/>
      <c r="CL416" s="898"/>
      <c r="CM416" s="898"/>
      <c r="CN416" s="898"/>
      <c r="CO416" s="898"/>
      <c r="CP416" s="898"/>
      <c r="CQ416" s="898"/>
      <c r="CR416" s="898"/>
      <c r="CS416" s="898"/>
      <c r="CT416" s="898"/>
      <c r="CU416" s="898"/>
    </row>
    <row r="417" ht="16.5" customHeight="1">
      <c r="A417" s="718"/>
      <c r="B417" s="1195"/>
      <c r="C417" s="866"/>
      <c r="D417" s="968"/>
      <c r="E417" s="718"/>
      <c r="F417" s="718"/>
      <c r="G417" s="718"/>
      <c r="H417" s="718"/>
      <c r="I417" s="359"/>
      <c r="J417" s="359"/>
      <c r="K417" s="359"/>
      <c r="L417" s="359"/>
      <c r="M417" s="359"/>
      <c r="N417" s="359"/>
      <c r="O417" s="359"/>
      <c r="P417" s="359"/>
      <c r="Q417" s="359"/>
      <c r="R417" s="718"/>
      <c r="S417" s="669"/>
      <c r="T417" s="669"/>
      <c r="U417" s="967"/>
      <c r="V417" s="974"/>
      <c r="W417" s="1197"/>
      <c r="X417" s="974"/>
      <c r="Y417" s="974"/>
      <c r="Z417" s="974"/>
      <c r="AA417" s="974"/>
      <c r="AB417" s="974"/>
      <c r="AC417" s="974"/>
      <c r="AD417" s="974"/>
      <c r="AE417" s="974"/>
      <c r="AF417" s="974"/>
      <c r="AG417" s="974"/>
      <c r="AH417" s="974"/>
      <c r="AI417" s="1198"/>
      <c r="AJ417" s="974"/>
      <c r="AK417" s="1197"/>
      <c r="AL417" s="974"/>
      <c r="AM417" s="974"/>
      <c r="AN417" s="974"/>
      <c r="AO417" s="974"/>
      <c r="AP417" s="974"/>
      <c r="AQ417" s="974"/>
      <c r="AR417" s="974"/>
      <c r="AS417" s="974"/>
      <c r="AT417" s="974"/>
      <c r="AU417" s="974"/>
      <c r="AV417" s="974"/>
      <c r="AW417" s="1181"/>
      <c r="AX417" s="978"/>
      <c r="AY417" s="898"/>
      <c r="AZ417" s="898"/>
      <c r="BA417" s="898"/>
      <c r="BB417" s="898"/>
      <c r="BC417" s="898"/>
      <c r="BD417" s="898"/>
      <c r="BE417" s="898"/>
      <c r="BF417" s="898"/>
      <c r="BG417" s="898"/>
      <c r="BH417" s="898"/>
      <c r="BI417" s="898"/>
      <c r="BJ417" s="898"/>
      <c r="BK417" s="898"/>
      <c r="BL417" s="898"/>
      <c r="BM417" s="898"/>
      <c r="BN417" s="898"/>
      <c r="BO417" s="898"/>
      <c r="BP417" s="898"/>
      <c r="BQ417" s="898"/>
      <c r="BR417" s="898"/>
      <c r="BS417" s="898"/>
      <c r="BT417" s="898"/>
      <c r="BU417" s="898"/>
      <c r="BV417" s="898"/>
      <c r="BW417" s="898"/>
      <c r="BX417" s="898"/>
      <c r="BY417" s="898"/>
      <c r="BZ417" s="898"/>
      <c r="CA417" s="898"/>
      <c r="CB417" s="898"/>
      <c r="CC417" s="898"/>
      <c r="CD417" s="898"/>
      <c r="CE417" s="898"/>
      <c r="CF417" s="898"/>
      <c r="CG417" s="898"/>
      <c r="CH417" s="898"/>
      <c r="CI417" s="898"/>
      <c r="CJ417" s="898"/>
      <c r="CK417" s="898"/>
      <c r="CL417" s="898"/>
      <c r="CM417" s="898"/>
      <c r="CN417" s="898"/>
      <c r="CO417" s="898"/>
      <c r="CP417" s="898"/>
      <c r="CQ417" s="898"/>
      <c r="CR417" s="898"/>
      <c r="CS417" s="898"/>
      <c r="CT417" s="898"/>
      <c r="CU417" s="898"/>
    </row>
    <row r="418" ht="16.5" customHeight="1">
      <c r="A418" s="718"/>
      <c r="B418" s="1195"/>
      <c r="C418" s="866"/>
      <c r="D418" s="968"/>
      <c r="E418" s="718"/>
      <c r="F418" s="718"/>
      <c r="G418" s="718"/>
      <c r="H418" s="718"/>
      <c r="I418" s="359"/>
      <c r="J418" s="359"/>
      <c r="K418" s="359"/>
      <c r="L418" s="359"/>
      <c r="M418" s="359"/>
      <c r="N418" s="359"/>
      <c r="O418" s="359"/>
      <c r="P418" s="359"/>
      <c r="Q418" s="359"/>
      <c r="R418" s="718"/>
      <c r="S418" s="669"/>
      <c r="T418" s="669"/>
      <c r="U418" s="967"/>
      <c r="V418" s="974"/>
      <c r="W418" s="1197"/>
      <c r="X418" s="974"/>
      <c r="Y418" s="974"/>
      <c r="Z418" s="974"/>
      <c r="AA418" s="974"/>
      <c r="AB418" s="974"/>
      <c r="AC418" s="974"/>
      <c r="AD418" s="974"/>
      <c r="AE418" s="974"/>
      <c r="AF418" s="974"/>
      <c r="AG418" s="974"/>
      <c r="AH418" s="974"/>
      <c r="AI418" s="1198"/>
      <c r="AJ418" s="974"/>
      <c r="AK418" s="1197"/>
      <c r="AL418" s="974"/>
      <c r="AM418" s="974"/>
      <c r="AN418" s="974"/>
      <c r="AO418" s="974"/>
      <c r="AP418" s="974"/>
      <c r="AQ418" s="974"/>
      <c r="AR418" s="974"/>
      <c r="AS418" s="974"/>
      <c r="AT418" s="974"/>
      <c r="AU418" s="974"/>
      <c r="AV418" s="974"/>
      <c r="AW418" s="1181"/>
      <c r="AX418" s="978"/>
      <c r="AY418" s="898"/>
      <c r="AZ418" s="898"/>
      <c r="BA418" s="898"/>
      <c r="BB418" s="898"/>
      <c r="BC418" s="898"/>
      <c r="BD418" s="898"/>
      <c r="BE418" s="898"/>
      <c r="BF418" s="898"/>
      <c r="BG418" s="898"/>
      <c r="BH418" s="898"/>
      <c r="BI418" s="898"/>
      <c r="BJ418" s="898"/>
      <c r="BK418" s="898"/>
      <c r="BL418" s="898"/>
      <c r="BM418" s="898"/>
      <c r="BN418" s="898"/>
      <c r="BO418" s="898"/>
      <c r="BP418" s="898"/>
      <c r="BQ418" s="898"/>
      <c r="BR418" s="898"/>
      <c r="BS418" s="898"/>
      <c r="BT418" s="898"/>
      <c r="BU418" s="898"/>
      <c r="BV418" s="898"/>
      <c r="BW418" s="898"/>
      <c r="BX418" s="898"/>
      <c r="BY418" s="898"/>
      <c r="BZ418" s="898"/>
      <c r="CA418" s="898"/>
      <c r="CB418" s="898"/>
      <c r="CC418" s="898"/>
      <c r="CD418" s="898"/>
      <c r="CE418" s="898"/>
      <c r="CF418" s="898"/>
      <c r="CG418" s="898"/>
      <c r="CH418" s="898"/>
      <c r="CI418" s="898"/>
      <c r="CJ418" s="898"/>
      <c r="CK418" s="898"/>
      <c r="CL418" s="898"/>
      <c r="CM418" s="898"/>
      <c r="CN418" s="898"/>
      <c r="CO418" s="898"/>
      <c r="CP418" s="898"/>
      <c r="CQ418" s="898"/>
      <c r="CR418" s="898"/>
      <c r="CS418" s="898"/>
      <c r="CT418" s="898"/>
      <c r="CU418" s="898"/>
    </row>
    <row r="419" ht="16.5" customHeight="1">
      <c r="A419" s="718"/>
      <c r="B419" s="1195"/>
      <c r="C419" s="866"/>
      <c r="D419" s="968"/>
      <c r="E419" s="718"/>
      <c r="F419" s="718"/>
      <c r="G419" s="718"/>
      <c r="H419" s="718"/>
      <c r="I419" s="359"/>
      <c r="J419" s="359"/>
      <c r="K419" s="359"/>
      <c r="L419" s="359"/>
      <c r="M419" s="359"/>
      <c r="N419" s="359"/>
      <c r="O419" s="359"/>
      <c r="P419" s="359"/>
      <c r="Q419" s="359"/>
      <c r="R419" s="718"/>
      <c r="S419" s="669"/>
      <c r="T419" s="669"/>
      <c r="U419" s="967"/>
      <c r="V419" s="974"/>
      <c r="W419" s="1197"/>
      <c r="X419" s="974"/>
      <c r="Y419" s="974"/>
      <c r="Z419" s="974"/>
      <c r="AA419" s="974"/>
      <c r="AB419" s="974"/>
      <c r="AC419" s="974"/>
      <c r="AD419" s="974"/>
      <c r="AE419" s="974"/>
      <c r="AF419" s="974"/>
      <c r="AG419" s="974"/>
      <c r="AH419" s="974"/>
      <c r="AI419" s="1198"/>
      <c r="AJ419" s="974"/>
      <c r="AK419" s="1197"/>
      <c r="AL419" s="974"/>
      <c r="AM419" s="974"/>
      <c r="AN419" s="974"/>
      <c r="AO419" s="974"/>
      <c r="AP419" s="974"/>
      <c r="AQ419" s="974"/>
      <c r="AR419" s="974"/>
      <c r="AS419" s="974"/>
      <c r="AT419" s="974"/>
      <c r="AU419" s="974"/>
      <c r="AV419" s="974"/>
      <c r="AW419" s="1181"/>
      <c r="AX419" s="978"/>
      <c r="AY419" s="898"/>
      <c r="AZ419" s="898"/>
      <c r="BA419" s="898"/>
      <c r="BB419" s="898"/>
      <c r="BC419" s="898"/>
      <c r="BD419" s="898"/>
      <c r="BE419" s="898"/>
      <c r="BF419" s="898"/>
      <c r="BG419" s="898"/>
      <c r="BH419" s="898"/>
      <c r="BI419" s="898"/>
      <c r="BJ419" s="898"/>
      <c r="BK419" s="898"/>
      <c r="BL419" s="898"/>
      <c r="BM419" s="898"/>
      <c r="BN419" s="898"/>
      <c r="BO419" s="898"/>
      <c r="BP419" s="898"/>
      <c r="BQ419" s="898"/>
      <c r="BR419" s="898"/>
      <c r="BS419" s="898"/>
      <c r="BT419" s="898"/>
      <c r="BU419" s="898"/>
      <c r="BV419" s="898"/>
      <c r="BW419" s="898"/>
      <c r="BX419" s="898"/>
      <c r="BY419" s="898"/>
      <c r="BZ419" s="898"/>
      <c r="CA419" s="898"/>
      <c r="CB419" s="898"/>
      <c r="CC419" s="898"/>
      <c r="CD419" s="898"/>
      <c r="CE419" s="898"/>
      <c r="CF419" s="898"/>
      <c r="CG419" s="898"/>
      <c r="CH419" s="898"/>
      <c r="CI419" s="898"/>
      <c r="CJ419" s="898"/>
      <c r="CK419" s="898"/>
      <c r="CL419" s="898"/>
      <c r="CM419" s="898"/>
      <c r="CN419" s="898"/>
      <c r="CO419" s="898"/>
      <c r="CP419" s="898"/>
      <c r="CQ419" s="898"/>
      <c r="CR419" s="898"/>
      <c r="CS419" s="898"/>
      <c r="CT419" s="898"/>
      <c r="CU419" s="898"/>
    </row>
    <row r="420" ht="16.5" customHeight="1">
      <c r="A420" s="718"/>
      <c r="B420" s="1195"/>
      <c r="C420" s="866"/>
      <c r="D420" s="968"/>
      <c r="E420" s="718"/>
      <c r="F420" s="718"/>
      <c r="G420" s="718"/>
      <c r="H420" s="718"/>
      <c r="I420" s="359"/>
      <c r="J420" s="359"/>
      <c r="K420" s="359"/>
      <c r="L420" s="359"/>
      <c r="M420" s="359"/>
      <c r="N420" s="359"/>
      <c r="O420" s="359"/>
      <c r="P420" s="359"/>
      <c r="Q420" s="359"/>
      <c r="R420" s="718"/>
      <c r="S420" s="669"/>
      <c r="T420" s="669"/>
      <c r="U420" s="967"/>
      <c r="V420" s="974"/>
      <c r="W420" s="1197"/>
      <c r="X420" s="974"/>
      <c r="Y420" s="974"/>
      <c r="Z420" s="974"/>
      <c r="AA420" s="974"/>
      <c r="AB420" s="974"/>
      <c r="AC420" s="974"/>
      <c r="AD420" s="974"/>
      <c r="AE420" s="974"/>
      <c r="AF420" s="974"/>
      <c r="AG420" s="974"/>
      <c r="AH420" s="974"/>
      <c r="AI420" s="1198"/>
      <c r="AJ420" s="974"/>
      <c r="AK420" s="1197"/>
      <c r="AL420" s="974"/>
      <c r="AM420" s="974"/>
      <c r="AN420" s="974"/>
      <c r="AO420" s="974"/>
      <c r="AP420" s="974"/>
      <c r="AQ420" s="974"/>
      <c r="AR420" s="974"/>
      <c r="AS420" s="974"/>
      <c r="AT420" s="974"/>
      <c r="AU420" s="974"/>
      <c r="AV420" s="974"/>
      <c r="AW420" s="1181"/>
      <c r="AX420" s="978"/>
      <c r="AY420" s="898"/>
      <c r="AZ420" s="898"/>
      <c r="BA420" s="898"/>
      <c r="BB420" s="898"/>
      <c r="BC420" s="898"/>
      <c r="BD420" s="898"/>
      <c r="BE420" s="898"/>
      <c r="BF420" s="898"/>
      <c r="BG420" s="898"/>
      <c r="BH420" s="898"/>
      <c r="BI420" s="898"/>
      <c r="BJ420" s="898"/>
      <c r="BK420" s="898"/>
      <c r="BL420" s="898"/>
      <c r="BM420" s="898"/>
      <c r="BN420" s="898"/>
      <c r="BO420" s="898"/>
      <c r="BP420" s="898"/>
      <c r="BQ420" s="898"/>
      <c r="BR420" s="898"/>
      <c r="BS420" s="898"/>
      <c r="BT420" s="898"/>
      <c r="BU420" s="898"/>
      <c r="BV420" s="898"/>
      <c r="BW420" s="898"/>
      <c r="BX420" s="898"/>
      <c r="BY420" s="898"/>
      <c r="BZ420" s="898"/>
      <c r="CA420" s="898"/>
      <c r="CB420" s="898"/>
      <c r="CC420" s="898"/>
      <c r="CD420" s="898"/>
      <c r="CE420" s="898"/>
      <c r="CF420" s="898"/>
      <c r="CG420" s="898"/>
      <c r="CH420" s="898"/>
      <c r="CI420" s="898"/>
      <c r="CJ420" s="898"/>
      <c r="CK420" s="898"/>
      <c r="CL420" s="898"/>
      <c r="CM420" s="898"/>
      <c r="CN420" s="898"/>
      <c r="CO420" s="898"/>
      <c r="CP420" s="898"/>
      <c r="CQ420" s="898"/>
      <c r="CR420" s="898"/>
      <c r="CS420" s="898"/>
      <c r="CT420" s="898"/>
      <c r="CU420" s="898"/>
    </row>
    <row r="421" ht="16.5" customHeight="1">
      <c r="A421" s="718"/>
      <c r="B421" s="1195"/>
      <c r="C421" s="866"/>
      <c r="D421" s="968"/>
      <c r="E421" s="718"/>
      <c r="F421" s="718"/>
      <c r="G421" s="718"/>
      <c r="H421" s="718"/>
      <c r="I421" s="359"/>
      <c r="J421" s="359"/>
      <c r="K421" s="359"/>
      <c r="L421" s="359"/>
      <c r="M421" s="359"/>
      <c r="N421" s="359"/>
      <c r="O421" s="359"/>
      <c r="P421" s="359"/>
      <c r="Q421" s="359"/>
      <c r="R421" s="718"/>
      <c r="S421" s="669"/>
      <c r="T421" s="669"/>
      <c r="U421" s="967"/>
      <c r="V421" s="974"/>
      <c r="W421" s="1197"/>
      <c r="X421" s="974"/>
      <c r="Y421" s="974"/>
      <c r="Z421" s="974"/>
      <c r="AA421" s="974"/>
      <c r="AB421" s="974"/>
      <c r="AC421" s="974"/>
      <c r="AD421" s="974"/>
      <c r="AE421" s="974"/>
      <c r="AF421" s="974"/>
      <c r="AG421" s="974"/>
      <c r="AH421" s="974"/>
      <c r="AI421" s="1198"/>
      <c r="AJ421" s="974"/>
      <c r="AK421" s="1197"/>
      <c r="AL421" s="974"/>
      <c r="AM421" s="974"/>
      <c r="AN421" s="974"/>
      <c r="AO421" s="974"/>
      <c r="AP421" s="974"/>
      <c r="AQ421" s="974"/>
      <c r="AR421" s="974"/>
      <c r="AS421" s="974"/>
      <c r="AT421" s="974"/>
      <c r="AU421" s="974"/>
      <c r="AV421" s="974"/>
      <c r="AW421" s="1181"/>
      <c r="AX421" s="978"/>
      <c r="AY421" s="898"/>
      <c r="AZ421" s="898"/>
      <c r="BA421" s="898"/>
      <c r="BB421" s="898"/>
      <c r="BC421" s="898"/>
      <c r="BD421" s="898"/>
      <c r="BE421" s="898"/>
      <c r="BF421" s="898"/>
      <c r="BG421" s="898"/>
      <c r="BH421" s="898"/>
      <c r="BI421" s="898"/>
      <c r="BJ421" s="898"/>
      <c r="BK421" s="898"/>
      <c r="BL421" s="898"/>
      <c r="BM421" s="898"/>
      <c r="BN421" s="898"/>
      <c r="BO421" s="898"/>
      <c r="BP421" s="898"/>
      <c r="BQ421" s="898"/>
      <c r="BR421" s="898"/>
      <c r="BS421" s="898"/>
      <c r="BT421" s="898"/>
      <c r="BU421" s="898"/>
      <c r="BV421" s="898"/>
      <c r="BW421" s="898"/>
      <c r="BX421" s="898"/>
      <c r="BY421" s="898"/>
      <c r="BZ421" s="898"/>
      <c r="CA421" s="898"/>
      <c r="CB421" s="898"/>
      <c r="CC421" s="898"/>
      <c r="CD421" s="898"/>
      <c r="CE421" s="898"/>
      <c r="CF421" s="898"/>
      <c r="CG421" s="898"/>
      <c r="CH421" s="898"/>
      <c r="CI421" s="898"/>
      <c r="CJ421" s="898"/>
      <c r="CK421" s="898"/>
      <c r="CL421" s="898"/>
      <c r="CM421" s="898"/>
      <c r="CN421" s="898"/>
      <c r="CO421" s="898"/>
      <c r="CP421" s="898"/>
      <c r="CQ421" s="898"/>
      <c r="CR421" s="898"/>
      <c r="CS421" s="898"/>
      <c r="CT421" s="898"/>
      <c r="CU421" s="898"/>
    </row>
    <row r="422" ht="16.5" customHeight="1">
      <c r="A422" s="718"/>
      <c r="B422" s="1195"/>
      <c r="C422" s="866"/>
      <c r="D422" s="968"/>
      <c r="E422" s="718"/>
      <c r="F422" s="718"/>
      <c r="G422" s="718"/>
      <c r="H422" s="718"/>
      <c r="I422" s="359"/>
      <c r="J422" s="359"/>
      <c r="K422" s="359"/>
      <c r="L422" s="359"/>
      <c r="M422" s="359"/>
      <c r="N422" s="359"/>
      <c r="O422" s="359"/>
      <c r="P422" s="359"/>
      <c r="Q422" s="359"/>
      <c r="R422" s="718"/>
      <c r="S422" s="669"/>
      <c r="T422" s="669"/>
      <c r="U422" s="967"/>
      <c r="V422" s="974"/>
      <c r="W422" s="1197"/>
      <c r="X422" s="974"/>
      <c r="Y422" s="974"/>
      <c r="Z422" s="974"/>
      <c r="AA422" s="974"/>
      <c r="AB422" s="974"/>
      <c r="AC422" s="974"/>
      <c r="AD422" s="974"/>
      <c r="AE422" s="974"/>
      <c r="AF422" s="974"/>
      <c r="AG422" s="974"/>
      <c r="AH422" s="974"/>
      <c r="AI422" s="1198"/>
      <c r="AJ422" s="974"/>
      <c r="AK422" s="1197"/>
      <c r="AL422" s="974"/>
      <c r="AM422" s="974"/>
      <c r="AN422" s="974"/>
      <c r="AO422" s="974"/>
      <c r="AP422" s="974"/>
      <c r="AQ422" s="974"/>
      <c r="AR422" s="974"/>
      <c r="AS422" s="974"/>
      <c r="AT422" s="974"/>
      <c r="AU422" s="974"/>
      <c r="AV422" s="974"/>
      <c r="AW422" s="1181"/>
      <c r="AX422" s="978"/>
      <c r="AY422" s="898"/>
      <c r="AZ422" s="898"/>
      <c r="BA422" s="898"/>
      <c r="BB422" s="898"/>
      <c r="BC422" s="898"/>
      <c r="BD422" s="898"/>
      <c r="BE422" s="898"/>
      <c r="BF422" s="898"/>
      <c r="BG422" s="898"/>
      <c r="BH422" s="898"/>
      <c r="BI422" s="898"/>
      <c r="BJ422" s="898"/>
      <c r="BK422" s="898"/>
      <c r="BL422" s="898"/>
      <c r="BM422" s="898"/>
      <c r="BN422" s="898"/>
      <c r="BO422" s="898"/>
      <c r="BP422" s="898"/>
      <c r="BQ422" s="898"/>
      <c r="BR422" s="898"/>
      <c r="BS422" s="898"/>
      <c r="BT422" s="898"/>
      <c r="BU422" s="898"/>
      <c r="BV422" s="898"/>
      <c r="BW422" s="898"/>
      <c r="BX422" s="898"/>
      <c r="BY422" s="898"/>
      <c r="BZ422" s="898"/>
      <c r="CA422" s="898"/>
      <c r="CB422" s="898"/>
      <c r="CC422" s="898"/>
      <c r="CD422" s="898"/>
      <c r="CE422" s="898"/>
      <c r="CF422" s="898"/>
      <c r="CG422" s="898"/>
      <c r="CH422" s="898"/>
      <c r="CI422" s="898"/>
      <c r="CJ422" s="898"/>
      <c r="CK422" s="898"/>
      <c r="CL422" s="898"/>
      <c r="CM422" s="898"/>
      <c r="CN422" s="898"/>
      <c r="CO422" s="898"/>
      <c r="CP422" s="898"/>
      <c r="CQ422" s="898"/>
      <c r="CR422" s="898"/>
      <c r="CS422" s="898"/>
      <c r="CT422" s="898"/>
      <c r="CU422" s="898"/>
    </row>
    <row r="423" ht="16.5" customHeight="1">
      <c r="A423" s="718"/>
      <c r="B423" s="1195"/>
      <c r="C423" s="866"/>
      <c r="D423" s="968"/>
      <c r="E423" s="718"/>
      <c r="F423" s="718"/>
      <c r="G423" s="718"/>
      <c r="H423" s="718"/>
      <c r="I423" s="359"/>
      <c r="J423" s="359"/>
      <c r="K423" s="359"/>
      <c r="L423" s="359"/>
      <c r="M423" s="359"/>
      <c r="N423" s="359"/>
      <c r="O423" s="359"/>
      <c r="P423" s="359"/>
      <c r="Q423" s="359"/>
      <c r="R423" s="718"/>
      <c r="S423" s="669"/>
      <c r="T423" s="669"/>
      <c r="U423" s="967"/>
      <c r="V423" s="974"/>
      <c r="W423" s="1197"/>
      <c r="X423" s="974"/>
      <c r="Y423" s="974"/>
      <c r="Z423" s="974"/>
      <c r="AA423" s="974"/>
      <c r="AB423" s="974"/>
      <c r="AC423" s="974"/>
      <c r="AD423" s="974"/>
      <c r="AE423" s="974"/>
      <c r="AF423" s="974"/>
      <c r="AG423" s="974"/>
      <c r="AH423" s="974"/>
      <c r="AI423" s="1198"/>
      <c r="AJ423" s="974"/>
      <c r="AK423" s="1197"/>
      <c r="AL423" s="974"/>
      <c r="AM423" s="974"/>
      <c r="AN423" s="974"/>
      <c r="AO423" s="974"/>
      <c r="AP423" s="974"/>
      <c r="AQ423" s="974"/>
      <c r="AR423" s="974"/>
      <c r="AS423" s="974"/>
      <c r="AT423" s="974"/>
      <c r="AU423" s="974"/>
      <c r="AV423" s="974"/>
      <c r="AW423" s="1181"/>
      <c r="AX423" s="978"/>
      <c r="AY423" s="898"/>
      <c r="AZ423" s="898"/>
      <c r="BA423" s="898"/>
      <c r="BB423" s="898"/>
      <c r="BC423" s="898"/>
      <c r="BD423" s="898"/>
      <c r="BE423" s="898"/>
      <c r="BF423" s="898"/>
      <c r="BG423" s="898"/>
      <c r="BH423" s="898"/>
      <c r="BI423" s="898"/>
      <c r="BJ423" s="898"/>
      <c r="BK423" s="898"/>
      <c r="BL423" s="898"/>
      <c r="BM423" s="898"/>
      <c r="BN423" s="898"/>
      <c r="BO423" s="898"/>
      <c r="BP423" s="898"/>
      <c r="BQ423" s="898"/>
      <c r="BR423" s="898"/>
      <c r="BS423" s="898"/>
      <c r="BT423" s="898"/>
      <c r="BU423" s="898"/>
      <c r="BV423" s="898"/>
      <c r="BW423" s="898"/>
      <c r="BX423" s="898"/>
      <c r="BY423" s="898"/>
      <c r="BZ423" s="898"/>
      <c r="CA423" s="898"/>
      <c r="CB423" s="898"/>
      <c r="CC423" s="898"/>
      <c r="CD423" s="898"/>
      <c r="CE423" s="898"/>
      <c r="CF423" s="898"/>
      <c r="CG423" s="898"/>
      <c r="CH423" s="898"/>
      <c r="CI423" s="898"/>
      <c r="CJ423" s="898"/>
      <c r="CK423" s="898"/>
      <c r="CL423" s="898"/>
      <c r="CM423" s="898"/>
      <c r="CN423" s="898"/>
      <c r="CO423" s="898"/>
      <c r="CP423" s="898"/>
      <c r="CQ423" s="898"/>
      <c r="CR423" s="898"/>
      <c r="CS423" s="898"/>
      <c r="CT423" s="898"/>
      <c r="CU423" s="898"/>
    </row>
    <row r="424" ht="16.5" customHeight="1">
      <c r="A424" s="718"/>
      <c r="B424" s="1195"/>
      <c r="C424" s="866"/>
      <c r="D424" s="968"/>
      <c r="E424" s="718"/>
      <c r="F424" s="718"/>
      <c r="G424" s="718"/>
      <c r="H424" s="718"/>
      <c r="I424" s="359"/>
      <c r="J424" s="359"/>
      <c r="K424" s="359"/>
      <c r="L424" s="359"/>
      <c r="M424" s="359"/>
      <c r="N424" s="359"/>
      <c r="O424" s="359"/>
      <c r="P424" s="359"/>
      <c r="Q424" s="359"/>
      <c r="R424" s="718"/>
      <c r="S424" s="669"/>
      <c r="T424" s="669"/>
      <c r="U424" s="967"/>
      <c r="V424" s="974"/>
      <c r="W424" s="1197"/>
      <c r="X424" s="974"/>
      <c r="Y424" s="974"/>
      <c r="Z424" s="974"/>
      <c r="AA424" s="974"/>
      <c r="AB424" s="974"/>
      <c r="AC424" s="974"/>
      <c r="AD424" s="974"/>
      <c r="AE424" s="974"/>
      <c r="AF424" s="974"/>
      <c r="AG424" s="974"/>
      <c r="AH424" s="974"/>
      <c r="AI424" s="1198"/>
      <c r="AJ424" s="974"/>
      <c r="AK424" s="1197"/>
      <c r="AL424" s="974"/>
      <c r="AM424" s="974"/>
      <c r="AN424" s="974"/>
      <c r="AO424" s="974"/>
      <c r="AP424" s="974"/>
      <c r="AQ424" s="974"/>
      <c r="AR424" s="974"/>
      <c r="AS424" s="974"/>
      <c r="AT424" s="974"/>
      <c r="AU424" s="974"/>
      <c r="AV424" s="974"/>
      <c r="AW424" s="1181"/>
      <c r="AX424" s="978"/>
      <c r="AY424" s="898"/>
      <c r="AZ424" s="898"/>
      <c r="BA424" s="898"/>
      <c r="BB424" s="898"/>
      <c r="BC424" s="898"/>
      <c r="BD424" s="898"/>
      <c r="BE424" s="898"/>
      <c r="BF424" s="898"/>
      <c r="BG424" s="898"/>
      <c r="BH424" s="898"/>
      <c r="BI424" s="898"/>
      <c r="BJ424" s="898"/>
      <c r="BK424" s="898"/>
      <c r="BL424" s="898"/>
      <c r="BM424" s="898"/>
      <c r="BN424" s="898"/>
      <c r="BO424" s="898"/>
      <c r="BP424" s="898"/>
      <c r="BQ424" s="898"/>
      <c r="BR424" s="898"/>
      <c r="BS424" s="898"/>
      <c r="BT424" s="898"/>
      <c r="BU424" s="898"/>
      <c r="BV424" s="898"/>
      <c r="BW424" s="898"/>
      <c r="BX424" s="898"/>
      <c r="BY424" s="898"/>
      <c r="BZ424" s="898"/>
      <c r="CA424" s="898"/>
      <c r="CB424" s="898"/>
      <c r="CC424" s="898"/>
      <c r="CD424" s="898"/>
      <c r="CE424" s="898"/>
      <c r="CF424" s="898"/>
      <c r="CG424" s="898"/>
      <c r="CH424" s="898"/>
      <c r="CI424" s="898"/>
      <c r="CJ424" s="898"/>
      <c r="CK424" s="898"/>
      <c r="CL424" s="898"/>
      <c r="CM424" s="898"/>
      <c r="CN424" s="898"/>
      <c r="CO424" s="898"/>
      <c r="CP424" s="898"/>
      <c r="CQ424" s="898"/>
      <c r="CR424" s="898"/>
      <c r="CS424" s="898"/>
      <c r="CT424" s="898"/>
      <c r="CU424" s="898"/>
    </row>
    <row r="425" ht="16.5" customHeight="1">
      <c r="A425" s="718"/>
      <c r="B425" s="1195"/>
      <c r="C425" s="866"/>
      <c r="D425" s="968"/>
      <c r="E425" s="718"/>
      <c r="F425" s="718"/>
      <c r="G425" s="718"/>
      <c r="H425" s="718"/>
      <c r="I425" s="359"/>
      <c r="J425" s="359"/>
      <c r="K425" s="359"/>
      <c r="L425" s="359"/>
      <c r="M425" s="359"/>
      <c r="N425" s="359"/>
      <c r="O425" s="359"/>
      <c r="P425" s="359"/>
      <c r="Q425" s="359"/>
      <c r="R425" s="718"/>
      <c r="S425" s="669"/>
      <c r="T425" s="669"/>
      <c r="U425" s="967"/>
      <c r="V425" s="974"/>
      <c r="W425" s="1197"/>
      <c r="X425" s="974"/>
      <c r="Y425" s="974"/>
      <c r="Z425" s="974"/>
      <c r="AA425" s="974"/>
      <c r="AB425" s="974"/>
      <c r="AC425" s="974"/>
      <c r="AD425" s="974"/>
      <c r="AE425" s="974"/>
      <c r="AF425" s="974"/>
      <c r="AG425" s="974"/>
      <c r="AH425" s="974"/>
      <c r="AI425" s="1198"/>
      <c r="AJ425" s="974"/>
      <c r="AK425" s="1197"/>
      <c r="AL425" s="974"/>
      <c r="AM425" s="974"/>
      <c r="AN425" s="974"/>
      <c r="AO425" s="974"/>
      <c r="AP425" s="974"/>
      <c r="AQ425" s="974"/>
      <c r="AR425" s="974"/>
      <c r="AS425" s="974"/>
      <c r="AT425" s="974"/>
      <c r="AU425" s="974"/>
      <c r="AV425" s="974"/>
      <c r="AW425" s="1181"/>
      <c r="AX425" s="978"/>
      <c r="AY425" s="898"/>
      <c r="AZ425" s="898"/>
      <c r="BA425" s="898"/>
      <c r="BB425" s="898"/>
      <c r="BC425" s="898"/>
      <c r="BD425" s="898"/>
      <c r="BE425" s="898"/>
      <c r="BF425" s="898"/>
      <c r="BG425" s="898"/>
      <c r="BH425" s="898"/>
      <c r="BI425" s="898"/>
      <c r="BJ425" s="898"/>
      <c r="BK425" s="898"/>
      <c r="BL425" s="898"/>
      <c r="BM425" s="898"/>
      <c r="BN425" s="898"/>
      <c r="BO425" s="898"/>
      <c r="BP425" s="898"/>
      <c r="BQ425" s="898"/>
      <c r="BR425" s="898"/>
      <c r="BS425" s="898"/>
      <c r="BT425" s="898"/>
      <c r="BU425" s="898"/>
      <c r="BV425" s="898"/>
      <c r="BW425" s="898"/>
      <c r="BX425" s="898"/>
      <c r="BY425" s="898"/>
      <c r="BZ425" s="898"/>
      <c r="CA425" s="898"/>
      <c r="CB425" s="898"/>
      <c r="CC425" s="898"/>
      <c r="CD425" s="898"/>
      <c r="CE425" s="898"/>
      <c r="CF425" s="898"/>
      <c r="CG425" s="898"/>
      <c r="CH425" s="898"/>
      <c r="CI425" s="898"/>
      <c r="CJ425" s="898"/>
      <c r="CK425" s="898"/>
      <c r="CL425" s="898"/>
      <c r="CM425" s="898"/>
      <c r="CN425" s="898"/>
      <c r="CO425" s="898"/>
      <c r="CP425" s="898"/>
      <c r="CQ425" s="898"/>
      <c r="CR425" s="898"/>
      <c r="CS425" s="898"/>
      <c r="CT425" s="898"/>
      <c r="CU425" s="898"/>
    </row>
    <row r="426" ht="16.5" customHeight="1">
      <c r="A426" s="718"/>
      <c r="B426" s="1195"/>
      <c r="C426" s="866"/>
      <c r="D426" s="968"/>
      <c r="E426" s="718"/>
      <c r="F426" s="718"/>
      <c r="G426" s="718"/>
      <c r="H426" s="718"/>
      <c r="I426" s="359"/>
      <c r="J426" s="359"/>
      <c r="K426" s="359"/>
      <c r="L426" s="359"/>
      <c r="M426" s="359"/>
      <c r="N426" s="359"/>
      <c r="O426" s="359"/>
      <c r="P426" s="359"/>
      <c r="Q426" s="359"/>
      <c r="R426" s="718"/>
      <c r="S426" s="669"/>
      <c r="T426" s="669"/>
      <c r="U426" s="967"/>
      <c r="V426" s="974"/>
      <c r="W426" s="1197"/>
      <c r="X426" s="974"/>
      <c r="Y426" s="974"/>
      <c r="Z426" s="974"/>
      <c r="AA426" s="974"/>
      <c r="AB426" s="974"/>
      <c r="AC426" s="974"/>
      <c r="AD426" s="974"/>
      <c r="AE426" s="974"/>
      <c r="AF426" s="974"/>
      <c r="AG426" s="974"/>
      <c r="AH426" s="974"/>
      <c r="AI426" s="1198"/>
      <c r="AJ426" s="974"/>
      <c r="AK426" s="1197"/>
      <c r="AL426" s="974"/>
      <c r="AM426" s="974"/>
      <c r="AN426" s="974"/>
      <c r="AO426" s="974"/>
      <c r="AP426" s="974"/>
      <c r="AQ426" s="974"/>
      <c r="AR426" s="974"/>
      <c r="AS426" s="974"/>
      <c r="AT426" s="974"/>
      <c r="AU426" s="974"/>
      <c r="AV426" s="974"/>
      <c r="AW426" s="1181"/>
      <c r="AX426" s="978"/>
      <c r="AY426" s="898"/>
      <c r="AZ426" s="898"/>
      <c r="BA426" s="898"/>
      <c r="BB426" s="898"/>
      <c r="BC426" s="898"/>
      <c r="BD426" s="898"/>
      <c r="BE426" s="898"/>
      <c r="BF426" s="898"/>
      <c r="BG426" s="898"/>
      <c r="BH426" s="898"/>
      <c r="BI426" s="898"/>
      <c r="BJ426" s="898"/>
      <c r="BK426" s="898"/>
      <c r="BL426" s="898"/>
      <c r="BM426" s="898"/>
      <c r="BN426" s="898"/>
      <c r="BO426" s="898"/>
      <c r="BP426" s="898"/>
      <c r="BQ426" s="898"/>
      <c r="BR426" s="898"/>
      <c r="BS426" s="898"/>
      <c r="BT426" s="898"/>
      <c r="BU426" s="898"/>
      <c r="BV426" s="898"/>
      <c r="BW426" s="898"/>
      <c r="BX426" s="898"/>
      <c r="BY426" s="898"/>
      <c r="BZ426" s="898"/>
      <c r="CA426" s="898"/>
      <c r="CB426" s="898"/>
      <c r="CC426" s="898"/>
      <c r="CD426" s="898"/>
      <c r="CE426" s="898"/>
      <c r="CF426" s="898"/>
      <c r="CG426" s="898"/>
      <c r="CH426" s="898"/>
      <c r="CI426" s="898"/>
      <c r="CJ426" s="898"/>
      <c r="CK426" s="898"/>
      <c r="CL426" s="898"/>
      <c r="CM426" s="898"/>
      <c r="CN426" s="898"/>
      <c r="CO426" s="898"/>
      <c r="CP426" s="898"/>
      <c r="CQ426" s="898"/>
      <c r="CR426" s="898"/>
      <c r="CS426" s="898"/>
      <c r="CT426" s="898"/>
      <c r="CU426" s="898"/>
    </row>
    <row r="427" ht="16.5" customHeight="1">
      <c r="A427" s="718"/>
      <c r="B427" s="1195"/>
      <c r="C427" s="866"/>
      <c r="D427" s="968"/>
      <c r="E427" s="718"/>
      <c r="F427" s="718"/>
      <c r="G427" s="718"/>
      <c r="H427" s="718"/>
      <c r="I427" s="359"/>
      <c r="J427" s="359"/>
      <c r="K427" s="359"/>
      <c r="L427" s="359"/>
      <c r="M427" s="359"/>
      <c r="N427" s="359"/>
      <c r="O427" s="359"/>
      <c r="P427" s="359"/>
      <c r="Q427" s="359"/>
      <c r="R427" s="718"/>
      <c r="S427" s="669"/>
      <c r="T427" s="669"/>
      <c r="U427" s="967"/>
      <c r="V427" s="974"/>
      <c r="W427" s="1197"/>
      <c r="X427" s="974"/>
      <c r="Y427" s="974"/>
      <c r="Z427" s="974"/>
      <c r="AA427" s="974"/>
      <c r="AB427" s="974"/>
      <c r="AC427" s="974"/>
      <c r="AD427" s="974"/>
      <c r="AE427" s="974"/>
      <c r="AF427" s="974"/>
      <c r="AG427" s="974"/>
      <c r="AH427" s="974"/>
      <c r="AI427" s="1198"/>
      <c r="AJ427" s="974"/>
      <c r="AK427" s="1197"/>
      <c r="AL427" s="974"/>
      <c r="AM427" s="974"/>
      <c r="AN427" s="974"/>
      <c r="AO427" s="974"/>
      <c r="AP427" s="974"/>
      <c r="AQ427" s="974"/>
      <c r="AR427" s="974"/>
      <c r="AS427" s="974"/>
      <c r="AT427" s="974"/>
      <c r="AU427" s="974"/>
      <c r="AV427" s="974"/>
      <c r="AW427" s="1181"/>
      <c r="AX427" s="978"/>
      <c r="AY427" s="898"/>
      <c r="AZ427" s="898"/>
      <c r="BA427" s="898"/>
      <c r="BB427" s="898"/>
      <c r="BC427" s="898"/>
      <c r="BD427" s="898"/>
      <c r="BE427" s="898"/>
      <c r="BF427" s="898"/>
      <c r="BG427" s="898"/>
      <c r="BH427" s="898"/>
      <c r="BI427" s="898"/>
      <c r="BJ427" s="898"/>
      <c r="BK427" s="898"/>
      <c r="BL427" s="898"/>
      <c r="BM427" s="898"/>
      <c r="BN427" s="898"/>
      <c r="BO427" s="898"/>
      <c r="BP427" s="898"/>
      <c r="BQ427" s="898"/>
      <c r="BR427" s="898"/>
      <c r="BS427" s="898"/>
      <c r="BT427" s="898"/>
      <c r="BU427" s="898"/>
      <c r="BV427" s="898"/>
      <c r="BW427" s="898"/>
      <c r="BX427" s="898"/>
      <c r="BY427" s="898"/>
      <c r="BZ427" s="898"/>
      <c r="CA427" s="898"/>
      <c r="CB427" s="898"/>
      <c r="CC427" s="898"/>
      <c r="CD427" s="898"/>
      <c r="CE427" s="898"/>
      <c r="CF427" s="898"/>
      <c r="CG427" s="898"/>
      <c r="CH427" s="898"/>
      <c r="CI427" s="898"/>
      <c r="CJ427" s="898"/>
      <c r="CK427" s="898"/>
      <c r="CL427" s="898"/>
      <c r="CM427" s="898"/>
      <c r="CN427" s="898"/>
      <c r="CO427" s="898"/>
      <c r="CP427" s="898"/>
      <c r="CQ427" s="898"/>
      <c r="CR427" s="898"/>
      <c r="CS427" s="898"/>
      <c r="CT427" s="898"/>
      <c r="CU427" s="898"/>
    </row>
    <row r="428" ht="16.5" customHeight="1">
      <c r="A428" s="718"/>
      <c r="B428" s="1195"/>
      <c r="C428" s="866"/>
      <c r="D428" s="968"/>
      <c r="E428" s="718"/>
      <c r="F428" s="718"/>
      <c r="G428" s="718"/>
      <c r="H428" s="718"/>
      <c r="I428" s="359"/>
      <c r="J428" s="359"/>
      <c r="K428" s="359"/>
      <c r="L428" s="359"/>
      <c r="M428" s="359"/>
      <c r="N428" s="359"/>
      <c r="O428" s="359"/>
      <c r="P428" s="359"/>
      <c r="Q428" s="359"/>
      <c r="R428" s="718"/>
      <c r="S428" s="669"/>
      <c r="T428" s="669"/>
      <c r="U428" s="967"/>
      <c r="V428" s="974"/>
      <c r="W428" s="1197"/>
      <c r="X428" s="974"/>
      <c r="Y428" s="974"/>
      <c r="Z428" s="974"/>
      <c r="AA428" s="974"/>
      <c r="AB428" s="974"/>
      <c r="AC428" s="974"/>
      <c r="AD428" s="974"/>
      <c r="AE428" s="974"/>
      <c r="AF428" s="974"/>
      <c r="AG428" s="974"/>
      <c r="AH428" s="974"/>
      <c r="AI428" s="1198"/>
      <c r="AJ428" s="974"/>
      <c r="AK428" s="1197"/>
      <c r="AL428" s="974"/>
      <c r="AM428" s="974"/>
      <c r="AN428" s="974"/>
      <c r="AO428" s="974"/>
      <c r="AP428" s="974"/>
      <c r="AQ428" s="974"/>
      <c r="AR428" s="974"/>
      <c r="AS428" s="974"/>
      <c r="AT428" s="974"/>
      <c r="AU428" s="974"/>
      <c r="AV428" s="974"/>
      <c r="AW428" s="1181"/>
      <c r="AX428" s="978"/>
      <c r="AY428" s="898"/>
      <c r="AZ428" s="898"/>
      <c r="BA428" s="898"/>
      <c r="BB428" s="898"/>
      <c r="BC428" s="898"/>
      <c r="BD428" s="898"/>
      <c r="BE428" s="898"/>
      <c r="BF428" s="898"/>
      <c r="BG428" s="898"/>
      <c r="BH428" s="898"/>
      <c r="BI428" s="898"/>
      <c r="BJ428" s="898"/>
      <c r="BK428" s="898"/>
      <c r="BL428" s="898"/>
      <c r="BM428" s="898"/>
      <c r="BN428" s="898"/>
      <c r="BO428" s="898"/>
      <c r="BP428" s="898"/>
      <c r="BQ428" s="898"/>
      <c r="BR428" s="898"/>
      <c r="BS428" s="898"/>
      <c r="BT428" s="898"/>
      <c r="BU428" s="898"/>
      <c r="BV428" s="898"/>
      <c r="BW428" s="898"/>
      <c r="BX428" s="898"/>
      <c r="BY428" s="898"/>
      <c r="BZ428" s="898"/>
      <c r="CA428" s="898"/>
      <c r="CB428" s="898"/>
      <c r="CC428" s="898"/>
      <c r="CD428" s="898"/>
      <c r="CE428" s="898"/>
      <c r="CF428" s="898"/>
      <c r="CG428" s="898"/>
      <c r="CH428" s="898"/>
      <c r="CI428" s="898"/>
      <c r="CJ428" s="898"/>
      <c r="CK428" s="898"/>
      <c r="CL428" s="898"/>
      <c r="CM428" s="898"/>
      <c r="CN428" s="898"/>
      <c r="CO428" s="898"/>
      <c r="CP428" s="898"/>
      <c r="CQ428" s="898"/>
      <c r="CR428" s="898"/>
      <c r="CS428" s="898"/>
      <c r="CT428" s="898"/>
      <c r="CU428" s="898"/>
    </row>
    <row r="429" ht="16.5" customHeight="1">
      <c r="A429" s="718"/>
      <c r="B429" s="1195"/>
      <c r="C429" s="866"/>
      <c r="D429" s="968"/>
      <c r="E429" s="718"/>
      <c r="F429" s="718"/>
      <c r="G429" s="718"/>
      <c r="H429" s="718"/>
      <c r="I429" s="359"/>
      <c r="J429" s="359"/>
      <c r="K429" s="359"/>
      <c r="L429" s="359"/>
      <c r="M429" s="359"/>
      <c r="N429" s="359"/>
      <c r="O429" s="359"/>
      <c r="P429" s="359"/>
      <c r="Q429" s="359"/>
      <c r="R429" s="718"/>
      <c r="S429" s="669"/>
      <c r="T429" s="669"/>
      <c r="U429" s="967"/>
      <c r="V429" s="974"/>
      <c r="W429" s="1197"/>
      <c r="X429" s="974"/>
      <c r="Y429" s="974"/>
      <c r="Z429" s="974"/>
      <c r="AA429" s="974"/>
      <c r="AB429" s="974"/>
      <c r="AC429" s="974"/>
      <c r="AD429" s="974"/>
      <c r="AE429" s="974"/>
      <c r="AF429" s="974"/>
      <c r="AG429" s="974"/>
      <c r="AH429" s="974"/>
      <c r="AI429" s="1198"/>
      <c r="AJ429" s="974"/>
      <c r="AK429" s="1197"/>
      <c r="AL429" s="974"/>
      <c r="AM429" s="974"/>
      <c r="AN429" s="974"/>
      <c r="AO429" s="974"/>
      <c r="AP429" s="974"/>
      <c r="AQ429" s="974"/>
      <c r="AR429" s="974"/>
      <c r="AS429" s="974"/>
      <c r="AT429" s="974"/>
      <c r="AU429" s="974"/>
      <c r="AV429" s="974"/>
      <c r="AW429" s="1181"/>
      <c r="AX429" s="978"/>
      <c r="AY429" s="898"/>
      <c r="AZ429" s="898"/>
      <c r="BA429" s="898"/>
      <c r="BB429" s="898"/>
      <c r="BC429" s="898"/>
      <c r="BD429" s="898"/>
      <c r="BE429" s="898"/>
      <c r="BF429" s="898"/>
      <c r="BG429" s="898"/>
      <c r="BH429" s="898"/>
      <c r="BI429" s="898"/>
      <c r="BJ429" s="898"/>
      <c r="BK429" s="898"/>
      <c r="BL429" s="898"/>
      <c r="BM429" s="898"/>
      <c r="BN429" s="898"/>
      <c r="BO429" s="898"/>
      <c r="BP429" s="898"/>
      <c r="BQ429" s="898"/>
      <c r="BR429" s="898"/>
      <c r="BS429" s="898"/>
      <c r="BT429" s="898"/>
      <c r="BU429" s="898"/>
      <c r="BV429" s="898"/>
      <c r="BW429" s="898"/>
      <c r="BX429" s="898"/>
      <c r="BY429" s="898"/>
      <c r="BZ429" s="898"/>
      <c r="CA429" s="898"/>
      <c r="CB429" s="898"/>
      <c r="CC429" s="898"/>
      <c r="CD429" s="898"/>
      <c r="CE429" s="898"/>
      <c r="CF429" s="898"/>
      <c r="CG429" s="898"/>
      <c r="CH429" s="898"/>
      <c r="CI429" s="898"/>
      <c r="CJ429" s="898"/>
      <c r="CK429" s="898"/>
      <c r="CL429" s="898"/>
      <c r="CM429" s="898"/>
      <c r="CN429" s="898"/>
      <c r="CO429" s="898"/>
      <c r="CP429" s="898"/>
      <c r="CQ429" s="898"/>
      <c r="CR429" s="898"/>
      <c r="CS429" s="898"/>
      <c r="CT429" s="898"/>
      <c r="CU429" s="898"/>
    </row>
    <row r="430" ht="16.5" customHeight="1">
      <c r="A430" s="718"/>
      <c r="B430" s="1195"/>
      <c r="C430" s="866"/>
      <c r="D430" s="968"/>
      <c r="E430" s="718"/>
      <c r="F430" s="718"/>
      <c r="G430" s="718"/>
      <c r="H430" s="718"/>
      <c r="I430" s="359"/>
      <c r="J430" s="359"/>
      <c r="K430" s="359"/>
      <c r="L430" s="359"/>
      <c r="M430" s="359"/>
      <c r="N430" s="359"/>
      <c r="O430" s="359"/>
      <c r="P430" s="359"/>
      <c r="Q430" s="359"/>
      <c r="R430" s="718"/>
      <c r="S430" s="669"/>
      <c r="T430" s="669"/>
      <c r="U430" s="967"/>
      <c r="V430" s="974"/>
      <c r="W430" s="1197"/>
      <c r="X430" s="974"/>
      <c r="Y430" s="974"/>
      <c r="Z430" s="974"/>
      <c r="AA430" s="974"/>
      <c r="AB430" s="974"/>
      <c r="AC430" s="974"/>
      <c r="AD430" s="974"/>
      <c r="AE430" s="974"/>
      <c r="AF430" s="974"/>
      <c r="AG430" s="974"/>
      <c r="AH430" s="974"/>
      <c r="AI430" s="1198"/>
      <c r="AJ430" s="974"/>
      <c r="AK430" s="1197"/>
      <c r="AL430" s="974"/>
      <c r="AM430" s="974"/>
      <c r="AN430" s="974"/>
      <c r="AO430" s="974"/>
      <c r="AP430" s="974"/>
      <c r="AQ430" s="974"/>
      <c r="AR430" s="974"/>
      <c r="AS430" s="974"/>
      <c r="AT430" s="974"/>
      <c r="AU430" s="974"/>
      <c r="AV430" s="974"/>
      <c r="AW430" s="1181"/>
      <c r="AX430" s="978"/>
      <c r="AY430" s="898"/>
      <c r="AZ430" s="898"/>
      <c r="BA430" s="898"/>
      <c r="BB430" s="898"/>
      <c r="BC430" s="898"/>
      <c r="BD430" s="898"/>
      <c r="BE430" s="898"/>
      <c r="BF430" s="898"/>
      <c r="BG430" s="898"/>
      <c r="BH430" s="898"/>
      <c r="BI430" s="898"/>
      <c r="BJ430" s="898"/>
      <c r="BK430" s="898"/>
      <c r="BL430" s="898"/>
      <c r="BM430" s="898"/>
      <c r="BN430" s="898"/>
      <c r="BO430" s="898"/>
      <c r="BP430" s="898"/>
      <c r="BQ430" s="898"/>
      <c r="BR430" s="898"/>
      <c r="BS430" s="898"/>
      <c r="BT430" s="898"/>
      <c r="BU430" s="898"/>
      <c r="BV430" s="898"/>
      <c r="BW430" s="898"/>
      <c r="BX430" s="898"/>
      <c r="BY430" s="898"/>
      <c r="BZ430" s="898"/>
      <c r="CA430" s="898"/>
      <c r="CB430" s="898"/>
      <c r="CC430" s="898"/>
      <c r="CD430" s="898"/>
      <c r="CE430" s="898"/>
      <c r="CF430" s="898"/>
      <c r="CG430" s="898"/>
      <c r="CH430" s="898"/>
      <c r="CI430" s="898"/>
      <c r="CJ430" s="898"/>
      <c r="CK430" s="898"/>
      <c r="CL430" s="898"/>
      <c r="CM430" s="898"/>
      <c r="CN430" s="898"/>
      <c r="CO430" s="898"/>
      <c r="CP430" s="898"/>
      <c r="CQ430" s="898"/>
      <c r="CR430" s="898"/>
      <c r="CS430" s="898"/>
      <c r="CT430" s="898"/>
      <c r="CU430" s="898"/>
    </row>
    <row r="431" ht="16.5" customHeight="1">
      <c r="A431" s="718"/>
      <c r="B431" s="1195"/>
      <c r="C431" s="866"/>
      <c r="D431" s="968"/>
      <c r="E431" s="718"/>
      <c r="F431" s="718"/>
      <c r="G431" s="718"/>
      <c r="H431" s="718"/>
      <c r="I431" s="359"/>
      <c r="J431" s="359"/>
      <c r="K431" s="359"/>
      <c r="L431" s="359"/>
      <c r="M431" s="359"/>
      <c r="N431" s="359"/>
      <c r="O431" s="359"/>
      <c r="P431" s="359"/>
      <c r="Q431" s="359"/>
      <c r="R431" s="718"/>
      <c r="S431" s="669"/>
      <c r="T431" s="669"/>
      <c r="U431" s="967"/>
      <c r="V431" s="974"/>
      <c r="W431" s="1197"/>
      <c r="X431" s="974"/>
      <c r="Y431" s="974"/>
      <c r="Z431" s="974"/>
      <c r="AA431" s="974"/>
      <c r="AB431" s="974"/>
      <c r="AC431" s="974"/>
      <c r="AD431" s="974"/>
      <c r="AE431" s="974"/>
      <c r="AF431" s="974"/>
      <c r="AG431" s="974"/>
      <c r="AH431" s="974"/>
      <c r="AI431" s="1198"/>
      <c r="AJ431" s="974"/>
      <c r="AK431" s="1197"/>
      <c r="AL431" s="974"/>
      <c r="AM431" s="974"/>
      <c r="AN431" s="974"/>
      <c r="AO431" s="974"/>
      <c r="AP431" s="974"/>
      <c r="AQ431" s="974"/>
      <c r="AR431" s="974"/>
      <c r="AS431" s="974"/>
      <c r="AT431" s="974"/>
      <c r="AU431" s="974"/>
      <c r="AV431" s="974"/>
      <c r="AW431" s="1181"/>
      <c r="AX431" s="978"/>
      <c r="AY431" s="898"/>
      <c r="AZ431" s="898"/>
      <c r="BA431" s="898"/>
      <c r="BB431" s="898"/>
      <c r="BC431" s="898"/>
      <c r="BD431" s="898"/>
      <c r="BE431" s="898"/>
      <c r="BF431" s="898"/>
      <c r="BG431" s="898"/>
      <c r="BH431" s="898"/>
      <c r="BI431" s="898"/>
      <c r="BJ431" s="898"/>
      <c r="BK431" s="898"/>
      <c r="BL431" s="898"/>
      <c r="BM431" s="898"/>
      <c r="BN431" s="898"/>
      <c r="BO431" s="898"/>
      <c r="BP431" s="898"/>
      <c r="BQ431" s="898"/>
      <c r="BR431" s="898"/>
      <c r="BS431" s="898"/>
      <c r="BT431" s="898"/>
      <c r="BU431" s="898"/>
      <c r="BV431" s="898"/>
      <c r="BW431" s="898"/>
      <c r="BX431" s="898"/>
      <c r="BY431" s="898"/>
      <c r="BZ431" s="898"/>
      <c r="CA431" s="898"/>
      <c r="CB431" s="898"/>
      <c r="CC431" s="898"/>
      <c r="CD431" s="898"/>
      <c r="CE431" s="898"/>
      <c r="CF431" s="898"/>
      <c r="CG431" s="898"/>
      <c r="CH431" s="898"/>
      <c r="CI431" s="898"/>
      <c r="CJ431" s="898"/>
      <c r="CK431" s="898"/>
      <c r="CL431" s="898"/>
      <c r="CM431" s="898"/>
      <c r="CN431" s="898"/>
      <c r="CO431" s="898"/>
      <c r="CP431" s="898"/>
      <c r="CQ431" s="898"/>
      <c r="CR431" s="898"/>
      <c r="CS431" s="898"/>
      <c r="CT431" s="898"/>
      <c r="CU431" s="898"/>
    </row>
    <row r="432" ht="16.5" customHeight="1">
      <c r="A432" s="718"/>
      <c r="B432" s="1195"/>
      <c r="C432" s="866"/>
      <c r="D432" s="968"/>
      <c r="E432" s="718"/>
      <c r="F432" s="718"/>
      <c r="G432" s="718"/>
      <c r="H432" s="718"/>
      <c r="I432" s="359"/>
      <c r="J432" s="359"/>
      <c r="K432" s="359"/>
      <c r="L432" s="359"/>
      <c r="M432" s="359"/>
      <c r="N432" s="359"/>
      <c r="O432" s="359"/>
      <c r="P432" s="359"/>
      <c r="Q432" s="359"/>
      <c r="R432" s="718"/>
      <c r="S432" s="669"/>
      <c r="T432" s="669"/>
      <c r="U432" s="967"/>
      <c r="V432" s="974"/>
      <c r="W432" s="1197"/>
      <c r="X432" s="974"/>
      <c r="Y432" s="974"/>
      <c r="Z432" s="974"/>
      <c r="AA432" s="974"/>
      <c r="AB432" s="974"/>
      <c r="AC432" s="974"/>
      <c r="AD432" s="974"/>
      <c r="AE432" s="974"/>
      <c r="AF432" s="974"/>
      <c r="AG432" s="974"/>
      <c r="AH432" s="974"/>
      <c r="AI432" s="1198"/>
      <c r="AJ432" s="974"/>
      <c r="AK432" s="1197"/>
      <c r="AL432" s="974"/>
      <c r="AM432" s="974"/>
      <c r="AN432" s="974"/>
      <c r="AO432" s="974"/>
      <c r="AP432" s="974"/>
      <c r="AQ432" s="974"/>
      <c r="AR432" s="974"/>
      <c r="AS432" s="974"/>
      <c r="AT432" s="974"/>
      <c r="AU432" s="974"/>
      <c r="AV432" s="974"/>
      <c r="AW432" s="1181"/>
      <c r="AX432" s="978"/>
      <c r="AY432" s="898"/>
      <c r="AZ432" s="898"/>
      <c r="BA432" s="898"/>
      <c r="BB432" s="898"/>
      <c r="BC432" s="898"/>
      <c r="BD432" s="898"/>
      <c r="BE432" s="898"/>
      <c r="BF432" s="898"/>
      <c r="BG432" s="898"/>
      <c r="BH432" s="898"/>
      <c r="BI432" s="898"/>
      <c r="BJ432" s="898"/>
      <c r="BK432" s="898"/>
      <c r="BL432" s="898"/>
      <c r="BM432" s="898"/>
      <c r="BN432" s="898"/>
      <c r="BO432" s="898"/>
      <c r="BP432" s="898"/>
      <c r="BQ432" s="898"/>
      <c r="BR432" s="898"/>
      <c r="BS432" s="898"/>
      <c r="BT432" s="898"/>
      <c r="BU432" s="898"/>
      <c r="BV432" s="898"/>
      <c r="BW432" s="898"/>
      <c r="BX432" s="898"/>
      <c r="BY432" s="898"/>
      <c r="BZ432" s="898"/>
      <c r="CA432" s="898"/>
      <c r="CB432" s="898"/>
      <c r="CC432" s="898"/>
      <c r="CD432" s="898"/>
      <c r="CE432" s="898"/>
      <c r="CF432" s="898"/>
      <c r="CG432" s="898"/>
      <c r="CH432" s="898"/>
      <c r="CI432" s="898"/>
      <c r="CJ432" s="898"/>
      <c r="CK432" s="898"/>
      <c r="CL432" s="898"/>
      <c r="CM432" s="898"/>
      <c r="CN432" s="898"/>
      <c r="CO432" s="898"/>
      <c r="CP432" s="898"/>
      <c r="CQ432" s="898"/>
      <c r="CR432" s="898"/>
      <c r="CS432" s="898"/>
      <c r="CT432" s="898"/>
      <c r="CU432" s="898"/>
    </row>
    <row r="433" ht="16.5" customHeight="1">
      <c r="A433" s="718"/>
      <c r="B433" s="1195"/>
      <c r="C433" s="866"/>
      <c r="D433" s="968"/>
      <c r="E433" s="718"/>
      <c r="F433" s="718"/>
      <c r="G433" s="718"/>
      <c r="H433" s="718"/>
      <c r="I433" s="359"/>
      <c r="J433" s="359"/>
      <c r="K433" s="359"/>
      <c r="L433" s="359"/>
      <c r="M433" s="359"/>
      <c r="N433" s="359"/>
      <c r="O433" s="359"/>
      <c r="P433" s="359"/>
      <c r="Q433" s="359"/>
      <c r="R433" s="718"/>
      <c r="S433" s="669"/>
      <c r="T433" s="669"/>
      <c r="U433" s="967"/>
      <c r="V433" s="974"/>
      <c r="W433" s="1197"/>
      <c r="X433" s="974"/>
      <c r="Y433" s="974"/>
      <c r="Z433" s="974"/>
      <c r="AA433" s="974"/>
      <c r="AB433" s="974"/>
      <c r="AC433" s="974"/>
      <c r="AD433" s="974"/>
      <c r="AE433" s="974"/>
      <c r="AF433" s="974"/>
      <c r="AG433" s="974"/>
      <c r="AH433" s="974"/>
      <c r="AI433" s="1198"/>
      <c r="AJ433" s="974"/>
      <c r="AK433" s="1197"/>
      <c r="AL433" s="974"/>
      <c r="AM433" s="974"/>
      <c r="AN433" s="974"/>
      <c r="AO433" s="974"/>
      <c r="AP433" s="974"/>
      <c r="AQ433" s="974"/>
      <c r="AR433" s="974"/>
      <c r="AS433" s="974"/>
      <c r="AT433" s="974"/>
      <c r="AU433" s="974"/>
      <c r="AV433" s="974"/>
      <c r="AW433" s="1181"/>
      <c r="AX433" s="978"/>
      <c r="AY433" s="898"/>
      <c r="AZ433" s="898"/>
      <c r="BA433" s="898"/>
      <c r="BB433" s="898"/>
      <c r="BC433" s="898"/>
      <c r="BD433" s="898"/>
      <c r="BE433" s="898"/>
      <c r="BF433" s="898"/>
      <c r="BG433" s="898"/>
      <c r="BH433" s="898"/>
      <c r="BI433" s="898"/>
      <c r="BJ433" s="898"/>
      <c r="BK433" s="898"/>
      <c r="BL433" s="898"/>
      <c r="BM433" s="898"/>
      <c r="BN433" s="898"/>
      <c r="BO433" s="898"/>
      <c r="BP433" s="898"/>
      <c r="BQ433" s="898"/>
      <c r="BR433" s="898"/>
      <c r="BS433" s="898"/>
      <c r="BT433" s="898"/>
      <c r="BU433" s="898"/>
      <c r="BV433" s="898"/>
      <c r="BW433" s="898"/>
      <c r="BX433" s="898"/>
      <c r="BY433" s="898"/>
      <c r="BZ433" s="898"/>
      <c r="CA433" s="898"/>
      <c r="CB433" s="898"/>
      <c r="CC433" s="898"/>
      <c r="CD433" s="898"/>
      <c r="CE433" s="898"/>
      <c r="CF433" s="898"/>
      <c r="CG433" s="898"/>
      <c r="CH433" s="898"/>
      <c r="CI433" s="898"/>
      <c r="CJ433" s="898"/>
      <c r="CK433" s="898"/>
      <c r="CL433" s="898"/>
      <c r="CM433" s="898"/>
      <c r="CN433" s="898"/>
      <c r="CO433" s="898"/>
      <c r="CP433" s="898"/>
      <c r="CQ433" s="898"/>
      <c r="CR433" s="898"/>
      <c r="CS433" s="898"/>
      <c r="CT433" s="898"/>
      <c r="CU433" s="898"/>
    </row>
    <row r="434" ht="16.5" customHeight="1">
      <c r="A434" s="718"/>
      <c r="B434" s="1195"/>
      <c r="C434" s="866"/>
      <c r="D434" s="968"/>
      <c r="E434" s="718"/>
      <c r="F434" s="718"/>
      <c r="G434" s="718"/>
      <c r="H434" s="718"/>
      <c r="I434" s="359"/>
      <c r="J434" s="359"/>
      <c r="K434" s="359"/>
      <c r="L434" s="359"/>
      <c r="M434" s="359"/>
      <c r="N434" s="359"/>
      <c r="O434" s="359"/>
      <c r="P434" s="359"/>
      <c r="Q434" s="359"/>
      <c r="R434" s="718"/>
      <c r="S434" s="669"/>
      <c r="T434" s="669"/>
      <c r="U434" s="967"/>
      <c r="V434" s="974"/>
      <c r="W434" s="1197"/>
      <c r="X434" s="974"/>
      <c r="Y434" s="974"/>
      <c r="Z434" s="974"/>
      <c r="AA434" s="974"/>
      <c r="AB434" s="974"/>
      <c r="AC434" s="974"/>
      <c r="AD434" s="974"/>
      <c r="AE434" s="974"/>
      <c r="AF434" s="974"/>
      <c r="AG434" s="974"/>
      <c r="AH434" s="974"/>
      <c r="AI434" s="1198"/>
      <c r="AJ434" s="974"/>
      <c r="AK434" s="1197"/>
      <c r="AL434" s="974"/>
      <c r="AM434" s="974"/>
      <c r="AN434" s="974"/>
      <c r="AO434" s="974"/>
      <c r="AP434" s="974"/>
      <c r="AQ434" s="974"/>
      <c r="AR434" s="974"/>
      <c r="AS434" s="974"/>
      <c r="AT434" s="974"/>
      <c r="AU434" s="974"/>
      <c r="AV434" s="974"/>
      <c r="AW434" s="1181"/>
      <c r="AX434" s="978"/>
      <c r="AY434" s="898"/>
      <c r="AZ434" s="898"/>
      <c r="BA434" s="898"/>
      <c r="BB434" s="898"/>
      <c r="BC434" s="898"/>
      <c r="BD434" s="898"/>
      <c r="BE434" s="898"/>
      <c r="BF434" s="898"/>
      <c r="BG434" s="898"/>
      <c r="BH434" s="898"/>
      <c r="BI434" s="898"/>
      <c r="BJ434" s="898"/>
      <c r="BK434" s="898"/>
      <c r="BL434" s="898"/>
      <c r="BM434" s="898"/>
      <c r="BN434" s="898"/>
      <c r="BO434" s="898"/>
      <c r="BP434" s="898"/>
      <c r="BQ434" s="898"/>
      <c r="BR434" s="898"/>
      <c r="BS434" s="898"/>
      <c r="BT434" s="898"/>
      <c r="BU434" s="898"/>
      <c r="BV434" s="898"/>
      <c r="BW434" s="898"/>
      <c r="BX434" s="898"/>
      <c r="BY434" s="898"/>
      <c r="BZ434" s="898"/>
      <c r="CA434" s="898"/>
      <c r="CB434" s="898"/>
      <c r="CC434" s="898"/>
      <c r="CD434" s="898"/>
      <c r="CE434" s="898"/>
      <c r="CF434" s="898"/>
      <c r="CG434" s="898"/>
      <c r="CH434" s="898"/>
      <c r="CI434" s="898"/>
      <c r="CJ434" s="898"/>
      <c r="CK434" s="898"/>
      <c r="CL434" s="898"/>
      <c r="CM434" s="898"/>
      <c r="CN434" s="898"/>
      <c r="CO434" s="898"/>
      <c r="CP434" s="898"/>
      <c r="CQ434" s="898"/>
      <c r="CR434" s="898"/>
      <c r="CS434" s="898"/>
      <c r="CT434" s="898"/>
      <c r="CU434" s="898"/>
    </row>
    <row r="435" ht="16.5" customHeight="1">
      <c r="A435" s="718"/>
      <c r="B435" s="1195"/>
      <c r="C435" s="866"/>
      <c r="D435" s="968"/>
      <c r="E435" s="718"/>
      <c r="F435" s="718"/>
      <c r="G435" s="718"/>
      <c r="H435" s="718"/>
      <c r="I435" s="359"/>
      <c r="J435" s="359"/>
      <c r="K435" s="359"/>
      <c r="L435" s="359"/>
      <c r="M435" s="359"/>
      <c r="N435" s="359"/>
      <c r="O435" s="359"/>
      <c r="P435" s="359"/>
      <c r="Q435" s="359"/>
      <c r="R435" s="718"/>
      <c r="S435" s="669"/>
      <c r="T435" s="669"/>
      <c r="U435" s="967"/>
      <c r="V435" s="974"/>
      <c r="W435" s="1197"/>
      <c r="X435" s="974"/>
      <c r="Y435" s="974"/>
      <c r="Z435" s="974"/>
      <c r="AA435" s="974"/>
      <c r="AB435" s="974"/>
      <c r="AC435" s="974"/>
      <c r="AD435" s="974"/>
      <c r="AE435" s="974"/>
      <c r="AF435" s="974"/>
      <c r="AG435" s="974"/>
      <c r="AH435" s="974"/>
      <c r="AI435" s="1198"/>
      <c r="AJ435" s="974"/>
      <c r="AK435" s="1197"/>
      <c r="AL435" s="974"/>
      <c r="AM435" s="974"/>
      <c r="AN435" s="974"/>
      <c r="AO435" s="974"/>
      <c r="AP435" s="974"/>
      <c r="AQ435" s="974"/>
      <c r="AR435" s="974"/>
      <c r="AS435" s="974"/>
      <c r="AT435" s="974"/>
      <c r="AU435" s="974"/>
      <c r="AV435" s="974"/>
      <c r="AW435" s="1181"/>
      <c r="AX435" s="978"/>
      <c r="AY435" s="898"/>
      <c r="AZ435" s="898"/>
      <c r="BA435" s="898"/>
      <c r="BB435" s="898"/>
      <c r="BC435" s="898"/>
      <c r="BD435" s="898"/>
      <c r="BE435" s="898"/>
      <c r="BF435" s="898"/>
      <c r="BG435" s="898"/>
      <c r="BH435" s="898"/>
      <c r="BI435" s="898"/>
      <c r="BJ435" s="898"/>
      <c r="BK435" s="898"/>
      <c r="BL435" s="898"/>
      <c r="BM435" s="898"/>
      <c r="BN435" s="898"/>
      <c r="BO435" s="898"/>
      <c r="BP435" s="898"/>
      <c r="BQ435" s="898"/>
      <c r="BR435" s="898"/>
      <c r="BS435" s="898"/>
      <c r="BT435" s="898"/>
      <c r="BU435" s="898"/>
      <c r="BV435" s="898"/>
      <c r="BW435" s="898"/>
      <c r="BX435" s="898"/>
      <c r="BY435" s="898"/>
      <c r="BZ435" s="898"/>
      <c r="CA435" s="898"/>
      <c r="CB435" s="898"/>
      <c r="CC435" s="898"/>
      <c r="CD435" s="898"/>
      <c r="CE435" s="898"/>
      <c r="CF435" s="898"/>
      <c r="CG435" s="898"/>
      <c r="CH435" s="898"/>
      <c r="CI435" s="898"/>
      <c r="CJ435" s="898"/>
      <c r="CK435" s="898"/>
      <c r="CL435" s="898"/>
      <c r="CM435" s="898"/>
      <c r="CN435" s="898"/>
      <c r="CO435" s="898"/>
      <c r="CP435" s="898"/>
      <c r="CQ435" s="898"/>
      <c r="CR435" s="898"/>
      <c r="CS435" s="898"/>
      <c r="CT435" s="898"/>
      <c r="CU435" s="898"/>
    </row>
    <row r="436" ht="16.5" customHeight="1">
      <c r="A436" s="718"/>
      <c r="B436" s="1195"/>
      <c r="C436" s="866"/>
      <c r="D436" s="968"/>
      <c r="E436" s="718"/>
      <c r="F436" s="718"/>
      <c r="G436" s="718"/>
      <c r="H436" s="718"/>
      <c r="I436" s="359"/>
      <c r="J436" s="359"/>
      <c r="K436" s="359"/>
      <c r="L436" s="359"/>
      <c r="M436" s="359"/>
      <c r="N436" s="359"/>
      <c r="O436" s="359"/>
      <c r="P436" s="359"/>
      <c r="Q436" s="359"/>
      <c r="R436" s="718"/>
      <c r="S436" s="669"/>
      <c r="T436" s="669"/>
      <c r="U436" s="967"/>
      <c r="V436" s="974"/>
      <c r="W436" s="1197"/>
      <c r="X436" s="974"/>
      <c r="Y436" s="974"/>
      <c r="Z436" s="974"/>
      <c r="AA436" s="974"/>
      <c r="AB436" s="974"/>
      <c r="AC436" s="974"/>
      <c r="AD436" s="974"/>
      <c r="AE436" s="974"/>
      <c r="AF436" s="974"/>
      <c r="AG436" s="974"/>
      <c r="AH436" s="974"/>
      <c r="AI436" s="1198"/>
      <c r="AJ436" s="974"/>
      <c r="AK436" s="1197"/>
      <c r="AL436" s="974"/>
      <c r="AM436" s="974"/>
      <c r="AN436" s="974"/>
      <c r="AO436" s="974"/>
      <c r="AP436" s="974"/>
      <c r="AQ436" s="974"/>
      <c r="AR436" s="974"/>
      <c r="AS436" s="974"/>
      <c r="AT436" s="974"/>
      <c r="AU436" s="974"/>
      <c r="AV436" s="974"/>
      <c r="AW436" s="1181"/>
      <c r="AX436" s="978"/>
      <c r="AY436" s="898"/>
      <c r="AZ436" s="898"/>
      <c r="BA436" s="898"/>
      <c r="BB436" s="898"/>
      <c r="BC436" s="898"/>
      <c r="BD436" s="898"/>
      <c r="BE436" s="898"/>
      <c r="BF436" s="898"/>
      <c r="BG436" s="898"/>
      <c r="BH436" s="898"/>
      <c r="BI436" s="898"/>
      <c r="BJ436" s="898"/>
      <c r="BK436" s="898"/>
      <c r="BL436" s="898"/>
      <c r="BM436" s="898"/>
      <c r="BN436" s="898"/>
      <c r="BO436" s="898"/>
      <c r="BP436" s="898"/>
      <c r="BQ436" s="898"/>
      <c r="BR436" s="898"/>
      <c r="BS436" s="898"/>
      <c r="BT436" s="898"/>
      <c r="BU436" s="898"/>
      <c r="BV436" s="898"/>
      <c r="BW436" s="898"/>
      <c r="BX436" s="898"/>
      <c r="BY436" s="898"/>
      <c r="BZ436" s="898"/>
      <c r="CA436" s="898"/>
      <c r="CB436" s="898"/>
      <c r="CC436" s="898"/>
      <c r="CD436" s="898"/>
      <c r="CE436" s="898"/>
      <c r="CF436" s="898"/>
      <c r="CG436" s="898"/>
      <c r="CH436" s="898"/>
      <c r="CI436" s="898"/>
      <c r="CJ436" s="898"/>
      <c r="CK436" s="898"/>
      <c r="CL436" s="898"/>
      <c r="CM436" s="898"/>
      <c r="CN436" s="898"/>
      <c r="CO436" s="898"/>
      <c r="CP436" s="898"/>
      <c r="CQ436" s="898"/>
      <c r="CR436" s="898"/>
      <c r="CS436" s="898"/>
      <c r="CT436" s="898"/>
      <c r="CU436" s="898"/>
    </row>
    <row r="437" ht="16.5" customHeight="1">
      <c r="A437" s="718"/>
      <c r="B437" s="1195"/>
      <c r="C437" s="866"/>
      <c r="D437" s="968"/>
      <c r="E437" s="718"/>
      <c r="F437" s="718"/>
      <c r="G437" s="718"/>
      <c r="H437" s="718"/>
      <c r="I437" s="359"/>
      <c r="J437" s="359"/>
      <c r="K437" s="359"/>
      <c r="L437" s="359"/>
      <c r="M437" s="359"/>
      <c r="N437" s="359"/>
      <c r="O437" s="359"/>
      <c r="P437" s="359"/>
      <c r="Q437" s="359"/>
      <c r="R437" s="718"/>
      <c r="S437" s="669"/>
      <c r="T437" s="669"/>
      <c r="U437" s="967"/>
      <c r="V437" s="974"/>
      <c r="W437" s="1197"/>
      <c r="X437" s="974"/>
      <c r="Y437" s="974"/>
      <c r="Z437" s="974"/>
      <c r="AA437" s="974"/>
      <c r="AB437" s="974"/>
      <c r="AC437" s="974"/>
      <c r="AD437" s="974"/>
      <c r="AE437" s="974"/>
      <c r="AF437" s="974"/>
      <c r="AG437" s="974"/>
      <c r="AH437" s="974"/>
      <c r="AI437" s="1198"/>
      <c r="AJ437" s="974"/>
      <c r="AK437" s="1197"/>
      <c r="AL437" s="974"/>
      <c r="AM437" s="974"/>
      <c r="AN437" s="974"/>
      <c r="AO437" s="974"/>
      <c r="AP437" s="974"/>
      <c r="AQ437" s="974"/>
      <c r="AR437" s="974"/>
      <c r="AS437" s="974"/>
      <c r="AT437" s="974"/>
      <c r="AU437" s="974"/>
      <c r="AV437" s="974"/>
      <c r="AW437" s="1181"/>
      <c r="AX437" s="978"/>
      <c r="AY437" s="898"/>
      <c r="AZ437" s="898"/>
      <c r="BA437" s="898"/>
      <c r="BB437" s="898"/>
      <c r="BC437" s="898"/>
      <c r="BD437" s="898"/>
      <c r="BE437" s="898"/>
      <c r="BF437" s="898"/>
      <c r="BG437" s="898"/>
      <c r="BH437" s="898"/>
      <c r="BI437" s="898"/>
      <c r="BJ437" s="898"/>
      <c r="BK437" s="898"/>
      <c r="BL437" s="898"/>
      <c r="BM437" s="898"/>
      <c r="BN437" s="898"/>
      <c r="BO437" s="898"/>
      <c r="BP437" s="898"/>
      <c r="BQ437" s="898"/>
      <c r="BR437" s="898"/>
      <c r="BS437" s="898"/>
      <c r="BT437" s="898"/>
      <c r="BU437" s="898"/>
      <c r="BV437" s="898"/>
      <c r="BW437" s="898"/>
      <c r="BX437" s="898"/>
      <c r="BY437" s="898"/>
      <c r="BZ437" s="898"/>
      <c r="CA437" s="898"/>
      <c r="CB437" s="898"/>
      <c r="CC437" s="898"/>
      <c r="CD437" s="898"/>
      <c r="CE437" s="898"/>
      <c r="CF437" s="898"/>
      <c r="CG437" s="898"/>
      <c r="CH437" s="898"/>
      <c r="CI437" s="898"/>
      <c r="CJ437" s="898"/>
      <c r="CK437" s="898"/>
      <c r="CL437" s="898"/>
      <c r="CM437" s="898"/>
      <c r="CN437" s="898"/>
      <c r="CO437" s="898"/>
      <c r="CP437" s="898"/>
      <c r="CQ437" s="898"/>
      <c r="CR437" s="898"/>
      <c r="CS437" s="898"/>
      <c r="CT437" s="898"/>
      <c r="CU437" s="898"/>
    </row>
    <row r="438" ht="16.5" customHeight="1">
      <c r="A438" s="718"/>
      <c r="B438" s="1195"/>
      <c r="C438" s="866"/>
      <c r="D438" s="968"/>
      <c r="E438" s="718"/>
      <c r="F438" s="718"/>
      <c r="G438" s="718"/>
      <c r="H438" s="718"/>
      <c r="I438" s="359"/>
      <c r="J438" s="359"/>
      <c r="K438" s="359"/>
      <c r="L438" s="359"/>
      <c r="M438" s="359"/>
      <c r="N438" s="359"/>
      <c r="O438" s="359"/>
      <c r="P438" s="359"/>
      <c r="Q438" s="359"/>
      <c r="R438" s="718"/>
      <c r="S438" s="669"/>
      <c r="T438" s="669"/>
      <c r="U438" s="967"/>
      <c r="V438" s="974"/>
      <c r="W438" s="1197"/>
      <c r="X438" s="974"/>
      <c r="Y438" s="974"/>
      <c r="Z438" s="974"/>
      <c r="AA438" s="974"/>
      <c r="AB438" s="974"/>
      <c r="AC438" s="974"/>
      <c r="AD438" s="974"/>
      <c r="AE438" s="974"/>
      <c r="AF438" s="974"/>
      <c r="AG438" s="974"/>
      <c r="AH438" s="974"/>
      <c r="AI438" s="1198"/>
      <c r="AJ438" s="974"/>
      <c r="AK438" s="1197"/>
      <c r="AL438" s="974"/>
      <c r="AM438" s="974"/>
      <c r="AN438" s="974"/>
      <c r="AO438" s="974"/>
      <c r="AP438" s="974"/>
      <c r="AQ438" s="974"/>
      <c r="AR438" s="974"/>
      <c r="AS438" s="974"/>
      <c r="AT438" s="974"/>
      <c r="AU438" s="974"/>
      <c r="AV438" s="974"/>
      <c r="AW438" s="1181"/>
      <c r="AX438" s="978"/>
      <c r="AY438" s="898"/>
      <c r="AZ438" s="898"/>
      <c r="BA438" s="898"/>
      <c r="BB438" s="898"/>
      <c r="BC438" s="898"/>
      <c r="BD438" s="898"/>
      <c r="BE438" s="898"/>
      <c r="BF438" s="898"/>
      <c r="BG438" s="898"/>
      <c r="BH438" s="898"/>
      <c r="BI438" s="898"/>
      <c r="BJ438" s="898"/>
      <c r="BK438" s="898"/>
      <c r="BL438" s="898"/>
      <c r="BM438" s="898"/>
      <c r="BN438" s="898"/>
      <c r="BO438" s="898"/>
      <c r="BP438" s="898"/>
      <c r="BQ438" s="898"/>
      <c r="BR438" s="898"/>
      <c r="BS438" s="898"/>
      <c r="BT438" s="898"/>
      <c r="BU438" s="898"/>
      <c r="BV438" s="898"/>
      <c r="BW438" s="898"/>
      <c r="BX438" s="898"/>
      <c r="BY438" s="898"/>
      <c r="BZ438" s="898"/>
      <c r="CA438" s="898"/>
      <c r="CB438" s="898"/>
      <c r="CC438" s="898"/>
      <c r="CD438" s="898"/>
      <c r="CE438" s="898"/>
      <c r="CF438" s="898"/>
      <c r="CG438" s="898"/>
      <c r="CH438" s="898"/>
      <c r="CI438" s="898"/>
      <c r="CJ438" s="898"/>
      <c r="CK438" s="898"/>
      <c r="CL438" s="898"/>
      <c r="CM438" s="898"/>
      <c r="CN438" s="898"/>
      <c r="CO438" s="898"/>
      <c r="CP438" s="898"/>
      <c r="CQ438" s="898"/>
      <c r="CR438" s="898"/>
      <c r="CS438" s="898"/>
      <c r="CT438" s="898"/>
      <c r="CU438" s="898"/>
    </row>
    <row r="439" ht="16.5" customHeight="1">
      <c r="A439" s="718"/>
      <c r="B439" s="1195"/>
      <c r="C439" s="866"/>
      <c r="D439" s="968"/>
      <c r="E439" s="718"/>
      <c r="F439" s="718"/>
      <c r="G439" s="718"/>
      <c r="H439" s="718"/>
      <c r="I439" s="359"/>
      <c r="J439" s="359"/>
      <c r="K439" s="359"/>
      <c r="L439" s="359"/>
      <c r="M439" s="359"/>
      <c r="N439" s="359"/>
      <c r="O439" s="359"/>
      <c r="P439" s="359"/>
      <c r="Q439" s="359"/>
      <c r="R439" s="718"/>
      <c r="S439" s="669"/>
      <c r="T439" s="669"/>
      <c r="U439" s="967"/>
      <c r="V439" s="974"/>
      <c r="W439" s="1197"/>
      <c r="X439" s="974"/>
      <c r="Y439" s="974"/>
      <c r="Z439" s="974"/>
      <c r="AA439" s="974"/>
      <c r="AB439" s="974"/>
      <c r="AC439" s="974"/>
      <c r="AD439" s="974"/>
      <c r="AE439" s="974"/>
      <c r="AF439" s="974"/>
      <c r="AG439" s="974"/>
      <c r="AH439" s="974"/>
      <c r="AI439" s="1198"/>
      <c r="AJ439" s="974"/>
      <c r="AK439" s="1197"/>
      <c r="AL439" s="974"/>
      <c r="AM439" s="974"/>
      <c r="AN439" s="974"/>
      <c r="AO439" s="974"/>
      <c r="AP439" s="974"/>
      <c r="AQ439" s="974"/>
      <c r="AR439" s="974"/>
      <c r="AS439" s="974"/>
      <c r="AT439" s="974"/>
      <c r="AU439" s="974"/>
      <c r="AV439" s="974"/>
      <c r="AW439" s="1181"/>
      <c r="AX439" s="978"/>
      <c r="AY439" s="898"/>
      <c r="AZ439" s="898"/>
      <c r="BA439" s="898"/>
      <c r="BB439" s="898"/>
      <c r="BC439" s="898"/>
      <c r="BD439" s="898"/>
      <c r="BE439" s="898"/>
      <c r="BF439" s="898"/>
      <c r="BG439" s="898"/>
      <c r="BH439" s="898"/>
      <c r="BI439" s="898"/>
      <c r="BJ439" s="898"/>
      <c r="BK439" s="898"/>
      <c r="BL439" s="898"/>
      <c r="BM439" s="898"/>
      <c r="BN439" s="898"/>
      <c r="BO439" s="898"/>
      <c r="BP439" s="898"/>
      <c r="BQ439" s="898"/>
      <c r="BR439" s="898"/>
      <c r="BS439" s="898"/>
      <c r="BT439" s="898"/>
      <c r="BU439" s="898"/>
      <c r="BV439" s="898"/>
      <c r="BW439" s="898"/>
      <c r="BX439" s="898"/>
      <c r="BY439" s="898"/>
      <c r="BZ439" s="898"/>
      <c r="CA439" s="898"/>
      <c r="CB439" s="898"/>
      <c r="CC439" s="898"/>
      <c r="CD439" s="898"/>
      <c r="CE439" s="898"/>
      <c r="CF439" s="898"/>
      <c r="CG439" s="898"/>
      <c r="CH439" s="898"/>
      <c r="CI439" s="898"/>
      <c r="CJ439" s="898"/>
      <c r="CK439" s="898"/>
      <c r="CL439" s="898"/>
      <c r="CM439" s="898"/>
      <c r="CN439" s="898"/>
      <c r="CO439" s="898"/>
      <c r="CP439" s="898"/>
      <c r="CQ439" s="898"/>
      <c r="CR439" s="898"/>
      <c r="CS439" s="898"/>
      <c r="CT439" s="898"/>
      <c r="CU439" s="898"/>
    </row>
    <row r="440" ht="16.5" customHeight="1">
      <c r="A440" s="718"/>
      <c r="B440" s="1195"/>
      <c r="C440" s="866"/>
      <c r="D440" s="968"/>
      <c r="E440" s="718"/>
      <c r="F440" s="718"/>
      <c r="G440" s="718"/>
      <c r="H440" s="718"/>
      <c r="I440" s="359"/>
      <c r="J440" s="359"/>
      <c r="K440" s="359"/>
      <c r="L440" s="359"/>
      <c r="M440" s="359"/>
      <c r="N440" s="359"/>
      <c r="O440" s="359"/>
      <c r="P440" s="359"/>
      <c r="Q440" s="359"/>
      <c r="R440" s="718"/>
      <c r="S440" s="669"/>
      <c r="T440" s="669"/>
      <c r="U440" s="967"/>
      <c r="V440" s="974"/>
      <c r="W440" s="1197"/>
      <c r="X440" s="974"/>
      <c r="Y440" s="974"/>
      <c r="Z440" s="974"/>
      <c r="AA440" s="974"/>
      <c r="AB440" s="974"/>
      <c r="AC440" s="974"/>
      <c r="AD440" s="974"/>
      <c r="AE440" s="974"/>
      <c r="AF440" s="974"/>
      <c r="AG440" s="974"/>
      <c r="AH440" s="974"/>
      <c r="AI440" s="1198"/>
      <c r="AJ440" s="974"/>
      <c r="AK440" s="1197"/>
      <c r="AL440" s="974"/>
      <c r="AM440" s="974"/>
      <c r="AN440" s="974"/>
      <c r="AO440" s="974"/>
      <c r="AP440" s="974"/>
      <c r="AQ440" s="974"/>
      <c r="AR440" s="974"/>
      <c r="AS440" s="974"/>
      <c r="AT440" s="974"/>
      <c r="AU440" s="974"/>
      <c r="AV440" s="974"/>
      <c r="AW440" s="1181"/>
      <c r="AX440" s="978"/>
      <c r="AY440" s="898"/>
      <c r="AZ440" s="898"/>
      <c r="BA440" s="898"/>
      <c r="BB440" s="898"/>
      <c r="BC440" s="898"/>
      <c r="BD440" s="898"/>
      <c r="BE440" s="898"/>
      <c r="BF440" s="898"/>
      <c r="BG440" s="898"/>
      <c r="BH440" s="898"/>
      <c r="BI440" s="898"/>
      <c r="BJ440" s="898"/>
      <c r="BK440" s="898"/>
      <c r="BL440" s="898"/>
      <c r="BM440" s="898"/>
      <c r="BN440" s="898"/>
      <c r="BO440" s="898"/>
      <c r="BP440" s="898"/>
      <c r="BQ440" s="898"/>
      <c r="BR440" s="898"/>
      <c r="BS440" s="898"/>
      <c r="BT440" s="898"/>
      <c r="BU440" s="898"/>
      <c r="BV440" s="898"/>
      <c r="BW440" s="898"/>
      <c r="BX440" s="898"/>
      <c r="BY440" s="898"/>
      <c r="BZ440" s="898"/>
      <c r="CA440" s="898"/>
      <c r="CB440" s="898"/>
      <c r="CC440" s="898"/>
      <c r="CD440" s="898"/>
      <c r="CE440" s="898"/>
      <c r="CF440" s="898"/>
      <c r="CG440" s="898"/>
      <c r="CH440" s="898"/>
      <c r="CI440" s="898"/>
      <c r="CJ440" s="898"/>
      <c r="CK440" s="898"/>
      <c r="CL440" s="898"/>
      <c r="CM440" s="898"/>
      <c r="CN440" s="898"/>
      <c r="CO440" s="898"/>
      <c r="CP440" s="898"/>
      <c r="CQ440" s="898"/>
      <c r="CR440" s="898"/>
      <c r="CS440" s="898"/>
      <c r="CT440" s="898"/>
      <c r="CU440" s="898"/>
    </row>
    <row r="441" ht="16.5" customHeight="1">
      <c r="A441" s="718"/>
      <c r="B441" s="1195"/>
      <c r="C441" s="866"/>
      <c r="D441" s="968"/>
      <c r="E441" s="718"/>
      <c r="F441" s="718"/>
      <c r="G441" s="718"/>
      <c r="H441" s="718"/>
      <c r="I441" s="359"/>
      <c r="J441" s="359"/>
      <c r="K441" s="359"/>
      <c r="L441" s="359"/>
      <c r="M441" s="359"/>
      <c r="N441" s="359"/>
      <c r="O441" s="359"/>
      <c r="P441" s="359"/>
      <c r="Q441" s="359"/>
      <c r="R441" s="718"/>
      <c r="S441" s="669"/>
      <c r="T441" s="669"/>
      <c r="U441" s="967"/>
      <c r="V441" s="974"/>
      <c r="W441" s="1197"/>
      <c r="X441" s="974"/>
      <c r="Y441" s="974"/>
      <c r="Z441" s="974"/>
      <c r="AA441" s="974"/>
      <c r="AB441" s="974"/>
      <c r="AC441" s="974"/>
      <c r="AD441" s="974"/>
      <c r="AE441" s="974"/>
      <c r="AF441" s="974"/>
      <c r="AG441" s="974"/>
      <c r="AH441" s="974"/>
      <c r="AI441" s="1198"/>
      <c r="AJ441" s="974"/>
      <c r="AK441" s="1197"/>
      <c r="AL441" s="974"/>
      <c r="AM441" s="974"/>
      <c r="AN441" s="974"/>
      <c r="AO441" s="974"/>
      <c r="AP441" s="974"/>
      <c r="AQ441" s="974"/>
      <c r="AR441" s="974"/>
      <c r="AS441" s="974"/>
      <c r="AT441" s="974"/>
      <c r="AU441" s="974"/>
      <c r="AV441" s="974"/>
      <c r="AW441" s="1181"/>
      <c r="AX441" s="978"/>
      <c r="AY441" s="898"/>
      <c r="AZ441" s="898"/>
      <c r="BA441" s="898"/>
      <c r="BB441" s="898"/>
      <c r="BC441" s="898"/>
      <c r="BD441" s="898"/>
      <c r="BE441" s="898"/>
      <c r="BF441" s="898"/>
      <c r="BG441" s="898"/>
      <c r="BH441" s="898"/>
      <c r="BI441" s="898"/>
      <c r="BJ441" s="898"/>
      <c r="BK441" s="898"/>
      <c r="BL441" s="898"/>
      <c r="BM441" s="898"/>
      <c r="BN441" s="898"/>
      <c r="BO441" s="898"/>
      <c r="BP441" s="898"/>
      <c r="BQ441" s="898"/>
      <c r="BR441" s="898"/>
      <c r="BS441" s="898"/>
      <c r="BT441" s="898"/>
      <c r="BU441" s="898"/>
      <c r="BV441" s="898"/>
      <c r="BW441" s="898"/>
      <c r="BX441" s="898"/>
      <c r="BY441" s="898"/>
      <c r="BZ441" s="898"/>
      <c r="CA441" s="898"/>
      <c r="CB441" s="898"/>
      <c r="CC441" s="898"/>
      <c r="CD441" s="898"/>
      <c r="CE441" s="898"/>
      <c r="CF441" s="898"/>
      <c r="CG441" s="898"/>
      <c r="CH441" s="898"/>
      <c r="CI441" s="898"/>
      <c r="CJ441" s="898"/>
      <c r="CK441" s="898"/>
      <c r="CL441" s="898"/>
      <c r="CM441" s="898"/>
      <c r="CN441" s="898"/>
      <c r="CO441" s="898"/>
      <c r="CP441" s="898"/>
      <c r="CQ441" s="898"/>
      <c r="CR441" s="898"/>
      <c r="CS441" s="898"/>
      <c r="CT441" s="898"/>
      <c r="CU441" s="898"/>
    </row>
    <row r="442" ht="16.5" customHeight="1">
      <c r="A442" s="718"/>
      <c r="B442" s="1195"/>
      <c r="C442" s="866"/>
      <c r="D442" s="968"/>
      <c r="E442" s="718"/>
      <c r="F442" s="718"/>
      <c r="G442" s="718"/>
      <c r="H442" s="718"/>
      <c r="I442" s="359"/>
      <c r="J442" s="359"/>
      <c r="K442" s="359"/>
      <c r="L442" s="359"/>
      <c r="M442" s="359"/>
      <c r="N442" s="359"/>
      <c r="O442" s="359"/>
      <c r="P442" s="359"/>
      <c r="Q442" s="359"/>
      <c r="R442" s="718"/>
      <c r="S442" s="669"/>
      <c r="T442" s="669"/>
      <c r="U442" s="967"/>
      <c r="V442" s="974"/>
      <c r="W442" s="1197"/>
      <c r="X442" s="974"/>
      <c r="Y442" s="974"/>
      <c r="Z442" s="974"/>
      <c r="AA442" s="974"/>
      <c r="AB442" s="974"/>
      <c r="AC442" s="974"/>
      <c r="AD442" s="974"/>
      <c r="AE442" s="974"/>
      <c r="AF442" s="974"/>
      <c r="AG442" s="974"/>
      <c r="AH442" s="974"/>
      <c r="AI442" s="1198"/>
      <c r="AJ442" s="974"/>
      <c r="AK442" s="1197"/>
      <c r="AL442" s="974"/>
      <c r="AM442" s="974"/>
      <c r="AN442" s="974"/>
      <c r="AO442" s="974"/>
      <c r="AP442" s="974"/>
      <c r="AQ442" s="974"/>
      <c r="AR442" s="974"/>
      <c r="AS442" s="974"/>
      <c r="AT442" s="974"/>
      <c r="AU442" s="974"/>
      <c r="AV442" s="974"/>
      <c r="AW442" s="1181"/>
      <c r="AX442" s="978"/>
      <c r="AY442" s="898"/>
      <c r="AZ442" s="898"/>
      <c r="BA442" s="898"/>
      <c r="BB442" s="898"/>
      <c r="BC442" s="898"/>
      <c r="BD442" s="898"/>
      <c r="BE442" s="898"/>
      <c r="BF442" s="898"/>
      <c r="BG442" s="898"/>
      <c r="BH442" s="898"/>
      <c r="BI442" s="898"/>
      <c r="BJ442" s="898"/>
      <c r="BK442" s="898"/>
      <c r="BL442" s="898"/>
      <c r="BM442" s="898"/>
      <c r="BN442" s="898"/>
      <c r="BO442" s="898"/>
      <c r="BP442" s="898"/>
      <c r="BQ442" s="898"/>
      <c r="BR442" s="898"/>
      <c r="BS442" s="898"/>
      <c r="BT442" s="898"/>
      <c r="BU442" s="898"/>
      <c r="BV442" s="898"/>
      <c r="BW442" s="898"/>
      <c r="BX442" s="898"/>
      <c r="BY442" s="898"/>
      <c r="BZ442" s="898"/>
      <c r="CA442" s="898"/>
      <c r="CB442" s="898"/>
      <c r="CC442" s="898"/>
      <c r="CD442" s="898"/>
      <c r="CE442" s="898"/>
      <c r="CF442" s="898"/>
      <c r="CG442" s="898"/>
      <c r="CH442" s="898"/>
      <c r="CI442" s="898"/>
      <c r="CJ442" s="898"/>
      <c r="CK442" s="898"/>
      <c r="CL442" s="898"/>
      <c r="CM442" s="898"/>
      <c r="CN442" s="898"/>
      <c r="CO442" s="898"/>
      <c r="CP442" s="898"/>
      <c r="CQ442" s="898"/>
      <c r="CR442" s="898"/>
      <c r="CS442" s="898"/>
      <c r="CT442" s="898"/>
      <c r="CU442" s="898"/>
    </row>
    <row r="443" ht="16.5" customHeight="1">
      <c r="A443" s="718"/>
      <c r="B443" s="1195"/>
      <c r="C443" s="866"/>
      <c r="D443" s="968"/>
      <c r="E443" s="718"/>
      <c r="F443" s="718"/>
      <c r="G443" s="718"/>
      <c r="H443" s="718"/>
      <c r="I443" s="359"/>
      <c r="J443" s="359"/>
      <c r="K443" s="359"/>
      <c r="L443" s="359"/>
      <c r="M443" s="359"/>
      <c r="N443" s="359"/>
      <c r="O443" s="359"/>
      <c r="P443" s="359"/>
      <c r="Q443" s="359"/>
      <c r="R443" s="718"/>
      <c r="S443" s="669"/>
      <c r="T443" s="669"/>
      <c r="U443" s="967"/>
      <c r="V443" s="974"/>
      <c r="W443" s="1197"/>
      <c r="X443" s="974"/>
      <c r="Y443" s="974"/>
      <c r="Z443" s="974"/>
      <c r="AA443" s="974"/>
      <c r="AB443" s="974"/>
      <c r="AC443" s="974"/>
      <c r="AD443" s="974"/>
      <c r="AE443" s="974"/>
      <c r="AF443" s="974"/>
      <c r="AG443" s="974"/>
      <c r="AH443" s="974"/>
      <c r="AI443" s="1198"/>
      <c r="AJ443" s="974"/>
      <c r="AK443" s="1197"/>
      <c r="AL443" s="974"/>
      <c r="AM443" s="974"/>
      <c r="AN443" s="974"/>
      <c r="AO443" s="974"/>
      <c r="AP443" s="974"/>
      <c r="AQ443" s="974"/>
      <c r="AR443" s="974"/>
      <c r="AS443" s="974"/>
      <c r="AT443" s="974"/>
      <c r="AU443" s="974"/>
      <c r="AV443" s="974"/>
      <c r="AW443" s="1181"/>
      <c r="AX443" s="978"/>
      <c r="AY443" s="898"/>
      <c r="AZ443" s="898"/>
      <c r="BA443" s="898"/>
      <c r="BB443" s="898"/>
      <c r="BC443" s="898"/>
      <c r="BD443" s="898"/>
      <c r="BE443" s="898"/>
      <c r="BF443" s="898"/>
      <c r="BG443" s="898"/>
      <c r="BH443" s="898"/>
      <c r="BI443" s="898"/>
      <c r="BJ443" s="898"/>
      <c r="BK443" s="898"/>
      <c r="BL443" s="898"/>
      <c r="BM443" s="898"/>
      <c r="BN443" s="898"/>
      <c r="BO443" s="898"/>
      <c r="BP443" s="898"/>
      <c r="BQ443" s="898"/>
      <c r="BR443" s="898"/>
      <c r="BS443" s="898"/>
      <c r="BT443" s="898"/>
      <c r="BU443" s="898"/>
      <c r="BV443" s="898"/>
      <c r="BW443" s="898"/>
      <c r="BX443" s="898"/>
      <c r="BY443" s="898"/>
      <c r="BZ443" s="898"/>
      <c r="CA443" s="898"/>
      <c r="CB443" s="898"/>
      <c r="CC443" s="898"/>
      <c r="CD443" s="898"/>
      <c r="CE443" s="898"/>
      <c r="CF443" s="898"/>
      <c r="CG443" s="898"/>
      <c r="CH443" s="898"/>
      <c r="CI443" s="898"/>
      <c r="CJ443" s="898"/>
      <c r="CK443" s="898"/>
      <c r="CL443" s="898"/>
      <c r="CM443" s="898"/>
      <c r="CN443" s="898"/>
      <c r="CO443" s="898"/>
      <c r="CP443" s="898"/>
      <c r="CQ443" s="898"/>
      <c r="CR443" s="898"/>
      <c r="CS443" s="898"/>
      <c r="CT443" s="898"/>
      <c r="CU443" s="898"/>
    </row>
    <row r="444" ht="16.5" customHeight="1">
      <c r="A444" s="718"/>
      <c r="B444" s="1195"/>
      <c r="C444" s="866"/>
      <c r="D444" s="968"/>
      <c r="E444" s="718"/>
      <c r="F444" s="718"/>
      <c r="G444" s="718"/>
      <c r="H444" s="718"/>
      <c r="I444" s="359"/>
      <c r="J444" s="359"/>
      <c r="K444" s="359"/>
      <c r="L444" s="359"/>
      <c r="M444" s="359"/>
      <c r="N444" s="359"/>
      <c r="O444" s="359"/>
      <c r="P444" s="359"/>
      <c r="Q444" s="359"/>
      <c r="R444" s="718"/>
      <c r="S444" s="669"/>
      <c r="T444" s="669"/>
      <c r="U444" s="967"/>
      <c r="V444" s="974"/>
      <c r="W444" s="1197"/>
      <c r="X444" s="974"/>
      <c r="Y444" s="974"/>
      <c r="Z444" s="974"/>
      <c r="AA444" s="974"/>
      <c r="AB444" s="974"/>
      <c r="AC444" s="974"/>
      <c r="AD444" s="974"/>
      <c r="AE444" s="974"/>
      <c r="AF444" s="974"/>
      <c r="AG444" s="974"/>
      <c r="AH444" s="974"/>
      <c r="AI444" s="1198"/>
      <c r="AJ444" s="974"/>
      <c r="AK444" s="1197"/>
      <c r="AL444" s="974"/>
      <c r="AM444" s="974"/>
      <c r="AN444" s="974"/>
      <c r="AO444" s="974"/>
      <c r="AP444" s="974"/>
      <c r="AQ444" s="974"/>
      <c r="AR444" s="974"/>
      <c r="AS444" s="974"/>
      <c r="AT444" s="974"/>
      <c r="AU444" s="974"/>
      <c r="AV444" s="974"/>
      <c r="AW444" s="1181"/>
      <c r="AX444" s="978"/>
      <c r="AY444" s="898"/>
      <c r="AZ444" s="898"/>
      <c r="BA444" s="898"/>
      <c r="BB444" s="898"/>
      <c r="BC444" s="898"/>
      <c r="BD444" s="898"/>
      <c r="BE444" s="898"/>
      <c r="BF444" s="898"/>
      <c r="BG444" s="898"/>
      <c r="BH444" s="898"/>
      <c r="BI444" s="898"/>
      <c r="BJ444" s="898"/>
      <c r="BK444" s="898"/>
      <c r="BL444" s="898"/>
      <c r="BM444" s="898"/>
      <c r="BN444" s="898"/>
      <c r="BO444" s="898"/>
      <c r="BP444" s="898"/>
      <c r="BQ444" s="898"/>
      <c r="BR444" s="898"/>
      <c r="BS444" s="898"/>
      <c r="BT444" s="898"/>
      <c r="BU444" s="898"/>
      <c r="BV444" s="898"/>
      <c r="BW444" s="898"/>
      <c r="BX444" s="898"/>
      <c r="BY444" s="898"/>
      <c r="BZ444" s="898"/>
      <c r="CA444" s="898"/>
      <c r="CB444" s="898"/>
      <c r="CC444" s="898"/>
      <c r="CD444" s="898"/>
      <c r="CE444" s="898"/>
      <c r="CF444" s="898"/>
      <c r="CG444" s="898"/>
      <c r="CH444" s="898"/>
      <c r="CI444" s="898"/>
      <c r="CJ444" s="898"/>
      <c r="CK444" s="898"/>
      <c r="CL444" s="898"/>
      <c r="CM444" s="898"/>
      <c r="CN444" s="898"/>
      <c r="CO444" s="898"/>
      <c r="CP444" s="898"/>
      <c r="CQ444" s="898"/>
      <c r="CR444" s="898"/>
      <c r="CS444" s="898"/>
      <c r="CT444" s="898"/>
      <c r="CU444" s="898"/>
    </row>
    <row r="445" ht="16.5" customHeight="1">
      <c r="A445" s="718"/>
      <c r="B445" s="1195"/>
      <c r="C445" s="866"/>
      <c r="D445" s="968"/>
      <c r="E445" s="718"/>
      <c r="F445" s="718"/>
      <c r="G445" s="718"/>
      <c r="H445" s="718"/>
      <c r="I445" s="359"/>
      <c r="J445" s="359"/>
      <c r="K445" s="359"/>
      <c r="L445" s="359"/>
      <c r="M445" s="359"/>
      <c r="N445" s="359"/>
      <c r="O445" s="359"/>
      <c r="P445" s="359"/>
      <c r="Q445" s="359"/>
      <c r="R445" s="718"/>
      <c r="S445" s="669"/>
      <c r="T445" s="669"/>
      <c r="U445" s="967"/>
      <c r="V445" s="974"/>
      <c r="W445" s="1197"/>
      <c r="X445" s="974"/>
      <c r="Y445" s="974"/>
      <c r="Z445" s="974"/>
      <c r="AA445" s="974"/>
      <c r="AB445" s="974"/>
      <c r="AC445" s="974"/>
      <c r="AD445" s="974"/>
      <c r="AE445" s="974"/>
      <c r="AF445" s="974"/>
      <c r="AG445" s="974"/>
      <c r="AH445" s="974"/>
      <c r="AI445" s="1198"/>
      <c r="AJ445" s="974"/>
      <c r="AK445" s="1197"/>
      <c r="AL445" s="974"/>
      <c r="AM445" s="974"/>
      <c r="AN445" s="974"/>
      <c r="AO445" s="974"/>
      <c r="AP445" s="974"/>
      <c r="AQ445" s="974"/>
      <c r="AR445" s="974"/>
      <c r="AS445" s="974"/>
      <c r="AT445" s="974"/>
      <c r="AU445" s="974"/>
      <c r="AV445" s="974"/>
      <c r="AW445" s="1181"/>
      <c r="AX445" s="978"/>
      <c r="AY445" s="898"/>
      <c r="AZ445" s="898"/>
      <c r="BA445" s="898"/>
      <c r="BB445" s="898"/>
      <c r="BC445" s="898"/>
      <c r="BD445" s="898"/>
      <c r="BE445" s="898"/>
      <c r="BF445" s="898"/>
      <c r="BG445" s="898"/>
      <c r="BH445" s="898"/>
      <c r="BI445" s="898"/>
      <c r="BJ445" s="898"/>
      <c r="BK445" s="898"/>
      <c r="BL445" s="898"/>
      <c r="BM445" s="898"/>
      <c r="BN445" s="898"/>
      <c r="BO445" s="898"/>
      <c r="BP445" s="898"/>
      <c r="BQ445" s="898"/>
      <c r="BR445" s="898"/>
      <c r="BS445" s="898"/>
      <c r="BT445" s="898"/>
      <c r="BU445" s="898"/>
      <c r="BV445" s="898"/>
      <c r="BW445" s="898"/>
      <c r="BX445" s="898"/>
      <c r="BY445" s="898"/>
      <c r="BZ445" s="898"/>
      <c r="CA445" s="898"/>
      <c r="CB445" s="898"/>
      <c r="CC445" s="898"/>
      <c r="CD445" s="898"/>
      <c r="CE445" s="898"/>
      <c r="CF445" s="898"/>
      <c r="CG445" s="898"/>
      <c r="CH445" s="898"/>
      <c r="CI445" s="898"/>
      <c r="CJ445" s="898"/>
      <c r="CK445" s="898"/>
      <c r="CL445" s="898"/>
      <c r="CM445" s="898"/>
      <c r="CN445" s="898"/>
      <c r="CO445" s="898"/>
      <c r="CP445" s="898"/>
      <c r="CQ445" s="898"/>
      <c r="CR445" s="898"/>
      <c r="CS445" s="898"/>
      <c r="CT445" s="898"/>
      <c r="CU445" s="898"/>
    </row>
    <row r="446" ht="16.5" customHeight="1">
      <c r="A446" s="718"/>
      <c r="B446" s="1195"/>
      <c r="C446" s="866"/>
      <c r="D446" s="968"/>
      <c r="E446" s="718"/>
      <c r="F446" s="718"/>
      <c r="G446" s="718"/>
      <c r="H446" s="718"/>
      <c r="I446" s="359"/>
      <c r="J446" s="359"/>
      <c r="K446" s="359"/>
      <c r="L446" s="359"/>
      <c r="M446" s="359"/>
      <c r="N446" s="359"/>
      <c r="O446" s="359"/>
      <c r="P446" s="359"/>
      <c r="Q446" s="359"/>
      <c r="R446" s="718"/>
      <c r="S446" s="669"/>
      <c r="T446" s="669"/>
      <c r="U446" s="967"/>
      <c r="V446" s="974"/>
      <c r="W446" s="1197"/>
      <c r="X446" s="974"/>
      <c r="Y446" s="974"/>
      <c r="Z446" s="974"/>
      <c r="AA446" s="974"/>
      <c r="AB446" s="974"/>
      <c r="AC446" s="974"/>
      <c r="AD446" s="974"/>
      <c r="AE446" s="974"/>
      <c r="AF446" s="974"/>
      <c r="AG446" s="974"/>
      <c r="AH446" s="974"/>
      <c r="AI446" s="1198"/>
      <c r="AJ446" s="974"/>
      <c r="AK446" s="1197"/>
      <c r="AL446" s="974"/>
      <c r="AM446" s="974"/>
      <c r="AN446" s="974"/>
      <c r="AO446" s="974"/>
      <c r="AP446" s="974"/>
      <c r="AQ446" s="974"/>
      <c r="AR446" s="974"/>
      <c r="AS446" s="974"/>
      <c r="AT446" s="974"/>
      <c r="AU446" s="974"/>
      <c r="AV446" s="974"/>
      <c r="AW446" s="1181"/>
      <c r="AX446" s="978"/>
      <c r="AY446" s="898"/>
      <c r="AZ446" s="898"/>
      <c r="BA446" s="898"/>
      <c r="BB446" s="898"/>
      <c r="BC446" s="898"/>
      <c r="BD446" s="898"/>
      <c r="BE446" s="898"/>
      <c r="BF446" s="898"/>
      <c r="BG446" s="898"/>
      <c r="BH446" s="898"/>
      <c r="BI446" s="898"/>
      <c r="BJ446" s="898"/>
      <c r="BK446" s="898"/>
      <c r="BL446" s="898"/>
      <c r="BM446" s="898"/>
      <c r="BN446" s="898"/>
      <c r="BO446" s="898"/>
      <c r="BP446" s="898"/>
      <c r="BQ446" s="898"/>
      <c r="BR446" s="898"/>
      <c r="BS446" s="898"/>
      <c r="BT446" s="898"/>
      <c r="BU446" s="898"/>
      <c r="BV446" s="898"/>
      <c r="BW446" s="898"/>
      <c r="BX446" s="898"/>
      <c r="BY446" s="898"/>
      <c r="BZ446" s="898"/>
      <c r="CA446" s="898"/>
      <c r="CB446" s="898"/>
      <c r="CC446" s="898"/>
      <c r="CD446" s="898"/>
      <c r="CE446" s="898"/>
      <c r="CF446" s="898"/>
      <c r="CG446" s="898"/>
      <c r="CH446" s="898"/>
      <c r="CI446" s="898"/>
      <c r="CJ446" s="898"/>
      <c r="CK446" s="898"/>
      <c r="CL446" s="898"/>
      <c r="CM446" s="898"/>
      <c r="CN446" s="898"/>
      <c r="CO446" s="898"/>
      <c r="CP446" s="898"/>
      <c r="CQ446" s="898"/>
      <c r="CR446" s="898"/>
      <c r="CS446" s="898"/>
      <c r="CT446" s="898"/>
      <c r="CU446" s="898"/>
    </row>
    <row r="447" ht="16.5" customHeight="1">
      <c r="A447" s="718"/>
      <c r="B447" s="1195"/>
      <c r="C447" s="866"/>
      <c r="D447" s="968"/>
      <c r="E447" s="718"/>
      <c r="F447" s="718"/>
      <c r="G447" s="718"/>
      <c r="H447" s="718"/>
      <c r="I447" s="359"/>
      <c r="J447" s="359"/>
      <c r="K447" s="359"/>
      <c r="L447" s="359"/>
      <c r="M447" s="359"/>
      <c r="N447" s="359"/>
      <c r="O447" s="359"/>
      <c r="P447" s="359"/>
      <c r="Q447" s="359"/>
      <c r="R447" s="718"/>
      <c r="S447" s="669"/>
      <c r="T447" s="669"/>
      <c r="U447" s="967"/>
      <c r="V447" s="974"/>
      <c r="W447" s="1197"/>
      <c r="X447" s="974"/>
      <c r="Y447" s="974"/>
      <c r="Z447" s="974"/>
      <c r="AA447" s="974"/>
      <c r="AB447" s="974"/>
      <c r="AC447" s="974"/>
      <c r="AD447" s="974"/>
      <c r="AE447" s="974"/>
      <c r="AF447" s="974"/>
      <c r="AG447" s="974"/>
      <c r="AH447" s="974"/>
      <c r="AI447" s="1198"/>
      <c r="AJ447" s="974"/>
      <c r="AK447" s="1197"/>
      <c r="AL447" s="974"/>
      <c r="AM447" s="974"/>
      <c r="AN447" s="974"/>
      <c r="AO447" s="974"/>
      <c r="AP447" s="974"/>
      <c r="AQ447" s="974"/>
      <c r="AR447" s="974"/>
      <c r="AS447" s="974"/>
      <c r="AT447" s="974"/>
      <c r="AU447" s="974"/>
      <c r="AV447" s="974"/>
      <c r="AW447" s="1181"/>
      <c r="AX447" s="978"/>
      <c r="AY447" s="898"/>
      <c r="AZ447" s="898"/>
      <c r="BA447" s="898"/>
      <c r="BB447" s="898"/>
      <c r="BC447" s="898"/>
      <c r="BD447" s="898"/>
      <c r="BE447" s="898"/>
      <c r="BF447" s="898"/>
      <c r="BG447" s="898"/>
      <c r="BH447" s="898"/>
      <c r="BI447" s="898"/>
      <c r="BJ447" s="898"/>
      <c r="BK447" s="898"/>
      <c r="BL447" s="898"/>
      <c r="BM447" s="898"/>
      <c r="BN447" s="898"/>
      <c r="BO447" s="898"/>
      <c r="BP447" s="898"/>
      <c r="BQ447" s="898"/>
      <c r="BR447" s="898"/>
      <c r="BS447" s="898"/>
      <c r="BT447" s="898"/>
      <c r="BU447" s="898"/>
      <c r="BV447" s="898"/>
      <c r="BW447" s="898"/>
      <c r="BX447" s="898"/>
      <c r="BY447" s="898"/>
      <c r="BZ447" s="898"/>
      <c r="CA447" s="898"/>
      <c r="CB447" s="898"/>
      <c r="CC447" s="898"/>
      <c r="CD447" s="898"/>
      <c r="CE447" s="898"/>
      <c r="CF447" s="898"/>
      <c r="CG447" s="898"/>
      <c r="CH447" s="898"/>
      <c r="CI447" s="898"/>
      <c r="CJ447" s="898"/>
      <c r="CK447" s="898"/>
      <c r="CL447" s="898"/>
      <c r="CM447" s="898"/>
      <c r="CN447" s="898"/>
      <c r="CO447" s="898"/>
      <c r="CP447" s="898"/>
      <c r="CQ447" s="898"/>
      <c r="CR447" s="898"/>
      <c r="CS447" s="898"/>
      <c r="CT447" s="898"/>
      <c r="CU447" s="898"/>
    </row>
    <row r="448" ht="16.5" customHeight="1">
      <c r="A448" s="718"/>
      <c r="B448" s="1195"/>
      <c r="C448" s="866"/>
      <c r="D448" s="968"/>
      <c r="E448" s="718"/>
      <c r="F448" s="718"/>
      <c r="G448" s="718"/>
      <c r="H448" s="718"/>
      <c r="I448" s="359"/>
      <c r="J448" s="359"/>
      <c r="K448" s="359"/>
      <c r="L448" s="359"/>
      <c r="M448" s="359"/>
      <c r="N448" s="359"/>
      <c r="O448" s="359"/>
      <c r="P448" s="359"/>
      <c r="Q448" s="359"/>
      <c r="R448" s="718"/>
      <c r="S448" s="669"/>
      <c r="T448" s="669"/>
      <c r="U448" s="967"/>
      <c r="V448" s="974"/>
      <c r="W448" s="1197"/>
      <c r="X448" s="974"/>
      <c r="Y448" s="974"/>
      <c r="Z448" s="974"/>
      <c r="AA448" s="974"/>
      <c r="AB448" s="974"/>
      <c r="AC448" s="974"/>
      <c r="AD448" s="974"/>
      <c r="AE448" s="974"/>
      <c r="AF448" s="974"/>
      <c r="AG448" s="974"/>
      <c r="AH448" s="974"/>
      <c r="AI448" s="1198"/>
      <c r="AJ448" s="974"/>
      <c r="AK448" s="1197"/>
      <c r="AL448" s="974"/>
      <c r="AM448" s="974"/>
      <c r="AN448" s="974"/>
      <c r="AO448" s="974"/>
      <c r="AP448" s="974"/>
      <c r="AQ448" s="974"/>
      <c r="AR448" s="974"/>
      <c r="AS448" s="974"/>
      <c r="AT448" s="974"/>
      <c r="AU448" s="974"/>
      <c r="AV448" s="974"/>
      <c r="AW448" s="1181"/>
      <c r="AX448" s="978"/>
      <c r="AY448" s="898"/>
      <c r="AZ448" s="898"/>
      <c r="BA448" s="898"/>
      <c r="BB448" s="898"/>
      <c r="BC448" s="898"/>
      <c r="BD448" s="898"/>
      <c r="BE448" s="898"/>
      <c r="BF448" s="898"/>
      <c r="BG448" s="898"/>
      <c r="BH448" s="898"/>
      <c r="BI448" s="898"/>
      <c r="BJ448" s="898"/>
      <c r="BK448" s="898"/>
      <c r="BL448" s="898"/>
      <c r="BM448" s="898"/>
      <c r="BN448" s="898"/>
      <c r="BO448" s="898"/>
      <c r="BP448" s="898"/>
      <c r="BQ448" s="898"/>
      <c r="BR448" s="898"/>
      <c r="BS448" s="898"/>
      <c r="BT448" s="898"/>
      <c r="BU448" s="898"/>
      <c r="BV448" s="898"/>
      <c r="BW448" s="898"/>
      <c r="BX448" s="898"/>
      <c r="BY448" s="898"/>
      <c r="BZ448" s="898"/>
      <c r="CA448" s="898"/>
      <c r="CB448" s="898"/>
      <c r="CC448" s="898"/>
      <c r="CD448" s="898"/>
      <c r="CE448" s="898"/>
      <c r="CF448" s="898"/>
      <c r="CG448" s="898"/>
      <c r="CH448" s="898"/>
      <c r="CI448" s="898"/>
      <c r="CJ448" s="898"/>
      <c r="CK448" s="898"/>
      <c r="CL448" s="898"/>
      <c r="CM448" s="898"/>
      <c r="CN448" s="898"/>
      <c r="CO448" s="898"/>
      <c r="CP448" s="898"/>
      <c r="CQ448" s="898"/>
      <c r="CR448" s="898"/>
      <c r="CS448" s="898"/>
      <c r="CT448" s="898"/>
      <c r="CU448" s="898"/>
    </row>
    <row r="449" ht="16.5" customHeight="1">
      <c r="A449" s="718"/>
      <c r="B449" s="1195"/>
      <c r="C449" s="866"/>
      <c r="D449" s="968"/>
      <c r="E449" s="718"/>
      <c r="F449" s="718"/>
      <c r="G449" s="718"/>
      <c r="H449" s="718"/>
      <c r="I449" s="359"/>
      <c r="J449" s="359"/>
      <c r="K449" s="359"/>
      <c r="L449" s="359"/>
      <c r="M449" s="359"/>
      <c r="N449" s="359"/>
      <c r="O449" s="359"/>
      <c r="P449" s="359"/>
      <c r="Q449" s="359"/>
      <c r="R449" s="718"/>
      <c r="S449" s="669"/>
      <c r="T449" s="669"/>
      <c r="U449" s="967"/>
      <c r="V449" s="974"/>
      <c r="W449" s="1197"/>
      <c r="X449" s="974"/>
      <c r="Y449" s="974"/>
      <c r="Z449" s="974"/>
      <c r="AA449" s="974"/>
      <c r="AB449" s="974"/>
      <c r="AC449" s="974"/>
      <c r="AD449" s="974"/>
      <c r="AE449" s="974"/>
      <c r="AF449" s="974"/>
      <c r="AG449" s="974"/>
      <c r="AH449" s="974"/>
      <c r="AI449" s="1198"/>
      <c r="AJ449" s="974"/>
      <c r="AK449" s="1197"/>
      <c r="AL449" s="974"/>
      <c r="AM449" s="974"/>
      <c r="AN449" s="974"/>
      <c r="AO449" s="974"/>
      <c r="AP449" s="974"/>
      <c r="AQ449" s="974"/>
      <c r="AR449" s="974"/>
      <c r="AS449" s="974"/>
      <c r="AT449" s="974"/>
      <c r="AU449" s="974"/>
      <c r="AV449" s="974"/>
      <c r="AW449" s="1181"/>
      <c r="AX449" s="978"/>
      <c r="AY449" s="898"/>
      <c r="AZ449" s="898"/>
      <c r="BA449" s="898"/>
      <c r="BB449" s="898"/>
      <c r="BC449" s="898"/>
      <c r="BD449" s="898"/>
      <c r="BE449" s="898"/>
      <c r="BF449" s="898"/>
      <c r="BG449" s="898"/>
      <c r="BH449" s="898"/>
      <c r="BI449" s="898"/>
      <c r="BJ449" s="898"/>
      <c r="BK449" s="898"/>
      <c r="BL449" s="898"/>
      <c r="BM449" s="898"/>
      <c r="BN449" s="898"/>
      <c r="BO449" s="898"/>
      <c r="BP449" s="898"/>
      <c r="BQ449" s="898"/>
      <c r="BR449" s="898"/>
      <c r="BS449" s="898"/>
      <c r="BT449" s="898"/>
      <c r="BU449" s="898"/>
      <c r="BV449" s="898"/>
      <c r="BW449" s="898"/>
      <c r="BX449" s="898"/>
      <c r="BY449" s="898"/>
      <c r="BZ449" s="898"/>
      <c r="CA449" s="898"/>
      <c r="CB449" s="898"/>
      <c r="CC449" s="898"/>
      <c r="CD449" s="898"/>
      <c r="CE449" s="898"/>
      <c r="CF449" s="898"/>
      <c r="CG449" s="898"/>
      <c r="CH449" s="898"/>
      <c r="CI449" s="898"/>
      <c r="CJ449" s="898"/>
      <c r="CK449" s="898"/>
      <c r="CL449" s="898"/>
      <c r="CM449" s="898"/>
      <c r="CN449" s="898"/>
      <c r="CO449" s="898"/>
      <c r="CP449" s="898"/>
      <c r="CQ449" s="898"/>
      <c r="CR449" s="898"/>
      <c r="CS449" s="898"/>
      <c r="CT449" s="898"/>
      <c r="CU449" s="898"/>
    </row>
    <row r="450" ht="16.5" customHeight="1">
      <c r="A450" s="718"/>
      <c r="B450" s="1195"/>
      <c r="C450" s="866"/>
      <c r="D450" s="968"/>
      <c r="E450" s="718"/>
      <c r="F450" s="718"/>
      <c r="G450" s="718"/>
      <c r="H450" s="718"/>
      <c r="I450" s="359"/>
      <c r="J450" s="359"/>
      <c r="K450" s="359"/>
      <c r="L450" s="359"/>
      <c r="M450" s="359"/>
      <c r="N450" s="359"/>
      <c r="O450" s="359"/>
      <c r="P450" s="359"/>
      <c r="Q450" s="359"/>
      <c r="R450" s="718"/>
      <c r="S450" s="669"/>
      <c r="T450" s="669"/>
      <c r="U450" s="967"/>
      <c r="V450" s="974"/>
      <c r="W450" s="1197"/>
      <c r="X450" s="974"/>
      <c r="Y450" s="974"/>
      <c r="Z450" s="974"/>
      <c r="AA450" s="974"/>
      <c r="AB450" s="974"/>
      <c r="AC450" s="974"/>
      <c r="AD450" s="974"/>
      <c r="AE450" s="974"/>
      <c r="AF450" s="974"/>
      <c r="AG450" s="974"/>
      <c r="AH450" s="974"/>
      <c r="AI450" s="1198"/>
      <c r="AJ450" s="974"/>
      <c r="AK450" s="1197"/>
      <c r="AL450" s="974"/>
      <c r="AM450" s="974"/>
      <c r="AN450" s="974"/>
      <c r="AO450" s="974"/>
      <c r="AP450" s="974"/>
      <c r="AQ450" s="974"/>
      <c r="AR450" s="974"/>
      <c r="AS450" s="974"/>
      <c r="AT450" s="974"/>
      <c r="AU450" s="974"/>
      <c r="AV450" s="974"/>
      <c r="AW450" s="1181"/>
      <c r="AX450" s="978"/>
      <c r="AY450" s="898"/>
      <c r="AZ450" s="898"/>
      <c r="BA450" s="898"/>
      <c r="BB450" s="898"/>
      <c r="BC450" s="898"/>
      <c r="BD450" s="898"/>
      <c r="BE450" s="898"/>
      <c r="BF450" s="898"/>
      <c r="BG450" s="898"/>
      <c r="BH450" s="898"/>
      <c r="BI450" s="898"/>
      <c r="BJ450" s="898"/>
      <c r="BK450" s="898"/>
      <c r="BL450" s="898"/>
      <c r="BM450" s="898"/>
      <c r="BN450" s="898"/>
      <c r="BO450" s="898"/>
      <c r="BP450" s="898"/>
      <c r="BQ450" s="898"/>
      <c r="BR450" s="898"/>
      <c r="BS450" s="898"/>
      <c r="BT450" s="898"/>
      <c r="BU450" s="898"/>
      <c r="BV450" s="898"/>
      <c r="BW450" s="898"/>
      <c r="BX450" s="898"/>
      <c r="BY450" s="898"/>
      <c r="BZ450" s="898"/>
      <c r="CA450" s="898"/>
      <c r="CB450" s="898"/>
      <c r="CC450" s="898"/>
      <c r="CD450" s="898"/>
      <c r="CE450" s="898"/>
      <c r="CF450" s="898"/>
      <c r="CG450" s="898"/>
      <c r="CH450" s="898"/>
      <c r="CI450" s="898"/>
      <c r="CJ450" s="898"/>
      <c r="CK450" s="898"/>
      <c r="CL450" s="898"/>
      <c r="CM450" s="898"/>
      <c r="CN450" s="898"/>
      <c r="CO450" s="898"/>
      <c r="CP450" s="898"/>
      <c r="CQ450" s="898"/>
      <c r="CR450" s="898"/>
      <c r="CS450" s="898"/>
      <c r="CT450" s="898"/>
      <c r="CU450" s="898"/>
    </row>
    <row r="451" ht="16.5" customHeight="1">
      <c r="A451" s="718"/>
      <c r="B451" s="1195"/>
      <c r="C451" s="866"/>
      <c r="D451" s="968"/>
      <c r="E451" s="718"/>
      <c r="F451" s="718"/>
      <c r="G451" s="718"/>
      <c r="H451" s="718"/>
      <c r="I451" s="359"/>
      <c r="J451" s="359"/>
      <c r="K451" s="359"/>
      <c r="L451" s="359"/>
      <c r="M451" s="359"/>
      <c r="N451" s="359"/>
      <c r="O451" s="359"/>
      <c r="P451" s="359"/>
      <c r="Q451" s="359"/>
      <c r="R451" s="718"/>
      <c r="S451" s="669"/>
      <c r="T451" s="669"/>
      <c r="U451" s="967"/>
      <c r="V451" s="974"/>
      <c r="W451" s="1197"/>
      <c r="X451" s="974"/>
      <c r="Y451" s="974"/>
      <c r="Z451" s="974"/>
      <c r="AA451" s="974"/>
      <c r="AB451" s="974"/>
      <c r="AC451" s="974"/>
      <c r="AD451" s="974"/>
      <c r="AE451" s="974"/>
      <c r="AF451" s="974"/>
      <c r="AG451" s="974"/>
      <c r="AH451" s="974"/>
      <c r="AI451" s="1198"/>
      <c r="AJ451" s="974"/>
      <c r="AK451" s="1197"/>
      <c r="AL451" s="974"/>
      <c r="AM451" s="974"/>
      <c r="AN451" s="974"/>
      <c r="AO451" s="974"/>
      <c r="AP451" s="974"/>
      <c r="AQ451" s="974"/>
      <c r="AR451" s="974"/>
      <c r="AS451" s="974"/>
      <c r="AT451" s="974"/>
      <c r="AU451" s="974"/>
      <c r="AV451" s="974"/>
      <c r="AW451" s="1181"/>
      <c r="AX451" s="978"/>
      <c r="AY451" s="898"/>
      <c r="AZ451" s="898"/>
      <c r="BA451" s="898"/>
      <c r="BB451" s="898"/>
      <c r="BC451" s="898"/>
      <c r="BD451" s="898"/>
      <c r="BE451" s="898"/>
      <c r="BF451" s="898"/>
      <c r="BG451" s="898"/>
      <c r="BH451" s="898"/>
      <c r="BI451" s="898"/>
      <c r="BJ451" s="898"/>
      <c r="BK451" s="898"/>
      <c r="BL451" s="898"/>
      <c r="BM451" s="898"/>
      <c r="BN451" s="898"/>
      <c r="BO451" s="898"/>
      <c r="BP451" s="898"/>
      <c r="BQ451" s="898"/>
      <c r="BR451" s="898"/>
      <c r="BS451" s="898"/>
      <c r="BT451" s="898"/>
      <c r="BU451" s="898"/>
      <c r="BV451" s="898"/>
      <c r="BW451" s="898"/>
      <c r="BX451" s="898"/>
      <c r="BY451" s="898"/>
      <c r="BZ451" s="898"/>
      <c r="CA451" s="898"/>
      <c r="CB451" s="898"/>
      <c r="CC451" s="898"/>
      <c r="CD451" s="898"/>
      <c r="CE451" s="898"/>
      <c r="CF451" s="898"/>
      <c r="CG451" s="898"/>
      <c r="CH451" s="898"/>
      <c r="CI451" s="898"/>
      <c r="CJ451" s="898"/>
      <c r="CK451" s="898"/>
      <c r="CL451" s="898"/>
      <c r="CM451" s="898"/>
      <c r="CN451" s="898"/>
      <c r="CO451" s="898"/>
      <c r="CP451" s="898"/>
      <c r="CQ451" s="898"/>
      <c r="CR451" s="898"/>
      <c r="CS451" s="898"/>
      <c r="CT451" s="898"/>
      <c r="CU451" s="898"/>
    </row>
    <row r="452" ht="16.5" customHeight="1">
      <c r="A452" s="718"/>
      <c r="B452" s="1195"/>
      <c r="C452" s="866"/>
      <c r="D452" s="968"/>
      <c r="E452" s="718"/>
      <c r="F452" s="718"/>
      <c r="G452" s="718"/>
      <c r="H452" s="718"/>
      <c r="I452" s="359"/>
      <c r="J452" s="359"/>
      <c r="K452" s="359"/>
      <c r="L452" s="359"/>
      <c r="M452" s="359"/>
      <c r="N452" s="359"/>
      <c r="O452" s="359"/>
      <c r="P452" s="359"/>
      <c r="Q452" s="359"/>
      <c r="R452" s="718"/>
      <c r="S452" s="669"/>
      <c r="T452" s="669"/>
      <c r="U452" s="967"/>
      <c r="V452" s="974"/>
      <c r="W452" s="1197"/>
      <c r="X452" s="974"/>
      <c r="Y452" s="974"/>
      <c r="Z452" s="974"/>
      <c r="AA452" s="974"/>
      <c r="AB452" s="974"/>
      <c r="AC452" s="974"/>
      <c r="AD452" s="974"/>
      <c r="AE452" s="974"/>
      <c r="AF452" s="974"/>
      <c r="AG452" s="974"/>
      <c r="AH452" s="974"/>
      <c r="AI452" s="1198"/>
      <c r="AJ452" s="974"/>
      <c r="AK452" s="1197"/>
      <c r="AL452" s="974"/>
      <c r="AM452" s="974"/>
      <c r="AN452" s="974"/>
      <c r="AO452" s="974"/>
      <c r="AP452" s="974"/>
      <c r="AQ452" s="974"/>
      <c r="AR452" s="974"/>
      <c r="AS452" s="974"/>
      <c r="AT452" s="974"/>
      <c r="AU452" s="974"/>
      <c r="AV452" s="974"/>
      <c r="AW452" s="1181"/>
      <c r="AX452" s="978"/>
      <c r="AY452" s="898"/>
      <c r="AZ452" s="898"/>
      <c r="BA452" s="898"/>
      <c r="BB452" s="898"/>
      <c r="BC452" s="898"/>
      <c r="BD452" s="898"/>
      <c r="BE452" s="898"/>
      <c r="BF452" s="898"/>
      <c r="BG452" s="898"/>
      <c r="BH452" s="898"/>
      <c r="BI452" s="898"/>
      <c r="BJ452" s="898"/>
      <c r="BK452" s="898"/>
      <c r="BL452" s="898"/>
      <c r="BM452" s="898"/>
      <c r="BN452" s="898"/>
      <c r="BO452" s="898"/>
      <c r="BP452" s="898"/>
      <c r="BQ452" s="898"/>
      <c r="BR452" s="898"/>
      <c r="BS452" s="898"/>
      <c r="BT452" s="898"/>
      <c r="BU452" s="898"/>
      <c r="BV452" s="898"/>
      <c r="BW452" s="898"/>
      <c r="BX452" s="898"/>
      <c r="BY452" s="898"/>
      <c r="BZ452" s="898"/>
      <c r="CA452" s="898"/>
      <c r="CB452" s="898"/>
      <c r="CC452" s="898"/>
      <c r="CD452" s="898"/>
      <c r="CE452" s="898"/>
      <c r="CF452" s="898"/>
      <c r="CG452" s="898"/>
      <c r="CH452" s="898"/>
      <c r="CI452" s="898"/>
      <c r="CJ452" s="898"/>
      <c r="CK452" s="898"/>
      <c r="CL452" s="898"/>
      <c r="CM452" s="898"/>
      <c r="CN452" s="898"/>
      <c r="CO452" s="898"/>
      <c r="CP452" s="898"/>
      <c r="CQ452" s="898"/>
      <c r="CR452" s="898"/>
      <c r="CS452" s="898"/>
      <c r="CT452" s="898"/>
      <c r="CU452" s="898"/>
    </row>
    <row r="453" ht="16.5" customHeight="1">
      <c r="A453" s="718"/>
      <c r="B453" s="1195"/>
      <c r="C453" s="866"/>
      <c r="D453" s="968"/>
      <c r="E453" s="718"/>
      <c r="F453" s="718"/>
      <c r="G453" s="718"/>
      <c r="H453" s="718"/>
      <c r="I453" s="359"/>
      <c r="J453" s="359"/>
      <c r="K453" s="359"/>
      <c r="L453" s="359"/>
      <c r="M453" s="359"/>
      <c r="N453" s="359"/>
      <c r="O453" s="359"/>
      <c r="P453" s="359"/>
      <c r="Q453" s="359"/>
      <c r="R453" s="718"/>
      <c r="S453" s="669"/>
      <c r="T453" s="669"/>
      <c r="U453" s="967"/>
      <c r="V453" s="974"/>
      <c r="W453" s="1197"/>
      <c r="X453" s="974"/>
      <c r="Y453" s="974"/>
      <c r="Z453" s="974"/>
      <c r="AA453" s="974"/>
      <c r="AB453" s="974"/>
      <c r="AC453" s="974"/>
      <c r="AD453" s="974"/>
      <c r="AE453" s="974"/>
      <c r="AF453" s="974"/>
      <c r="AG453" s="974"/>
      <c r="AH453" s="974"/>
      <c r="AI453" s="1198"/>
      <c r="AJ453" s="974"/>
      <c r="AK453" s="1197"/>
      <c r="AL453" s="974"/>
      <c r="AM453" s="974"/>
      <c r="AN453" s="974"/>
      <c r="AO453" s="974"/>
      <c r="AP453" s="974"/>
      <c r="AQ453" s="974"/>
      <c r="AR453" s="974"/>
      <c r="AS453" s="974"/>
      <c r="AT453" s="974"/>
      <c r="AU453" s="974"/>
      <c r="AV453" s="974"/>
      <c r="AW453" s="1181"/>
      <c r="AX453" s="978"/>
      <c r="AY453" s="898"/>
      <c r="AZ453" s="898"/>
      <c r="BA453" s="898"/>
      <c r="BB453" s="898"/>
      <c r="BC453" s="898"/>
      <c r="BD453" s="898"/>
      <c r="BE453" s="898"/>
      <c r="BF453" s="898"/>
      <c r="BG453" s="898"/>
      <c r="BH453" s="898"/>
      <c r="BI453" s="898"/>
      <c r="BJ453" s="898"/>
      <c r="BK453" s="898"/>
      <c r="BL453" s="898"/>
      <c r="BM453" s="898"/>
      <c r="BN453" s="898"/>
      <c r="BO453" s="898"/>
      <c r="BP453" s="898"/>
      <c r="BQ453" s="898"/>
      <c r="BR453" s="898"/>
      <c r="BS453" s="898"/>
      <c r="BT453" s="898"/>
      <c r="BU453" s="898"/>
      <c r="BV453" s="898"/>
      <c r="BW453" s="898"/>
      <c r="BX453" s="898"/>
      <c r="BY453" s="898"/>
      <c r="BZ453" s="898"/>
      <c r="CA453" s="898"/>
      <c r="CB453" s="898"/>
      <c r="CC453" s="898"/>
      <c r="CD453" s="898"/>
      <c r="CE453" s="898"/>
      <c r="CF453" s="898"/>
      <c r="CG453" s="898"/>
      <c r="CH453" s="898"/>
      <c r="CI453" s="898"/>
      <c r="CJ453" s="898"/>
      <c r="CK453" s="898"/>
      <c r="CL453" s="898"/>
      <c r="CM453" s="898"/>
      <c r="CN453" s="898"/>
      <c r="CO453" s="898"/>
      <c r="CP453" s="898"/>
      <c r="CQ453" s="898"/>
      <c r="CR453" s="898"/>
      <c r="CS453" s="898"/>
      <c r="CT453" s="898"/>
      <c r="CU453" s="898"/>
    </row>
    <row r="454" ht="16.5" customHeight="1">
      <c r="A454" s="718"/>
      <c r="B454" s="1195"/>
      <c r="C454" s="866"/>
      <c r="D454" s="968"/>
      <c r="E454" s="718"/>
      <c r="F454" s="718"/>
      <c r="G454" s="718"/>
      <c r="H454" s="718"/>
      <c r="I454" s="359"/>
      <c r="J454" s="359"/>
      <c r="K454" s="359"/>
      <c r="L454" s="359"/>
      <c r="M454" s="359"/>
      <c r="N454" s="359"/>
      <c r="O454" s="359"/>
      <c r="P454" s="359"/>
      <c r="Q454" s="359"/>
      <c r="R454" s="718"/>
      <c r="S454" s="669"/>
      <c r="T454" s="669"/>
      <c r="U454" s="967"/>
      <c r="V454" s="974"/>
      <c r="W454" s="1197"/>
      <c r="X454" s="974"/>
      <c r="Y454" s="974"/>
      <c r="Z454" s="974"/>
      <c r="AA454" s="974"/>
      <c r="AB454" s="974"/>
      <c r="AC454" s="974"/>
      <c r="AD454" s="974"/>
      <c r="AE454" s="974"/>
      <c r="AF454" s="974"/>
      <c r="AG454" s="974"/>
      <c r="AH454" s="974"/>
      <c r="AI454" s="1198"/>
      <c r="AJ454" s="974"/>
      <c r="AK454" s="1197"/>
      <c r="AL454" s="974"/>
      <c r="AM454" s="974"/>
      <c r="AN454" s="974"/>
      <c r="AO454" s="974"/>
      <c r="AP454" s="974"/>
      <c r="AQ454" s="974"/>
      <c r="AR454" s="974"/>
      <c r="AS454" s="974"/>
      <c r="AT454" s="974"/>
      <c r="AU454" s="974"/>
      <c r="AV454" s="974"/>
      <c r="AW454" s="1181"/>
      <c r="AX454" s="978"/>
      <c r="AY454" s="898"/>
      <c r="AZ454" s="898"/>
      <c r="BA454" s="898"/>
      <c r="BB454" s="898"/>
      <c r="BC454" s="898"/>
      <c r="BD454" s="898"/>
      <c r="BE454" s="898"/>
      <c r="BF454" s="898"/>
      <c r="BG454" s="898"/>
      <c r="BH454" s="898"/>
      <c r="BI454" s="898"/>
      <c r="BJ454" s="898"/>
      <c r="BK454" s="898"/>
      <c r="BL454" s="898"/>
      <c r="BM454" s="898"/>
      <c r="BN454" s="898"/>
      <c r="BO454" s="898"/>
      <c r="BP454" s="898"/>
      <c r="BQ454" s="898"/>
      <c r="BR454" s="898"/>
      <c r="BS454" s="898"/>
      <c r="BT454" s="898"/>
      <c r="BU454" s="898"/>
      <c r="BV454" s="898"/>
      <c r="BW454" s="898"/>
      <c r="BX454" s="898"/>
      <c r="BY454" s="898"/>
      <c r="BZ454" s="898"/>
      <c r="CA454" s="898"/>
      <c r="CB454" s="898"/>
      <c r="CC454" s="898"/>
      <c r="CD454" s="898"/>
      <c r="CE454" s="898"/>
      <c r="CF454" s="898"/>
      <c r="CG454" s="898"/>
      <c r="CH454" s="898"/>
      <c r="CI454" s="898"/>
      <c r="CJ454" s="898"/>
      <c r="CK454" s="898"/>
      <c r="CL454" s="898"/>
      <c r="CM454" s="898"/>
      <c r="CN454" s="898"/>
      <c r="CO454" s="898"/>
      <c r="CP454" s="898"/>
      <c r="CQ454" s="898"/>
      <c r="CR454" s="898"/>
      <c r="CS454" s="898"/>
      <c r="CT454" s="898"/>
      <c r="CU454" s="898"/>
    </row>
    <row r="455" ht="16.5" customHeight="1">
      <c r="A455" s="718"/>
      <c r="B455" s="1195"/>
      <c r="C455" s="866"/>
      <c r="D455" s="968"/>
      <c r="E455" s="718"/>
      <c r="F455" s="718"/>
      <c r="G455" s="718"/>
      <c r="H455" s="718"/>
      <c r="I455" s="359"/>
      <c r="J455" s="359"/>
      <c r="K455" s="359"/>
      <c r="L455" s="359"/>
      <c r="M455" s="359"/>
      <c r="N455" s="359"/>
      <c r="O455" s="359"/>
      <c r="P455" s="359"/>
      <c r="Q455" s="359"/>
      <c r="R455" s="718"/>
      <c r="S455" s="669"/>
      <c r="T455" s="669"/>
      <c r="U455" s="967"/>
      <c r="V455" s="974"/>
      <c r="W455" s="1197"/>
      <c r="X455" s="974"/>
      <c r="Y455" s="974"/>
      <c r="Z455" s="974"/>
      <c r="AA455" s="974"/>
      <c r="AB455" s="974"/>
      <c r="AC455" s="974"/>
      <c r="AD455" s="974"/>
      <c r="AE455" s="974"/>
      <c r="AF455" s="974"/>
      <c r="AG455" s="974"/>
      <c r="AH455" s="974"/>
      <c r="AI455" s="1198"/>
      <c r="AJ455" s="974"/>
      <c r="AK455" s="1197"/>
      <c r="AL455" s="974"/>
      <c r="AM455" s="974"/>
      <c r="AN455" s="974"/>
      <c r="AO455" s="974"/>
      <c r="AP455" s="974"/>
      <c r="AQ455" s="974"/>
      <c r="AR455" s="974"/>
      <c r="AS455" s="974"/>
      <c r="AT455" s="974"/>
      <c r="AU455" s="974"/>
      <c r="AV455" s="974"/>
      <c r="AW455" s="1181"/>
      <c r="AX455" s="978"/>
      <c r="AY455" s="898"/>
      <c r="AZ455" s="898"/>
      <c r="BA455" s="898"/>
      <c r="BB455" s="898"/>
      <c r="BC455" s="898"/>
      <c r="BD455" s="898"/>
      <c r="BE455" s="898"/>
      <c r="BF455" s="898"/>
      <c r="BG455" s="898"/>
      <c r="BH455" s="898"/>
      <c r="BI455" s="898"/>
      <c r="BJ455" s="898"/>
      <c r="BK455" s="898"/>
      <c r="BL455" s="898"/>
      <c r="BM455" s="898"/>
      <c r="BN455" s="898"/>
      <c r="BO455" s="898"/>
      <c r="BP455" s="898"/>
      <c r="BQ455" s="898"/>
      <c r="BR455" s="898"/>
      <c r="BS455" s="898"/>
      <c r="BT455" s="898"/>
      <c r="BU455" s="898"/>
      <c r="BV455" s="898"/>
      <c r="BW455" s="898"/>
      <c r="BX455" s="898"/>
      <c r="BY455" s="898"/>
      <c r="BZ455" s="898"/>
      <c r="CA455" s="898"/>
      <c r="CB455" s="898"/>
      <c r="CC455" s="898"/>
      <c r="CD455" s="898"/>
      <c r="CE455" s="898"/>
      <c r="CF455" s="898"/>
      <c r="CG455" s="898"/>
      <c r="CH455" s="898"/>
      <c r="CI455" s="898"/>
      <c r="CJ455" s="898"/>
      <c r="CK455" s="898"/>
      <c r="CL455" s="898"/>
      <c r="CM455" s="898"/>
      <c r="CN455" s="898"/>
      <c r="CO455" s="898"/>
      <c r="CP455" s="898"/>
      <c r="CQ455" s="898"/>
      <c r="CR455" s="898"/>
      <c r="CS455" s="898"/>
      <c r="CT455" s="898"/>
      <c r="CU455" s="898"/>
    </row>
    <row r="456" ht="16.5" customHeight="1">
      <c r="A456" s="718"/>
      <c r="B456" s="1195"/>
      <c r="C456" s="866"/>
      <c r="D456" s="968"/>
      <c r="E456" s="718"/>
      <c r="F456" s="718"/>
      <c r="G456" s="718"/>
      <c r="H456" s="718"/>
      <c r="I456" s="359"/>
      <c r="J456" s="359"/>
      <c r="K456" s="359"/>
      <c r="L456" s="359"/>
      <c r="M456" s="359"/>
      <c r="N456" s="359"/>
      <c r="O456" s="359"/>
      <c r="P456" s="359"/>
      <c r="Q456" s="359"/>
      <c r="R456" s="718"/>
      <c r="S456" s="669"/>
      <c r="T456" s="669"/>
      <c r="U456" s="967"/>
      <c r="V456" s="974"/>
      <c r="W456" s="1197"/>
      <c r="X456" s="974"/>
      <c r="Y456" s="974"/>
      <c r="Z456" s="974"/>
      <c r="AA456" s="974"/>
      <c r="AB456" s="974"/>
      <c r="AC456" s="974"/>
      <c r="AD456" s="974"/>
      <c r="AE456" s="974"/>
      <c r="AF456" s="974"/>
      <c r="AG456" s="974"/>
      <c r="AH456" s="974"/>
      <c r="AI456" s="1198"/>
      <c r="AJ456" s="974"/>
      <c r="AK456" s="1197"/>
      <c r="AL456" s="974"/>
      <c r="AM456" s="974"/>
      <c r="AN456" s="974"/>
      <c r="AO456" s="974"/>
      <c r="AP456" s="974"/>
      <c r="AQ456" s="974"/>
      <c r="AR456" s="974"/>
      <c r="AS456" s="974"/>
      <c r="AT456" s="974"/>
      <c r="AU456" s="974"/>
      <c r="AV456" s="974"/>
      <c r="AW456" s="1181"/>
      <c r="AX456" s="978"/>
      <c r="AY456" s="898"/>
      <c r="AZ456" s="898"/>
      <c r="BA456" s="898"/>
      <c r="BB456" s="898"/>
      <c r="BC456" s="898"/>
      <c r="BD456" s="898"/>
      <c r="BE456" s="898"/>
      <c r="BF456" s="898"/>
      <c r="BG456" s="898"/>
      <c r="BH456" s="898"/>
      <c r="BI456" s="898"/>
      <c r="BJ456" s="898"/>
      <c r="BK456" s="898"/>
      <c r="BL456" s="898"/>
      <c r="BM456" s="898"/>
      <c r="BN456" s="898"/>
      <c r="BO456" s="898"/>
      <c r="BP456" s="898"/>
      <c r="BQ456" s="898"/>
      <c r="BR456" s="898"/>
      <c r="BS456" s="898"/>
      <c r="BT456" s="898"/>
      <c r="BU456" s="898"/>
      <c r="BV456" s="898"/>
      <c r="BW456" s="898"/>
      <c r="BX456" s="898"/>
      <c r="BY456" s="898"/>
      <c r="BZ456" s="898"/>
      <c r="CA456" s="898"/>
      <c r="CB456" s="898"/>
      <c r="CC456" s="898"/>
      <c r="CD456" s="898"/>
      <c r="CE456" s="898"/>
      <c r="CF456" s="898"/>
      <c r="CG456" s="898"/>
      <c r="CH456" s="898"/>
      <c r="CI456" s="898"/>
      <c r="CJ456" s="898"/>
      <c r="CK456" s="898"/>
      <c r="CL456" s="898"/>
      <c r="CM456" s="898"/>
      <c r="CN456" s="898"/>
      <c r="CO456" s="898"/>
      <c r="CP456" s="898"/>
      <c r="CQ456" s="898"/>
      <c r="CR456" s="898"/>
      <c r="CS456" s="898"/>
      <c r="CT456" s="898"/>
      <c r="CU456" s="898"/>
    </row>
    <row r="457" ht="16.5" customHeight="1">
      <c r="A457" s="718"/>
      <c r="B457" s="1195"/>
      <c r="C457" s="866"/>
      <c r="D457" s="968"/>
      <c r="E457" s="718"/>
      <c r="F457" s="718"/>
      <c r="G457" s="718"/>
      <c r="H457" s="718"/>
      <c r="I457" s="359"/>
      <c r="J457" s="359"/>
      <c r="K457" s="359"/>
      <c r="L457" s="359"/>
      <c r="M457" s="359"/>
      <c r="N457" s="359"/>
      <c r="O457" s="359"/>
      <c r="P457" s="359"/>
      <c r="Q457" s="359"/>
      <c r="R457" s="718"/>
      <c r="S457" s="669"/>
      <c r="T457" s="669"/>
      <c r="U457" s="967"/>
      <c r="V457" s="974"/>
      <c r="W457" s="1197"/>
      <c r="X457" s="974"/>
      <c r="Y457" s="974"/>
      <c r="Z457" s="974"/>
      <c r="AA457" s="974"/>
      <c r="AB457" s="974"/>
      <c r="AC457" s="974"/>
      <c r="AD457" s="974"/>
      <c r="AE457" s="974"/>
      <c r="AF457" s="974"/>
      <c r="AG457" s="974"/>
      <c r="AH457" s="974"/>
      <c r="AI457" s="1198"/>
      <c r="AJ457" s="974"/>
      <c r="AK457" s="1197"/>
      <c r="AL457" s="974"/>
      <c r="AM457" s="974"/>
      <c r="AN457" s="974"/>
      <c r="AO457" s="974"/>
      <c r="AP457" s="974"/>
      <c r="AQ457" s="974"/>
      <c r="AR457" s="974"/>
      <c r="AS457" s="974"/>
      <c r="AT457" s="974"/>
      <c r="AU457" s="974"/>
      <c r="AV457" s="974"/>
      <c r="AW457" s="1181"/>
      <c r="AX457" s="978"/>
      <c r="AY457" s="898"/>
      <c r="AZ457" s="898"/>
      <c r="BA457" s="898"/>
      <c r="BB457" s="898"/>
      <c r="BC457" s="898"/>
      <c r="BD457" s="898"/>
      <c r="BE457" s="898"/>
      <c r="BF457" s="898"/>
      <c r="BG457" s="898"/>
      <c r="BH457" s="898"/>
      <c r="BI457" s="898"/>
      <c r="BJ457" s="898"/>
      <c r="BK457" s="898"/>
      <c r="BL457" s="898"/>
      <c r="BM457" s="898"/>
      <c r="BN457" s="898"/>
      <c r="BO457" s="898"/>
      <c r="BP457" s="898"/>
      <c r="BQ457" s="898"/>
      <c r="BR457" s="898"/>
      <c r="BS457" s="898"/>
      <c r="BT457" s="898"/>
      <c r="BU457" s="898"/>
      <c r="BV457" s="898"/>
      <c r="BW457" s="898"/>
      <c r="BX457" s="898"/>
      <c r="BY457" s="898"/>
      <c r="BZ457" s="898"/>
      <c r="CA457" s="898"/>
      <c r="CB457" s="898"/>
      <c r="CC457" s="898"/>
      <c r="CD457" s="898"/>
      <c r="CE457" s="898"/>
      <c r="CF457" s="898"/>
      <c r="CG457" s="898"/>
      <c r="CH457" s="898"/>
      <c r="CI457" s="898"/>
      <c r="CJ457" s="898"/>
      <c r="CK457" s="898"/>
      <c r="CL457" s="898"/>
      <c r="CM457" s="898"/>
      <c r="CN457" s="898"/>
      <c r="CO457" s="898"/>
      <c r="CP457" s="898"/>
      <c r="CQ457" s="898"/>
      <c r="CR457" s="898"/>
      <c r="CS457" s="898"/>
      <c r="CT457" s="898"/>
      <c r="CU457" s="898"/>
    </row>
    <row r="458" ht="16.5" customHeight="1">
      <c r="A458" s="718"/>
      <c r="B458" s="1195"/>
      <c r="C458" s="866"/>
      <c r="D458" s="968"/>
      <c r="E458" s="718"/>
      <c r="F458" s="718"/>
      <c r="G458" s="718"/>
      <c r="H458" s="718"/>
      <c r="I458" s="359"/>
      <c r="J458" s="359"/>
      <c r="K458" s="359"/>
      <c r="L458" s="359"/>
      <c r="M458" s="359"/>
      <c r="N458" s="359"/>
      <c r="O458" s="359"/>
      <c r="P458" s="359"/>
      <c r="Q458" s="359"/>
      <c r="R458" s="718"/>
      <c r="S458" s="669"/>
      <c r="T458" s="669"/>
      <c r="U458" s="967"/>
      <c r="V458" s="974"/>
      <c r="W458" s="1197"/>
      <c r="X458" s="974"/>
      <c r="Y458" s="974"/>
      <c r="Z458" s="974"/>
      <c r="AA458" s="974"/>
      <c r="AB458" s="974"/>
      <c r="AC458" s="974"/>
      <c r="AD458" s="974"/>
      <c r="AE458" s="974"/>
      <c r="AF458" s="974"/>
      <c r="AG458" s="974"/>
      <c r="AH458" s="974"/>
      <c r="AI458" s="1198"/>
      <c r="AJ458" s="974"/>
      <c r="AK458" s="1197"/>
      <c r="AL458" s="974"/>
      <c r="AM458" s="974"/>
      <c r="AN458" s="974"/>
      <c r="AO458" s="974"/>
      <c r="AP458" s="974"/>
      <c r="AQ458" s="974"/>
      <c r="AR458" s="974"/>
      <c r="AS458" s="974"/>
      <c r="AT458" s="974"/>
      <c r="AU458" s="974"/>
      <c r="AV458" s="974"/>
      <c r="AW458" s="1181"/>
      <c r="AX458" s="978"/>
      <c r="AY458" s="898"/>
      <c r="AZ458" s="898"/>
      <c r="BA458" s="898"/>
      <c r="BB458" s="898"/>
      <c r="BC458" s="898"/>
      <c r="BD458" s="898"/>
      <c r="BE458" s="898"/>
      <c r="BF458" s="898"/>
      <c r="BG458" s="898"/>
      <c r="BH458" s="898"/>
      <c r="BI458" s="898"/>
      <c r="BJ458" s="898"/>
      <c r="BK458" s="898"/>
      <c r="BL458" s="898"/>
      <c r="BM458" s="898"/>
      <c r="BN458" s="898"/>
      <c r="BO458" s="898"/>
      <c r="BP458" s="898"/>
      <c r="BQ458" s="898"/>
      <c r="BR458" s="898"/>
      <c r="BS458" s="898"/>
      <c r="BT458" s="898"/>
      <c r="BU458" s="898"/>
      <c r="BV458" s="898"/>
      <c r="BW458" s="898"/>
      <c r="BX458" s="898"/>
      <c r="BY458" s="898"/>
      <c r="BZ458" s="898"/>
      <c r="CA458" s="898"/>
      <c r="CB458" s="898"/>
      <c r="CC458" s="898"/>
      <c r="CD458" s="898"/>
      <c r="CE458" s="898"/>
      <c r="CF458" s="898"/>
      <c r="CG458" s="898"/>
      <c r="CH458" s="898"/>
      <c r="CI458" s="898"/>
      <c r="CJ458" s="898"/>
      <c r="CK458" s="898"/>
      <c r="CL458" s="898"/>
      <c r="CM458" s="898"/>
      <c r="CN458" s="898"/>
      <c r="CO458" s="898"/>
      <c r="CP458" s="898"/>
      <c r="CQ458" s="898"/>
      <c r="CR458" s="898"/>
      <c r="CS458" s="898"/>
      <c r="CT458" s="898"/>
      <c r="CU458" s="898"/>
    </row>
    <row r="459" ht="16.5" customHeight="1">
      <c r="A459" s="718"/>
      <c r="B459" s="1195"/>
      <c r="C459" s="866"/>
      <c r="D459" s="968"/>
      <c r="E459" s="718"/>
      <c r="F459" s="718"/>
      <c r="G459" s="718"/>
      <c r="H459" s="718"/>
      <c r="I459" s="359"/>
      <c r="J459" s="359"/>
      <c r="K459" s="359"/>
      <c r="L459" s="359"/>
      <c r="M459" s="359"/>
      <c r="N459" s="359"/>
      <c r="O459" s="359"/>
      <c r="P459" s="359"/>
      <c r="Q459" s="359"/>
      <c r="R459" s="718"/>
      <c r="S459" s="669"/>
      <c r="T459" s="669"/>
      <c r="U459" s="967"/>
      <c r="V459" s="974"/>
      <c r="W459" s="1197"/>
      <c r="X459" s="974"/>
      <c r="Y459" s="974"/>
      <c r="Z459" s="974"/>
      <c r="AA459" s="974"/>
      <c r="AB459" s="974"/>
      <c r="AC459" s="974"/>
      <c r="AD459" s="974"/>
      <c r="AE459" s="974"/>
      <c r="AF459" s="974"/>
      <c r="AG459" s="974"/>
      <c r="AH459" s="974"/>
      <c r="AI459" s="1198"/>
      <c r="AJ459" s="974"/>
      <c r="AK459" s="1197"/>
      <c r="AL459" s="974"/>
      <c r="AM459" s="974"/>
      <c r="AN459" s="974"/>
      <c r="AO459" s="974"/>
      <c r="AP459" s="974"/>
      <c r="AQ459" s="974"/>
      <c r="AR459" s="974"/>
      <c r="AS459" s="974"/>
      <c r="AT459" s="974"/>
      <c r="AU459" s="974"/>
      <c r="AV459" s="974"/>
      <c r="AW459" s="1181"/>
      <c r="AX459" s="978"/>
      <c r="AY459" s="898"/>
      <c r="AZ459" s="898"/>
      <c r="BA459" s="898"/>
      <c r="BB459" s="898"/>
      <c r="BC459" s="898"/>
      <c r="BD459" s="898"/>
      <c r="BE459" s="898"/>
      <c r="BF459" s="898"/>
      <c r="BG459" s="898"/>
      <c r="BH459" s="898"/>
      <c r="BI459" s="898"/>
      <c r="BJ459" s="898"/>
      <c r="BK459" s="898"/>
      <c r="BL459" s="898"/>
      <c r="BM459" s="898"/>
      <c r="BN459" s="898"/>
      <c r="BO459" s="898"/>
      <c r="BP459" s="898"/>
      <c r="BQ459" s="898"/>
      <c r="BR459" s="898"/>
      <c r="BS459" s="898"/>
      <c r="BT459" s="898"/>
      <c r="BU459" s="898"/>
      <c r="BV459" s="898"/>
      <c r="BW459" s="898"/>
      <c r="BX459" s="898"/>
      <c r="BY459" s="898"/>
      <c r="BZ459" s="898"/>
      <c r="CA459" s="898"/>
      <c r="CB459" s="898"/>
      <c r="CC459" s="898"/>
      <c r="CD459" s="898"/>
      <c r="CE459" s="898"/>
      <c r="CF459" s="898"/>
      <c r="CG459" s="898"/>
      <c r="CH459" s="898"/>
      <c r="CI459" s="898"/>
      <c r="CJ459" s="898"/>
      <c r="CK459" s="898"/>
      <c r="CL459" s="898"/>
      <c r="CM459" s="898"/>
      <c r="CN459" s="898"/>
      <c r="CO459" s="898"/>
      <c r="CP459" s="898"/>
      <c r="CQ459" s="898"/>
      <c r="CR459" s="898"/>
      <c r="CS459" s="898"/>
      <c r="CT459" s="898"/>
      <c r="CU459" s="898"/>
    </row>
    <row r="460" ht="16.5" customHeight="1">
      <c r="A460" s="718"/>
      <c r="B460" s="1195"/>
      <c r="C460" s="866"/>
      <c r="D460" s="968"/>
      <c r="E460" s="718"/>
      <c r="F460" s="718"/>
      <c r="G460" s="718"/>
      <c r="H460" s="718"/>
      <c r="I460" s="359"/>
      <c r="J460" s="359"/>
      <c r="K460" s="359"/>
      <c r="L460" s="359"/>
      <c r="M460" s="359"/>
      <c r="N460" s="359"/>
      <c r="O460" s="359"/>
      <c r="P460" s="359"/>
      <c r="Q460" s="359"/>
      <c r="R460" s="718"/>
      <c r="S460" s="669"/>
      <c r="T460" s="669"/>
      <c r="U460" s="967"/>
      <c r="V460" s="974"/>
      <c r="W460" s="1197"/>
      <c r="X460" s="974"/>
      <c r="Y460" s="974"/>
      <c r="Z460" s="974"/>
      <c r="AA460" s="974"/>
      <c r="AB460" s="974"/>
      <c r="AC460" s="974"/>
      <c r="AD460" s="974"/>
      <c r="AE460" s="974"/>
      <c r="AF460" s="974"/>
      <c r="AG460" s="974"/>
      <c r="AH460" s="974"/>
      <c r="AI460" s="1198"/>
      <c r="AJ460" s="974"/>
      <c r="AK460" s="1197"/>
      <c r="AL460" s="974"/>
      <c r="AM460" s="974"/>
      <c r="AN460" s="974"/>
      <c r="AO460" s="974"/>
      <c r="AP460" s="974"/>
      <c r="AQ460" s="974"/>
      <c r="AR460" s="974"/>
      <c r="AS460" s="974"/>
      <c r="AT460" s="974"/>
      <c r="AU460" s="974"/>
      <c r="AV460" s="974"/>
      <c r="AW460" s="1181"/>
      <c r="AX460" s="978"/>
      <c r="AY460" s="898"/>
      <c r="AZ460" s="898"/>
      <c r="BA460" s="898"/>
      <c r="BB460" s="898"/>
      <c r="BC460" s="898"/>
      <c r="BD460" s="898"/>
      <c r="BE460" s="898"/>
      <c r="BF460" s="898"/>
      <c r="BG460" s="898"/>
      <c r="BH460" s="898"/>
      <c r="BI460" s="898"/>
      <c r="BJ460" s="898"/>
      <c r="BK460" s="898"/>
      <c r="BL460" s="898"/>
      <c r="BM460" s="898"/>
      <c r="BN460" s="898"/>
      <c r="BO460" s="898"/>
      <c r="BP460" s="898"/>
      <c r="BQ460" s="898"/>
      <c r="BR460" s="898"/>
      <c r="BS460" s="898"/>
      <c r="BT460" s="898"/>
      <c r="BU460" s="898"/>
      <c r="BV460" s="898"/>
      <c r="BW460" s="898"/>
      <c r="BX460" s="898"/>
      <c r="BY460" s="898"/>
      <c r="BZ460" s="898"/>
      <c r="CA460" s="898"/>
      <c r="CB460" s="898"/>
      <c r="CC460" s="898"/>
      <c r="CD460" s="898"/>
      <c r="CE460" s="898"/>
      <c r="CF460" s="898"/>
      <c r="CG460" s="898"/>
      <c r="CH460" s="898"/>
      <c r="CI460" s="898"/>
      <c r="CJ460" s="898"/>
      <c r="CK460" s="898"/>
      <c r="CL460" s="898"/>
      <c r="CM460" s="898"/>
      <c r="CN460" s="898"/>
      <c r="CO460" s="898"/>
      <c r="CP460" s="898"/>
      <c r="CQ460" s="898"/>
      <c r="CR460" s="898"/>
      <c r="CS460" s="898"/>
      <c r="CT460" s="898"/>
      <c r="CU460" s="898"/>
    </row>
    <row r="461" ht="16.5" customHeight="1">
      <c r="A461" s="718"/>
      <c r="B461" s="1195"/>
      <c r="C461" s="866"/>
      <c r="D461" s="968"/>
      <c r="E461" s="718"/>
      <c r="F461" s="718"/>
      <c r="G461" s="718"/>
      <c r="H461" s="718"/>
      <c r="I461" s="359"/>
      <c r="J461" s="359"/>
      <c r="K461" s="359"/>
      <c r="L461" s="359"/>
      <c r="M461" s="359"/>
      <c r="N461" s="359"/>
      <c r="O461" s="359"/>
      <c r="P461" s="359"/>
      <c r="Q461" s="359"/>
      <c r="R461" s="718"/>
      <c r="S461" s="669"/>
      <c r="T461" s="669"/>
      <c r="U461" s="967"/>
      <c r="V461" s="974"/>
      <c r="W461" s="1197"/>
      <c r="X461" s="974"/>
      <c r="Y461" s="974"/>
      <c r="Z461" s="974"/>
      <c r="AA461" s="974"/>
      <c r="AB461" s="974"/>
      <c r="AC461" s="974"/>
      <c r="AD461" s="974"/>
      <c r="AE461" s="974"/>
      <c r="AF461" s="974"/>
      <c r="AG461" s="974"/>
      <c r="AH461" s="974"/>
      <c r="AI461" s="1198"/>
      <c r="AJ461" s="974"/>
      <c r="AK461" s="1197"/>
      <c r="AL461" s="974"/>
      <c r="AM461" s="974"/>
      <c r="AN461" s="974"/>
      <c r="AO461" s="974"/>
      <c r="AP461" s="974"/>
      <c r="AQ461" s="974"/>
      <c r="AR461" s="974"/>
      <c r="AS461" s="974"/>
      <c r="AT461" s="974"/>
      <c r="AU461" s="974"/>
      <c r="AV461" s="974"/>
      <c r="AW461" s="1181"/>
      <c r="AX461" s="978"/>
      <c r="AY461" s="898"/>
      <c r="AZ461" s="898"/>
      <c r="BA461" s="898"/>
      <c r="BB461" s="898"/>
      <c r="BC461" s="898"/>
      <c r="BD461" s="898"/>
      <c r="BE461" s="898"/>
      <c r="BF461" s="898"/>
      <c r="BG461" s="898"/>
      <c r="BH461" s="898"/>
      <c r="BI461" s="898"/>
      <c r="BJ461" s="898"/>
      <c r="BK461" s="898"/>
      <c r="BL461" s="898"/>
      <c r="BM461" s="898"/>
      <c r="BN461" s="898"/>
      <c r="BO461" s="898"/>
      <c r="BP461" s="898"/>
      <c r="BQ461" s="898"/>
      <c r="BR461" s="898"/>
      <c r="BS461" s="898"/>
      <c r="BT461" s="898"/>
      <c r="BU461" s="898"/>
      <c r="BV461" s="898"/>
      <c r="BW461" s="898"/>
      <c r="BX461" s="898"/>
      <c r="BY461" s="898"/>
      <c r="BZ461" s="898"/>
      <c r="CA461" s="898"/>
      <c r="CB461" s="898"/>
      <c r="CC461" s="898"/>
      <c r="CD461" s="898"/>
      <c r="CE461" s="898"/>
      <c r="CF461" s="898"/>
      <c r="CG461" s="898"/>
      <c r="CH461" s="898"/>
      <c r="CI461" s="898"/>
      <c r="CJ461" s="898"/>
      <c r="CK461" s="898"/>
      <c r="CL461" s="898"/>
      <c r="CM461" s="898"/>
      <c r="CN461" s="898"/>
      <c r="CO461" s="898"/>
      <c r="CP461" s="898"/>
      <c r="CQ461" s="898"/>
      <c r="CR461" s="898"/>
      <c r="CS461" s="898"/>
      <c r="CT461" s="898"/>
      <c r="CU461" s="898"/>
    </row>
    <row r="462" ht="16.5" customHeight="1">
      <c r="A462" s="718"/>
      <c r="B462" s="1195"/>
      <c r="C462" s="866"/>
      <c r="D462" s="968"/>
      <c r="E462" s="718"/>
      <c r="F462" s="718"/>
      <c r="G462" s="718"/>
      <c r="H462" s="718"/>
      <c r="I462" s="359"/>
      <c r="J462" s="359"/>
      <c r="K462" s="359"/>
      <c r="L462" s="359"/>
      <c r="M462" s="359"/>
      <c r="N462" s="359"/>
      <c r="O462" s="359"/>
      <c r="P462" s="359"/>
      <c r="Q462" s="359"/>
      <c r="R462" s="718"/>
      <c r="S462" s="669"/>
      <c r="T462" s="669"/>
      <c r="U462" s="967"/>
      <c r="V462" s="974"/>
      <c r="W462" s="1197"/>
      <c r="X462" s="974"/>
      <c r="Y462" s="974"/>
      <c r="Z462" s="974"/>
      <c r="AA462" s="974"/>
      <c r="AB462" s="974"/>
      <c r="AC462" s="974"/>
      <c r="AD462" s="974"/>
      <c r="AE462" s="974"/>
      <c r="AF462" s="974"/>
      <c r="AG462" s="974"/>
      <c r="AH462" s="974"/>
      <c r="AI462" s="1198"/>
      <c r="AJ462" s="974"/>
      <c r="AK462" s="1197"/>
      <c r="AL462" s="974"/>
      <c r="AM462" s="974"/>
      <c r="AN462" s="974"/>
      <c r="AO462" s="974"/>
      <c r="AP462" s="974"/>
      <c r="AQ462" s="974"/>
      <c r="AR462" s="974"/>
      <c r="AS462" s="974"/>
      <c r="AT462" s="974"/>
      <c r="AU462" s="974"/>
      <c r="AV462" s="974"/>
      <c r="AW462" s="1181"/>
      <c r="AX462" s="978"/>
      <c r="AY462" s="898"/>
      <c r="AZ462" s="898"/>
      <c r="BA462" s="898"/>
      <c r="BB462" s="898"/>
      <c r="BC462" s="898"/>
      <c r="BD462" s="898"/>
      <c r="BE462" s="898"/>
      <c r="BF462" s="898"/>
      <c r="BG462" s="898"/>
      <c r="BH462" s="898"/>
      <c r="BI462" s="898"/>
      <c r="BJ462" s="898"/>
      <c r="BK462" s="898"/>
      <c r="BL462" s="898"/>
      <c r="BM462" s="898"/>
      <c r="BN462" s="898"/>
      <c r="BO462" s="898"/>
      <c r="BP462" s="898"/>
      <c r="BQ462" s="898"/>
      <c r="BR462" s="898"/>
      <c r="BS462" s="898"/>
      <c r="BT462" s="898"/>
      <c r="BU462" s="898"/>
      <c r="BV462" s="898"/>
      <c r="BW462" s="898"/>
      <c r="BX462" s="898"/>
      <c r="BY462" s="898"/>
      <c r="BZ462" s="898"/>
      <c r="CA462" s="898"/>
      <c r="CB462" s="898"/>
      <c r="CC462" s="898"/>
      <c r="CD462" s="898"/>
      <c r="CE462" s="898"/>
      <c r="CF462" s="898"/>
      <c r="CG462" s="898"/>
      <c r="CH462" s="898"/>
      <c r="CI462" s="898"/>
      <c r="CJ462" s="898"/>
      <c r="CK462" s="898"/>
      <c r="CL462" s="898"/>
      <c r="CM462" s="898"/>
      <c r="CN462" s="898"/>
      <c r="CO462" s="898"/>
      <c r="CP462" s="898"/>
      <c r="CQ462" s="898"/>
      <c r="CR462" s="898"/>
      <c r="CS462" s="898"/>
      <c r="CT462" s="898"/>
      <c r="CU462" s="898"/>
    </row>
    <row r="463" ht="16.5" customHeight="1">
      <c r="A463" s="718"/>
      <c r="B463" s="1195"/>
      <c r="C463" s="866"/>
      <c r="D463" s="968"/>
      <c r="E463" s="718"/>
      <c r="F463" s="718"/>
      <c r="G463" s="718"/>
      <c r="H463" s="718"/>
      <c r="I463" s="359"/>
      <c r="J463" s="359"/>
      <c r="K463" s="359"/>
      <c r="L463" s="359"/>
      <c r="M463" s="359"/>
      <c r="N463" s="359"/>
      <c r="O463" s="359"/>
      <c r="P463" s="359"/>
      <c r="Q463" s="359"/>
      <c r="R463" s="718"/>
      <c r="S463" s="669"/>
      <c r="T463" s="669"/>
      <c r="U463" s="967"/>
      <c r="V463" s="974"/>
      <c r="W463" s="1197"/>
      <c r="X463" s="974"/>
      <c r="Y463" s="974"/>
      <c r="Z463" s="974"/>
      <c r="AA463" s="974"/>
      <c r="AB463" s="974"/>
      <c r="AC463" s="974"/>
      <c r="AD463" s="974"/>
      <c r="AE463" s="974"/>
      <c r="AF463" s="974"/>
      <c r="AG463" s="974"/>
      <c r="AH463" s="974"/>
      <c r="AI463" s="1198"/>
      <c r="AJ463" s="974"/>
      <c r="AK463" s="1197"/>
      <c r="AL463" s="974"/>
      <c r="AM463" s="974"/>
      <c r="AN463" s="974"/>
      <c r="AO463" s="974"/>
      <c r="AP463" s="974"/>
      <c r="AQ463" s="974"/>
      <c r="AR463" s="974"/>
      <c r="AS463" s="974"/>
      <c r="AT463" s="974"/>
      <c r="AU463" s="974"/>
      <c r="AV463" s="974"/>
      <c r="AW463" s="1181"/>
      <c r="AX463" s="978"/>
      <c r="AY463" s="898"/>
      <c r="AZ463" s="898"/>
      <c r="BA463" s="898"/>
      <c r="BB463" s="898"/>
      <c r="BC463" s="898"/>
      <c r="BD463" s="898"/>
      <c r="BE463" s="898"/>
      <c r="BF463" s="898"/>
      <c r="BG463" s="898"/>
      <c r="BH463" s="898"/>
      <c r="BI463" s="898"/>
      <c r="BJ463" s="898"/>
      <c r="BK463" s="898"/>
      <c r="BL463" s="898"/>
      <c r="BM463" s="898"/>
      <c r="BN463" s="898"/>
      <c r="BO463" s="898"/>
      <c r="BP463" s="898"/>
      <c r="BQ463" s="898"/>
      <c r="BR463" s="898"/>
      <c r="BS463" s="898"/>
      <c r="BT463" s="898"/>
      <c r="BU463" s="898"/>
      <c r="BV463" s="898"/>
      <c r="BW463" s="898"/>
      <c r="BX463" s="898"/>
      <c r="BY463" s="898"/>
      <c r="BZ463" s="898"/>
      <c r="CA463" s="898"/>
      <c r="CB463" s="898"/>
      <c r="CC463" s="898"/>
      <c r="CD463" s="898"/>
      <c r="CE463" s="898"/>
      <c r="CF463" s="898"/>
      <c r="CG463" s="898"/>
      <c r="CH463" s="898"/>
      <c r="CI463" s="898"/>
      <c r="CJ463" s="898"/>
      <c r="CK463" s="898"/>
      <c r="CL463" s="898"/>
      <c r="CM463" s="898"/>
      <c r="CN463" s="898"/>
      <c r="CO463" s="898"/>
      <c r="CP463" s="898"/>
      <c r="CQ463" s="898"/>
      <c r="CR463" s="898"/>
      <c r="CS463" s="898"/>
      <c r="CT463" s="898"/>
      <c r="CU463" s="898"/>
    </row>
    <row r="464" ht="16.5" customHeight="1">
      <c r="A464" s="718"/>
      <c r="B464" s="1195"/>
      <c r="C464" s="866"/>
      <c r="D464" s="968"/>
      <c r="E464" s="718"/>
      <c r="F464" s="718"/>
      <c r="G464" s="718"/>
      <c r="H464" s="718"/>
      <c r="I464" s="359"/>
      <c r="J464" s="359"/>
      <c r="K464" s="359"/>
      <c r="L464" s="359"/>
      <c r="M464" s="359"/>
      <c r="N464" s="359"/>
      <c r="O464" s="359"/>
      <c r="P464" s="359"/>
      <c r="Q464" s="359"/>
      <c r="R464" s="718"/>
      <c r="S464" s="669"/>
      <c r="T464" s="669"/>
      <c r="U464" s="967"/>
      <c r="V464" s="974"/>
      <c r="W464" s="1197"/>
      <c r="X464" s="974"/>
      <c r="Y464" s="974"/>
      <c r="Z464" s="974"/>
      <c r="AA464" s="974"/>
      <c r="AB464" s="974"/>
      <c r="AC464" s="974"/>
      <c r="AD464" s="974"/>
      <c r="AE464" s="974"/>
      <c r="AF464" s="974"/>
      <c r="AG464" s="974"/>
      <c r="AH464" s="974"/>
      <c r="AI464" s="1198"/>
      <c r="AJ464" s="974"/>
      <c r="AK464" s="1197"/>
      <c r="AL464" s="974"/>
      <c r="AM464" s="974"/>
      <c r="AN464" s="974"/>
      <c r="AO464" s="974"/>
      <c r="AP464" s="974"/>
      <c r="AQ464" s="974"/>
      <c r="AR464" s="974"/>
      <c r="AS464" s="974"/>
      <c r="AT464" s="974"/>
      <c r="AU464" s="974"/>
      <c r="AV464" s="974"/>
      <c r="AW464" s="1181"/>
      <c r="AX464" s="978"/>
      <c r="AY464" s="898"/>
      <c r="AZ464" s="898"/>
      <c r="BA464" s="898"/>
      <c r="BB464" s="898"/>
      <c r="BC464" s="898"/>
      <c r="BD464" s="898"/>
      <c r="BE464" s="898"/>
      <c r="BF464" s="898"/>
      <c r="BG464" s="898"/>
      <c r="BH464" s="898"/>
      <c r="BI464" s="898"/>
      <c r="BJ464" s="898"/>
      <c r="BK464" s="898"/>
      <c r="BL464" s="898"/>
      <c r="BM464" s="898"/>
      <c r="BN464" s="898"/>
      <c r="BO464" s="898"/>
      <c r="BP464" s="898"/>
      <c r="BQ464" s="898"/>
      <c r="BR464" s="898"/>
      <c r="BS464" s="898"/>
      <c r="BT464" s="898"/>
      <c r="BU464" s="898"/>
      <c r="BV464" s="898"/>
      <c r="BW464" s="898"/>
      <c r="BX464" s="898"/>
      <c r="BY464" s="898"/>
      <c r="BZ464" s="898"/>
      <c r="CA464" s="898"/>
      <c r="CB464" s="898"/>
      <c r="CC464" s="898"/>
      <c r="CD464" s="898"/>
      <c r="CE464" s="898"/>
      <c r="CF464" s="898"/>
      <c r="CG464" s="898"/>
      <c r="CH464" s="898"/>
      <c r="CI464" s="898"/>
      <c r="CJ464" s="898"/>
      <c r="CK464" s="898"/>
      <c r="CL464" s="898"/>
      <c r="CM464" s="898"/>
      <c r="CN464" s="898"/>
      <c r="CO464" s="898"/>
      <c r="CP464" s="898"/>
      <c r="CQ464" s="898"/>
      <c r="CR464" s="898"/>
      <c r="CS464" s="898"/>
      <c r="CT464" s="898"/>
      <c r="CU464" s="898"/>
    </row>
    <row r="465" ht="16.5" customHeight="1">
      <c r="A465" s="718"/>
      <c r="B465" s="1195"/>
      <c r="C465" s="866"/>
      <c r="D465" s="968"/>
      <c r="E465" s="718"/>
      <c r="F465" s="718"/>
      <c r="G465" s="718"/>
      <c r="H465" s="718"/>
      <c r="I465" s="359"/>
      <c r="J465" s="359"/>
      <c r="K465" s="359"/>
      <c r="L465" s="359"/>
      <c r="M465" s="359"/>
      <c r="N465" s="359"/>
      <c r="O465" s="359"/>
      <c r="P465" s="359"/>
      <c r="Q465" s="359"/>
      <c r="R465" s="718"/>
      <c r="S465" s="669"/>
      <c r="T465" s="669"/>
      <c r="U465" s="967"/>
      <c r="V465" s="974"/>
      <c r="W465" s="1197"/>
      <c r="X465" s="974"/>
      <c r="Y465" s="974"/>
      <c r="Z465" s="974"/>
      <c r="AA465" s="974"/>
      <c r="AB465" s="974"/>
      <c r="AC465" s="974"/>
      <c r="AD465" s="974"/>
      <c r="AE465" s="974"/>
      <c r="AF465" s="974"/>
      <c r="AG465" s="974"/>
      <c r="AH465" s="974"/>
      <c r="AI465" s="1198"/>
      <c r="AJ465" s="974"/>
      <c r="AK465" s="1197"/>
      <c r="AL465" s="974"/>
      <c r="AM465" s="974"/>
      <c r="AN465" s="974"/>
      <c r="AO465" s="974"/>
      <c r="AP465" s="974"/>
      <c r="AQ465" s="974"/>
      <c r="AR465" s="974"/>
      <c r="AS465" s="974"/>
      <c r="AT465" s="974"/>
      <c r="AU465" s="974"/>
      <c r="AV465" s="974"/>
      <c r="AW465" s="1181"/>
      <c r="AX465" s="978"/>
      <c r="AY465" s="898"/>
      <c r="AZ465" s="898"/>
      <c r="BA465" s="898"/>
      <c r="BB465" s="898"/>
      <c r="BC465" s="898"/>
      <c r="BD465" s="898"/>
      <c r="BE465" s="898"/>
      <c r="BF465" s="898"/>
      <c r="BG465" s="898"/>
      <c r="BH465" s="898"/>
      <c r="BI465" s="898"/>
      <c r="BJ465" s="898"/>
      <c r="BK465" s="898"/>
      <c r="BL465" s="898"/>
      <c r="BM465" s="898"/>
      <c r="BN465" s="898"/>
      <c r="BO465" s="898"/>
      <c r="BP465" s="898"/>
      <c r="BQ465" s="898"/>
      <c r="BR465" s="898"/>
      <c r="BS465" s="898"/>
      <c r="BT465" s="898"/>
      <c r="BU465" s="898"/>
      <c r="BV465" s="898"/>
      <c r="BW465" s="898"/>
      <c r="BX465" s="898"/>
      <c r="BY465" s="898"/>
      <c r="BZ465" s="898"/>
      <c r="CA465" s="898"/>
      <c r="CB465" s="898"/>
      <c r="CC465" s="898"/>
      <c r="CD465" s="898"/>
      <c r="CE465" s="898"/>
      <c r="CF465" s="898"/>
      <c r="CG465" s="898"/>
      <c r="CH465" s="898"/>
      <c r="CI465" s="898"/>
      <c r="CJ465" s="898"/>
      <c r="CK465" s="898"/>
      <c r="CL465" s="898"/>
      <c r="CM465" s="898"/>
      <c r="CN465" s="898"/>
      <c r="CO465" s="898"/>
      <c r="CP465" s="898"/>
      <c r="CQ465" s="898"/>
      <c r="CR465" s="898"/>
      <c r="CS465" s="898"/>
      <c r="CT465" s="898"/>
      <c r="CU465" s="898"/>
    </row>
    <row r="466" ht="16.5" customHeight="1">
      <c r="A466" s="718"/>
      <c r="B466" s="1195"/>
      <c r="C466" s="866"/>
      <c r="D466" s="968"/>
      <c r="E466" s="718"/>
      <c r="F466" s="718"/>
      <c r="G466" s="718"/>
      <c r="H466" s="718"/>
      <c r="I466" s="359"/>
      <c r="J466" s="359"/>
      <c r="K466" s="359"/>
      <c r="L466" s="359"/>
      <c r="M466" s="359"/>
      <c r="N466" s="359"/>
      <c r="O466" s="359"/>
      <c r="P466" s="359"/>
      <c r="Q466" s="359"/>
      <c r="R466" s="718"/>
      <c r="S466" s="669"/>
      <c r="T466" s="669"/>
      <c r="U466" s="967"/>
      <c r="V466" s="974"/>
      <c r="W466" s="1197"/>
      <c r="X466" s="974"/>
      <c r="Y466" s="974"/>
      <c r="Z466" s="974"/>
      <c r="AA466" s="974"/>
      <c r="AB466" s="974"/>
      <c r="AC466" s="974"/>
      <c r="AD466" s="974"/>
      <c r="AE466" s="974"/>
      <c r="AF466" s="974"/>
      <c r="AG466" s="974"/>
      <c r="AH466" s="974"/>
      <c r="AI466" s="1198"/>
      <c r="AJ466" s="974"/>
      <c r="AK466" s="1197"/>
      <c r="AL466" s="974"/>
      <c r="AM466" s="974"/>
      <c r="AN466" s="974"/>
      <c r="AO466" s="974"/>
      <c r="AP466" s="974"/>
      <c r="AQ466" s="974"/>
      <c r="AR466" s="974"/>
      <c r="AS466" s="974"/>
      <c r="AT466" s="974"/>
      <c r="AU466" s="974"/>
      <c r="AV466" s="974"/>
      <c r="AW466" s="1181"/>
      <c r="AX466" s="978"/>
      <c r="AY466" s="898"/>
      <c r="AZ466" s="898"/>
      <c r="BA466" s="898"/>
      <c r="BB466" s="898"/>
      <c r="BC466" s="898"/>
      <c r="BD466" s="898"/>
      <c r="BE466" s="898"/>
      <c r="BF466" s="898"/>
      <c r="BG466" s="898"/>
      <c r="BH466" s="898"/>
      <c r="BI466" s="898"/>
      <c r="BJ466" s="898"/>
      <c r="BK466" s="898"/>
      <c r="BL466" s="898"/>
      <c r="BM466" s="898"/>
      <c r="BN466" s="898"/>
      <c r="BO466" s="898"/>
      <c r="BP466" s="898"/>
      <c r="BQ466" s="898"/>
      <c r="BR466" s="898"/>
      <c r="BS466" s="898"/>
      <c r="BT466" s="898"/>
      <c r="BU466" s="898"/>
      <c r="BV466" s="898"/>
      <c r="BW466" s="898"/>
      <c r="BX466" s="898"/>
      <c r="BY466" s="898"/>
      <c r="BZ466" s="898"/>
      <c r="CA466" s="898"/>
      <c r="CB466" s="898"/>
      <c r="CC466" s="898"/>
      <c r="CD466" s="898"/>
      <c r="CE466" s="898"/>
      <c r="CF466" s="898"/>
      <c r="CG466" s="898"/>
      <c r="CH466" s="898"/>
      <c r="CI466" s="898"/>
      <c r="CJ466" s="898"/>
      <c r="CK466" s="898"/>
      <c r="CL466" s="898"/>
      <c r="CM466" s="898"/>
      <c r="CN466" s="898"/>
      <c r="CO466" s="898"/>
      <c r="CP466" s="898"/>
      <c r="CQ466" s="898"/>
      <c r="CR466" s="898"/>
      <c r="CS466" s="898"/>
      <c r="CT466" s="898"/>
      <c r="CU466" s="898"/>
    </row>
    <row r="467" ht="16.5" customHeight="1">
      <c r="A467" s="718"/>
      <c r="B467" s="1195"/>
      <c r="C467" s="866"/>
      <c r="D467" s="968"/>
      <c r="E467" s="718"/>
      <c r="F467" s="718"/>
      <c r="G467" s="718"/>
      <c r="H467" s="718"/>
      <c r="I467" s="359"/>
      <c r="J467" s="359"/>
      <c r="K467" s="359"/>
      <c r="L467" s="359"/>
      <c r="M467" s="359"/>
      <c r="N467" s="359"/>
      <c r="O467" s="359"/>
      <c r="P467" s="359"/>
      <c r="Q467" s="359"/>
      <c r="R467" s="718"/>
      <c r="S467" s="669"/>
      <c r="T467" s="669"/>
      <c r="U467" s="967"/>
      <c r="V467" s="974"/>
      <c r="W467" s="1197"/>
      <c r="X467" s="974"/>
      <c r="Y467" s="974"/>
      <c r="Z467" s="974"/>
      <c r="AA467" s="974"/>
      <c r="AB467" s="974"/>
      <c r="AC467" s="974"/>
      <c r="AD467" s="974"/>
      <c r="AE467" s="974"/>
      <c r="AF467" s="974"/>
      <c r="AG467" s="974"/>
      <c r="AH467" s="974"/>
      <c r="AI467" s="1198"/>
      <c r="AJ467" s="974"/>
      <c r="AK467" s="1197"/>
      <c r="AL467" s="974"/>
      <c r="AM467" s="974"/>
      <c r="AN467" s="974"/>
      <c r="AO467" s="974"/>
      <c r="AP467" s="974"/>
      <c r="AQ467" s="974"/>
      <c r="AR467" s="974"/>
      <c r="AS467" s="974"/>
      <c r="AT467" s="974"/>
      <c r="AU467" s="974"/>
      <c r="AV467" s="974"/>
      <c r="AW467" s="1181"/>
      <c r="AX467" s="978"/>
      <c r="AY467" s="898"/>
      <c r="AZ467" s="898"/>
      <c r="BA467" s="898"/>
      <c r="BB467" s="898"/>
      <c r="BC467" s="898"/>
      <c r="BD467" s="898"/>
      <c r="BE467" s="898"/>
      <c r="BF467" s="898"/>
      <c r="BG467" s="898"/>
      <c r="BH467" s="898"/>
      <c r="BI467" s="898"/>
      <c r="BJ467" s="898"/>
      <c r="BK467" s="898"/>
      <c r="BL467" s="898"/>
      <c r="BM467" s="898"/>
      <c r="BN467" s="898"/>
      <c r="BO467" s="898"/>
      <c r="BP467" s="898"/>
      <c r="BQ467" s="898"/>
      <c r="BR467" s="898"/>
      <c r="BS467" s="898"/>
      <c r="BT467" s="898"/>
      <c r="BU467" s="898"/>
      <c r="BV467" s="898"/>
      <c r="BW467" s="898"/>
      <c r="BX467" s="898"/>
      <c r="BY467" s="898"/>
      <c r="BZ467" s="898"/>
      <c r="CA467" s="898"/>
      <c r="CB467" s="898"/>
      <c r="CC467" s="898"/>
      <c r="CD467" s="898"/>
      <c r="CE467" s="898"/>
      <c r="CF467" s="898"/>
      <c r="CG467" s="898"/>
      <c r="CH467" s="898"/>
      <c r="CI467" s="898"/>
      <c r="CJ467" s="898"/>
      <c r="CK467" s="898"/>
      <c r="CL467" s="898"/>
      <c r="CM467" s="898"/>
      <c r="CN467" s="898"/>
      <c r="CO467" s="898"/>
      <c r="CP467" s="898"/>
      <c r="CQ467" s="898"/>
      <c r="CR467" s="898"/>
      <c r="CS467" s="898"/>
      <c r="CT467" s="898"/>
      <c r="CU467" s="898"/>
    </row>
    <row r="468" ht="16.5" customHeight="1">
      <c r="A468" s="718"/>
      <c r="B468" s="1195"/>
      <c r="C468" s="866"/>
      <c r="D468" s="968"/>
      <c r="E468" s="718"/>
      <c r="F468" s="718"/>
      <c r="G468" s="718"/>
      <c r="H468" s="718"/>
      <c r="I468" s="359"/>
      <c r="J468" s="359"/>
      <c r="K468" s="359"/>
      <c r="L468" s="359"/>
      <c r="M468" s="359"/>
      <c r="N468" s="359"/>
      <c r="O468" s="359"/>
      <c r="P468" s="359"/>
      <c r="Q468" s="359"/>
      <c r="R468" s="718"/>
      <c r="S468" s="669"/>
      <c r="T468" s="669"/>
      <c r="U468" s="967"/>
      <c r="V468" s="974"/>
      <c r="W468" s="1197"/>
      <c r="X468" s="974"/>
      <c r="Y468" s="974"/>
      <c r="Z468" s="974"/>
      <c r="AA468" s="974"/>
      <c r="AB468" s="974"/>
      <c r="AC468" s="974"/>
      <c r="AD468" s="974"/>
      <c r="AE468" s="974"/>
      <c r="AF468" s="974"/>
      <c r="AG468" s="974"/>
      <c r="AH468" s="974"/>
      <c r="AI468" s="1198"/>
      <c r="AJ468" s="974"/>
      <c r="AK468" s="1197"/>
      <c r="AL468" s="974"/>
      <c r="AM468" s="974"/>
      <c r="AN468" s="974"/>
      <c r="AO468" s="974"/>
      <c r="AP468" s="974"/>
      <c r="AQ468" s="974"/>
      <c r="AR468" s="974"/>
      <c r="AS468" s="974"/>
      <c r="AT468" s="974"/>
      <c r="AU468" s="974"/>
      <c r="AV468" s="974"/>
      <c r="AW468" s="1181"/>
      <c r="AX468" s="978"/>
      <c r="AY468" s="898"/>
      <c r="AZ468" s="898"/>
      <c r="BA468" s="898"/>
      <c r="BB468" s="898"/>
      <c r="BC468" s="898"/>
      <c r="BD468" s="898"/>
      <c r="BE468" s="898"/>
      <c r="BF468" s="898"/>
      <c r="BG468" s="898"/>
      <c r="BH468" s="898"/>
      <c r="BI468" s="898"/>
      <c r="BJ468" s="898"/>
      <c r="BK468" s="898"/>
      <c r="BL468" s="898"/>
      <c r="BM468" s="898"/>
      <c r="BN468" s="898"/>
      <c r="BO468" s="898"/>
      <c r="BP468" s="898"/>
      <c r="BQ468" s="898"/>
      <c r="BR468" s="898"/>
      <c r="BS468" s="898"/>
      <c r="BT468" s="898"/>
      <c r="BU468" s="898"/>
      <c r="BV468" s="898"/>
      <c r="BW468" s="898"/>
      <c r="BX468" s="898"/>
      <c r="BY468" s="898"/>
      <c r="BZ468" s="898"/>
      <c r="CA468" s="898"/>
      <c r="CB468" s="898"/>
      <c r="CC468" s="898"/>
      <c r="CD468" s="898"/>
      <c r="CE468" s="898"/>
      <c r="CF468" s="898"/>
      <c r="CG468" s="898"/>
      <c r="CH468" s="898"/>
      <c r="CI468" s="898"/>
      <c r="CJ468" s="898"/>
      <c r="CK468" s="898"/>
      <c r="CL468" s="898"/>
      <c r="CM468" s="898"/>
      <c r="CN468" s="898"/>
      <c r="CO468" s="898"/>
      <c r="CP468" s="898"/>
      <c r="CQ468" s="898"/>
      <c r="CR468" s="898"/>
      <c r="CS468" s="898"/>
      <c r="CT468" s="898"/>
      <c r="CU468" s="898"/>
    </row>
    <row r="469" ht="16.5" customHeight="1">
      <c r="A469" s="718"/>
      <c r="B469" s="1195"/>
      <c r="C469" s="866"/>
      <c r="D469" s="968"/>
      <c r="E469" s="718"/>
      <c r="F469" s="718"/>
      <c r="G469" s="718"/>
      <c r="H469" s="718"/>
      <c r="I469" s="359"/>
      <c r="J469" s="359"/>
      <c r="K469" s="359"/>
      <c r="L469" s="359"/>
      <c r="M469" s="359"/>
      <c r="N469" s="359"/>
      <c r="O469" s="359"/>
      <c r="P469" s="359"/>
      <c r="Q469" s="359"/>
      <c r="R469" s="718"/>
      <c r="S469" s="669"/>
      <c r="T469" s="669"/>
      <c r="U469" s="967"/>
      <c r="V469" s="974"/>
      <c r="W469" s="1197"/>
      <c r="X469" s="974"/>
      <c r="Y469" s="974"/>
      <c r="Z469" s="974"/>
      <c r="AA469" s="974"/>
      <c r="AB469" s="974"/>
      <c r="AC469" s="974"/>
      <c r="AD469" s="974"/>
      <c r="AE469" s="974"/>
      <c r="AF469" s="974"/>
      <c r="AG469" s="974"/>
      <c r="AH469" s="974"/>
      <c r="AI469" s="1198"/>
      <c r="AJ469" s="974"/>
      <c r="AK469" s="1197"/>
      <c r="AL469" s="974"/>
      <c r="AM469" s="974"/>
      <c r="AN469" s="974"/>
      <c r="AO469" s="974"/>
      <c r="AP469" s="974"/>
      <c r="AQ469" s="974"/>
      <c r="AR469" s="974"/>
      <c r="AS469" s="974"/>
      <c r="AT469" s="974"/>
      <c r="AU469" s="974"/>
      <c r="AV469" s="974"/>
      <c r="AW469" s="1181"/>
      <c r="AX469" s="978"/>
      <c r="AY469" s="898"/>
      <c r="AZ469" s="898"/>
      <c r="BA469" s="898"/>
      <c r="BB469" s="898"/>
      <c r="BC469" s="898"/>
      <c r="BD469" s="898"/>
      <c r="BE469" s="898"/>
      <c r="BF469" s="898"/>
      <c r="BG469" s="898"/>
      <c r="BH469" s="898"/>
      <c r="BI469" s="898"/>
      <c r="BJ469" s="898"/>
      <c r="BK469" s="898"/>
      <c r="BL469" s="898"/>
      <c r="BM469" s="898"/>
      <c r="BN469" s="898"/>
      <c r="BO469" s="898"/>
      <c r="BP469" s="898"/>
      <c r="BQ469" s="898"/>
      <c r="BR469" s="898"/>
      <c r="BS469" s="898"/>
      <c r="BT469" s="898"/>
      <c r="BU469" s="898"/>
      <c r="BV469" s="898"/>
      <c r="BW469" s="898"/>
      <c r="BX469" s="898"/>
      <c r="BY469" s="898"/>
      <c r="BZ469" s="898"/>
      <c r="CA469" s="898"/>
      <c r="CB469" s="898"/>
      <c r="CC469" s="898"/>
      <c r="CD469" s="898"/>
      <c r="CE469" s="898"/>
      <c r="CF469" s="898"/>
      <c r="CG469" s="898"/>
      <c r="CH469" s="898"/>
      <c r="CI469" s="898"/>
      <c r="CJ469" s="898"/>
      <c r="CK469" s="898"/>
      <c r="CL469" s="898"/>
      <c r="CM469" s="898"/>
      <c r="CN469" s="898"/>
      <c r="CO469" s="898"/>
      <c r="CP469" s="898"/>
      <c r="CQ469" s="898"/>
      <c r="CR469" s="898"/>
      <c r="CS469" s="898"/>
      <c r="CT469" s="898"/>
      <c r="CU469" s="898"/>
    </row>
    <row r="470" ht="16.5" customHeight="1">
      <c r="A470" s="718"/>
      <c r="B470" s="1195"/>
      <c r="C470" s="866"/>
      <c r="D470" s="968"/>
      <c r="E470" s="718"/>
      <c r="F470" s="718"/>
      <c r="G470" s="718"/>
      <c r="H470" s="718"/>
      <c r="I470" s="359"/>
      <c r="J470" s="359"/>
      <c r="K470" s="359"/>
      <c r="L470" s="359"/>
      <c r="M470" s="359"/>
      <c r="N470" s="359"/>
      <c r="O470" s="359"/>
      <c r="P470" s="359"/>
      <c r="Q470" s="359"/>
      <c r="R470" s="718"/>
      <c r="S470" s="669"/>
      <c r="T470" s="669"/>
      <c r="U470" s="967"/>
      <c r="V470" s="974"/>
      <c r="W470" s="1197"/>
      <c r="X470" s="974"/>
      <c r="Y470" s="974"/>
      <c r="Z470" s="974"/>
      <c r="AA470" s="974"/>
      <c r="AB470" s="974"/>
      <c r="AC470" s="974"/>
      <c r="AD470" s="974"/>
      <c r="AE470" s="974"/>
      <c r="AF470" s="974"/>
      <c r="AG470" s="974"/>
      <c r="AH470" s="974"/>
      <c r="AI470" s="1198"/>
      <c r="AJ470" s="974"/>
      <c r="AK470" s="1197"/>
      <c r="AL470" s="974"/>
      <c r="AM470" s="974"/>
      <c r="AN470" s="974"/>
      <c r="AO470" s="974"/>
      <c r="AP470" s="974"/>
      <c r="AQ470" s="974"/>
      <c r="AR470" s="974"/>
      <c r="AS470" s="974"/>
      <c r="AT470" s="974"/>
      <c r="AU470" s="974"/>
      <c r="AV470" s="974"/>
      <c r="AW470" s="1181"/>
      <c r="AX470" s="978"/>
      <c r="AY470" s="898"/>
      <c r="AZ470" s="898"/>
      <c r="BA470" s="898"/>
      <c r="BB470" s="898"/>
      <c r="BC470" s="898"/>
      <c r="BD470" s="898"/>
      <c r="BE470" s="898"/>
      <c r="BF470" s="898"/>
      <c r="BG470" s="898"/>
      <c r="BH470" s="898"/>
      <c r="BI470" s="898"/>
      <c r="BJ470" s="898"/>
      <c r="BK470" s="898"/>
      <c r="BL470" s="898"/>
      <c r="BM470" s="898"/>
      <c r="BN470" s="898"/>
      <c r="BO470" s="898"/>
      <c r="BP470" s="898"/>
      <c r="BQ470" s="898"/>
      <c r="BR470" s="898"/>
      <c r="BS470" s="898"/>
      <c r="BT470" s="898"/>
      <c r="BU470" s="898"/>
      <c r="BV470" s="898"/>
      <c r="BW470" s="898"/>
      <c r="BX470" s="898"/>
      <c r="BY470" s="898"/>
      <c r="BZ470" s="898"/>
      <c r="CA470" s="898"/>
      <c r="CB470" s="898"/>
      <c r="CC470" s="898"/>
      <c r="CD470" s="898"/>
      <c r="CE470" s="898"/>
      <c r="CF470" s="898"/>
      <c r="CG470" s="898"/>
      <c r="CH470" s="898"/>
      <c r="CI470" s="898"/>
      <c r="CJ470" s="898"/>
      <c r="CK470" s="898"/>
      <c r="CL470" s="898"/>
      <c r="CM470" s="898"/>
      <c r="CN470" s="898"/>
      <c r="CO470" s="898"/>
      <c r="CP470" s="898"/>
      <c r="CQ470" s="898"/>
      <c r="CR470" s="898"/>
      <c r="CS470" s="898"/>
      <c r="CT470" s="898"/>
      <c r="CU470" s="898"/>
    </row>
    <row r="471" ht="16.5" customHeight="1">
      <c r="A471" s="718"/>
      <c r="B471" s="1195"/>
      <c r="C471" s="866"/>
      <c r="D471" s="968"/>
      <c r="E471" s="718"/>
      <c r="F471" s="718"/>
      <c r="G471" s="718"/>
      <c r="H471" s="718"/>
      <c r="I471" s="359"/>
      <c r="J471" s="359"/>
      <c r="K471" s="359"/>
      <c r="L471" s="359"/>
      <c r="M471" s="359"/>
      <c r="N471" s="359"/>
      <c r="O471" s="359"/>
      <c r="P471" s="359"/>
      <c r="Q471" s="359"/>
      <c r="R471" s="718"/>
      <c r="S471" s="669"/>
      <c r="T471" s="669"/>
      <c r="U471" s="967"/>
      <c r="V471" s="974"/>
      <c r="W471" s="1197"/>
      <c r="X471" s="974"/>
      <c r="Y471" s="974"/>
      <c r="Z471" s="974"/>
      <c r="AA471" s="974"/>
      <c r="AB471" s="974"/>
      <c r="AC471" s="974"/>
      <c r="AD471" s="974"/>
      <c r="AE471" s="974"/>
      <c r="AF471" s="974"/>
      <c r="AG471" s="974"/>
      <c r="AH471" s="974"/>
      <c r="AI471" s="1198"/>
      <c r="AJ471" s="974"/>
      <c r="AK471" s="1197"/>
      <c r="AL471" s="974"/>
      <c r="AM471" s="974"/>
      <c r="AN471" s="974"/>
      <c r="AO471" s="974"/>
      <c r="AP471" s="974"/>
      <c r="AQ471" s="974"/>
      <c r="AR471" s="974"/>
      <c r="AS471" s="974"/>
      <c r="AT471" s="974"/>
      <c r="AU471" s="974"/>
      <c r="AV471" s="974"/>
      <c r="AW471" s="1181"/>
      <c r="AX471" s="978"/>
      <c r="AY471" s="898"/>
      <c r="AZ471" s="898"/>
      <c r="BA471" s="898"/>
      <c r="BB471" s="898"/>
      <c r="BC471" s="898"/>
      <c r="BD471" s="898"/>
      <c r="BE471" s="898"/>
      <c r="BF471" s="898"/>
      <c r="BG471" s="898"/>
      <c r="BH471" s="898"/>
      <c r="BI471" s="898"/>
      <c r="BJ471" s="898"/>
      <c r="BK471" s="898"/>
      <c r="BL471" s="898"/>
      <c r="BM471" s="898"/>
      <c r="BN471" s="898"/>
      <c r="BO471" s="898"/>
      <c r="BP471" s="898"/>
      <c r="BQ471" s="898"/>
      <c r="BR471" s="898"/>
      <c r="BS471" s="898"/>
      <c r="BT471" s="898"/>
      <c r="BU471" s="898"/>
      <c r="BV471" s="898"/>
      <c r="BW471" s="898"/>
      <c r="BX471" s="898"/>
      <c r="BY471" s="898"/>
      <c r="BZ471" s="898"/>
      <c r="CA471" s="898"/>
      <c r="CB471" s="898"/>
      <c r="CC471" s="898"/>
      <c r="CD471" s="898"/>
      <c r="CE471" s="898"/>
      <c r="CF471" s="898"/>
      <c r="CG471" s="898"/>
      <c r="CH471" s="898"/>
      <c r="CI471" s="898"/>
      <c r="CJ471" s="898"/>
      <c r="CK471" s="898"/>
      <c r="CL471" s="898"/>
      <c r="CM471" s="898"/>
      <c r="CN471" s="898"/>
      <c r="CO471" s="898"/>
      <c r="CP471" s="898"/>
      <c r="CQ471" s="898"/>
      <c r="CR471" s="898"/>
      <c r="CS471" s="898"/>
      <c r="CT471" s="898"/>
      <c r="CU471" s="898"/>
    </row>
    <row r="472" ht="16.5" customHeight="1">
      <c r="A472" s="718"/>
      <c r="B472" s="1195"/>
      <c r="C472" s="866"/>
      <c r="D472" s="968"/>
      <c r="E472" s="718"/>
      <c r="F472" s="718"/>
      <c r="G472" s="718"/>
      <c r="H472" s="718"/>
      <c r="I472" s="359"/>
      <c r="J472" s="359"/>
      <c r="K472" s="359"/>
      <c r="L472" s="359"/>
      <c r="M472" s="359"/>
      <c r="N472" s="359"/>
      <c r="O472" s="359"/>
      <c r="P472" s="359"/>
      <c r="Q472" s="359"/>
      <c r="R472" s="718"/>
      <c r="S472" s="669"/>
      <c r="T472" s="669"/>
      <c r="U472" s="967"/>
      <c r="V472" s="974"/>
      <c r="W472" s="1197"/>
      <c r="X472" s="974"/>
      <c r="Y472" s="974"/>
      <c r="Z472" s="974"/>
      <c r="AA472" s="974"/>
      <c r="AB472" s="974"/>
      <c r="AC472" s="974"/>
      <c r="AD472" s="974"/>
      <c r="AE472" s="974"/>
      <c r="AF472" s="974"/>
      <c r="AG472" s="974"/>
      <c r="AH472" s="974"/>
      <c r="AI472" s="1198"/>
      <c r="AJ472" s="974"/>
      <c r="AK472" s="1197"/>
      <c r="AL472" s="974"/>
      <c r="AM472" s="974"/>
      <c r="AN472" s="974"/>
      <c r="AO472" s="974"/>
      <c r="AP472" s="974"/>
      <c r="AQ472" s="974"/>
      <c r="AR472" s="974"/>
      <c r="AS472" s="974"/>
      <c r="AT472" s="974"/>
      <c r="AU472" s="974"/>
      <c r="AV472" s="974"/>
      <c r="AW472" s="1181"/>
      <c r="AX472" s="978"/>
      <c r="AY472" s="898"/>
      <c r="AZ472" s="898"/>
      <c r="BA472" s="898"/>
      <c r="BB472" s="898"/>
      <c r="BC472" s="898"/>
      <c r="BD472" s="898"/>
      <c r="BE472" s="898"/>
      <c r="BF472" s="898"/>
      <c r="BG472" s="898"/>
      <c r="BH472" s="898"/>
      <c r="BI472" s="898"/>
      <c r="BJ472" s="898"/>
      <c r="BK472" s="898"/>
      <c r="BL472" s="898"/>
      <c r="BM472" s="898"/>
      <c r="BN472" s="898"/>
      <c r="BO472" s="898"/>
      <c r="BP472" s="898"/>
      <c r="BQ472" s="898"/>
      <c r="BR472" s="898"/>
      <c r="BS472" s="898"/>
      <c r="BT472" s="898"/>
      <c r="BU472" s="898"/>
      <c r="BV472" s="898"/>
      <c r="BW472" s="898"/>
      <c r="BX472" s="898"/>
      <c r="BY472" s="898"/>
      <c r="BZ472" s="898"/>
      <c r="CA472" s="898"/>
      <c r="CB472" s="898"/>
      <c r="CC472" s="898"/>
      <c r="CD472" s="898"/>
      <c r="CE472" s="898"/>
      <c r="CF472" s="898"/>
      <c r="CG472" s="898"/>
      <c r="CH472" s="898"/>
      <c r="CI472" s="898"/>
      <c r="CJ472" s="898"/>
      <c r="CK472" s="898"/>
      <c r="CL472" s="898"/>
      <c r="CM472" s="898"/>
      <c r="CN472" s="898"/>
      <c r="CO472" s="898"/>
      <c r="CP472" s="898"/>
      <c r="CQ472" s="898"/>
      <c r="CR472" s="898"/>
      <c r="CS472" s="898"/>
      <c r="CT472" s="898"/>
      <c r="CU472" s="898"/>
    </row>
    <row r="473" ht="16.5" customHeight="1">
      <c r="A473" s="718"/>
      <c r="B473" s="1195"/>
      <c r="C473" s="866"/>
      <c r="D473" s="968"/>
      <c r="E473" s="718"/>
      <c r="F473" s="718"/>
      <c r="G473" s="718"/>
      <c r="H473" s="718"/>
      <c r="I473" s="359"/>
      <c r="J473" s="359"/>
      <c r="K473" s="359"/>
      <c r="L473" s="359"/>
      <c r="M473" s="359"/>
      <c r="N473" s="359"/>
      <c r="O473" s="359"/>
      <c r="P473" s="359"/>
      <c r="Q473" s="359"/>
      <c r="R473" s="718"/>
      <c r="S473" s="669"/>
      <c r="T473" s="669"/>
      <c r="U473" s="967"/>
      <c r="V473" s="974"/>
      <c r="W473" s="1197"/>
      <c r="X473" s="974"/>
      <c r="Y473" s="974"/>
      <c r="Z473" s="974"/>
      <c r="AA473" s="974"/>
      <c r="AB473" s="974"/>
      <c r="AC473" s="974"/>
      <c r="AD473" s="974"/>
      <c r="AE473" s="974"/>
      <c r="AF473" s="974"/>
      <c r="AG473" s="974"/>
      <c r="AH473" s="974"/>
      <c r="AI473" s="1198"/>
      <c r="AJ473" s="974"/>
      <c r="AK473" s="1197"/>
      <c r="AL473" s="974"/>
      <c r="AM473" s="974"/>
      <c r="AN473" s="974"/>
      <c r="AO473" s="974"/>
      <c r="AP473" s="974"/>
      <c r="AQ473" s="974"/>
      <c r="AR473" s="974"/>
      <c r="AS473" s="974"/>
      <c r="AT473" s="974"/>
      <c r="AU473" s="974"/>
      <c r="AV473" s="974"/>
      <c r="AW473" s="1181"/>
      <c r="AX473" s="978"/>
      <c r="AY473" s="898"/>
      <c r="AZ473" s="898"/>
      <c r="BA473" s="898"/>
      <c r="BB473" s="898"/>
      <c r="BC473" s="898"/>
      <c r="BD473" s="898"/>
      <c r="BE473" s="898"/>
      <c r="BF473" s="898"/>
      <c r="BG473" s="898"/>
      <c r="BH473" s="898"/>
      <c r="BI473" s="898"/>
      <c r="BJ473" s="898"/>
      <c r="BK473" s="898"/>
      <c r="BL473" s="898"/>
      <c r="BM473" s="898"/>
      <c r="BN473" s="898"/>
      <c r="BO473" s="898"/>
      <c r="BP473" s="898"/>
      <c r="BQ473" s="898"/>
      <c r="BR473" s="898"/>
      <c r="BS473" s="898"/>
      <c r="BT473" s="898"/>
      <c r="BU473" s="898"/>
      <c r="BV473" s="898"/>
      <c r="BW473" s="898"/>
      <c r="BX473" s="898"/>
      <c r="BY473" s="898"/>
      <c r="BZ473" s="898"/>
      <c r="CA473" s="898"/>
      <c r="CB473" s="898"/>
      <c r="CC473" s="898"/>
      <c r="CD473" s="898"/>
      <c r="CE473" s="898"/>
      <c r="CF473" s="898"/>
      <c r="CG473" s="898"/>
      <c r="CH473" s="898"/>
      <c r="CI473" s="898"/>
      <c r="CJ473" s="898"/>
      <c r="CK473" s="898"/>
      <c r="CL473" s="898"/>
      <c r="CM473" s="898"/>
      <c r="CN473" s="898"/>
      <c r="CO473" s="898"/>
      <c r="CP473" s="898"/>
      <c r="CQ473" s="898"/>
      <c r="CR473" s="898"/>
      <c r="CS473" s="898"/>
      <c r="CT473" s="898"/>
      <c r="CU473" s="898"/>
    </row>
    <row r="474" ht="16.5" customHeight="1">
      <c r="A474" s="718"/>
      <c r="B474" s="1195"/>
      <c r="C474" s="866"/>
      <c r="D474" s="968"/>
      <c r="E474" s="718"/>
      <c r="F474" s="718"/>
      <c r="G474" s="718"/>
      <c r="H474" s="718"/>
      <c r="I474" s="359"/>
      <c r="J474" s="359"/>
      <c r="K474" s="359"/>
      <c r="L474" s="359"/>
      <c r="M474" s="359"/>
      <c r="N474" s="359"/>
      <c r="O474" s="359"/>
      <c r="P474" s="359"/>
      <c r="Q474" s="359"/>
      <c r="R474" s="718"/>
      <c r="S474" s="669"/>
      <c r="T474" s="669"/>
      <c r="U474" s="967"/>
      <c r="V474" s="974"/>
      <c r="W474" s="1197"/>
      <c r="X474" s="974"/>
      <c r="Y474" s="974"/>
      <c r="Z474" s="974"/>
      <c r="AA474" s="974"/>
      <c r="AB474" s="974"/>
      <c r="AC474" s="974"/>
      <c r="AD474" s="974"/>
      <c r="AE474" s="974"/>
      <c r="AF474" s="974"/>
      <c r="AG474" s="974"/>
      <c r="AH474" s="974"/>
      <c r="AI474" s="1198"/>
      <c r="AJ474" s="974"/>
      <c r="AK474" s="1197"/>
      <c r="AL474" s="974"/>
      <c r="AM474" s="974"/>
      <c r="AN474" s="974"/>
      <c r="AO474" s="974"/>
      <c r="AP474" s="974"/>
      <c r="AQ474" s="974"/>
      <c r="AR474" s="974"/>
      <c r="AS474" s="974"/>
      <c r="AT474" s="974"/>
      <c r="AU474" s="974"/>
      <c r="AV474" s="974"/>
      <c r="AW474" s="1181"/>
      <c r="AX474" s="978"/>
      <c r="AY474" s="898"/>
      <c r="AZ474" s="898"/>
      <c r="BA474" s="898"/>
      <c r="BB474" s="898"/>
      <c r="BC474" s="898"/>
      <c r="BD474" s="898"/>
      <c r="BE474" s="898"/>
      <c r="BF474" s="898"/>
      <c r="BG474" s="898"/>
      <c r="BH474" s="898"/>
      <c r="BI474" s="898"/>
      <c r="BJ474" s="898"/>
      <c r="BK474" s="898"/>
      <c r="BL474" s="898"/>
      <c r="BM474" s="898"/>
      <c r="BN474" s="898"/>
      <c r="BO474" s="898"/>
      <c r="BP474" s="898"/>
      <c r="BQ474" s="898"/>
      <c r="BR474" s="898"/>
      <c r="BS474" s="898"/>
      <c r="BT474" s="898"/>
      <c r="BU474" s="898"/>
      <c r="BV474" s="898"/>
      <c r="BW474" s="898"/>
      <c r="BX474" s="898"/>
      <c r="BY474" s="898"/>
      <c r="BZ474" s="898"/>
      <c r="CA474" s="898"/>
      <c r="CB474" s="898"/>
      <c r="CC474" s="898"/>
      <c r="CD474" s="898"/>
      <c r="CE474" s="898"/>
      <c r="CF474" s="898"/>
      <c r="CG474" s="898"/>
      <c r="CH474" s="898"/>
      <c r="CI474" s="898"/>
      <c r="CJ474" s="898"/>
      <c r="CK474" s="898"/>
      <c r="CL474" s="898"/>
      <c r="CM474" s="898"/>
      <c r="CN474" s="898"/>
      <c r="CO474" s="898"/>
      <c r="CP474" s="898"/>
      <c r="CQ474" s="898"/>
      <c r="CR474" s="898"/>
      <c r="CS474" s="898"/>
      <c r="CT474" s="898"/>
      <c r="CU474" s="898"/>
    </row>
    <row r="475" ht="16.5" customHeight="1">
      <c r="A475" s="718"/>
      <c r="B475" s="1195"/>
      <c r="C475" s="866"/>
      <c r="D475" s="968"/>
      <c r="E475" s="718"/>
      <c r="F475" s="718"/>
      <c r="G475" s="718"/>
      <c r="H475" s="718"/>
      <c r="I475" s="359"/>
      <c r="J475" s="359"/>
      <c r="K475" s="359"/>
      <c r="L475" s="359"/>
      <c r="M475" s="359"/>
      <c r="N475" s="359"/>
      <c r="O475" s="359"/>
      <c r="P475" s="359"/>
      <c r="Q475" s="359"/>
      <c r="R475" s="718"/>
      <c r="S475" s="669"/>
      <c r="T475" s="669"/>
      <c r="U475" s="967"/>
      <c r="V475" s="974"/>
      <c r="W475" s="1197"/>
      <c r="X475" s="974"/>
      <c r="Y475" s="974"/>
      <c r="Z475" s="974"/>
      <c r="AA475" s="974"/>
      <c r="AB475" s="974"/>
      <c r="AC475" s="974"/>
      <c r="AD475" s="974"/>
      <c r="AE475" s="974"/>
      <c r="AF475" s="974"/>
      <c r="AG475" s="974"/>
      <c r="AH475" s="974"/>
      <c r="AI475" s="1198"/>
      <c r="AJ475" s="974"/>
      <c r="AK475" s="1197"/>
      <c r="AL475" s="974"/>
      <c r="AM475" s="974"/>
      <c r="AN475" s="974"/>
      <c r="AO475" s="974"/>
      <c r="AP475" s="974"/>
      <c r="AQ475" s="974"/>
      <c r="AR475" s="974"/>
      <c r="AS475" s="974"/>
      <c r="AT475" s="974"/>
      <c r="AU475" s="974"/>
      <c r="AV475" s="974"/>
      <c r="AW475" s="1181"/>
      <c r="AX475" s="978"/>
      <c r="AY475" s="898"/>
      <c r="AZ475" s="898"/>
      <c r="BA475" s="898"/>
      <c r="BB475" s="898"/>
      <c r="BC475" s="898"/>
      <c r="BD475" s="898"/>
      <c r="BE475" s="898"/>
      <c r="BF475" s="898"/>
      <c r="BG475" s="898"/>
      <c r="BH475" s="898"/>
      <c r="BI475" s="898"/>
      <c r="BJ475" s="898"/>
      <c r="BK475" s="898"/>
      <c r="BL475" s="898"/>
      <c r="BM475" s="898"/>
      <c r="BN475" s="898"/>
      <c r="BO475" s="898"/>
      <c r="BP475" s="898"/>
      <c r="BQ475" s="898"/>
      <c r="BR475" s="898"/>
      <c r="BS475" s="898"/>
      <c r="BT475" s="898"/>
      <c r="BU475" s="898"/>
      <c r="BV475" s="898"/>
      <c r="BW475" s="898"/>
      <c r="BX475" s="898"/>
      <c r="BY475" s="898"/>
      <c r="BZ475" s="898"/>
      <c r="CA475" s="898"/>
      <c r="CB475" s="898"/>
      <c r="CC475" s="898"/>
      <c r="CD475" s="898"/>
      <c r="CE475" s="898"/>
      <c r="CF475" s="898"/>
      <c r="CG475" s="898"/>
      <c r="CH475" s="898"/>
      <c r="CI475" s="898"/>
      <c r="CJ475" s="898"/>
      <c r="CK475" s="898"/>
      <c r="CL475" s="898"/>
      <c r="CM475" s="898"/>
      <c r="CN475" s="898"/>
      <c r="CO475" s="898"/>
      <c r="CP475" s="898"/>
      <c r="CQ475" s="898"/>
      <c r="CR475" s="898"/>
      <c r="CS475" s="898"/>
      <c r="CT475" s="898"/>
      <c r="CU475" s="898"/>
    </row>
    <row r="476" ht="16.5" customHeight="1">
      <c r="A476" s="718"/>
      <c r="B476" s="1195"/>
      <c r="C476" s="866"/>
      <c r="D476" s="968"/>
      <c r="E476" s="718"/>
      <c r="F476" s="718"/>
      <c r="G476" s="718"/>
      <c r="H476" s="718"/>
      <c r="I476" s="359"/>
      <c r="J476" s="359"/>
      <c r="K476" s="359"/>
      <c r="L476" s="359"/>
      <c r="M476" s="359"/>
      <c r="N476" s="359"/>
      <c r="O476" s="359"/>
      <c r="P476" s="359"/>
      <c r="Q476" s="359"/>
      <c r="R476" s="718"/>
      <c r="S476" s="669"/>
      <c r="T476" s="669"/>
      <c r="U476" s="967"/>
      <c r="V476" s="974"/>
      <c r="W476" s="1197"/>
      <c r="X476" s="974"/>
      <c r="Y476" s="974"/>
      <c r="Z476" s="974"/>
      <c r="AA476" s="974"/>
      <c r="AB476" s="974"/>
      <c r="AC476" s="974"/>
      <c r="AD476" s="974"/>
      <c r="AE476" s="974"/>
      <c r="AF476" s="974"/>
      <c r="AG476" s="974"/>
      <c r="AH476" s="974"/>
      <c r="AI476" s="1198"/>
      <c r="AJ476" s="974"/>
      <c r="AK476" s="1197"/>
      <c r="AL476" s="974"/>
      <c r="AM476" s="974"/>
      <c r="AN476" s="974"/>
      <c r="AO476" s="974"/>
      <c r="AP476" s="974"/>
      <c r="AQ476" s="974"/>
      <c r="AR476" s="974"/>
      <c r="AS476" s="974"/>
      <c r="AT476" s="974"/>
      <c r="AU476" s="974"/>
      <c r="AV476" s="974"/>
      <c r="AW476" s="1181"/>
      <c r="AX476" s="978"/>
      <c r="AY476" s="898"/>
      <c r="AZ476" s="898"/>
      <c r="BA476" s="898"/>
      <c r="BB476" s="898"/>
      <c r="BC476" s="898"/>
      <c r="BD476" s="898"/>
      <c r="BE476" s="898"/>
      <c r="BF476" s="898"/>
      <c r="BG476" s="898"/>
      <c r="BH476" s="898"/>
      <c r="BI476" s="898"/>
      <c r="BJ476" s="898"/>
      <c r="BK476" s="898"/>
      <c r="BL476" s="898"/>
      <c r="BM476" s="898"/>
      <c r="BN476" s="898"/>
      <c r="BO476" s="898"/>
      <c r="BP476" s="898"/>
      <c r="BQ476" s="898"/>
      <c r="BR476" s="898"/>
      <c r="BS476" s="898"/>
      <c r="BT476" s="898"/>
      <c r="BU476" s="898"/>
      <c r="BV476" s="898"/>
      <c r="BW476" s="898"/>
      <c r="BX476" s="898"/>
      <c r="BY476" s="898"/>
      <c r="BZ476" s="898"/>
      <c r="CA476" s="898"/>
      <c r="CB476" s="898"/>
      <c r="CC476" s="898"/>
      <c r="CD476" s="898"/>
      <c r="CE476" s="898"/>
      <c r="CF476" s="898"/>
      <c r="CG476" s="898"/>
      <c r="CH476" s="898"/>
      <c r="CI476" s="898"/>
      <c r="CJ476" s="898"/>
      <c r="CK476" s="898"/>
      <c r="CL476" s="898"/>
      <c r="CM476" s="898"/>
      <c r="CN476" s="898"/>
      <c r="CO476" s="898"/>
      <c r="CP476" s="898"/>
      <c r="CQ476" s="898"/>
      <c r="CR476" s="898"/>
      <c r="CS476" s="898"/>
      <c r="CT476" s="898"/>
      <c r="CU476" s="898"/>
    </row>
    <row r="477" ht="16.5" customHeight="1">
      <c r="A477" s="718"/>
      <c r="B477" s="1195"/>
      <c r="C477" s="866"/>
      <c r="D477" s="968"/>
      <c r="E477" s="718"/>
      <c r="F477" s="718"/>
      <c r="G477" s="718"/>
      <c r="H477" s="718"/>
      <c r="I477" s="359"/>
      <c r="J477" s="359"/>
      <c r="K477" s="359"/>
      <c r="L477" s="359"/>
      <c r="M477" s="359"/>
      <c r="N477" s="359"/>
      <c r="O477" s="359"/>
      <c r="P477" s="359"/>
      <c r="Q477" s="359"/>
      <c r="R477" s="718"/>
      <c r="S477" s="669"/>
      <c r="T477" s="669"/>
      <c r="U477" s="967"/>
      <c r="V477" s="974"/>
      <c r="W477" s="1197"/>
      <c r="X477" s="974"/>
      <c r="Y477" s="974"/>
      <c r="Z477" s="974"/>
      <c r="AA477" s="974"/>
      <c r="AB477" s="974"/>
      <c r="AC477" s="974"/>
      <c r="AD477" s="974"/>
      <c r="AE477" s="974"/>
      <c r="AF477" s="974"/>
      <c r="AG477" s="974"/>
      <c r="AH477" s="974"/>
      <c r="AI477" s="1198"/>
      <c r="AJ477" s="974"/>
      <c r="AK477" s="1197"/>
      <c r="AL477" s="974"/>
      <c r="AM477" s="974"/>
      <c r="AN477" s="974"/>
      <c r="AO477" s="974"/>
      <c r="AP477" s="974"/>
      <c r="AQ477" s="974"/>
      <c r="AR477" s="974"/>
      <c r="AS477" s="974"/>
      <c r="AT477" s="974"/>
      <c r="AU477" s="974"/>
      <c r="AV477" s="974"/>
      <c r="AW477" s="1181"/>
      <c r="AX477" s="978"/>
      <c r="AY477" s="898"/>
      <c r="AZ477" s="898"/>
      <c r="BA477" s="898"/>
      <c r="BB477" s="898"/>
      <c r="BC477" s="898"/>
      <c r="BD477" s="898"/>
      <c r="BE477" s="898"/>
      <c r="BF477" s="898"/>
      <c r="BG477" s="898"/>
      <c r="BH477" s="898"/>
      <c r="BI477" s="898"/>
      <c r="BJ477" s="898"/>
      <c r="BK477" s="898"/>
      <c r="BL477" s="898"/>
      <c r="BM477" s="898"/>
      <c r="BN477" s="898"/>
      <c r="BO477" s="898"/>
      <c r="BP477" s="898"/>
      <c r="BQ477" s="898"/>
      <c r="BR477" s="898"/>
      <c r="BS477" s="898"/>
      <c r="BT477" s="898"/>
      <c r="BU477" s="898"/>
      <c r="BV477" s="898"/>
      <c r="BW477" s="898"/>
      <c r="BX477" s="898"/>
      <c r="BY477" s="898"/>
      <c r="BZ477" s="898"/>
      <c r="CA477" s="898"/>
      <c r="CB477" s="898"/>
      <c r="CC477" s="898"/>
      <c r="CD477" s="898"/>
      <c r="CE477" s="898"/>
      <c r="CF477" s="898"/>
      <c r="CG477" s="898"/>
      <c r="CH477" s="898"/>
      <c r="CI477" s="898"/>
      <c r="CJ477" s="898"/>
      <c r="CK477" s="898"/>
      <c r="CL477" s="898"/>
      <c r="CM477" s="898"/>
      <c r="CN477" s="898"/>
      <c r="CO477" s="898"/>
      <c r="CP477" s="898"/>
      <c r="CQ477" s="898"/>
      <c r="CR477" s="898"/>
      <c r="CS477" s="898"/>
      <c r="CT477" s="898"/>
      <c r="CU477" s="898"/>
    </row>
    <row r="478" ht="16.5" customHeight="1">
      <c r="A478" s="718"/>
      <c r="B478" s="1195"/>
      <c r="C478" s="866"/>
      <c r="D478" s="968"/>
      <c r="E478" s="718"/>
      <c r="F478" s="718"/>
      <c r="G478" s="718"/>
      <c r="H478" s="718"/>
      <c r="I478" s="359"/>
      <c r="J478" s="359"/>
      <c r="K478" s="359"/>
      <c r="L478" s="359"/>
      <c r="M478" s="359"/>
      <c r="N478" s="359"/>
      <c r="O478" s="359"/>
      <c r="P478" s="359"/>
      <c r="Q478" s="359"/>
      <c r="R478" s="718"/>
      <c r="S478" s="669"/>
      <c r="T478" s="669"/>
      <c r="U478" s="967"/>
      <c r="V478" s="974"/>
      <c r="W478" s="1197"/>
      <c r="X478" s="974"/>
      <c r="Y478" s="974"/>
      <c r="Z478" s="974"/>
      <c r="AA478" s="974"/>
      <c r="AB478" s="974"/>
      <c r="AC478" s="974"/>
      <c r="AD478" s="974"/>
      <c r="AE478" s="974"/>
      <c r="AF478" s="974"/>
      <c r="AG478" s="974"/>
      <c r="AH478" s="974"/>
      <c r="AI478" s="1198"/>
      <c r="AJ478" s="974"/>
      <c r="AK478" s="1197"/>
      <c r="AL478" s="974"/>
      <c r="AM478" s="974"/>
      <c r="AN478" s="974"/>
      <c r="AO478" s="974"/>
      <c r="AP478" s="974"/>
      <c r="AQ478" s="974"/>
      <c r="AR478" s="974"/>
      <c r="AS478" s="974"/>
      <c r="AT478" s="974"/>
      <c r="AU478" s="974"/>
      <c r="AV478" s="974"/>
      <c r="AW478" s="1181"/>
      <c r="AX478" s="978"/>
      <c r="AY478" s="898"/>
      <c r="AZ478" s="898"/>
      <c r="BA478" s="898"/>
      <c r="BB478" s="898"/>
      <c r="BC478" s="898"/>
      <c r="BD478" s="898"/>
      <c r="BE478" s="898"/>
      <c r="BF478" s="898"/>
      <c r="BG478" s="898"/>
      <c r="BH478" s="898"/>
      <c r="BI478" s="898"/>
      <c r="BJ478" s="898"/>
      <c r="BK478" s="898"/>
      <c r="BL478" s="898"/>
      <c r="BM478" s="898"/>
      <c r="BN478" s="898"/>
      <c r="BO478" s="898"/>
      <c r="BP478" s="898"/>
      <c r="BQ478" s="898"/>
      <c r="BR478" s="898"/>
      <c r="BS478" s="898"/>
      <c r="BT478" s="898"/>
      <c r="BU478" s="898"/>
      <c r="BV478" s="898"/>
      <c r="BW478" s="898"/>
      <c r="BX478" s="898"/>
      <c r="BY478" s="898"/>
      <c r="BZ478" s="898"/>
      <c r="CA478" s="898"/>
      <c r="CB478" s="898"/>
      <c r="CC478" s="898"/>
      <c r="CD478" s="898"/>
      <c r="CE478" s="898"/>
      <c r="CF478" s="898"/>
      <c r="CG478" s="898"/>
      <c r="CH478" s="898"/>
      <c r="CI478" s="898"/>
      <c r="CJ478" s="898"/>
      <c r="CK478" s="898"/>
      <c r="CL478" s="898"/>
      <c r="CM478" s="898"/>
      <c r="CN478" s="898"/>
      <c r="CO478" s="898"/>
      <c r="CP478" s="898"/>
      <c r="CQ478" s="898"/>
      <c r="CR478" s="898"/>
      <c r="CS478" s="898"/>
      <c r="CT478" s="898"/>
      <c r="CU478" s="898"/>
    </row>
    <row r="479" ht="16.5" customHeight="1">
      <c r="A479" s="718"/>
      <c r="B479" s="1195"/>
      <c r="C479" s="866"/>
      <c r="D479" s="968"/>
      <c r="E479" s="718"/>
      <c r="F479" s="718"/>
      <c r="G479" s="718"/>
      <c r="H479" s="718"/>
      <c r="I479" s="359"/>
      <c r="J479" s="359"/>
      <c r="K479" s="359"/>
      <c r="L479" s="359"/>
      <c r="M479" s="359"/>
      <c r="N479" s="359"/>
      <c r="O479" s="359"/>
      <c r="P479" s="359"/>
      <c r="Q479" s="359"/>
      <c r="R479" s="718"/>
      <c r="S479" s="669"/>
      <c r="T479" s="669"/>
      <c r="U479" s="967"/>
      <c r="V479" s="974"/>
      <c r="W479" s="1197"/>
      <c r="X479" s="974"/>
      <c r="Y479" s="974"/>
      <c r="Z479" s="974"/>
      <c r="AA479" s="974"/>
      <c r="AB479" s="974"/>
      <c r="AC479" s="974"/>
      <c r="AD479" s="974"/>
      <c r="AE479" s="974"/>
      <c r="AF479" s="974"/>
      <c r="AG479" s="974"/>
      <c r="AH479" s="974"/>
      <c r="AI479" s="1198"/>
      <c r="AJ479" s="974"/>
      <c r="AK479" s="1197"/>
      <c r="AL479" s="974"/>
      <c r="AM479" s="974"/>
      <c r="AN479" s="974"/>
      <c r="AO479" s="974"/>
      <c r="AP479" s="974"/>
      <c r="AQ479" s="974"/>
      <c r="AR479" s="974"/>
      <c r="AS479" s="974"/>
      <c r="AT479" s="974"/>
      <c r="AU479" s="974"/>
      <c r="AV479" s="974"/>
      <c r="AW479" s="1181"/>
      <c r="AX479" s="978"/>
      <c r="AY479" s="898"/>
      <c r="AZ479" s="898"/>
      <c r="BA479" s="898"/>
      <c r="BB479" s="898"/>
      <c r="BC479" s="898"/>
      <c r="BD479" s="898"/>
      <c r="BE479" s="898"/>
      <c r="BF479" s="898"/>
      <c r="BG479" s="898"/>
      <c r="BH479" s="898"/>
      <c r="BI479" s="898"/>
      <c r="BJ479" s="898"/>
      <c r="BK479" s="898"/>
      <c r="BL479" s="898"/>
      <c r="BM479" s="898"/>
      <c r="BN479" s="898"/>
      <c r="BO479" s="898"/>
      <c r="BP479" s="898"/>
      <c r="BQ479" s="898"/>
      <c r="BR479" s="898"/>
      <c r="BS479" s="898"/>
      <c r="BT479" s="898"/>
      <c r="BU479" s="898"/>
      <c r="BV479" s="898"/>
      <c r="BW479" s="898"/>
      <c r="BX479" s="898"/>
      <c r="BY479" s="898"/>
      <c r="BZ479" s="898"/>
      <c r="CA479" s="898"/>
      <c r="CB479" s="898"/>
      <c r="CC479" s="898"/>
      <c r="CD479" s="898"/>
      <c r="CE479" s="898"/>
      <c r="CF479" s="898"/>
      <c r="CG479" s="898"/>
      <c r="CH479" s="898"/>
      <c r="CI479" s="898"/>
      <c r="CJ479" s="898"/>
      <c r="CK479" s="898"/>
      <c r="CL479" s="898"/>
      <c r="CM479" s="898"/>
      <c r="CN479" s="898"/>
      <c r="CO479" s="898"/>
      <c r="CP479" s="898"/>
      <c r="CQ479" s="898"/>
      <c r="CR479" s="898"/>
      <c r="CS479" s="898"/>
      <c r="CT479" s="898"/>
      <c r="CU479" s="898"/>
    </row>
    <row r="480" ht="16.5" customHeight="1">
      <c r="A480" s="718"/>
      <c r="B480" s="1195"/>
      <c r="C480" s="866"/>
      <c r="D480" s="968"/>
      <c r="E480" s="718"/>
      <c r="F480" s="718"/>
      <c r="G480" s="718"/>
      <c r="H480" s="718"/>
      <c r="I480" s="359"/>
      <c r="J480" s="359"/>
      <c r="K480" s="359"/>
      <c r="L480" s="359"/>
      <c r="M480" s="359"/>
      <c r="N480" s="359"/>
      <c r="O480" s="359"/>
      <c r="P480" s="359"/>
      <c r="Q480" s="359"/>
      <c r="R480" s="718"/>
      <c r="S480" s="669"/>
      <c r="T480" s="669"/>
      <c r="U480" s="967"/>
      <c r="V480" s="974"/>
      <c r="W480" s="1197"/>
      <c r="X480" s="974"/>
      <c r="Y480" s="974"/>
      <c r="Z480" s="974"/>
      <c r="AA480" s="974"/>
      <c r="AB480" s="974"/>
      <c r="AC480" s="974"/>
      <c r="AD480" s="974"/>
      <c r="AE480" s="974"/>
      <c r="AF480" s="974"/>
      <c r="AG480" s="974"/>
      <c r="AH480" s="974"/>
      <c r="AI480" s="1198"/>
      <c r="AJ480" s="974"/>
      <c r="AK480" s="1197"/>
      <c r="AL480" s="974"/>
      <c r="AM480" s="974"/>
      <c r="AN480" s="974"/>
      <c r="AO480" s="974"/>
      <c r="AP480" s="974"/>
      <c r="AQ480" s="974"/>
      <c r="AR480" s="974"/>
      <c r="AS480" s="974"/>
      <c r="AT480" s="974"/>
      <c r="AU480" s="974"/>
      <c r="AV480" s="974"/>
      <c r="AW480" s="1181"/>
      <c r="AX480" s="978"/>
      <c r="AY480" s="898"/>
      <c r="AZ480" s="898"/>
      <c r="BA480" s="898"/>
      <c r="BB480" s="898"/>
      <c r="BC480" s="898"/>
      <c r="BD480" s="898"/>
      <c r="BE480" s="898"/>
      <c r="BF480" s="898"/>
      <c r="BG480" s="898"/>
      <c r="BH480" s="898"/>
      <c r="BI480" s="898"/>
      <c r="BJ480" s="898"/>
      <c r="BK480" s="898"/>
      <c r="BL480" s="898"/>
      <c r="BM480" s="898"/>
      <c r="BN480" s="898"/>
      <c r="BO480" s="898"/>
      <c r="BP480" s="898"/>
      <c r="BQ480" s="898"/>
      <c r="BR480" s="898"/>
      <c r="BS480" s="898"/>
      <c r="BT480" s="898"/>
      <c r="BU480" s="898"/>
      <c r="BV480" s="898"/>
      <c r="BW480" s="898"/>
      <c r="BX480" s="898"/>
      <c r="BY480" s="898"/>
      <c r="BZ480" s="898"/>
      <c r="CA480" s="898"/>
      <c r="CB480" s="898"/>
      <c r="CC480" s="898"/>
      <c r="CD480" s="898"/>
      <c r="CE480" s="898"/>
      <c r="CF480" s="898"/>
      <c r="CG480" s="898"/>
      <c r="CH480" s="898"/>
      <c r="CI480" s="898"/>
      <c r="CJ480" s="898"/>
      <c r="CK480" s="898"/>
      <c r="CL480" s="898"/>
      <c r="CM480" s="898"/>
      <c r="CN480" s="898"/>
      <c r="CO480" s="898"/>
      <c r="CP480" s="898"/>
      <c r="CQ480" s="898"/>
      <c r="CR480" s="898"/>
      <c r="CS480" s="898"/>
      <c r="CT480" s="898"/>
      <c r="CU480" s="898"/>
    </row>
    <row r="481" ht="16.5" customHeight="1">
      <c r="A481" s="718"/>
      <c r="B481" s="1195"/>
      <c r="C481" s="866"/>
      <c r="D481" s="968"/>
      <c r="E481" s="718"/>
      <c r="F481" s="718"/>
      <c r="G481" s="718"/>
      <c r="H481" s="718"/>
      <c r="I481" s="359"/>
      <c r="J481" s="359"/>
      <c r="K481" s="359"/>
      <c r="L481" s="359"/>
      <c r="M481" s="359"/>
      <c r="N481" s="359"/>
      <c r="O481" s="359"/>
      <c r="P481" s="359"/>
      <c r="Q481" s="359"/>
      <c r="R481" s="718"/>
      <c r="S481" s="669"/>
      <c r="T481" s="669"/>
      <c r="U481" s="967"/>
      <c r="V481" s="974"/>
      <c r="W481" s="1197"/>
      <c r="X481" s="974"/>
      <c r="Y481" s="974"/>
      <c r="Z481" s="974"/>
      <c r="AA481" s="974"/>
      <c r="AB481" s="974"/>
      <c r="AC481" s="974"/>
      <c r="AD481" s="974"/>
      <c r="AE481" s="974"/>
      <c r="AF481" s="974"/>
      <c r="AG481" s="974"/>
      <c r="AH481" s="974"/>
      <c r="AI481" s="1198"/>
      <c r="AJ481" s="974"/>
      <c r="AK481" s="1197"/>
      <c r="AL481" s="974"/>
      <c r="AM481" s="974"/>
      <c r="AN481" s="974"/>
      <c r="AO481" s="974"/>
      <c r="AP481" s="974"/>
      <c r="AQ481" s="974"/>
      <c r="AR481" s="974"/>
      <c r="AS481" s="974"/>
      <c r="AT481" s="974"/>
      <c r="AU481" s="974"/>
      <c r="AV481" s="974"/>
      <c r="AW481" s="1181"/>
      <c r="AX481" s="978"/>
      <c r="AY481" s="898"/>
      <c r="AZ481" s="898"/>
      <c r="BA481" s="898"/>
      <c r="BB481" s="898"/>
      <c r="BC481" s="898"/>
      <c r="BD481" s="898"/>
      <c r="BE481" s="898"/>
      <c r="BF481" s="898"/>
      <c r="BG481" s="898"/>
      <c r="BH481" s="898"/>
      <c r="BI481" s="898"/>
      <c r="BJ481" s="898"/>
      <c r="BK481" s="898"/>
      <c r="BL481" s="898"/>
      <c r="BM481" s="898"/>
      <c r="BN481" s="898"/>
      <c r="BO481" s="898"/>
      <c r="BP481" s="898"/>
      <c r="BQ481" s="898"/>
      <c r="BR481" s="898"/>
      <c r="BS481" s="898"/>
      <c r="BT481" s="898"/>
      <c r="BU481" s="898"/>
      <c r="BV481" s="898"/>
      <c r="BW481" s="898"/>
      <c r="BX481" s="898"/>
      <c r="BY481" s="898"/>
      <c r="BZ481" s="898"/>
      <c r="CA481" s="898"/>
      <c r="CB481" s="898"/>
      <c r="CC481" s="898"/>
      <c r="CD481" s="898"/>
      <c r="CE481" s="898"/>
      <c r="CF481" s="898"/>
      <c r="CG481" s="898"/>
      <c r="CH481" s="898"/>
      <c r="CI481" s="898"/>
      <c r="CJ481" s="898"/>
      <c r="CK481" s="898"/>
      <c r="CL481" s="898"/>
      <c r="CM481" s="898"/>
      <c r="CN481" s="898"/>
      <c r="CO481" s="898"/>
      <c r="CP481" s="898"/>
      <c r="CQ481" s="898"/>
      <c r="CR481" s="898"/>
      <c r="CS481" s="898"/>
      <c r="CT481" s="898"/>
      <c r="CU481" s="898"/>
    </row>
    <row r="482" ht="16.5" customHeight="1">
      <c r="A482" s="718"/>
      <c r="B482" s="1195"/>
      <c r="C482" s="866"/>
      <c r="D482" s="968"/>
      <c r="E482" s="718"/>
      <c r="F482" s="718"/>
      <c r="G482" s="718"/>
      <c r="H482" s="718"/>
      <c r="I482" s="359"/>
      <c r="J482" s="359"/>
      <c r="K482" s="359"/>
      <c r="L482" s="359"/>
      <c r="M482" s="359"/>
      <c r="N482" s="359"/>
      <c r="O482" s="359"/>
      <c r="P482" s="359"/>
      <c r="Q482" s="359"/>
      <c r="R482" s="718"/>
      <c r="S482" s="669"/>
      <c r="T482" s="669"/>
      <c r="U482" s="967"/>
      <c r="V482" s="974"/>
      <c r="W482" s="1197"/>
      <c r="X482" s="974"/>
      <c r="Y482" s="974"/>
      <c r="Z482" s="974"/>
      <c r="AA482" s="974"/>
      <c r="AB482" s="974"/>
      <c r="AC482" s="974"/>
      <c r="AD482" s="974"/>
      <c r="AE482" s="974"/>
      <c r="AF482" s="974"/>
      <c r="AG482" s="974"/>
      <c r="AH482" s="974"/>
      <c r="AI482" s="1198"/>
      <c r="AJ482" s="974"/>
      <c r="AK482" s="1197"/>
      <c r="AL482" s="974"/>
      <c r="AM482" s="974"/>
      <c r="AN482" s="974"/>
      <c r="AO482" s="974"/>
      <c r="AP482" s="974"/>
      <c r="AQ482" s="974"/>
      <c r="AR482" s="974"/>
      <c r="AS482" s="974"/>
      <c r="AT482" s="974"/>
      <c r="AU482" s="974"/>
      <c r="AV482" s="974"/>
      <c r="AW482" s="1181"/>
      <c r="AX482" s="978"/>
      <c r="AY482" s="898"/>
      <c r="AZ482" s="898"/>
      <c r="BA482" s="898"/>
      <c r="BB482" s="898"/>
      <c r="BC482" s="898"/>
      <c r="BD482" s="898"/>
      <c r="BE482" s="898"/>
      <c r="BF482" s="898"/>
      <c r="BG482" s="898"/>
      <c r="BH482" s="898"/>
      <c r="BI482" s="898"/>
      <c r="BJ482" s="898"/>
      <c r="BK482" s="898"/>
      <c r="BL482" s="898"/>
      <c r="BM482" s="898"/>
      <c r="BN482" s="898"/>
      <c r="BO482" s="898"/>
      <c r="BP482" s="898"/>
      <c r="BQ482" s="898"/>
      <c r="BR482" s="898"/>
      <c r="BS482" s="898"/>
      <c r="BT482" s="898"/>
      <c r="BU482" s="898"/>
      <c r="BV482" s="898"/>
      <c r="BW482" s="898"/>
      <c r="BX482" s="898"/>
      <c r="BY482" s="898"/>
      <c r="BZ482" s="898"/>
      <c r="CA482" s="898"/>
      <c r="CB482" s="898"/>
      <c r="CC482" s="898"/>
      <c r="CD482" s="898"/>
      <c r="CE482" s="898"/>
      <c r="CF482" s="898"/>
      <c r="CG482" s="898"/>
      <c r="CH482" s="898"/>
      <c r="CI482" s="898"/>
      <c r="CJ482" s="898"/>
      <c r="CK482" s="898"/>
      <c r="CL482" s="898"/>
      <c r="CM482" s="898"/>
      <c r="CN482" s="898"/>
      <c r="CO482" s="898"/>
      <c r="CP482" s="898"/>
      <c r="CQ482" s="898"/>
      <c r="CR482" s="898"/>
      <c r="CS482" s="898"/>
      <c r="CT482" s="898"/>
      <c r="CU482" s="898"/>
    </row>
    <row r="483" ht="16.5" customHeight="1">
      <c r="A483" s="718"/>
      <c r="B483" s="1195"/>
      <c r="C483" s="866"/>
      <c r="D483" s="968"/>
      <c r="E483" s="718"/>
      <c r="F483" s="718"/>
      <c r="G483" s="718"/>
      <c r="H483" s="718"/>
      <c r="I483" s="359"/>
      <c r="J483" s="359"/>
      <c r="K483" s="359"/>
      <c r="L483" s="359"/>
      <c r="M483" s="359"/>
      <c r="N483" s="359"/>
      <c r="O483" s="359"/>
      <c r="P483" s="359"/>
      <c r="Q483" s="359"/>
      <c r="R483" s="718"/>
      <c r="S483" s="669"/>
      <c r="T483" s="669"/>
      <c r="U483" s="967"/>
      <c r="V483" s="974"/>
      <c r="W483" s="1197"/>
      <c r="X483" s="974"/>
      <c r="Y483" s="974"/>
      <c r="Z483" s="974"/>
      <c r="AA483" s="974"/>
      <c r="AB483" s="974"/>
      <c r="AC483" s="974"/>
      <c r="AD483" s="974"/>
      <c r="AE483" s="974"/>
      <c r="AF483" s="974"/>
      <c r="AG483" s="974"/>
      <c r="AH483" s="974"/>
      <c r="AI483" s="1198"/>
      <c r="AJ483" s="974"/>
      <c r="AK483" s="1197"/>
      <c r="AL483" s="974"/>
      <c r="AM483" s="974"/>
      <c r="AN483" s="974"/>
      <c r="AO483" s="974"/>
      <c r="AP483" s="974"/>
      <c r="AQ483" s="974"/>
      <c r="AR483" s="974"/>
      <c r="AS483" s="974"/>
      <c r="AT483" s="974"/>
      <c r="AU483" s="974"/>
      <c r="AV483" s="974"/>
      <c r="AW483" s="1181"/>
      <c r="AX483" s="978"/>
      <c r="AY483" s="898"/>
      <c r="AZ483" s="898"/>
      <c r="BA483" s="898"/>
      <c r="BB483" s="898"/>
      <c r="BC483" s="898"/>
      <c r="BD483" s="898"/>
      <c r="BE483" s="898"/>
      <c r="BF483" s="898"/>
      <c r="BG483" s="898"/>
      <c r="BH483" s="898"/>
      <c r="BI483" s="898"/>
      <c r="BJ483" s="898"/>
      <c r="BK483" s="898"/>
      <c r="BL483" s="898"/>
      <c r="BM483" s="898"/>
      <c r="BN483" s="898"/>
      <c r="BO483" s="898"/>
      <c r="BP483" s="898"/>
      <c r="BQ483" s="898"/>
      <c r="BR483" s="898"/>
      <c r="BS483" s="898"/>
      <c r="BT483" s="898"/>
      <c r="BU483" s="898"/>
      <c r="BV483" s="898"/>
      <c r="BW483" s="898"/>
      <c r="BX483" s="898"/>
      <c r="BY483" s="898"/>
      <c r="BZ483" s="898"/>
      <c r="CA483" s="898"/>
      <c r="CB483" s="898"/>
      <c r="CC483" s="898"/>
      <c r="CD483" s="898"/>
      <c r="CE483" s="898"/>
      <c r="CF483" s="898"/>
      <c r="CG483" s="898"/>
      <c r="CH483" s="898"/>
      <c r="CI483" s="898"/>
      <c r="CJ483" s="898"/>
      <c r="CK483" s="898"/>
      <c r="CL483" s="898"/>
      <c r="CM483" s="898"/>
      <c r="CN483" s="898"/>
      <c r="CO483" s="898"/>
      <c r="CP483" s="898"/>
      <c r="CQ483" s="898"/>
      <c r="CR483" s="898"/>
      <c r="CS483" s="898"/>
      <c r="CT483" s="898"/>
      <c r="CU483" s="898"/>
    </row>
    <row r="484" ht="16.5" customHeight="1">
      <c r="A484" s="718"/>
      <c r="B484" s="1195"/>
      <c r="C484" s="866"/>
      <c r="D484" s="968"/>
      <c r="E484" s="718"/>
      <c r="F484" s="718"/>
      <c r="G484" s="718"/>
      <c r="H484" s="718"/>
      <c r="I484" s="359"/>
      <c r="J484" s="359"/>
      <c r="K484" s="359"/>
      <c r="L484" s="359"/>
      <c r="M484" s="359"/>
      <c r="N484" s="359"/>
      <c r="O484" s="359"/>
      <c r="P484" s="359"/>
      <c r="Q484" s="359"/>
      <c r="R484" s="718"/>
      <c r="S484" s="669"/>
      <c r="T484" s="669"/>
      <c r="U484" s="967"/>
      <c r="V484" s="974"/>
      <c r="W484" s="1197"/>
      <c r="X484" s="974"/>
      <c r="Y484" s="974"/>
      <c r="Z484" s="974"/>
      <c r="AA484" s="974"/>
      <c r="AB484" s="974"/>
      <c r="AC484" s="974"/>
      <c r="AD484" s="974"/>
      <c r="AE484" s="974"/>
      <c r="AF484" s="974"/>
      <c r="AG484" s="974"/>
      <c r="AH484" s="974"/>
      <c r="AI484" s="1198"/>
      <c r="AJ484" s="974"/>
      <c r="AK484" s="1197"/>
      <c r="AL484" s="974"/>
      <c r="AM484" s="974"/>
      <c r="AN484" s="974"/>
      <c r="AO484" s="974"/>
      <c r="AP484" s="974"/>
      <c r="AQ484" s="974"/>
      <c r="AR484" s="974"/>
      <c r="AS484" s="974"/>
      <c r="AT484" s="974"/>
      <c r="AU484" s="974"/>
      <c r="AV484" s="974"/>
      <c r="AW484" s="1181"/>
      <c r="AX484" s="978"/>
      <c r="AY484" s="898"/>
      <c r="AZ484" s="898"/>
      <c r="BA484" s="898"/>
      <c r="BB484" s="898"/>
      <c r="BC484" s="898"/>
      <c r="BD484" s="898"/>
      <c r="BE484" s="898"/>
      <c r="BF484" s="898"/>
      <c r="BG484" s="898"/>
      <c r="BH484" s="898"/>
      <c r="BI484" s="898"/>
      <c r="BJ484" s="898"/>
      <c r="BK484" s="898"/>
      <c r="BL484" s="898"/>
      <c r="BM484" s="898"/>
      <c r="BN484" s="898"/>
      <c r="BO484" s="898"/>
      <c r="BP484" s="898"/>
      <c r="BQ484" s="898"/>
      <c r="BR484" s="898"/>
      <c r="BS484" s="898"/>
      <c r="BT484" s="898"/>
      <c r="BU484" s="898"/>
      <c r="BV484" s="898"/>
      <c r="BW484" s="898"/>
      <c r="BX484" s="898"/>
      <c r="BY484" s="898"/>
      <c r="BZ484" s="898"/>
      <c r="CA484" s="898"/>
      <c r="CB484" s="898"/>
      <c r="CC484" s="898"/>
      <c r="CD484" s="898"/>
      <c r="CE484" s="898"/>
      <c r="CF484" s="898"/>
      <c r="CG484" s="898"/>
      <c r="CH484" s="898"/>
      <c r="CI484" s="898"/>
      <c r="CJ484" s="898"/>
      <c r="CK484" s="898"/>
      <c r="CL484" s="898"/>
      <c r="CM484" s="898"/>
      <c r="CN484" s="898"/>
      <c r="CO484" s="898"/>
      <c r="CP484" s="898"/>
      <c r="CQ484" s="898"/>
      <c r="CR484" s="898"/>
      <c r="CS484" s="898"/>
      <c r="CT484" s="898"/>
      <c r="CU484" s="898"/>
    </row>
    <row r="485" ht="16.5" customHeight="1">
      <c r="A485" s="718"/>
      <c r="B485" s="1195"/>
      <c r="C485" s="866"/>
      <c r="D485" s="968"/>
      <c r="E485" s="718"/>
      <c r="F485" s="718"/>
      <c r="G485" s="718"/>
      <c r="H485" s="718"/>
      <c r="I485" s="359"/>
      <c r="J485" s="359"/>
      <c r="K485" s="359"/>
      <c r="L485" s="359"/>
      <c r="M485" s="359"/>
      <c r="N485" s="359"/>
      <c r="O485" s="359"/>
      <c r="P485" s="359"/>
      <c r="Q485" s="359"/>
      <c r="R485" s="718"/>
      <c r="S485" s="669"/>
      <c r="T485" s="669"/>
      <c r="U485" s="967"/>
      <c r="V485" s="974"/>
      <c r="W485" s="1197"/>
      <c r="X485" s="974"/>
      <c r="Y485" s="974"/>
      <c r="Z485" s="974"/>
      <c r="AA485" s="974"/>
      <c r="AB485" s="974"/>
      <c r="AC485" s="974"/>
      <c r="AD485" s="974"/>
      <c r="AE485" s="974"/>
      <c r="AF485" s="974"/>
      <c r="AG485" s="974"/>
      <c r="AH485" s="974"/>
      <c r="AI485" s="1198"/>
      <c r="AJ485" s="974"/>
      <c r="AK485" s="1197"/>
      <c r="AL485" s="974"/>
      <c r="AM485" s="974"/>
      <c r="AN485" s="974"/>
      <c r="AO485" s="974"/>
      <c r="AP485" s="974"/>
      <c r="AQ485" s="974"/>
      <c r="AR485" s="974"/>
      <c r="AS485" s="974"/>
      <c r="AT485" s="974"/>
      <c r="AU485" s="974"/>
      <c r="AV485" s="974"/>
      <c r="AW485" s="1181"/>
      <c r="AX485" s="978"/>
      <c r="AY485" s="898"/>
      <c r="AZ485" s="898"/>
      <c r="BA485" s="898"/>
      <c r="BB485" s="898"/>
      <c r="BC485" s="898"/>
      <c r="BD485" s="898"/>
      <c r="BE485" s="898"/>
      <c r="BF485" s="898"/>
      <c r="BG485" s="898"/>
      <c r="BH485" s="898"/>
      <c r="BI485" s="898"/>
      <c r="BJ485" s="898"/>
      <c r="BK485" s="898"/>
      <c r="BL485" s="898"/>
      <c r="BM485" s="898"/>
      <c r="BN485" s="898"/>
      <c r="BO485" s="898"/>
      <c r="BP485" s="898"/>
      <c r="BQ485" s="898"/>
      <c r="BR485" s="898"/>
      <c r="BS485" s="898"/>
      <c r="BT485" s="898"/>
      <c r="BU485" s="898"/>
      <c r="BV485" s="898"/>
      <c r="BW485" s="898"/>
      <c r="BX485" s="898"/>
      <c r="BY485" s="898"/>
      <c r="BZ485" s="898"/>
      <c r="CA485" s="898"/>
      <c r="CB485" s="898"/>
      <c r="CC485" s="898"/>
      <c r="CD485" s="898"/>
      <c r="CE485" s="898"/>
      <c r="CF485" s="898"/>
      <c r="CG485" s="898"/>
      <c r="CH485" s="898"/>
      <c r="CI485" s="898"/>
      <c r="CJ485" s="898"/>
      <c r="CK485" s="898"/>
      <c r="CL485" s="898"/>
      <c r="CM485" s="898"/>
      <c r="CN485" s="898"/>
      <c r="CO485" s="898"/>
      <c r="CP485" s="898"/>
      <c r="CQ485" s="898"/>
      <c r="CR485" s="898"/>
      <c r="CS485" s="898"/>
      <c r="CT485" s="898"/>
      <c r="CU485" s="898"/>
    </row>
    <row r="486" ht="16.5" customHeight="1">
      <c r="A486" s="718"/>
      <c r="B486" s="1195"/>
      <c r="C486" s="866"/>
      <c r="D486" s="968"/>
      <c r="E486" s="718"/>
      <c r="F486" s="718"/>
      <c r="G486" s="718"/>
      <c r="H486" s="718"/>
      <c r="I486" s="359"/>
      <c r="J486" s="359"/>
      <c r="K486" s="359"/>
      <c r="L486" s="359"/>
      <c r="M486" s="359"/>
      <c r="N486" s="359"/>
      <c r="O486" s="359"/>
      <c r="P486" s="359"/>
      <c r="Q486" s="359"/>
      <c r="R486" s="718"/>
      <c r="S486" s="669"/>
      <c r="T486" s="669"/>
      <c r="U486" s="967"/>
      <c r="V486" s="974"/>
      <c r="W486" s="1197"/>
      <c r="X486" s="974"/>
      <c r="Y486" s="974"/>
      <c r="Z486" s="974"/>
      <c r="AA486" s="974"/>
      <c r="AB486" s="974"/>
      <c r="AC486" s="974"/>
      <c r="AD486" s="974"/>
      <c r="AE486" s="974"/>
      <c r="AF486" s="974"/>
      <c r="AG486" s="974"/>
      <c r="AH486" s="974"/>
      <c r="AI486" s="1198"/>
      <c r="AJ486" s="974"/>
      <c r="AK486" s="1197"/>
      <c r="AL486" s="974"/>
      <c r="AM486" s="974"/>
      <c r="AN486" s="974"/>
      <c r="AO486" s="974"/>
      <c r="AP486" s="974"/>
      <c r="AQ486" s="974"/>
      <c r="AR486" s="974"/>
      <c r="AS486" s="974"/>
      <c r="AT486" s="974"/>
      <c r="AU486" s="974"/>
      <c r="AV486" s="974"/>
      <c r="AW486" s="1181"/>
      <c r="AX486" s="978"/>
      <c r="AY486" s="898"/>
      <c r="AZ486" s="898"/>
      <c r="BA486" s="898"/>
      <c r="BB486" s="898"/>
      <c r="BC486" s="898"/>
      <c r="BD486" s="898"/>
      <c r="BE486" s="898"/>
      <c r="BF486" s="898"/>
      <c r="BG486" s="898"/>
      <c r="BH486" s="898"/>
      <c r="BI486" s="898"/>
      <c r="BJ486" s="898"/>
      <c r="BK486" s="898"/>
      <c r="BL486" s="898"/>
      <c r="BM486" s="898"/>
      <c r="BN486" s="898"/>
      <c r="BO486" s="898"/>
      <c r="BP486" s="898"/>
      <c r="BQ486" s="898"/>
      <c r="BR486" s="898"/>
      <c r="BS486" s="898"/>
      <c r="BT486" s="898"/>
      <c r="BU486" s="898"/>
      <c r="BV486" s="898"/>
      <c r="BW486" s="898"/>
      <c r="BX486" s="898"/>
      <c r="BY486" s="898"/>
      <c r="BZ486" s="898"/>
      <c r="CA486" s="898"/>
      <c r="CB486" s="898"/>
      <c r="CC486" s="898"/>
      <c r="CD486" s="898"/>
      <c r="CE486" s="898"/>
      <c r="CF486" s="898"/>
      <c r="CG486" s="898"/>
      <c r="CH486" s="898"/>
      <c r="CI486" s="898"/>
      <c r="CJ486" s="898"/>
      <c r="CK486" s="898"/>
      <c r="CL486" s="898"/>
      <c r="CM486" s="898"/>
      <c r="CN486" s="898"/>
      <c r="CO486" s="898"/>
      <c r="CP486" s="898"/>
      <c r="CQ486" s="898"/>
      <c r="CR486" s="898"/>
      <c r="CS486" s="898"/>
      <c r="CT486" s="898"/>
      <c r="CU486" s="898"/>
    </row>
    <row r="487" ht="16.5" customHeight="1">
      <c r="A487" s="718"/>
      <c r="B487" s="1195"/>
      <c r="C487" s="866"/>
      <c r="D487" s="968"/>
      <c r="E487" s="718"/>
      <c r="F487" s="718"/>
      <c r="G487" s="718"/>
      <c r="H487" s="718"/>
      <c r="I487" s="359"/>
      <c r="J487" s="359"/>
      <c r="K487" s="359"/>
      <c r="L487" s="359"/>
      <c r="M487" s="359"/>
      <c r="N487" s="359"/>
      <c r="O487" s="359"/>
      <c r="P487" s="359"/>
      <c r="Q487" s="359"/>
      <c r="R487" s="718"/>
      <c r="S487" s="669"/>
      <c r="T487" s="669"/>
      <c r="U487" s="967"/>
      <c r="V487" s="974"/>
      <c r="W487" s="1197"/>
      <c r="X487" s="974"/>
      <c r="Y487" s="974"/>
      <c r="Z487" s="974"/>
      <c r="AA487" s="974"/>
      <c r="AB487" s="974"/>
      <c r="AC487" s="974"/>
      <c r="AD487" s="974"/>
      <c r="AE487" s="974"/>
      <c r="AF487" s="974"/>
      <c r="AG487" s="974"/>
      <c r="AH487" s="974"/>
      <c r="AI487" s="1198"/>
      <c r="AJ487" s="974"/>
      <c r="AK487" s="1197"/>
      <c r="AL487" s="974"/>
      <c r="AM487" s="974"/>
      <c r="AN487" s="974"/>
      <c r="AO487" s="974"/>
      <c r="AP487" s="974"/>
      <c r="AQ487" s="974"/>
      <c r="AR487" s="974"/>
      <c r="AS487" s="974"/>
      <c r="AT487" s="974"/>
      <c r="AU487" s="974"/>
      <c r="AV487" s="974"/>
      <c r="AW487" s="1181"/>
      <c r="AX487" s="978"/>
      <c r="AY487" s="898"/>
      <c r="AZ487" s="898"/>
      <c r="BA487" s="898"/>
      <c r="BB487" s="898"/>
      <c r="BC487" s="898"/>
      <c r="BD487" s="898"/>
      <c r="BE487" s="898"/>
      <c r="BF487" s="898"/>
      <c r="BG487" s="898"/>
      <c r="BH487" s="898"/>
      <c r="BI487" s="898"/>
      <c r="BJ487" s="898"/>
      <c r="BK487" s="898"/>
      <c r="BL487" s="898"/>
      <c r="BM487" s="898"/>
      <c r="BN487" s="898"/>
      <c r="BO487" s="898"/>
      <c r="BP487" s="898"/>
      <c r="BQ487" s="898"/>
      <c r="BR487" s="898"/>
      <c r="BS487" s="898"/>
      <c r="BT487" s="898"/>
      <c r="BU487" s="898"/>
      <c r="BV487" s="898"/>
      <c r="BW487" s="898"/>
      <c r="BX487" s="898"/>
      <c r="BY487" s="898"/>
      <c r="BZ487" s="898"/>
      <c r="CA487" s="898"/>
      <c r="CB487" s="898"/>
      <c r="CC487" s="898"/>
      <c r="CD487" s="898"/>
      <c r="CE487" s="898"/>
      <c r="CF487" s="898"/>
      <c r="CG487" s="898"/>
      <c r="CH487" s="898"/>
      <c r="CI487" s="898"/>
      <c r="CJ487" s="898"/>
      <c r="CK487" s="898"/>
      <c r="CL487" s="898"/>
      <c r="CM487" s="898"/>
      <c r="CN487" s="898"/>
      <c r="CO487" s="898"/>
      <c r="CP487" s="898"/>
      <c r="CQ487" s="898"/>
      <c r="CR487" s="898"/>
      <c r="CS487" s="898"/>
      <c r="CT487" s="898"/>
      <c r="CU487" s="898"/>
    </row>
    <row r="488" ht="16.5" customHeight="1">
      <c r="A488" s="718"/>
      <c r="B488" s="1195"/>
      <c r="C488" s="866"/>
      <c r="D488" s="968"/>
      <c r="E488" s="718"/>
      <c r="F488" s="718"/>
      <c r="G488" s="718"/>
      <c r="H488" s="718"/>
      <c r="I488" s="359"/>
      <c r="J488" s="359"/>
      <c r="K488" s="359"/>
      <c r="L488" s="359"/>
      <c r="M488" s="359"/>
      <c r="N488" s="359"/>
      <c r="O488" s="359"/>
      <c r="P488" s="359"/>
      <c r="Q488" s="359"/>
      <c r="R488" s="718"/>
      <c r="S488" s="669"/>
      <c r="T488" s="669"/>
      <c r="U488" s="967"/>
      <c r="V488" s="974"/>
      <c r="W488" s="1197"/>
      <c r="X488" s="974"/>
      <c r="Y488" s="974"/>
      <c r="Z488" s="974"/>
      <c r="AA488" s="974"/>
      <c r="AB488" s="974"/>
      <c r="AC488" s="974"/>
      <c r="AD488" s="974"/>
      <c r="AE488" s="974"/>
      <c r="AF488" s="974"/>
      <c r="AG488" s="974"/>
      <c r="AH488" s="974"/>
      <c r="AI488" s="1198"/>
      <c r="AJ488" s="974"/>
      <c r="AK488" s="1197"/>
      <c r="AL488" s="974"/>
      <c r="AM488" s="974"/>
      <c r="AN488" s="974"/>
      <c r="AO488" s="974"/>
      <c r="AP488" s="974"/>
      <c r="AQ488" s="974"/>
      <c r="AR488" s="974"/>
      <c r="AS488" s="974"/>
      <c r="AT488" s="974"/>
      <c r="AU488" s="974"/>
      <c r="AV488" s="974"/>
      <c r="AW488" s="1181"/>
      <c r="AX488" s="978"/>
      <c r="AY488" s="898"/>
      <c r="AZ488" s="898"/>
      <c r="BA488" s="898"/>
      <c r="BB488" s="898"/>
      <c r="BC488" s="898"/>
      <c r="BD488" s="898"/>
      <c r="BE488" s="898"/>
      <c r="BF488" s="898"/>
      <c r="BG488" s="898"/>
      <c r="BH488" s="898"/>
      <c r="BI488" s="898"/>
      <c r="BJ488" s="898"/>
      <c r="BK488" s="898"/>
      <c r="BL488" s="898"/>
      <c r="BM488" s="898"/>
      <c r="BN488" s="898"/>
      <c r="BO488" s="898"/>
      <c r="BP488" s="898"/>
      <c r="BQ488" s="898"/>
      <c r="BR488" s="898"/>
      <c r="BS488" s="898"/>
      <c r="BT488" s="898"/>
      <c r="BU488" s="898"/>
      <c r="BV488" s="898"/>
      <c r="BW488" s="898"/>
      <c r="BX488" s="898"/>
      <c r="BY488" s="898"/>
      <c r="BZ488" s="898"/>
      <c r="CA488" s="898"/>
      <c r="CB488" s="898"/>
      <c r="CC488" s="898"/>
      <c r="CD488" s="898"/>
      <c r="CE488" s="898"/>
      <c r="CF488" s="898"/>
      <c r="CG488" s="898"/>
      <c r="CH488" s="898"/>
      <c r="CI488" s="898"/>
      <c r="CJ488" s="898"/>
      <c r="CK488" s="898"/>
      <c r="CL488" s="898"/>
      <c r="CM488" s="898"/>
      <c r="CN488" s="898"/>
      <c r="CO488" s="898"/>
      <c r="CP488" s="898"/>
      <c r="CQ488" s="898"/>
      <c r="CR488" s="898"/>
      <c r="CS488" s="898"/>
      <c r="CT488" s="898"/>
      <c r="CU488" s="898"/>
    </row>
    <row r="489" ht="16.5" customHeight="1">
      <c r="A489" s="718"/>
      <c r="B489" s="1195"/>
      <c r="C489" s="866"/>
      <c r="D489" s="968"/>
      <c r="E489" s="718"/>
      <c r="F489" s="718"/>
      <c r="G489" s="718"/>
      <c r="H489" s="718"/>
      <c r="I489" s="359"/>
      <c r="J489" s="359"/>
      <c r="K489" s="359"/>
      <c r="L489" s="359"/>
      <c r="M489" s="359"/>
      <c r="N489" s="359"/>
      <c r="O489" s="359"/>
      <c r="P489" s="359"/>
      <c r="Q489" s="359"/>
      <c r="R489" s="718"/>
      <c r="S489" s="669"/>
      <c r="T489" s="669"/>
      <c r="U489" s="967"/>
      <c r="V489" s="974"/>
      <c r="W489" s="1197"/>
      <c r="X489" s="974"/>
      <c r="Y489" s="974"/>
      <c r="Z489" s="974"/>
      <c r="AA489" s="974"/>
      <c r="AB489" s="974"/>
      <c r="AC489" s="974"/>
      <c r="AD489" s="974"/>
      <c r="AE489" s="974"/>
      <c r="AF489" s="974"/>
      <c r="AG489" s="974"/>
      <c r="AH489" s="974"/>
      <c r="AI489" s="1198"/>
      <c r="AJ489" s="974"/>
      <c r="AK489" s="1197"/>
      <c r="AL489" s="974"/>
      <c r="AM489" s="974"/>
      <c r="AN489" s="974"/>
      <c r="AO489" s="974"/>
      <c r="AP489" s="974"/>
      <c r="AQ489" s="974"/>
      <c r="AR489" s="974"/>
      <c r="AS489" s="974"/>
      <c r="AT489" s="974"/>
      <c r="AU489" s="974"/>
      <c r="AV489" s="974"/>
      <c r="AW489" s="1181"/>
      <c r="AX489" s="978"/>
      <c r="AY489" s="898"/>
      <c r="AZ489" s="898"/>
      <c r="BA489" s="898"/>
      <c r="BB489" s="898"/>
      <c r="BC489" s="898"/>
      <c r="BD489" s="898"/>
      <c r="BE489" s="898"/>
      <c r="BF489" s="898"/>
      <c r="BG489" s="898"/>
      <c r="BH489" s="898"/>
      <c r="BI489" s="898"/>
      <c r="BJ489" s="898"/>
      <c r="BK489" s="898"/>
      <c r="BL489" s="898"/>
      <c r="BM489" s="898"/>
      <c r="BN489" s="898"/>
      <c r="BO489" s="898"/>
      <c r="BP489" s="898"/>
      <c r="BQ489" s="898"/>
      <c r="BR489" s="898"/>
      <c r="BS489" s="898"/>
      <c r="BT489" s="898"/>
      <c r="BU489" s="898"/>
      <c r="BV489" s="898"/>
      <c r="BW489" s="898"/>
      <c r="BX489" s="898"/>
      <c r="BY489" s="898"/>
      <c r="BZ489" s="898"/>
      <c r="CA489" s="898"/>
      <c r="CB489" s="898"/>
      <c r="CC489" s="898"/>
      <c r="CD489" s="898"/>
      <c r="CE489" s="898"/>
      <c r="CF489" s="898"/>
      <c r="CG489" s="898"/>
      <c r="CH489" s="898"/>
      <c r="CI489" s="898"/>
      <c r="CJ489" s="898"/>
      <c r="CK489" s="898"/>
      <c r="CL489" s="898"/>
      <c r="CM489" s="898"/>
      <c r="CN489" s="898"/>
      <c r="CO489" s="898"/>
      <c r="CP489" s="898"/>
      <c r="CQ489" s="898"/>
      <c r="CR489" s="898"/>
      <c r="CS489" s="898"/>
      <c r="CT489" s="898"/>
      <c r="CU489" s="898"/>
    </row>
    <row r="490" ht="16.5" customHeight="1">
      <c r="A490" s="718"/>
      <c r="B490" s="1195"/>
      <c r="C490" s="866"/>
      <c r="D490" s="968"/>
      <c r="E490" s="718"/>
      <c r="F490" s="718"/>
      <c r="G490" s="718"/>
      <c r="H490" s="718"/>
      <c r="I490" s="359"/>
      <c r="J490" s="359"/>
      <c r="K490" s="359"/>
      <c r="L490" s="359"/>
      <c r="M490" s="359"/>
      <c r="N490" s="359"/>
      <c r="O490" s="359"/>
      <c r="P490" s="359"/>
      <c r="Q490" s="359"/>
      <c r="R490" s="718"/>
      <c r="S490" s="669"/>
      <c r="T490" s="669"/>
      <c r="U490" s="967"/>
      <c r="V490" s="974"/>
      <c r="W490" s="1197"/>
      <c r="X490" s="974"/>
      <c r="Y490" s="974"/>
      <c r="Z490" s="974"/>
      <c r="AA490" s="974"/>
      <c r="AB490" s="974"/>
      <c r="AC490" s="974"/>
      <c r="AD490" s="974"/>
      <c r="AE490" s="974"/>
      <c r="AF490" s="974"/>
      <c r="AG490" s="974"/>
      <c r="AH490" s="974"/>
      <c r="AI490" s="1198"/>
      <c r="AJ490" s="974"/>
      <c r="AK490" s="1197"/>
      <c r="AL490" s="974"/>
      <c r="AM490" s="974"/>
      <c r="AN490" s="974"/>
      <c r="AO490" s="974"/>
      <c r="AP490" s="974"/>
      <c r="AQ490" s="974"/>
      <c r="AR490" s="974"/>
      <c r="AS490" s="974"/>
      <c r="AT490" s="974"/>
      <c r="AU490" s="974"/>
      <c r="AV490" s="974"/>
      <c r="AW490" s="1181"/>
      <c r="AX490" s="978"/>
      <c r="AY490" s="898"/>
      <c r="AZ490" s="898"/>
      <c r="BA490" s="898"/>
      <c r="BB490" s="898"/>
      <c r="BC490" s="898"/>
      <c r="BD490" s="898"/>
      <c r="BE490" s="898"/>
      <c r="BF490" s="898"/>
      <c r="BG490" s="898"/>
      <c r="BH490" s="898"/>
      <c r="BI490" s="898"/>
      <c r="BJ490" s="898"/>
      <c r="BK490" s="898"/>
      <c r="BL490" s="898"/>
      <c r="BM490" s="898"/>
      <c r="BN490" s="898"/>
      <c r="BO490" s="898"/>
      <c r="BP490" s="898"/>
      <c r="BQ490" s="898"/>
      <c r="BR490" s="898"/>
      <c r="BS490" s="898"/>
      <c r="BT490" s="898"/>
      <c r="BU490" s="898"/>
      <c r="BV490" s="898"/>
      <c r="BW490" s="898"/>
      <c r="BX490" s="898"/>
      <c r="BY490" s="898"/>
      <c r="BZ490" s="898"/>
      <c r="CA490" s="898"/>
      <c r="CB490" s="898"/>
      <c r="CC490" s="898"/>
      <c r="CD490" s="898"/>
      <c r="CE490" s="898"/>
      <c r="CF490" s="898"/>
      <c r="CG490" s="898"/>
      <c r="CH490" s="898"/>
      <c r="CI490" s="898"/>
      <c r="CJ490" s="898"/>
      <c r="CK490" s="898"/>
      <c r="CL490" s="898"/>
      <c r="CM490" s="898"/>
      <c r="CN490" s="898"/>
      <c r="CO490" s="898"/>
      <c r="CP490" s="898"/>
      <c r="CQ490" s="898"/>
      <c r="CR490" s="898"/>
      <c r="CS490" s="898"/>
      <c r="CT490" s="898"/>
      <c r="CU490" s="898"/>
    </row>
    <row r="491" ht="16.5" customHeight="1">
      <c r="A491" s="718"/>
      <c r="B491" s="1195"/>
      <c r="C491" s="866"/>
      <c r="D491" s="968"/>
      <c r="E491" s="718"/>
      <c r="F491" s="718"/>
      <c r="G491" s="718"/>
      <c r="H491" s="718"/>
      <c r="I491" s="359"/>
      <c r="J491" s="359"/>
      <c r="K491" s="359"/>
      <c r="L491" s="359"/>
      <c r="M491" s="359"/>
      <c r="N491" s="359"/>
      <c r="O491" s="359"/>
      <c r="P491" s="359"/>
      <c r="Q491" s="359"/>
      <c r="R491" s="718"/>
      <c r="S491" s="669"/>
      <c r="T491" s="669"/>
      <c r="U491" s="967"/>
      <c r="V491" s="974"/>
      <c r="W491" s="1197"/>
      <c r="X491" s="974"/>
      <c r="Y491" s="974"/>
      <c r="Z491" s="974"/>
      <c r="AA491" s="974"/>
      <c r="AB491" s="974"/>
      <c r="AC491" s="974"/>
      <c r="AD491" s="974"/>
      <c r="AE491" s="974"/>
      <c r="AF491" s="974"/>
      <c r="AG491" s="974"/>
      <c r="AH491" s="974"/>
      <c r="AI491" s="1198"/>
      <c r="AJ491" s="974"/>
      <c r="AK491" s="1197"/>
      <c r="AL491" s="974"/>
      <c r="AM491" s="974"/>
      <c r="AN491" s="974"/>
      <c r="AO491" s="974"/>
      <c r="AP491" s="974"/>
      <c r="AQ491" s="974"/>
      <c r="AR491" s="974"/>
      <c r="AS491" s="974"/>
      <c r="AT491" s="974"/>
      <c r="AU491" s="974"/>
      <c r="AV491" s="974"/>
      <c r="AW491" s="1181"/>
      <c r="AX491" s="978"/>
      <c r="AY491" s="898"/>
      <c r="AZ491" s="898"/>
      <c r="BA491" s="898"/>
      <c r="BB491" s="898"/>
      <c r="BC491" s="898"/>
      <c r="BD491" s="898"/>
      <c r="BE491" s="898"/>
      <c r="BF491" s="898"/>
      <c r="BG491" s="898"/>
      <c r="BH491" s="898"/>
      <c r="BI491" s="898"/>
      <c r="BJ491" s="898"/>
      <c r="BK491" s="898"/>
      <c r="BL491" s="898"/>
      <c r="BM491" s="898"/>
      <c r="BN491" s="898"/>
      <c r="BO491" s="898"/>
      <c r="BP491" s="898"/>
      <c r="BQ491" s="898"/>
      <c r="BR491" s="898"/>
      <c r="BS491" s="898"/>
      <c r="BT491" s="898"/>
      <c r="BU491" s="898"/>
      <c r="BV491" s="898"/>
      <c r="BW491" s="898"/>
      <c r="BX491" s="898"/>
      <c r="BY491" s="898"/>
      <c r="BZ491" s="898"/>
      <c r="CA491" s="898"/>
      <c r="CB491" s="898"/>
      <c r="CC491" s="898"/>
      <c r="CD491" s="898"/>
      <c r="CE491" s="898"/>
      <c r="CF491" s="898"/>
      <c r="CG491" s="898"/>
      <c r="CH491" s="898"/>
      <c r="CI491" s="898"/>
      <c r="CJ491" s="898"/>
      <c r="CK491" s="898"/>
      <c r="CL491" s="898"/>
      <c r="CM491" s="898"/>
      <c r="CN491" s="898"/>
      <c r="CO491" s="898"/>
      <c r="CP491" s="898"/>
      <c r="CQ491" s="898"/>
      <c r="CR491" s="898"/>
      <c r="CS491" s="898"/>
      <c r="CT491" s="898"/>
      <c r="CU491" s="898"/>
    </row>
    <row r="492" ht="16.5" customHeight="1">
      <c r="A492" s="718"/>
      <c r="B492" s="1195"/>
      <c r="C492" s="866"/>
      <c r="D492" s="968"/>
      <c r="E492" s="718"/>
      <c r="F492" s="718"/>
      <c r="G492" s="718"/>
      <c r="H492" s="718"/>
      <c r="I492" s="359"/>
      <c r="J492" s="359"/>
      <c r="K492" s="359"/>
      <c r="L492" s="359"/>
      <c r="M492" s="359"/>
      <c r="N492" s="359"/>
      <c r="O492" s="359"/>
      <c r="P492" s="359"/>
      <c r="Q492" s="359"/>
      <c r="R492" s="718"/>
      <c r="S492" s="669"/>
      <c r="T492" s="669"/>
      <c r="U492" s="967"/>
      <c r="V492" s="974"/>
      <c r="W492" s="1197"/>
      <c r="X492" s="974"/>
      <c r="Y492" s="974"/>
      <c r="Z492" s="974"/>
      <c r="AA492" s="974"/>
      <c r="AB492" s="974"/>
      <c r="AC492" s="974"/>
      <c r="AD492" s="974"/>
      <c r="AE492" s="974"/>
      <c r="AF492" s="974"/>
      <c r="AG492" s="974"/>
      <c r="AH492" s="974"/>
      <c r="AI492" s="1198"/>
      <c r="AJ492" s="974"/>
      <c r="AK492" s="1197"/>
      <c r="AL492" s="974"/>
      <c r="AM492" s="974"/>
      <c r="AN492" s="974"/>
      <c r="AO492" s="974"/>
      <c r="AP492" s="974"/>
      <c r="AQ492" s="974"/>
      <c r="AR492" s="974"/>
      <c r="AS492" s="974"/>
      <c r="AT492" s="974"/>
      <c r="AU492" s="974"/>
      <c r="AV492" s="974"/>
      <c r="AW492" s="1181"/>
      <c r="AX492" s="978"/>
      <c r="AY492" s="898"/>
      <c r="AZ492" s="898"/>
      <c r="BA492" s="898"/>
      <c r="BB492" s="898"/>
      <c r="BC492" s="898"/>
      <c r="BD492" s="898"/>
      <c r="BE492" s="898"/>
      <c r="BF492" s="898"/>
      <c r="BG492" s="898"/>
      <c r="BH492" s="898"/>
      <c r="BI492" s="898"/>
      <c r="BJ492" s="898"/>
      <c r="BK492" s="898"/>
      <c r="BL492" s="898"/>
      <c r="BM492" s="898"/>
      <c r="BN492" s="898"/>
      <c r="BO492" s="898"/>
      <c r="BP492" s="898"/>
      <c r="BQ492" s="898"/>
      <c r="BR492" s="898"/>
      <c r="BS492" s="898"/>
      <c r="BT492" s="898"/>
      <c r="BU492" s="898"/>
      <c r="BV492" s="898"/>
      <c r="BW492" s="898"/>
      <c r="BX492" s="898"/>
      <c r="BY492" s="898"/>
      <c r="BZ492" s="898"/>
      <c r="CA492" s="898"/>
      <c r="CB492" s="898"/>
      <c r="CC492" s="898"/>
      <c r="CD492" s="898"/>
      <c r="CE492" s="898"/>
      <c r="CF492" s="898"/>
      <c r="CG492" s="898"/>
      <c r="CH492" s="898"/>
      <c r="CI492" s="898"/>
      <c r="CJ492" s="898"/>
      <c r="CK492" s="898"/>
      <c r="CL492" s="898"/>
      <c r="CM492" s="898"/>
      <c r="CN492" s="898"/>
      <c r="CO492" s="898"/>
      <c r="CP492" s="898"/>
      <c r="CQ492" s="898"/>
      <c r="CR492" s="898"/>
      <c r="CS492" s="898"/>
      <c r="CT492" s="898"/>
      <c r="CU492" s="898"/>
    </row>
    <row r="493" ht="16.5" customHeight="1">
      <c r="A493" s="718"/>
      <c r="B493" s="1195"/>
      <c r="C493" s="866"/>
      <c r="D493" s="968"/>
      <c r="E493" s="718"/>
      <c r="F493" s="718"/>
      <c r="G493" s="718"/>
      <c r="H493" s="718"/>
      <c r="I493" s="359"/>
      <c r="J493" s="359"/>
      <c r="K493" s="359"/>
      <c r="L493" s="359"/>
      <c r="M493" s="359"/>
      <c r="N493" s="359"/>
      <c r="O493" s="359"/>
      <c r="P493" s="359"/>
      <c r="Q493" s="359"/>
      <c r="R493" s="718"/>
      <c r="S493" s="669"/>
      <c r="T493" s="669"/>
      <c r="U493" s="967"/>
      <c r="V493" s="974"/>
      <c r="W493" s="1197"/>
      <c r="X493" s="974"/>
      <c r="Y493" s="974"/>
      <c r="Z493" s="974"/>
      <c r="AA493" s="974"/>
      <c r="AB493" s="974"/>
      <c r="AC493" s="974"/>
      <c r="AD493" s="974"/>
      <c r="AE493" s="974"/>
      <c r="AF493" s="974"/>
      <c r="AG493" s="974"/>
      <c r="AH493" s="974"/>
      <c r="AI493" s="1198"/>
      <c r="AJ493" s="974"/>
      <c r="AK493" s="1197"/>
      <c r="AL493" s="974"/>
      <c r="AM493" s="974"/>
      <c r="AN493" s="974"/>
      <c r="AO493" s="974"/>
      <c r="AP493" s="974"/>
      <c r="AQ493" s="974"/>
      <c r="AR493" s="974"/>
      <c r="AS493" s="974"/>
      <c r="AT493" s="974"/>
      <c r="AU493" s="974"/>
      <c r="AV493" s="974"/>
      <c r="AW493" s="1181"/>
      <c r="AX493" s="978"/>
      <c r="AY493" s="898"/>
      <c r="AZ493" s="898"/>
      <c r="BA493" s="898"/>
      <c r="BB493" s="898"/>
      <c r="BC493" s="898"/>
      <c r="BD493" s="898"/>
      <c r="BE493" s="898"/>
      <c r="BF493" s="898"/>
      <c r="BG493" s="898"/>
      <c r="BH493" s="898"/>
      <c r="BI493" s="898"/>
      <c r="BJ493" s="898"/>
      <c r="BK493" s="898"/>
      <c r="BL493" s="898"/>
      <c r="BM493" s="898"/>
      <c r="BN493" s="898"/>
      <c r="BO493" s="898"/>
      <c r="BP493" s="898"/>
      <c r="BQ493" s="898"/>
      <c r="BR493" s="898"/>
      <c r="BS493" s="898"/>
      <c r="BT493" s="898"/>
      <c r="BU493" s="898"/>
      <c r="BV493" s="898"/>
      <c r="BW493" s="898"/>
      <c r="BX493" s="898"/>
      <c r="BY493" s="898"/>
      <c r="BZ493" s="898"/>
      <c r="CA493" s="898"/>
      <c r="CB493" s="898"/>
      <c r="CC493" s="898"/>
      <c r="CD493" s="898"/>
      <c r="CE493" s="898"/>
      <c r="CF493" s="898"/>
      <c r="CG493" s="898"/>
      <c r="CH493" s="898"/>
      <c r="CI493" s="898"/>
      <c r="CJ493" s="898"/>
      <c r="CK493" s="898"/>
      <c r="CL493" s="898"/>
      <c r="CM493" s="898"/>
      <c r="CN493" s="898"/>
      <c r="CO493" s="898"/>
      <c r="CP493" s="898"/>
      <c r="CQ493" s="898"/>
      <c r="CR493" s="898"/>
      <c r="CS493" s="898"/>
      <c r="CT493" s="898"/>
      <c r="CU493" s="898"/>
    </row>
    <row r="494" ht="16.5" customHeight="1">
      <c r="A494" s="718"/>
      <c r="B494" s="1195"/>
      <c r="C494" s="866"/>
      <c r="D494" s="968"/>
      <c r="E494" s="718"/>
      <c r="F494" s="718"/>
      <c r="G494" s="718"/>
      <c r="H494" s="718"/>
      <c r="I494" s="359"/>
      <c r="J494" s="359"/>
      <c r="K494" s="359"/>
      <c r="L494" s="359"/>
      <c r="M494" s="359"/>
      <c r="N494" s="359"/>
      <c r="O494" s="359"/>
      <c r="P494" s="359"/>
      <c r="Q494" s="359"/>
      <c r="R494" s="718"/>
      <c r="S494" s="669"/>
      <c r="T494" s="669"/>
      <c r="U494" s="967"/>
      <c r="V494" s="974"/>
      <c r="W494" s="1197"/>
      <c r="X494" s="974"/>
      <c r="Y494" s="974"/>
      <c r="Z494" s="974"/>
      <c r="AA494" s="974"/>
      <c r="AB494" s="974"/>
      <c r="AC494" s="974"/>
      <c r="AD494" s="974"/>
      <c r="AE494" s="974"/>
      <c r="AF494" s="974"/>
      <c r="AG494" s="974"/>
      <c r="AH494" s="974"/>
      <c r="AI494" s="1198"/>
      <c r="AJ494" s="974"/>
      <c r="AK494" s="1197"/>
      <c r="AL494" s="974"/>
      <c r="AM494" s="974"/>
      <c r="AN494" s="974"/>
      <c r="AO494" s="974"/>
      <c r="AP494" s="974"/>
      <c r="AQ494" s="974"/>
      <c r="AR494" s="974"/>
      <c r="AS494" s="974"/>
      <c r="AT494" s="974"/>
      <c r="AU494" s="974"/>
      <c r="AV494" s="974"/>
      <c r="AW494" s="1181"/>
      <c r="AX494" s="978"/>
      <c r="AY494" s="898"/>
      <c r="AZ494" s="898"/>
      <c r="BA494" s="898"/>
      <c r="BB494" s="898"/>
      <c r="BC494" s="898"/>
      <c r="BD494" s="898"/>
      <c r="BE494" s="898"/>
      <c r="BF494" s="898"/>
      <c r="BG494" s="898"/>
      <c r="BH494" s="898"/>
      <c r="BI494" s="898"/>
      <c r="BJ494" s="898"/>
      <c r="BK494" s="898"/>
      <c r="BL494" s="898"/>
      <c r="BM494" s="898"/>
      <c r="BN494" s="898"/>
      <c r="BO494" s="898"/>
      <c r="BP494" s="898"/>
      <c r="BQ494" s="898"/>
      <c r="BR494" s="898"/>
      <c r="BS494" s="898"/>
      <c r="BT494" s="898"/>
      <c r="BU494" s="898"/>
      <c r="BV494" s="898"/>
      <c r="BW494" s="898"/>
      <c r="BX494" s="898"/>
      <c r="BY494" s="898"/>
      <c r="BZ494" s="898"/>
      <c r="CA494" s="898"/>
      <c r="CB494" s="898"/>
      <c r="CC494" s="898"/>
      <c r="CD494" s="898"/>
      <c r="CE494" s="898"/>
      <c r="CF494" s="898"/>
      <c r="CG494" s="898"/>
      <c r="CH494" s="898"/>
      <c r="CI494" s="898"/>
      <c r="CJ494" s="898"/>
      <c r="CK494" s="898"/>
      <c r="CL494" s="898"/>
      <c r="CM494" s="898"/>
      <c r="CN494" s="898"/>
      <c r="CO494" s="898"/>
      <c r="CP494" s="898"/>
      <c r="CQ494" s="898"/>
      <c r="CR494" s="898"/>
      <c r="CS494" s="898"/>
      <c r="CT494" s="898"/>
      <c r="CU494" s="898"/>
    </row>
    <row r="495" ht="16.5" customHeight="1">
      <c r="A495" s="718"/>
      <c r="B495" s="1195"/>
      <c r="C495" s="866"/>
      <c r="D495" s="968"/>
      <c r="E495" s="718"/>
      <c r="F495" s="718"/>
      <c r="G495" s="718"/>
      <c r="H495" s="718"/>
      <c r="I495" s="359"/>
      <c r="J495" s="359"/>
      <c r="K495" s="359"/>
      <c r="L495" s="359"/>
      <c r="M495" s="359"/>
      <c r="N495" s="359"/>
      <c r="O495" s="359"/>
      <c r="P495" s="359"/>
      <c r="Q495" s="359"/>
      <c r="R495" s="718"/>
      <c r="S495" s="669"/>
      <c r="T495" s="669"/>
      <c r="U495" s="967"/>
      <c r="V495" s="974"/>
      <c r="W495" s="1197"/>
      <c r="X495" s="974"/>
      <c r="Y495" s="974"/>
      <c r="Z495" s="974"/>
      <c r="AA495" s="974"/>
      <c r="AB495" s="974"/>
      <c r="AC495" s="974"/>
      <c r="AD495" s="974"/>
      <c r="AE495" s="974"/>
      <c r="AF495" s="974"/>
      <c r="AG495" s="974"/>
      <c r="AH495" s="974"/>
      <c r="AI495" s="1198"/>
      <c r="AJ495" s="974"/>
      <c r="AK495" s="1197"/>
      <c r="AL495" s="974"/>
      <c r="AM495" s="974"/>
      <c r="AN495" s="974"/>
      <c r="AO495" s="974"/>
      <c r="AP495" s="974"/>
      <c r="AQ495" s="974"/>
      <c r="AR495" s="974"/>
      <c r="AS495" s="974"/>
      <c r="AT495" s="974"/>
      <c r="AU495" s="974"/>
      <c r="AV495" s="974"/>
      <c r="AW495" s="1181"/>
      <c r="AX495" s="978"/>
      <c r="AY495" s="898"/>
      <c r="AZ495" s="898"/>
      <c r="BA495" s="898"/>
      <c r="BB495" s="898"/>
      <c r="BC495" s="898"/>
      <c r="BD495" s="898"/>
      <c r="BE495" s="898"/>
      <c r="BF495" s="898"/>
      <c r="BG495" s="898"/>
      <c r="BH495" s="898"/>
      <c r="BI495" s="898"/>
      <c r="BJ495" s="898"/>
      <c r="BK495" s="898"/>
      <c r="BL495" s="898"/>
      <c r="BM495" s="898"/>
      <c r="BN495" s="898"/>
      <c r="BO495" s="898"/>
      <c r="BP495" s="898"/>
      <c r="BQ495" s="898"/>
      <c r="BR495" s="898"/>
      <c r="BS495" s="898"/>
      <c r="BT495" s="898"/>
      <c r="BU495" s="898"/>
      <c r="BV495" s="898"/>
      <c r="BW495" s="898"/>
      <c r="BX495" s="898"/>
      <c r="BY495" s="898"/>
      <c r="BZ495" s="898"/>
      <c r="CA495" s="898"/>
      <c r="CB495" s="898"/>
      <c r="CC495" s="898"/>
      <c r="CD495" s="898"/>
      <c r="CE495" s="898"/>
      <c r="CF495" s="898"/>
      <c r="CG495" s="898"/>
      <c r="CH495" s="898"/>
      <c r="CI495" s="898"/>
      <c r="CJ495" s="898"/>
      <c r="CK495" s="898"/>
      <c r="CL495" s="898"/>
      <c r="CM495" s="898"/>
      <c r="CN495" s="898"/>
      <c r="CO495" s="898"/>
      <c r="CP495" s="898"/>
      <c r="CQ495" s="898"/>
      <c r="CR495" s="898"/>
      <c r="CS495" s="898"/>
      <c r="CT495" s="898"/>
      <c r="CU495" s="898"/>
    </row>
    <row r="496" ht="16.5" customHeight="1">
      <c r="A496" s="718"/>
      <c r="B496" s="1195"/>
      <c r="C496" s="866"/>
      <c r="D496" s="968"/>
      <c r="E496" s="718"/>
      <c r="F496" s="718"/>
      <c r="G496" s="718"/>
      <c r="H496" s="718"/>
      <c r="I496" s="359"/>
      <c r="J496" s="359"/>
      <c r="K496" s="359"/>
      <c r="L496" s="359"/>
      <c r="M496" s="359"/>
      <c r="N496" s="359"/>
      <c r="O496" s="359"/>
      <c r="P496" s="359"/>
      <c r="Q496" s="359"/>
      <c r="R496" s="718"/>
      <c r="S496" s="669"/>
      <c r="T496" s="669"/>
      <c r="U496" s="967"/>
      <c r="V496" s="974"/>
      <c r="W496" s="1197"/>
      <c r="X496" s="974"/>
      <c r="Y496" s="974"/>
      <c r="Z496" s="974"/>
      <c r="AA496" s="974"/>
      <c r="AB496" s="974"/>
      <c r="AC496" s="974"/>
      <c r="AD496" s="974"/>
      <c r="AE496" s="974"/>
      <c r="AF496" s="974"/>
      <c r="AG496" s="974"/>
      <c r="AH496" s="974"/>
      <c r="AI496" s="1198"/>
      <c r="AJ496" s="974"/>
      <c r="AK496" s="1197"/>
      <c r="AL496" s="974"/>
      <c r="AM496" s="974"/>
      <c r="AN496" s="974"/>
      <c r="AO496" s="974"/>
      <c r="AP496" s="974"/>
      <c r="AQ496" s="974"/>
      <c r="AR496" s="974"/>
      <c r="AS496" s="974"/>
      <c r="AT496" s="974"/>
      <c r="AU496" s="974"/>
      <c r="AV496" s="974"/>
      <c r="AW496" s="1181"/>
      <c r="AX496" s="978"/>
      <c r="AY496" s="898"/>
      <c r="AZ496" s="898"/>
      <c r="BA496" s="898"/>
      <c r="BB496" s="898"/>
      <c r="BC496" s="898"/>
      <c r="BD496" s="898"/>
      <c r="BE496" s="898"/>
      <c r="BF496" s="898"/>
      <c r="BG496" s="898"/>
      <c r="BH496" s="898"/>
      <c r="BI496" s="898"/>
      <c r="BJ496" s="898"/>
      <c r="BK496" s="898"/>
      <c r="BL496" s="898"/>
      <c r="BM496" s="898"/>
      <c r="BN496" s="898"/>
      <c r="BO496" s="898"/>
      <c r="BP496" s="898"/>
      <c r="BQ496" s="898"/>
      <c r="BR496" s="898"/>
      <c r="BS496" s="898"/>
      <c r="BT496" s="898"/>
      <c r="BU496" s="898"/>
      <c r="BV496" s="898"/>
      <c r="BW496" s="898"/>
      <c r="BX496" s="898"/>
      <c r="BY496" s="898"/>
      <c r="BZ496" s="898"/>
      <c r="CA496" s="898"/>
      <c r="CB496" s="898"/>
      <c r="CC496" s="898"/>
      <c r="CD496" s="898"/>
      <c r="CE496" s="898"/>
      <c r="CF496" s="898"/>
      <c r="CG496" s="898"/>
      <c r="CH496" s="898"/>
      <c r="CI496" s="898"/>
      <c r="CJ496" s="898"/>
      <c r="CK496" s="898"/>
      <c r="CL496" s="898"/>
      <c r="CM496" s="898"/>
      <c r="CN496" s="898"/>
      <c r="CO496" s="898"/>
      <c r="CP496" s="898"/>
      <c r="CQ496" s="898"/>
      <c r="CR496" s="898"/>
      <c r="CS496" s="898"/>
      <c r="CT496" s="898"/>
      <c r="CU496" s="898"/>
    </row>
    <row r="497" ht="16.5" customHeight="1">
      <c r="A497" s="718"/>
      <c r="B497" s="1195"/>
      <c r="C497" s="866"/>
      <c r="D497" s="968"/>
      <c r="E497" s="718"/>
      <c r="F497" s="718"/>
      <c r="G497" s="718"/>
      <c r="H497" s="718"/>
      <c r="I497" s="359"/>
      <c r="J497" s="359"/>
      <c r="K497" s="359"/>
      <c r="L497" s="359"/>
      <c r="M497" s="359"/>
      <c r="N497" s="359"/>
      <c r="O497" s="359"/>
      <c r="P497" s="359"/>
      <c r="Q497" s="359"/>
      <c r="R497" s="718"/>
      <c r="S497" s="669"/>
      <c r="T497" s="669"/>
      <c r="U497" s="967"/>
      <c r="V497" s="974"/>
      <c r="W497" s="1197"/>
      <c r="X497" s="974"/>
      <c r="Y497" s="974"/>
      <c r="Z497" s="974"/>
      <c r="AA497" s="974"/>
      <c r="AB497" s="974"/>
      <c r="AC497" s="974"/>
      <c r="AD497" s="974"/>
      <c r="AE497" s="974"/>
      <c r="AF497" s="974"/>
      <c r="AG497" s="974"/>
      <c r="AH497" s="974"/>
      <c r="AI497" s="1198"/>
      <c r="AJ497" s="974"/>
      <c r="AK497" s="1197"/>
      <c r="AL497" s="974"/>
      <c r="AM497" s="974"/>
      <c r="AN497" s="974"/>
      <c r="AO497" s="974"/>
      <c r="AP497" s="974"/>
      <c r="AQ497" s="974"/>
      <c r="AR497" s="974"/>
      <c r="AS497" s="974"/>
      <c r="AT497" s="974"/>
      <c r="AU497" s="974"/>
      <c r="AV497" s="974"/>
      <c r="AW497" s="1181"/>
      <c r="AX497" s="978"/>
      <c r="AY497" s="898"/>
      <c r="AZ497" s="898"/>
      <c r="BA497" s="898"/>
      <c r="BB497" s="898"/>
      <c r="BC497" s="898"/>
      <c r="BD497" s="898"/>
      <c r="BE497" s="898"/>
      <c r="BF497" s="898"/>
      <c r="BG497" s="898"/>
      <c r="BH497" s="898"/>
      <c r="BI497" s="898"/>
      <c r="BJ497" s="898"/>
      <c r="BK497" s="898"/>
      <c r="BL497" s="898"/>
      <c r="BM497" s="898"/>
      <c r="BN497" s="898"/>
      <c r="BO497" s="898"/>
      <c r="BP497" s="898"/>
      <c r="BQ497" s="898"/>
      <c r="BR497" s="898"/>
      <c r="BS497" s="898"/>
      <c r="BT497" s="898"/>
      <c r="BU497" s="898"/>
      <c r="BV497" s="898"/>
      <c r="BW497" s="898"/>
      <c r="BX497" s="898"/>
      <c r="BY497" s="898"/>
      <c r="BZ497" s="898"/>
      <c r="CA497" s="898"/>
      <c r="CB497" s="898"/>
      <c r="CC497" s="898"/>
      <c r="CD497" s="898"/>
      <c r="CE497" s="898"/>
      <c r="CF497" s="898"/>
      <c r="CG497" s="898"/>
      <c r="CH497" s="898"/>
      <c r="CI497" s="898"/>
      <c r="CJ497" s="898"/>
      <c r="CK497" s="898"/>
      <c r="CL497" s="898"/>
      <c r="CM497" s="898"/>
      <c r="CN497" s="898"/>
      <c r="CO497" s="898"/>
      <c r="CP497" s="898"/>
      <c r="CQ497" s="898"/>
      <c r="CR497" s="898"/>
      <c r="CS497" s="898"/>
      <c r="CT497" s="898"/>
      <c r="CU497" s="898"/>
    </row>
    <row r="498" ht="16.5" customHeight="1">
      <c r="A498" s="718"/>
      <c r="B498" s="1195"/>
      <c r="C498" s="866"/>
      <c r="D498" s="968"/>
      <c r="E498" s="718"/>
      <c r="F498" s="718"/>
      <c r="G498" s="718"/>
      <c r="H498" s="718"/>
      <c r="I498" s="359"/>
      <c r="J498" s="359"/>
      <c r="K498" s="359"/>
      <c r="L498" s="359"/>
      <c r="M498" s="359"/>
      <c r="N498" s="359"/>
      <c r="O498" s="359"/>
      <c r="P498" s="359"/>
      <c r="Q498" s="359"/>
      <c r="R498" s="718"/>
      <c r="S498" s="669"/>
      <c r="T498" s="669"/>
      <c r="U498" s="967"/>
      <c r="V498" s="974"/>
      <c r="W498" s="1197"/>
      <c r="X498" s="974"/>
      <c r="Y498" s="974"/>
      <c r="Z498" s="974"/>
      <c r="AA498" s="974"/>
      <c r="AB498" s="974"/>
      <c r="AC498" s="974"/>
      <c r="AD498" s="974"/>
      <c r="AE498" s="974"/>
      <c r="AF498" s="974"/>
      <c r="AG498" s="974"/>
      <c r="AH498" s="974"/>
      <c r="AI498" s="1198"/>
      <c r="AJ498" s="974"/>
      <c r="AK498" s="1197"/>
      <c r="AL498" s="974"/>
      <c r="AM498" s="974"/>
      <c r="AN498" s="974"/>
      <c r="AO498" s="974"/>
      <c r="AP498" s="974"/>
      <c r="AQ498" s="974"/>
      <c r="AR498" s="974"/>
      <c r="AS498" s="974"/>
      <c r="AT498" s="974"/>
      <c r="AU498" s="974"/>
      <c r="AV498" s="974"/>
      <c r="AW498" s="1181"/>
      <c r="AX498" s="978"/>
      <c r="AY498" s="898"/>
      <c r="AZ498" s="898"/>
      <c r="BA498" s="898"/>
      <c r="BB498" s="898"/>
      <c r="BC498" s="898"/>
      <c r="BD498" s="898"/>
      <c r="BE498" s="898"/>
      <c r="BF498" s="898"/>
      <c r="BG498" s="898"/>
      <c r="BH498" s="898"/>
      <c r="BI498" s="898"/>
      <c r="BJ498" s="898"/>
      <c r="BK498" s="898"/>
      <c r="BL498" s="898"/>
      <c r="BM498" s="898"/>
      <c r="BN498" s="898"/>
      <c r="BO498" s="898"/>
      <c r="BP498" s="898"/>
      <c r="BQ498" s="898"/>
      <c r="BR498" s="898"/>
      <c r="BS498" s="898"/>
      <c r="BT498" s="898"/>
      <c r="BU498" s="898"/>
      <c r="BV498" s="898"/>
      <c r="BW498" s="898"/>
      <c r="BX498" s="898"/>
      <c r="BY498" s="898"/>
      <c r="BZ498" s="898"/>
      <c r="CA498" s="898"/>
      <c r="CB498" s="898"/>
      <c r="CC498" s="898"/>
      <c r="CD498" s="898"/>
      <c r="CE498" s="898"/>
      <c r="CF498" s="898"/>
      <c r="CG498" s="898"/>
      <c r="CH498" s="898"/>
      <c r="CI498" s="898"/>
      <c r="CJ498" s="898"/>
      <c r="CK498" s="898"/>
      <c r="CL498" s="898"/>
      <c r="CM498" s="898"/>
      <c r="CN498" s="898"/>
      <c r="CO498" s="898"/>
      <c r="CP498" s="898"/>
      <c r="CQ498" s="898"/>
      <c r="CR498" s="898"/>
      <c r="CS498" s="898"/>
      <c r="CT498" s="898"/>
      <c r="CU498" s="898"/>
    </row>
    <row r="499" ht="16.5" customHeight="1">
      <c r="A499" s="718"/>
      <c r="B499" s="1195"/>
      <c r="C499" s="866"/>
      <c r="D499" s="968"/>
      <c r="E499" s="718"/>
      <c r="F499" s="718"/>
      <c r="G499" s="718"/>
      <c r="H499" s="718"/>
      <c r="I499" s="359"/>
      <c r="J499" s="359"/>
      <c r="K499" s="359"/>
      <c r="L499" s="359"/>
      <c r="M499" s="359"/>
      <c r="N499" s="359"/>
      <c r="O499" s="359"/>
      <c r="P499" s="359"/>
      <c r="Q499" s="359"/>
      <c r="R499" s="718"/>
      <c r="S499" s="669"/>
      <c r="T499" s="669"/>
      <c r="U499" s="967"/>
      <c r="V499" s="974"/>
      <c r="W499" s="1197"/>
      <c r="X499" s="974"/>
      <c r="Y499" s="974"/>
      <c r="Z499" s="974"/>
      <c r="AA499" s="974"/>
      <c r="AB499" s="974"/>
      <c r="AC499" s="974"/>
      <c r="AD499" s="974"/>
      <c r="AE499" s="974"/>
      <c r="AF499" s="974"/>
      <c r="AG499" s="974"/>
      <c r="AH499" s="974"/>
      <c r="AI499" s="1198"/>
      <c r="AJ499" s="974"/>
      <c r="AK499" s="1197"/>
      <c r="AL499" s="974"/>
      <c r="AM499" s="974"/>
      <c r="AN499" s="974"/>
      <c r="AO499" s="974"/>
      <c r="AP499" s="974"/>
      <c r="AQ499" s="974"/>
      <c r="AR499" s="974"/>
      <c r="AS499" s="974"/>
      <c r="AT499" s="974"/>
      <c r="AU499" s="974"/>
      <c r="AV499" s="974"/>
      <c r="AW499" s="1181"/>
      <c r="AX499" s="978"/>
      <c r="AY499" s="898"/>
      <c r="AZ499" s="898"/>
      <c r="BA499" s="898"/>
      <c r="BB499" s="898"/>
      <c r="BC499" s="898"/>
      <c r="BD499" s="898"/>
      <c r="BE499" s="898"/>
      <c r="BF499" s="898"/>
      <c r="BG499" s="898"/>
      <c r="BH499" s="898"/>
      <c r="BI499" s="898"/>
      <c r="BJ499" s="898"/>
      <c r="BK499" s="898"/>
      <c r="BL499" s="898"/>
      <c r="BM499" s="898"/>
      <c r="BN499" s="898"/>
      <c r="BO499" s="898"/>
      <c r="BP499" s="898"/>
      <c r="BQ499" s="898"/>
      <c r="BR499" s="898"/>
      <c r="BS499" s="898"/>
      <c r="BT499" s="898"/>
      <c r="BU499" s="898"/>
      <c r="BV499" s="898"/>
      <c r="BW499" s="898"/>
      <c r="BX499" s="898"/>
      <c r="BY499" s="898"/>
      <c r="BZ499" s="898"/>
      <c r="CA499" s="898"/>
      <c r="CB499" s="898"/>
      <c r="CC499" s="898"/>
      <c r="CD499" s="898"/>
      <c r="CE499" s="898"/>
      <c r="CF499" s="898"/>
      <c r="CG499" s="898"/>
      <c r="CH499" s="898"/>
      <c r="CI499" s="898"/>
      <c r="CJ499" s="898"/>
      <c r="CK499" s="898"/>
      <c r="CL499" s="898"/>
      <c r="CM499" s="898"/>
      <c r="CN499" s="898"/>
      <c r="CO499" s="898"/>
      <c r="CP499" s="898"/>
      <c r="CQ499" s="898"/>
      <c r="CR499" s="898"/>
      <c r="CS499" s="898"/>
      <c r="CT499" s="898"/>
      <c r="CU499" s="898"/>
    </row>
    <row r="500" ht="16.5" customHeight="1">
      <c r="A500" s="718"/>
      <c r="B500" s="1195"/>
      <c r="C500" s="866"/>
      <c r="D500" s="968"/>
      <c r="E500" s="718"/>
      <c r="F500" s="718"/>
      <c r="G500" s="718"/>
      <c r="H500" s="718"/>
      <c r="I500" s="359"/>
      <c r="J500" s="359"/>
      <c r="K500" s="359"/>
      <c r="L500" s="359"/>
      <c r="M500" s="359"/>
      <c r="N500" s="359"/>
      <c r="O500" s="359"/>
      <c r="P500" s="359"/>
      <c r="Q500" s="359"/>
      <c r="R500" s="718"/>
      <c r="S500" s="669"/>
      <c r="T500" s="669"/>
      <c r="U500" s="967"/>
      <c r="V500" s="974"/>
      <c r="W500" s="1197"/>
      <c r="X500" s="974"/>
      <c r="Y500" s="974"/>
      <c r="Z500" s="974"/>
      <c r="AA500" s="974"/>
      <c r="AB500" s="974"/>
      <c r="AC500" s="974"/>
      <c r="AD500" s="974"/>
      <c r="AE500" s="974"/>
      <c r="AF500" s="974"/>
      <c r="AG500" s="974"/>
      <c r="AH500" s="974"/>
      <c r="AI500" s="1198"/>
      <c r="AJ500" s="974"/>
      <c r="AK500" s="1197"/>
      <c r="AL500" s="974"/>
      <c r="AM500" s="974"/>
      <c r="AN500" s="974"/>
      <c r="AO500" s="974"/>
      <c r="AP500" s="974"/>
      <c r="AQ500" s="974"/>
      <c r="AR500" s="974"/>
      <c r="AS500" s="974"/>
      <c r="AT500" s="974"/>
      <c r="AU500" s="974"/>
      <c r="AV500" s="974"/>
      <c r="AW500" s="1181"/>
      <c r="AX500" s="978"/>
      <c r="AY500" s="898"/>
      <c r="AZ500" s="898"/>
      <c r="BA500" s="898"/>
      <c r="BB500" s="898"/>
      <c r="BC500" s="898"/>
      <c r="BD500" s="898"/>
      <c r="BE500" s="898"/>
      <c r="BF500" s="898"/>
      <c r="BG500" s="898"/>
      <c r="BH500" s="898"/>
      <c r="BI500" s="898"/>
      <c r="BJ500" s="898"/>
      <c r="BK500" s="898"/>
      <c r="BL500" s="898"/>
      <c r="BM500" s="898"/>
      <c r="BN500" s="898"/>
      <c r="BO500" s="898"/>
      <c r="BP500" s="898"/>
      <c r="BQ500" s="898"/>
      <c r="BR500" s="898"/>
      <c r="BS500" s="898"/>
      <c r="BT500" s="898"/>
      <c r="BU500" s="898"/>
      <c r="BV500" s="898"/>
      <c r="BW500" s="898"/>
      <c r="BX500" s="898"/>
      <c r="BY500" s="898"/>
      <c r="BZ500" s="898"/>
      <c r="CA500" s="898"/>
      <c r="CB500" s="898"/>
      <c r="CC500" s="898"/>
      <c r="CD500" s="898"/>
      <c r="CE500" s="898"/>
      <c r="CF500" s="898"/>
      <c r="CG500" s="898"/>
      <c r="CH500" s="898"/>
      <c r="CI500" s="898"/>
      <c r="CJ500" s="898"/>
      <c r="CK500" s="898"/>
      <c r="CL500" s="898"/>
      <c r="CM500" s="898"/>
      <c r="CN500" s="898"/>
      <c r="CO500" s="898"/>
      <c r="CP500" s="898"/>
      <c r="CQ500" s="898"/>
      <c r="CR500" s="898"/>
      <c r="CS500" s="898"/>
      <c r="CT500" s="898"/>
      <c r="CU500" s="898"/>
    </row>
    <row r="501" ht="16.5" customHeight="1">
      <c r="A501" s="718"/>
      <c r="B501" s="1195"/>
      <c r="C501" s="866"/>
      <c r="D501" s="968"/>
      <c r="E501" s="718"/>
      <c r="F501" s="718"/>
      <c r="G501" s="718"/>
      <c r="H501" s="718"/>
      <c r="I501" s="359"/>
      <c r="J501" s="359"/>
      <c r="K501" s="359"/>
      <c r="L501" s="359"/>
      <c r="M501" s="359"/>
      <c r="N501" s="359"/>
      <c r="O501" s="359"/>
      <c r="P501" s="359"/>
      <c r="Q501" s="359"/>
      <c r="R501" s="718"/>
      <c r="S501" s="669"/>
      <c r="T501" s="669"/>
      <c r="U501" s="967"/>
      <c r="V501" s="974"/>
      <c r="W501" s="1197"/>
      <c r="X501" s="974"/>
      <c r="Y501" s="974"/>
      <c r="Z501" s="974"/>
      <c r="AA501" s="974"/>
      <c r="AB501" s="974"/>
      <c r="AC501" s="974"/>
      <c r="AD501" s="974"/>
      <c r="AE501" s="974"/>
      <c r="AF501" s="974"/>
      <c r="AG501" s="974"/>
      <c r="AH501" s="974"/>
      <c r="AI501" s="1198"/>
      <c r="AJ501" s="974"/>
      <c r="AK501" s="1197"/>
      <c r="AL501" s="974"/>
      <c r="AM501" s="974"/>
      <c r="AN501" s="974"/>
      <c r="AO501" s="974"/>
      <c r="AP501" s="974"/>
      <c r="AQ501" s="974"/>
      <c r="AR501" s="974"/>
      <c r="AS501" s="974"/>
      <c r="AT501" s="974"/>
      <c r="AU501" s="974"/>
      <c r="AV501" s="974"/>
      <c r="AW501" s="1181"/>
      <c r="AX501" s="978"/>
      <c r="AY501" s="898"/>
      <c r="AZ501" s="898"/>
      <c r="BA501" s="898"/>
      <c r="BB501" s="898"/>
      <c r="BC501" s="898"/>
      <c r="BD501" s="898"/>
      <c r="BE501" s="898"/>
      <c r="BF501" s="898"/>
      <c r="BG501" s="898"/>
      <c r="BH501" s="898"/>
      <c r="BI501" s="898"/>
      <c r="BJ501" s="898"/>
      <c r="BK501" s="898"/>
      <c r="BL501" s="898"/>
      <c r="BM501" s="898"/>
      <c r="BN501" s="898"/>
      <c r="BO501" s="898"/>
      <c r="BP501" s="898"/>
      <c r="BQ501" s="898"/>
      <c r="BR501" s="898"/>
      <c r="BS501" s="898"/>
      <c r="BT501" s="898"/>
      <c r="BU501" s="898"/>
      <c r="BV501" s="898"/>
      <c r="BW501" s="898"/>
      <c r="BX501" s="898"/>
      <c r="BY501" s="898"/>
      <c r="BZ501" s="898"/>
      <c r="CA501" s="898"/>
      <c r="CB501" s="898"/>
      <c r="CC501" s="898"/>
      <c r="CD501" s="898"/>
      <c r="CE501" s="898"/>
      <c r="CF501" s="898"/>
      <c r="CG501" s="898"/>
      <c r="CH501" s="898"/>
      <c r="CI501" s="898"/>
      <c r="CJ501" s="898"/>
      <c r="CK501" s="898"/>
      <c r="CL501" s="898"/>
      <c r="CM501" s="898"/>
      <c r="CN501" s="898"/>
      <c r="CO501" s="898"/>
      <c r="CP501" s="898"/>
      <c r="CQ501" s="898"/>
      <c r="CR501" s="898"/>
      <c r="CS501" s="898"/>
      <c r="CT501" s="898"/>
      <c r="CU501" s="898"/>
    </row>
    <row r="502" ht="16.5" customHeight="1">
      <c r="A502" s="718"/>
      <c r="B502" s="1195"/>
      <c r="C502" s="866"/>
      <c r="D502" s="968"/>
      <c r="E502" s="718"/>
      <c r="F502" s="718"/>
      <c r="G502" s="718"/>
      <c r="H502" s="718"/>
      <c r="I502" s="359"/>
      <c r="J502" s="359"/>
      <c r="K502" s="359"/>
      <c r="L502" s="359"/>
      <c r="M502" s="359"/>
      <c r="N502" s="359"/>
      <c r="O502" s="359"/>
      <c r="P502" s="359"/>
      <c r="Q502" s="359"/>
      <c r="R502" s="718"/>
      <c r="S502" s="669"/>
      <c r="T502" s="669"/>
      <c r="U502" s="967"/>
      <c r="V502" s="974"/>
      <c r="W502" s="1197"/>
      <c r="X502" s="974"/>
      <c r="Y502" s="974"/>
      <c r="Z502" s="974"/>
      <c r="AA502" s="974"/>
      <c r="AB502" s="974"/>
      <c r="AC502" s="974"/>
      <c r="AD502" s="974"/>
      <c r="AE502" s="974"/>
      <c r="AF502" s="974"/>
      <c r="AG502" s="974"/>
      <c r="AH502" s="974"/>
      <c r="AI502" s="1198"/>
      <c r="AJ502" s="974"/>
      <c r="AK502" s="1197"/>
      <c r="AL502" s="974"/>
      <c r="AM502" s="974"/>
      <c r="AN502" s="974"/>
      <c r="AO502" s="974"/>
      <c r="AP502" s="974"/>
      <c r="AQ502" s="974"/>
      <c r="AR502" s="974"/>
      <c r="AS502" s="974"/>
      <c r="AT502" s="974"/>
      <c r="AU502" s="974"/>
      <c r="AV502" s="974"/>
      <c r="AW502" s="1181"/>
      <c r="AX502" s="978"/>
      <c r="AY502" s="898"/>
      <c r="AZ502" s="898"/>
      <c r="BA502" s="898"/>
      <c r="BB502" s="898"/>
      <c r="BC502" s="898"/>
      <c r="BD502" s="898"/>
      <c r="BE502" s="898"/>
      <c r="BF502" s="898"/>
      <c r="BG502" s="898"/>
      <c r="BH502" s="898"/>
      <c r="BI502" s="898"/>
      <c r="BJ502" s="898"/>
      <c r="BK502" s="898"/>
      <c r="BL502" s="898"/>
      <c r="BM502" s="898"/>
      <c r="BN502" s="898"/>
      <c r="BO502" s="898"/>
      <c r="BP502" s="898"/>
      <c r="BQ502" s="898"/>
      <c r="BR502" s="898"/>
      <c r="BS502" s="898"/>
      <c r="BT502" s="898"/>
      <c r="BU502" s="898"/>
      <c r="BV502" s="898"/>
      <c r="BW502" s="898"/>
      <c r="BX502" s="898"/>
      <c r="BY502" s="898"/>
      <c r="BZ502" s="898"/>
      <c r="CA502" s="898"/>
      <c r="CB502" s="898"/>
      <c r="CC502" s="898"/>
      <c r="CD502" s="898"/>
      <c r="CE502" s="898"/>
      <c r="CF502" s="898"/>
      <c r="CG502" s="898"/>
      <c r="CH502" s="898"/>
      <c r="CI502" s="898"/>
      <c r="CJ502" s="898"/>
      <c r="CK502" s="898"/>
      <c r="CL502" s="898"/>
      <c r="CM502" s="898"/>
      <c r="CN502" s="898"/>
      <c r="CO502" s="898"/>
      <c r="CP502" s="898"/>
      <c r="CQ502" s="898"/>
      <c r="CR502" s="898"/>
      <c r="CS502" s="898"/>
      <c r="CT502" s="898"/>
      <c r="CU502" s="898"/>
    </row>
    <row r="503" ht="16.5" customHeight="1">
      <c r="A503" s="718"/>
      <c r="B503" s="1195"/>
      <c r="C503" s="866"/>
      <c r="D503" s="968"/>
      <c r="E503" s="718"/>
      <c r="F503" s="718"/>
      <c r="G503" s="718"/>
      <c r="H503" s="718"/>
      <c r="I503" s="359"/>
      <c r="J503" s="359"/>
      <c r="K503" s="359"/>
      <c r="L503" s="359"/>
      <c r="M503" s="359"/>
      <c r="N503" s="359"/>
      <c r="O503" s="359"/>
      <c r="P503" s="359"/>
      <c r="Q503" s="359"/>
      <c r="R503" s="718"/>
      <c r="S503" s="669"/>
      <c r="T503" s="669"/>
      <c r="U503" s="967"/>
      <c r="V503" s="974"/>
      <c r="W503" s="1197"/>
      <c r="X503" s="974"/>
      <c r="Y503" s="974"/>
      <c r="Z503" s="974"/>
      <c r="AA503" s="974"/>
      <c r="AB503" s="974"/>
      <c r="AC503" s="974"/>
      <c r="AD503" s="974"/>
      <c r="AE503" s="974"/>
      <c r="AF503" s="974"/>
      <c r="AG503" s="974"/>
      <c r="AH503" s="974"/>
      <c r="AI503" s="1198"/>
      <c r="AJ503" s="974"/>
      <c r="AK503" s="1197"/>
      <c r="AL503" s="974"/>
      <c r="AM503" s="974"/>
      <c r="AN503" s="974"/>
      <c r="AO503" s="974"/>
      <c r="AP503" s="974"/>
      <c r="AQ503" s="974"/>
      <c r="AR503" s="974"/>
      <c r="AS503" s="974"/>
      <c r="AT503" s="974"/>
      <c r="AU503" s="974"/>
      <c r="AV503" s="974"/>
      <c r="AW503" s="1181"/>
      <c r="AX503" s="978"/>
      <c r="AY503" s="898"/>
      <c r="AZ503" s="898"/>
      <c r="BA503" s="898"/>
      <c r="BB503" s="898"/>
      <c r="BC503" s="898"/>
      <c r="BD503" s="898"/>
      <c r="BE503" s="898"/>
      <c r="BF503" s="898"/>
      <c r="BG503" s="898"/>
      <c r="BH503" s="898"/>
      <c r="BI503" s="898"/>
      <c r="BJ503" s="898"/>
      <c r="BK503" s="898"/>
      <c r="BL503" s="898"/>
      <c r="BM503" s="898"/>
      <c r="BN503" s="898"/>
      <c r="BO503" s="898"/>
      <c r="BP503" s="898"/>
      <c r="BQ503" s="898"/>
      <c r="BR503" s="898"/>
      <c r="BS503" s="898"/>
      <c r="BT503" s="898"/>
      <c r="BU503" s="898"/>
      <c r="BV503" s="898"/>
      <c r="BW503" s="898"/>
      <c r="BX503" s="898"/>
      <c r="BY503" s="898"/>
      <c r="BZ503" s="898"/>
      <c r="CA503" s="898"/>
      <c r="CB503" s="898"/>
      <c r="CC503" s="898"/>
      <c r="CD503" s="898"/>
      <c r="CE503" s="898"/>
      <c r="CF503" s="898"/>
      <c r="CG503" s="898"/>
      <c r="CH503" s="898"/>
      <c r="CI503" s="898"/>
      <c r="CJ503" s="898"/>
      <c r="CK503" s="898"/>
      <c r="CL503" s="898"/>
      <c r="CM503" s="898"/>
      <c r="CN503" s="898"/>
      <c r="CO503" s="898"/>
      <c r="CP503" s="898"/>
      <c r="CQ503" s="898"/>
      <c r="CR503" s="898"/>
      <c r="CS503" s="898"/>
      <c r="CT503" s="898"/>
      <c r="CU503" s="898"/>
    </row>
    <row r="504" ht="16.5" customHeight="1">
      <c r="A504" s="718"/>
      <c r="B504" s="1195"/>
      <c r="C504" s="866"/>
      <c r="D504" s="968"/>
      <c r="E504" s="718"/>
      <c r="F504" s="718"/>
      <c r="G504" s="718"/>
      <c r="H504" s="718"/>
      <c r="I504" s="359"/>
      <c r="J504" s="359"/>
      <c r="K504" s="359"/>
      <c r="L504" s="359"/>
      <c r="M504" s="359"/>
      <c r="N504" s="359"/>
      <c r="O504" s="359"/>
      <c r="P504" s="359"/>
      <c r="Q504" s="359"/>
      <c r="R504" s="718"/>
      <c r="S504" s="669"/>
      <c r="T504" s="669"/>
      <c r="U504" s="967"/>
      <c r="V504" s="974"/>
      <c r="W504" s="1197"/>
      <c r="X504" s="974"/>
      <c r="Y504" s="974"/>
      <c r="Z504" s="974"/>
      <c r="AA504" s="974"/>
      <c r="AB504" s="974"/>
      <c r="AC504" s="974"/>
      <c r="AD504" s="974"/>
      <c r="AE504" s="974"/>
      <c r="AF504" s="974"/>
      <c r="AG504" s="974"/>
      <c r="AH504" s="974"/>
      <c r="AI504" s="1198"/>
      <c r="AJ504" s="974"/>
      <c r="AK504" s="1197"/>
      <c r="AL504" s="974"/>
      <c r="AM504" s="974"/>
      <c r="AN504" s="974"/>
      <c r="AO504" s="974"/>
      <c r="AP504" s="974"/>
      <c r="AQ504" s="974"/>
      <c r="AR504" s="974"/>
      <c r="AS504" s="974"/>
      <c r="AT504" s="974"/>
      <c r="AU504" s="974"/>
      <c r="AV504" s="974"/>
      <c r="AW504" s="1181"/>
      <c r="AX504" s="978"/>
      <c r="AY504" s="898"/>
      <c r="AZ504" s="898"/>
      <c r="BA504" s="898"/>
      <c r="BB504" s="898"/>
      <c r="BC504" s="898"/>
      <c r="BD504" s="898"/>
      <c r="BE504" s="898"/>
      <c r="BF504" s="898"/>
      <c r="BG504" s="898"/>
      <c r="BH504" s="898"/>
      <c r="BI504" s="898"/>
      <c r="BJ504" s="898"/>
      <c r="BK504" s="898"/>
      <c r="BL504" s="898"/>
      <c r="BM504" s="898"/>
      <c r="BN504" s="898"/>
      <c r="BO504" s="898"/>
      <c r="BP504" s="898"/>
      <c r="BQ504" s="898"/>
      <c r="BR504" s="898"/>
      <c r="BS504" s="898"/>
      <c r="BT504" s="898"/>
      <c r="BU504" s="898"/>
      <c r="BV504" s="898"/>
      <c r="BW504" s="898"/>
      <c r="BX504" s="898"/>
      <c r="BY504" s="898"/>
      <c r="BZ504" s="898"/>
      <c r="CA504" s="898"/>
      <c r="CB504" s="898"/>
      <c r="CC504" s="898"/>
      <c r="CD504" s="898"/>
      <c r="CE504" s="898"/>
      <c r="CF504" s="898"/>
      <c r="CG504" s="898"/>
      <c r="CH504" s="898"/>
      <c r="CI504" s="898"/>
      <c r="CJ504" s="898"/>
      <c r="CK504" s="898"/>
      <c r="CL504" s="898"/>
      <c r="CM504" s="898"/>
      <c r="CN504" s="898"/>
      <c r="CO504" s="898"/>
      <c r="CP504" s="898"/>
      <c r="CQ504" s="898"/>
      <c r="CR504" s="898"/>
      <c r="CS504" s="898"/>
      <c r="CT504" s="898"/>
      <c r="CU504" s="898"/>
    </row>
    <row r="505" ht="16.5" customHeight="1">
      <c r="A505" s="718"/>
      <c r="B505" s="1195"/>
      <c r="C505" s="866"/>
      <c r="D505" s="968"/>
      <c r="E505" s="718"/>
      <c r="F505" s="718"/>
      <c r="G505" s="718"/>
      <c r="H505" s="718"/>
      <c r="I505" s="359"/>
      <c r="J505" s="359"/>
      <c r="K505" s="359"/>
      <c r="L505" s="359"/>
      <c r="M505" s="359"/>
      <c r="N505" s="359"/>
      <c r="O505" s="359"/>
      <c r="P505" s="359"/>
      <c r="Q505" s="359"/>
      <c r="R505" s="718"/>
      <c r="S505" s="669"/>
      <c r="T505" s="669"/>
      <c r="U505" s="967"/>
      <c r="V505" s="974"/>
      <c r="W505" s="1197"/>
      <c r="X505" s="974"/>
      <c r="Y505" s="974"/>
      <c r="Z505" s="974"/>
      <c r="AA505" s="974"/>
      <c r="AB505" s="974"/>
      <c r="AC505" s="974"/>
      <c r="AD505" s="974"/>
      <c r="AE505" s="974"/>
      <c r="AF505" s="974"/>
      <c r="AG505" s="974"/>
      <c r="AH505" s="974"/>
      <c r="AI505" s="1198"/>
      <c r="AJ505" s="974"/>
      <c r="AK505" s="1197"/>
      <c r="AL505" s="974"/>
      <c r="AM505" s="974"/>
      <c r="AN505" s="974"/>
      <c r="AO505" s="974"/>
      <c r="AP505" s="974"/>
      <c r="AQ505" s="974"/>
      <c r="AR505" s="974"/>
      <c r="AS505" s="974"/>
      <c r="AT505" s="974"/>
      <c r="AU505" s="974"/>
      <c r="AV505" s="974"/>
      <c r="AW505" s="1181"/>
      <c r="AX505" s="978"/>
      <c r="AY505" s="898"/>
      <c r="AZ505" s="898"/>
      <c r="BA505" s="898"/>
      <c r="BB505" s="898"/>
      <c r="BC505" s="898"/>
      <c r="BD505" s="898"/>
      <c r="BE505" s="898"/>
      <c r="BF505" s="898"/>
      <c r="BG505" s="898"/>
      <c r="BH505" s="898"/>
      <c r="BI505" s="898"/>
      <c r="BJ505" s="898"/>
      <c r="BK505" s="898"/>
      <c r="BL505" s="898"/>
      <c r="BM505" s="898"/>
      <c r="BN505" s="898"/>
      <c r="BO505" s="898"/>
      <c r="BP505" s="898"/>
      <c r="BQ505" s="898"/>
      <c r="BR505" s="898"/>
      <c r="BS505" s="898"/>
      <c r="BT505" s="898"/>
      <c r="BU505" s="898"/>
      <c r="BV505" s="898"/>
      <c r="BW505" s="898"/>
      <c r="BX505" s="898"/>
      <c r="BY505" s="898"/>
      <c r="BZ505" s="898"/>
      <c r="CA505" s="898"/>
      <c r="CB505" s="898"/>
      <c r="CC505" s="898"/>
      <c r="CD505" s="898"/>
      <c r="CE505" s="898"/>
      <c r="CF505" s="898"/>
      <c r="CG505" s="898"/>
      <c r="CH505" s="898"/>
      <c r="CI505" s="898"/>
      <c r="CJ505" s="898"/>
      <c r="CK505" s="898"/>
      <c r="CL505" s="898"/>
      <c r="CM505" s="898"/>
      <c r="CN505" s="898"/>
      <c r="CO505" s="898"/>
      <c r="CP505" s="898"/>
      <c r="CQ505" s="898"/>
      <c r="CR505" s="898"/>
      <c r="CS505" s="898"/>
      <c r="CT505" s="898"/>
      <c r="CU505" s="898"/>
    </row>
    <row r="506" ht="16.5" customHeight="1">
      <c r="A506" s="718"/>
      <c r="B506" s="1195"/>
      <c r="C506" s="866"/>
      <c r="D506" s="968"/>
      <c r="E506" s="718"/>
      <c r="F506" s="718"/>
      <c r="G506" s="718"/>
      <c r="H506" s="718"/>
      <c r="I506" s="359"/>
      <c r="J506" s="359"/>
      <c r="K506" s="359"/>
      <c r="L506" s="359"/>
      <c r="M506" s="359"/>
      <c r="N506" s="359"/>
      <c r="O506" s="359"/>
      <c r="P506" s="359"/>
      <c r="Q506" s="359"/>
      <c r="R506" s="718"/>
      <c r="S506" s="669"/>
      <c r="T506" s="669"/>
      <c r="U506" s="967"/>
      <c r="V506" s="974"/>
      <c r="W506" s="1197"/>
      <c r="X506" s="974"/>
      <c r="Y506" s="974"/>
      <c r="Z506" s="974"/>
      <c r="AA506" s="974"/>
      <c r="AB506" s="974"/>
      <c r="AC506" s="974"/>
      <c r="AD506" s="974"/>
      <c r="AE506" s="974"/>
      <c r="AF506" s="974"/>
      <c r="AG506" s="974"/>
      <c r="AH506" s="974"/>
      <c r="AI506" s="1198"/>
      <c r="AJ506" s="974"/>
      <c r="AK506" s="1197"/>
      <c r="AL506" s="974"/>
      <c r="AM506" s="974"/>
      <c r="AN506" s="974"/>
      <c r="AO506" s="974"/>
      <c r="AP506" s="974"/>
      <c r="AQ506" s="974"/>
      <c r="AR506" s="974"/>
      <c r="AS506" s="974"/>
      <c r="AT506" s="974"/>
      <c r="AU506" s="974"/>
      <c r="AV506" s="974"/>
      <c r="AW506" s="1181"/>
      <c r="AX506" s="978"/>
      <c r="AY506" s="898"/>
      <c r="AZ506" s="898"/>
      <c r="BA506" s="898"/>
      <c r="BB506" s="898"/>
      <c r="BC506" s="898"/>
      <c r="BD506" s="898"/>
      <c r="BE506" s="898"/>
      <c r="BF506" s="898"/>
      <c r="BG506" s="898"/>
      <c r="BH506" s="898"/>
      <c r="BI506" s="898"/>
      <c r="BJ506" s="898"/>
      <c r="BK506" s="898"/>
      <c r="BL506" s="898"/>
      <c r="BM506" s="898"/>
      <c r="BN506" s="898"/>
      <c r="BO506" s="898"/>
      <c r="BP506" s="898"/>
      <c r="BQ506" s="898"/>
      <c r="BR506" s="898"/>
      <c r="BS506" s="898"/>
      <c r="BT506" s="898"/>
      <c r="BU506" s="898"/>
      <c r="BV506" s="898"/>
      <c r="BW506" s="898"/>
      <c r="BX506" s="898"/>
      <c r="BY506" s="898"/>
      <c r="BZ506" s="898"/>
      <c r="CA506" s="898"/>
      <c r="CB506" s="898"/>
      <c r="CC506" s="898"/>
      <c r="CD506" s="898"/>
      <c r="CE506" s="898"/>
      <c r="CF506" s="898"/>
      <c r="CG506" s="898"/>
      <c r="CH506" s="898"/>
      <c r="CI506" s="898"/>
      <c r="CJ506" s="898"/>
      <c r="CK506" s="898"/>
      <c r="CL506" s="898"/>
      <c r="CM506" s="898"/>
      <c r="CN506" s="898"/>
      <c r="CO506" s="898"/>
      <c r="CP506" s="898"/>
      <c r="CQ506" s="898"/>
      <c r="CR506" s="898"/>
      <c r="CS506" s="898"/>
      <c r="CT506" s="898"/>
      <c r="CU506" s="898"/>
    </row>
    <row r="507" ht="16.5" customHeight="1">
      <c r="A507" s="718"/>
      <c r="B507" s="1195"/>
      <c r="C507" s="866"/>
      <c r="D507" s="968"/>
      <c r="E507" s="718"/>
      <c r="F507" s="718"/>
      <c r="G507" s="718"/>
      <c r="H507" s="718"/>
      <c r="I507" s="359"/>
      <c r="J507" s="359"/>
      <c r="K507" s="359"/>
      <c r="L507" s="359"/>
      <c r="M507" s="359"/>
      <c r="N507" s="359"/>
      <c r="O507" s="359"/>
      <c r="P507" s="359"/>
      <c r="Q507" s="359"/>
      <c r="R507" s="718"/>
      <c r="S507" s="669"/>
      <c r="T507" s="669"/>
      <c r="U507" s="967"/>
      <c r="V507" s="974"/>
      <c r="W507" s="1197"/>
      <c r="X507" s="974"/>
      <c r="Y507" s="974"/>
      <c r="Z507" s="974"/>
      <c r="AA507" s="974"/>
      <c r="AB507" s="974"/>
      <c r="AC507" s="974"/>
      <c r="AD507" s="974"/>
      <c r="AE507" s="974"/>
      <c r="AF507" s="974"/>
      <c r="AG507" s="974"/>
      <c r="AH507" s="974"/>
      <c r="AI507" s="1198"/>
      <c r="AJ507" s="974"/>
      <c r="AK507" s="1197"/>
      <c r="AL507" s="974"/>
      <c r="AM507" s="974"/>
      <c r="AN507" s="974"/>
      <c r="AO507" s="974"/>
      <c r="AP507" s="974"/>
      <c r="AQ507" s="974"/>
      <c r="AR507" s="974"/>
      <c r="AS507" s="974"/>
      <c r="AT507" s="974"/>
      <c r="AU507" s="974"/>
      <c r="AV507" s="974"/>
      <c r="AW507" s="1181"/>
      <c r="AX507" s="978"/>
      <c r="AY507" s="898"/>
      <c r="AZ507" s="898"/>
      <c r="BA507" s="898"/>
      <c r="BB507" s="898"/>
      <c r="BC507" s="898"/>
      <c r="BD507" s="898"/>
      <c r="BE507" s="898"/>
      <c r="BF507" s="898"/>
      <c r="BG507" s="898"/>
      <c r="BH507" s="898"/>
      <c r="BI507" s="898"/>
      <c r="BJ507" s="898"/>
      <c r="BK507" s="898"/>
      <c r="BL507" s="898"/>
      <c r="BM507" s="898"/>
      <c r="BN507" s="898"/>
      <c r="BO507" s="898"/>
      <c r="BP507" s="898"/>
      <c r="BQ507" s="898"/>
      <c r="BR507" s="898"/>
      <c r="BS507" s="898"/>
      <c r="BT507" s="898"/>
      <c r="BU507" s="898"/>
      <c r="BV507" s="898"/>
      <c r="BW507" s="898"/>
      <c r="BX507" s="898"/>
      <c r="BY507" s="898"/>
      <c r="BZ507" s="898"/>
      <c r="CA507" s="898"/>
      <c r="CB507" s="898"/>
      <c r="CC507" s="898"/>
      <c r="CD507" s="898"/>
      <c r="CE507" s="898"/>
      <c r="CF507" s="898"/>
      <c r="CG507" s="898"/>
      <c r="CH507" s="898"/>
      <c r="CI507" s="898"/>
      <c r="CJ507" s="898"/>
      <c r="CK507" s="898"/>
      <c r="CL507" s="898"/>
      <c r="CM507" s="898"/>
      <c r="CN507" s="898"/>
      <c r="CO507" s="898"/>
      <c r="CP507" s="898"/>
      <c r="CQ507" s="898"/>
      <c r="CR507" s="898"/>
      <c r="CS507" s="898"/>
      <c r="CT507" s="898"/>
      <c r="CU507" s="898"/>
    </row>
    <row r="508" ht="16.5" customHeight="1">
      <c r="A508" s="718"/>
      <c r="B508" s="1195"/>
      <c r="C508" s="866"/>
      <c r="D508" s="968"/>
      <c r="E508" s="718"/>
      <c r="F508" s="718"/>
      <c r="G508" s="718"/>
      <c r="H508" s="718"/>
      <c r="I508" s="359"/>
      <c r="J508" s="359"/>
      <c r="K508" s="359"/>
      <c r="L508" s="359"/>
      <c r="M508" s="359"/>
      <c r="N508" s="359"/>
      <c r="O508" s="359"/>
      <c r="P508" s="359"/>
      <c r="Q508" s="359"/>
      <c r="R508" s="718"/>
      <c r="S508" s="669"/>
      <c r="T508" s="669"/>
      <c r="U508" s="967"/>
      <c r="V508" s="974"/>
      <c r="W508" s="1197"/>
      <c r="X508" s="974"/>
      <c r="Y508" s="974"/>
      <c r="Z508" s="974"/>
      <c r="AA508" s="974"/>
      <c r="AB508" s="974"/>
      <c r="AC508" s="974"/>
      <c r="AD508" s="974"/>
      <c r="AE508" s="974"/>
      <c r="AF508" s="974"/>
      <c r="AG508" s="974"/>
      <c r="AH508" s="974"/>
      <c r="AI508" s="1198"/>
      <c r="AJ508" s="974"/>
      <c r="AK508" s="1197"/>
      <c r="AL508" s="974"/>
      <c r="AM508" s="974"/>
      <c r="AN508" s="974"/>
      <c r="AO508" s="974"/>
      <c r="AP508" s="974"/>
      <c r="AQ508" s="974"/>
      <c r="AR508" s="974"/>
      <c r="AS508" s="974"/>
      <c r="AT508" s="974"/>
      <c r="AU508" s="974"/>
      <c r="AV508" s="974"/>
      <c r="AW508" s="1181"/>
      <c r="AX508" s="978"/>
      <c r="AY508" s="898"/>
      <c r="AZ508" s="898"/>
      <c r="BA508" s="898"/>
      <c r="BB508" s="898"/>
      <c r="BC508" s="898"/>
      <c r="BD508" s="898"/>
      <c r="BE508" s="898"/>
      <c r="BF508" s="898"/>
      <c r="BG508" s="898"/>
      <c r="BH508" s="898"/>
      <c r="BI508" s="898"/>
      <c r="BJ508" s="898"/>
      <c r="BK508" s="898"/>
      <c r="BL508" s="898"/>
      <c r="BM508" s="898"/>
      <c r="BN508" s="898"/>
      <c r="BO508" s="898"/>
      <c r="BP508" s="898"/>
      <c r="BQ508" s="898"/>
      <c r="BR508" s="898"/>
      <c r="BS508" s="898"/>
      <c r="BT508" s="898"/>
      <c r="BU508" s="898"/>
      <c r="BV508" s="898"/>
      <c r="BW508" s="898"/>
      <c r="BX508" s="898"/>
      <c r="BY508" s="898"/>
      <c r="BZ508" s="898"/>
      <c r="CA508" s="898"/>
      <c r="CB508" s="898"/>
      <c r="CC508" s="898"/>
      <c r="CD508" s="898"/>
      <c r="CE508" s="898"/>
      <c r="CF508" s="898"/>
      <c r="CG508" s="898"/>
      <c r="CH508" s="898"/>
      <c r="CI508" s="898"/>
      <c r="CJ508" s="898"/>
      <c r="CK508" s="898"/>
      <c r="CL508" s="898"/>
      <c r="CM508" s="898"/>
      <c r="CN508" s="898"/>
      <c r="CO508" s="898"/>
      <c r="CP508" s="898"/>
      <c r="CQ508" s="898"/>
      <c r="CR508" s="898"/>
      <c r="CS508" s="898"/>
      <c r="CT508" s="898"/>
      <c r="CU508" s="898"/>
    </row>
    <row r="509" ht="16.5" customHeight="1">
      <c r="A509" s="718"/>
      <c r="B509" s="1195"/>
      <c r="C509" s="866"/>
      <c r="D509" s="968"/>
      <c r="E509" s="718"/>
      <c r="F509" s="718"/>
      <c r="G509" s="718"/>
      <c r="H509" s="718"/>
      <c r="I509" s="359"/>
      <c r="J509" s="359"/>
      <c r="K509" s="359"/>
      <c r="L509" s="359"/>
      <c r="M509" s="359"/>
      <c r="N509" s="359"/>
      <c r="O509" s="359"/>
      <c r="P509" s="359"/>
      <c r="Q509" s="359"/>
      <c r="R509" s="718"/>
      <c r="S509" s="669"/>
      <c r="T509" s="669"/>
      <c r="U509" s="967"/>
      <c r="V509" s="974"/>
      <c r="W509" s="1197"/>
      <c r="X509" s="974"/>
      <c r="Y509" s="974"/>
      <c r="Z509" s="974"/>
      <c r="AA509" s="974"/>
      <c r="AB509" s="974"/>
      <c r="AC509" s="974"/>
      <c r="AD509" s="974"/>
      <c r="AE509" s="974"/>
      <c r="AF509" s="974"/>
      <c r="AG509" s="974"/>
      <c r="AH509" s="974"/>
      <c r="AI509" s="1198"/>
      <c r="AJ509" s="974"/>
      <c r="AK509" s="1197"/>
      <c r="AL509" s="974"/>
      <c r="AM509" s="974"/>
      <c r="AN509" s="974"/>
      <c r="AO509" s="974"/>
      <c r="AP509" s="974"/>
      <c r="AQ509" s="974"/>
      <c r="AR509" s="974"/>
      <c r="AS509" s="974"/>
      <c r="AT509" s="974"/>
      <c r="AU509" s="974"/>
      <c r="AV509" s="974"/>
      <c r="AW509" s="1181"/>
      <c r="AX509" s="978"/>
      <c r="AY509" s="898"/>
      <c r="AZ509" s="898"/>
      <c r="BA509" s="898"/>
      <c r="BB509" s="898"/>
      <c r="BC509" s="898"/>
      <c r="BD509" s="898"/>
      <c r="BE509" s="898"/>
      <c r="BF509" s="898"/>
      <c r="BG509" s="898"/>
      <c r="BH509" s="898"/>
      <c r="BI509" s="898"/>
      <c r="BJ509" s="898"/>
      <c r="BK509" s="898"/>
      <c r="BL509" s="898"/>
      <c r="BM509" s="898"/>
      <c r="BN509" s="898"/>
      <c r="BO509" s="898"/>
      <c r="BP509" s="898"/>
      <c r="BQ509" s="898"/>
      <c r="BR509" s="898"/>
      <c r="BS509" s="898"/>
      <c r="BT509" s="898"/>
      <c r="BU509" s="898"/>
      <c r="BV509" s="898"/>
      <c r="BW509" s="898"/>
      <c r="BX509" s="898"/>
      <c r="BY509" s="898"/>
      <c r="BZ509" s="898"/>
      <c r="CA509" s="898"/>
      <c r="CB509" s="898"/>
      <c r="CC509" s="898"/>
      <c r="CD509" s="898"/>
      <c r="CE509" s="898"/>
      <c r="CF509" s="898"/>
      <c r="CG509" s="898"/>
      <c r="CH509" s="898"/>
      <c r="CI509" s="898"/>
      <c r="CJ509" s="898"/>
      <c r="CK509" s="898"/>
      <c r="CL509" s="898"/>
      <c r="CM509" s="898"/>
      <c r="CN509" s="898"/>
      <c r="CO509" s="898"/>
      <c r="CP509" s="898"/>
      <c r="CQ509" s="898"/>
      <c r="CR509" s="898"/>
      <c r="CS509" s="898"/>
      <c r="CT509" s="898"/>
      <c r="CU509" s="898"/>
    </row>
    <row r="510" ht="16.5" customHeight="1">
      <c r="A510" s="718"/>
      <c r="B510" s="1195"/>
      <c r="C510" s="866"/>
      <c r="D510" s="968"/>
      <c r="E510" s="718"/>
      <c r="F510" s="718"/>
      <c r="G510" s="718"/>
      <c r="H510" s="718"/>
      <c r="I510" s="359"/>
      <c r="J510" s="359"/>
      <c r="K510" s="359"/>
      <c r="L510" s="359"/>
      <c r="M510" s="359"/>
      <c r="N510" s="359"/>
      <c r="O510" s="359"/>
      <c r="P510" s="359"/>
      <c r="Q510" s="359"/>
      <c r="R510" s="718"/>
      <c r="S510" s="669"/>
      <c r="T510" s="669"/>
      <c r="U510" s="967"/>
      <c r="V510" s="974"/>
      <c r="W510" s="1197"/>
      <c r="X510" s="974"/>
      <c r="Y510" s="974"/>
      <c r="Z510" s="974"/>
      <c r="AA510" s="974"/>
      <c r="AB510" s="974"/>
      <c r="AC510" s="974"/>
      <c r="AD510" s="974"/>
      <c r="AE510" s="974"/>
      <c r="AF510" s="974"/>
      <c r="AG510" s="974"/>
      <c r="AH510" s="974"/>
      <c r="AI510" s="1198"/>
      <c r="AJ510" s="974"/>
      <c r="AK510" s="1197"/>
      <c r="AL510" s="974"/>
      <c r="AM510" s="974"/>
      <c r="AN510" s="974"/>
      <c r="AO510" s="974"/>
      <c r="AP510" s="974"/>
      <c r="AQ510" s="974"/>
      <c r="AR510" s="974"/>
      <c r="AS510" s="974"/>
      <c r="AT510" s="974"/>
      <c r="AU510" s="974"/>
      <c r="AV510" s="974"/>
      <c r="AW510" s="1181"/>
      <c r="AX510" s="978"/>
      <c r="AY510" s="898"/>
      <c r="AZ510" s="898"/>
      <c r="BA510" s="898"/>
      <c r="BB510" s="898"/>
      <c r="BC510" s="898"/>
      <c r="BD510" s="898"/>
      <c r="BE510" s="898"/>
      <c r="BF510" s="898"/>
      <c r="BG510" s="898"/>
      <c r="BH510" s="898"/>
      <c r="BI510" s="898"/>
      <c r="BJ510" s="898"/>
      <c r="BK510" s="898"/>
      <c r="BL510" s="898"/>
      <c r="BM510" s="898"/>
      <c r="BN510" s="898"/>
      <c r="BO510" s="898"/>
      <c r="BP510" s="898"/>
      <c r="BQ510" s="898"/>
      <c r="BR510" s="898"/>
      <c r="BS510" s="898"/>
      <c r="BT510" s="898"/>
      <c r="BU510" s="898"/>
      <c r="BV510" s="898"/>
      <c r="BW510" s="898"/>
      <c r="BX510" s="898"/>
      <c r="BY510" s="898"/>
      <c r="BZ510" s="898"/>
      <c r="CA510" s="898"/>
      <c r="CB510" s="898"/>
      <c r="CC510" s="898"/>
      <c r="CD510" s="898"/>
      <c r="CE510" s="898"/>
      <c r="CF510" s="898"/>
      <c r="CG510" s="898"/>
      <c r="CH510" s="898"/>
      <c r="CI510" s="898"/>
      <c r="CJ510" s="898"/>
      <c r="CK510" s="898"/>
      <c r="CL510" s="898"/>
      <c r="CM510" s="898"/>
      <c r="CN510" s="898"/>
      <c r="CO510" s="898"/>
      <c r="CP510" s="898"/>
      <c r="CQ510" s="898"/>
      <c r="CR510" s="898"/>
      <c r="CS510" s="898"/>
      <c r="CT510" s="898"/>
      <c r="CU510" s="898"/>
    </row>
    <row r="511" ht="16.5" customHeight="1">
      <c r="A511" s="718"/>
      <c r="B511" s="1195"/>
      <c r="C511" s="866"/>
      <c r="D511" s="968"/>
      <c r="E511" s="718"/>
      <c r="F511" s="718"/>
      <c r="G511" s="718"/>
      <c r="H511" s="718"/>
      <c r="I511" s="359"/>
      <c r="J511" s="359"/>
      <c r="K511" s="359"/>
      <c r="L511" s="359"/>
      <c r="M511" s="359"/>
      <c r="N511" s="359"/>
      <c r="O511" s="359"/>
      <c r="P511" s="359"/>
      <c r="Q511" s="359"/>
      <c r="R511" s="718"/>
      <c r="S511" s="669"/>
      <c r="T511" s="669"/>
      <c r="U511" s="967"/>
      <c r="V511" s="974"/>
      <c r="W511" s="1197"/>
      <c r="X511" s="974"/>
      <c r="Y511" s="974"/>
      <c r="Z511" s="974"/>
      <c r="AA511" s="974"/>
      <c r="AB511" s="974"/>
      <c r="AC511" s="974"/>
      <c r="AD511" s="974"/>
      <c r="AE511" s="974"/>
      <c r="AF511" s="974"/>
      <c r="AG511" s="974"/>
      <c r="AH511" s="974"/>
      <c r="AI511" s="1198"/>
      <c r="AJ511" s="974"/>
      <c r="AK511" s="1197"/>
      <c r="AL511" s="974"/>
      <c r="AM511" s="974"/>
      <c r="AN511" s="974"/>
      <c r="AO511" s="974"/>
      <c r="AP511" s="974"/>
      <c r="AQ511" s="974"/>
      <c r="AR511" s="974"/>
      <c r="AS511" s="974"/>
      <c r="AT511" s="974"/>
      <c r="AU511" s="974"/>
      <c r="AV511" s="974"/>
      <c r="AW511" s="1181"/>
      <c r="AX511" s="978"/>
      <c r="AY511" s="898"/>
      <c r="AZ511" s="898"/>
      <c r="BA511" s="898"/>
      <c r="BB511" s="898"/>
      <c r="BC511" s="898"/>
      <c r="BD511" s="898"/>
      <c r="BE511" s="898"/>
      <c r="BF511" s="898"/>
      <c r="BG511" s="898"/>
      <c r="BH511" s="898"/>
      <c r="BI511" s="898"/>
      <c r="BJ511" s="898"/>
      <c r="BK511" s="898"/>
      <c r="BL511" s="898"/>
      <c r="BM511" s="898"/>
      <c r="BN511" s="898"/>
      <c r="BO511" s="898"/>
      <c r="BP511" s="898"/>
      <c r="BQ511" s="898"/>
      <c r="BR511" s="898"/>
      <c r="BS511" s="898"/>
      <c r="BT511" s="898"/>
      <c r="BU511" s="898"/>
      <c r="BV511" s="898"/>
      <c r="BW511" s="898"/>
      <c r="BX511" s="898"/>
      <c r="BY511" s="898"/>
      <c r="BZ511" s="898"/>
      <c r="CA511" s="898"/>
      <c r="CB511" s="898"/>
      <c r="CC511" s="898"/>
      <c r="CD511" s="898"/>
      <c r="CE511" s="898"/>
      <c r="CF511" s="898"/>
      <c r="CG511" s="898"/>
      <c r="CH511" s="898"/>
      <c r="CI511" s="898"/>
      <c r="CJ511" s="898"/>
      <c r="CK511" s="898"/>
      <c r="CL511" s="898"/>
      <c r="CM511" s="898"/>
      <c r="CN511" s="898"/>
      <c r="CO511" s="898"/>
      <c r="CP511" s="898"/>
      <c r="CQ511" s="898"/>
      <c r="CR511" s="898"/>
      <c r="CS511" s="898"/>
      <c r="CT511" s="898"/>
      <c r="CU511" s="898"/>
    </row>
    <row r="512" ht="16.5" customHeight="1">
      <c r="A512" s="718"/>
      <c r="B512" s="1195"/>
      <c r="C512" s="866"/>
      <c r="D512" s="968"/>
      <c r="E512" s="718"/>
      <c r="F512" s="718"/>
      <c r="G512" s="718"/>
      <c r="H512" s="718"/>
      <c r="I512" s="359"/>
      <c r="J512" s="359"/>
      <c r="K512" s="359"/>
      <c r="L512" s="359"/>
      <c r="M512" s="359"/>
      <c r="N512" s="359"/>
      <c r="O512" s="359"/>
      <c r="P512" s="359"/>
      <c r="Q512" s="359"/>
      <c r="R512" s="718"/>
      <c r="S512" s="669"/>
      <c r="T512" s="669"/>
      <c r="U512" s="967"/>
      <c r="V512" s="974"/>
      <c r="W512" s="1197"/>
      <c r="X512" s="974"/>
      <c r="Y512" s="974"/>
      <c r="Z512" s="974"/>
      <c r="AA512" s="974"/>
      <c r="AB512" s="974"/>
      <c r="AC512" s="974"/>
      <c r="AD512" s="974"/>
      <c r="AE512" s="974"/>
      <c r="AF512" s="974"/>
      <c r="AG512" s="974"/>
      <c r="AH512" s="974"/>
      <c r="AI512" s="1198"/>
      <c r="AJ512" s="974"/>
      <c r="AK512" s="1197"/>
      <c r="AL512" s="974"/>
      <c r="AM512" s="974"/>
      <c r="AN512" s="974"/>
      <c r="AO512" s="974"/>
      <c r="AP512" s="974"/>
      <c r="AQ512" s="974"/>
      <c r="AR512" s="974"/>
      <c r="AS512" s="974"/>
      <c r="AT512" s="974"/>
      <c r="AU512" s="974"/>
      <c r="AV512" s="974"/>
      <c r="AW512" s="1181"/>
      <c r="AX512" s="978"/>
      <c r="AY512" s="898"/>
      <c r="AZ512" s="898"/>
      <c r="BA512" s="898"/>
      <c r="BB512" s="898"/>
      <c r="BC512" s="898"/>
      <c r="BD512" s="898"/>
      <c r="BE512" s="898"/>
      <c r="BF512" s="898"/>
      <c r="BG512" s="898"/>
      <c r="BH512" s="898"/>
      <c r="BI512" s="898"/>
      <c r="BJ512" s="898"/>
      <c r="BK512" s="898"/>
      <c r="BL512" s="898"/>
      <c r="BM512" s="898"/>
      <c r="BN512" s="898"/>
      <c r="BO512" s="898"/>
      <c r="BP512" s="898"/>
      <c r="BQ512" s="898"/>
      <c r="BR512" s="898"/>
      <c r="BS512" s="898"/>
      <c r="BT512" s="898"/>
      <c r="BU512" s="898"/>
      <c r="BV512" s="898"/>
      <c r="BW512" s="898"/>
      <c r="BX512" s="898"/>
      <c r="BY512" s="898"/>
      <c r="BZ512" s="898"/>
      <c r="CA512" s="898"/>
      <c r="CB512" s="898"/>
      <c r="CC512" s="898"/>
      <c r="CD512" s="898"/>
      <c r="CE512" s="898"/>
      <c r="CF512" s="898"/>
      <c r="CG512" s="898"/>
      <c r="CH512" s="898"/>
      <c r="CI512" s="898"/>
      <c r="CJ512" s="898"/>
      <c r="CK512" s="898"/>
      <c r="CL512" s="898"/>
      <c r="CM512" s="898"/>
      <c r="CN512" s="898"/>
      <c r="CO512" s="898"/>
      <c r="CP512" s="898"/>
      <c r="CQ512" s="898"/>
      <c r="CR512" s="898"/>
      <c r="CS512" s="898"/>
      <c r="CT512" s="898"/>
      <c r="CU512" s="898"/>
    </row>
    <row r="513" ht="16.5" customHeight="1">
      <c r="A513" s="718"/>
      <c r="B513" s="1195"/>
      <c r="C513" s="866"/>
      <c r="D513" s="968"/>
      <c r="E513" s="718"/>
      <c r="F513" s="718"/>
      <c r="G513" s="718"/>
      <c r="H513" s="718"/>
      <c r="I513" s="359"/>
      <c r="J513" s="359"/>
      <c r="K513" s="359"/>
      <c r="L513" s="359"/>
      <c r="M513" s="359"/>
      <c r="N513" s="359"/>
      <c r="O513" s="359"/>
      <c r="P513" s="359"/>
      <c r="Q513" s="359"/>
      <c r="R513" s="718"/>
      <c r="S513" s="669"/>
      <c r="T513" s="669"/>
      <c r="U513" s="967"/>
      <c r="V513" s="974"/>
      <c r="W513" s="1197"/>
      <c r="X513" s="974"/>
      <c r="Y513" s="974"/>
      <c r="Z513" s="974"/>
      <c r="AA513" s="974"/>
      <c r="AB513" s="974"/>
      <c r="AC513" s="974"/>
      <c r="AD513" s="974"/>
      <c r="AE513" s="974"/>
      <c r="AF513" s="974"/>
      <c r="AG513" s="974"/>
      <c r="AH513" s="974"/>
      <c r="AI513" s="1198"/>
      <c r="AJ513" s="974"/>
      <c r="AK513" s="1197"/>
      <c r="AL513" s="974"/>
      <c r="AM513" s="974"/>
      <c r="AN513" s="974"/>
      <c r="AO513" s="974"/>
      <c r="AP513" s="974"/>
      <c r="AQ513" s="974"/>
      <c r="AR513" s="974"/>
      <c r="AS513" s="974"/>
      <c r="AT513" s="974"/>
      <c r="AU513" s="974"/>
      <c r="AV513" s="974"/>
      <c r="AW513" s="1181"/>
      <c r="AX513" s="978"/>
      <c r="AY513" s="898"/>
      <c r="AZ513" s="898"/>
      <c r="BA513" s="898"/>
      <c r="BB513" s="898"/>
      <c r="BC513" s="898"/>
      <c r="BD513" s="898"/>
      <c r="BE513" s="898"/>
      <c r="BF513" s="898"/>
      <c r="BG513" s="898"/>
      <c r="BH513" s="898"/>
      <c r="BI513" s="898"/>
      <c r="BJ513" s="898"/>
      <c r="BK513" s="898"/>
      <c r="BL513" s="898"/>
      <c r="BM513" s="898"/>
      <c r="BN513" s="898"/>
      <c r="BO513" s="898"/>
      <c r="BP513" s="898"/>
      <c r="BQ513" s="898"/>
      <c r="BR513" s="898"/>
      <c r="BS513" s="898"/>
      <c r="BT513" s="898"/>
      <c r="BU513" s="898"/>
      <c r="BV513" s="898"/>
      <c r="BW513" s="898"/>
      <c r="BX513" s="898"/>
      <c r="BY513" s="898"/>
      <c r="BZ513" s="898"/>
      <c r="CA513" s="898"/>
      <c r="CB513" s="898"/>
      <c r="CC513" s="898"/>
      <c r="CD513" s="898"/>
      <c r="CE513" s="898"/>
      <c r="CF513" s="898"/>
      <c r="CG513" s="898"/>
      <c r="CH513" s="898"/>
      <c r="CI513" s="898"/>
      <c r="CJ513" s="898"/>
      <c r="CK513" s="898"/>
      <c r="CL513" s="898"/>
      <c r="CM513" s="898"/>
      <c r="CN513" s="898"/>
      <c r="CO513" s="898"/>
      <c r="CP513" s="898"/>
      <c r="CQ513" s="898"/>
      <c r="CR513" s="898"/>
      <c r="CS513" s="898"/>
      <c r="CT513" s="898"/>
      <c r="CU513" s="898"/>
    </row>
    <row r="514" ht="16.5" customHeight="1">
      <c r="A514" s="718"/>
      <c r="B514" s="1195"/>
      <c r="C514" s="866"/>
      <c r="D514" s="968"/>
      <c r="E514" s="718"/>
      <c r="F514" s="718"/>
      <c r="G514" s="718"/>
      <c r="H514" s="718"/>
      <c r="I514" s="359"/>
      <c r="J514" s="359"/>
      <c r="K514" s="359"/>
      <c r="L514" s="359"/>
      <c r="M514" s="359"/>
      <c r="N514" s="359"/>
      <c r="O514" s="359"/>
      <c r="P514" s="359"/>
      <c r="Q514" s="359"/>
      <c r="R514" s="718"/>
      <c r="S514" s="669"/>
      <c r="T514" s="669"/>
      <c r="U514" s="967"/>
      <c r="V514" s="974"/>
      <c r="W514" s="1197"/>
      <c r="X514" s="974"/>
      <c r="Y514" s="974"/>
      <c r="Z514" s="974"/>
      <c r="AA514" s="974"/>
      <c r="AB514" s="974"/>
      <c r="AC514" s="974"/>
      <c r="AD514" s="974"/>
      <c r="AE514" s="974"/>
      <c r="AF514" s="974"/>
      <c r="AG514" s="974"/>
      <c r="AH514" s="974"/>
      <c r="AI514" s="1198"/>
      <c r="AJ514" s="974"/>
      <c r="AK514" s="1197"/>
      <c r="AL514" s="974"/>
      <c r="AM514" s="974"/>
      <c r="AN514" s="974"/>
      <c r="AO514" s="974"/>
      <c r="AP514" s="974"/>
      <c r="AQ514" s="974"/>
      <c r="AR514" s="974"/>
      <c r="AS514" s="974"/>
      <c r="AT514" s="974"/>
      <c r="AU514" s="974"/>
      <c r="AV514" s="974"/>
      <c r="AW514" s="1181"/>
      <c r="AX514" s="978"/>
      <c r="AY514" s="898"/>
      <c r="AZ514" s="898"/>
      <c r="BA514" s="898"/>
      <c r="BB514" s="898"/>
      <c r="BC514" s="898"/>
      <c r="BD514" s="898"/>
      <c r="BE514" s="898"/>
      <c r="BF514" s="898"/>
      <c r="BG514" s="898"/>
      <c r="BH514" s="898"/>
      <c r="BI514" s="898"/>
      <c r="BJ514" s="898"/>
      <c r="BK514" s="898"/>
      <c r="BL514" s="898"/>
      <c r="BM514" s="898"/>
      <c r="BN514" s="898"/>
      <c r="BO514" s="898"/>
      <c r="BP514" s="898"/>
      <c r="BQ514" s="898"/>
      <c r="BR514" s="898"/>
      <c r="BS514" s="898"/>
      <c r="BT514" s="898"/>
      <c r="BU514" s="898"/>
      <c r="BV514" s="898"/>
      <c r="BW514" s="898"/>
      <c r="BX514" s="898"/>
      <c r="BY514" s="898"/>
      <c r="BZ514" s="898"/>
      <c r="CA514" s="898"/>
      <c r="CB514" s="898"/>
      <c r="CC514" s="898"/>
      <c r="CD514" s="898"/>
      <c r="CE514" s="898"/>
      <c r="CF514" s="898"/>
      <c r="CG514" s="898"/>
      <c r="CH514" s="898"/>
      <c r="CI514" s="898"/>
      <c r="CJ514" s="898"/>
      <c r="CK514" s="898"/>
      <c r="CL514" s="898"/>
      <c r="CM514" s="898"/>
      <c r="CN514" s="898"/>
      <c r="CO514" s="898"/>
      <c r="CP514" s="898"/>
      <c r="CQ514" s="898"/>
      <c r="CR514" s="898"/>
      <c r="CS514" s="898"/>
      <c r="CT514" s="898"/>
      <c r="CU514" s="898"/>
    </row>
    <row r="515" ht="16.5" customHeight="1">
      <c r="A515" s="718"/>
      <c r="B515" s="1195"/>
      <c r="C515" s="866"/>
      <c r="D515" s="968"/>
      <c r="E515" s="718"/>
      <c r="F515" s="718"/>
      <c r="G515" s="718"/>
      <c r="H515" s="718"/>
      <c r="I515" s="359"/>
      <c r="J515" s="359"/>
      <c r="K515" s="359"/>
      <c r="L515" s="359"/>
      <c r="M515" s="359"/>
      <c r="N515" s="359"/>
      <c r="O515" s="359"/>
      <c r="P515" s="359"/>
      <c r="Q515" s="359"/>
      <c r="R515" s="718"/>
      <c r="S515" s="669"/>
      <c r="T515" s="669"/>
      <c r="U515" s="967"/>
      <c r="V515" s="974"/>
      <c r="W515" s="1197"/>
      <c r="X515" s="974"/>
      <c r="Y515" s="974"/>
      <c r="Z515" s="974"/>
      <c r="AA515" s="974"/>
      <c r="AB515" s="974"/>
      <c r="AC515" s="974"/>
      <c r="AD515" s="974"/>
      <c r="AE515" s="974"/>
      <c r="AF515" s="974"/>
      <c r="AG515" s="974"/>
      <c r="AH515" s="974"/>
      <c r="AI515" s="1198"/>
      <c r="AJ515" s="974"/>
      <c r="AK515" s="1197"/>
      <c r="AL515" s="974"/>
      <c r="AM515" s="974"/>
      <c r="AN515" s="974"/>
      <c r="AO515" s="974"/>
      <c r="AP515" s="974"/>
      <c r="AQ515" s="974"/>
      <c r="AR515" s="974"/>
      <c r="AS515" s="974"/>
      <c r="AT515" s="974"/>
      <c r="AU515" s="974"/>
      <c r="AV515" s="974"/>
      <c r="AW515" s="1181"/>
      <c r="AX515" s="978"/>
      <c r="AY515" s="898"/>
      <c r="AZ515" s="898"/>
      <c r="BA515" s="898"/>
      <c r="BB515" s="898"/>
      <c r="BC515" s="898"/>
      <c r="BD515" s="898"/>
      <c r="BE515" s="898"/>
      <c r="BF515" s="898"/>
      <c r="BG515" s="898"/>
      <c r="BH515" s="898"/>
      <c r="BI515" s="898"/>
      <c r="BJ515" s="898"/>
      <c r="BK515" s="898"/>
      <c r="BL515" s="898"/>
      <c r="BM515" s="898"/>
      <c r="BN515" s="898"/>
      <c r="BO515" s="898"/>
      <c r="BP515" s="898"/>
      <c r="BQ515" s="898"/>
      <c r="BR515" s="898"/>
      <c r="BS515" s="898"/>
      <c r="BT515" s="898"/>
      <c r="BU515" s="898"/>
      <c r="BV515" s="898"/>
      <c r="BW515" s="898"/>
      <c r="BX515" s="898"/>
      <c r="BY515" s="898"/>
      <c r="BZ515" s="898"/>
      <c r="CA515" s="898"/>
      <c r="CB515" s="898"/>
      <c r="CC515" s="898"/>
      <c r="CD515" s="898"/>
      <c r="CE515" s="898"/>
      <c r="CF515" s="898"/>
      <c r="CG515" s="898"/>
      <c r="CH515" s="898"/>
      <c r="CI515" s="898"/>
      <c r="CJ515" s="898"/>
      <c r="CK515" s="898"/>
      <c r="CL515" s="898"/>
      <c r="CM515" s="898"/>
      <c r="CN515" s="898"/>
      <c r="CO515" s="898"/>
      <c r="CP515" s="898"/>
      <c r="CQ515" s="898"/>
      <c r="CR515" s="898"/>
      <c r="CS515" s="898"/>
      <c r="CT515" s="898"/>
      <c r="CU515" s="898"/>
    </row>
    <row r="516" ht="16.5" customHeight="1">
      <c r="A516" s="718"/>
      <c r="B516" s="1195"/>
      <c r="C516" s="866"/>
      <c r="D516" s="968"/>
      <c r="E516" s="718"/>
      <c r="F516" s="718"/>
      <c r="G516" s="718"/>
      <c r="H516" s="718"/>
      <c r="I516" s="359"/>
      <c r="J516" s="359"/>
      <c r="K516" s="359"/>
      <c r="L516" s="359"/>
      <c r="M516" s="359"/>
      <c r="N516" s="359"/>
      <c r="O516" s="359"/>
      <c r="P516" s="359"/>
      <c r="Q516" s="359"/>
      <c r="R516" s="718"/>
      <c r="S516" s="669"/>
      <c r="T516" s="669"/>
      <c r="U516" s="967"/>
      <c r="V516" s="974"/>
      <c r="W516" s="1197"/>
      <c r="X516" s="974"/>
      <c r="Y516" s="974"/>
      <c r="Z516" s="974"/>
      <c r="AA516" s="974"/>
      <c r="AB516" s="974"/>
      <c r="AC516" s="974"/>
      <c r="AD516" s="974"/>
      <c r="AE516" s="974"/>
      <c r="AF516" s="974"/>
      <c r="AG516" s="974"/>
      <c r="AH516" s="974"/>
      <c r="AI516" s="1198"/>
      <c r="AJ516" s="974"/>
      <c r="AK516" s="1197"/>
      <c r="AL516" s="974"/>
      <c r="AM516" s="974"/>
      <c r="AN516" s="974"/>
      <c r="AO516" s="974"/>
      <c r="AP516" s="974"/>
      <c r="AQ516" s="974"/>
      <c r="AR516" s="974"/>
      <c r="AS516" s="974"/>
      <c r="AT516" s="974"/>
      <c r="AU516" s="974"/>
      <c r="AV516" s="974"/>
      <c r="AW516" s="1181"/>
      <c r="AX516" s="978"/>
      <c r="AY516" s="898"/>
      <c r="AZ516" s="898"/>
      <c r="BA516" s="898"/>
      <c r="BB516" s="898"/>
      <c r="BC516" s="898"/>
      <c r="BD516" s="898"/>
      <c r="BE516" s="898"/>
      <c r="BF516" s="898"/>
      <c r="BG516" s="898"/>
      <c r="BH516" s="898"/>
      <c r="BI516" s="898"/>
      <c r="BJ516" s="898"/>
      <c r="BK516" s="898"/>
      <c r="BL516" s="898"/>
      <c r="BM516" s="898"/>
      <c r="BN516" s="898"/>
      <c r="BO516" s="898"/>
      <c r="BP516" s="898"/>
      <c r="BQ516" s="898"/>
      <c r="BR516" s="898"/>
      <c r="BS516" s="898"/>
      <c r="BT516" s="898"/>
      <c r="BU516" s="898"/>
      <c r="BV516" s="898"/>
      <c r="BW516" s="898"/>
      <c r="BX516" s="898"/>
      <c r="BY516" s="898"/>
      <c r="BZ516" s="898"/>
      <c r="CA516" s="898"/>
      <c r="CB516" s="898"/>
      <c r="CC516" s="898"/>
      <c r="CD516" s="898"/>
      <c r="CE516" s="898"/>
      <c r="CF516" s="898"/>
      <c r="CG516" s="898"/>
      <c r="CH516" s="898"/>
      <c r="CI516" s="898"/>
      <c r="CJ516" s="898"/>
      <c r="CK516" s="898"/>
      <c r="CL516" s="898"/>
      <c r="CM516" s="898"/>
      <c r="CN516" s="898"/>
      <c r="CO516" s="898"/>
      <c r="CP516" s="898"/>
      <c r="CQ516" s="898"/>
      <c r="CR516" s="898"/>
      <c r="CS516" s="898"/>
      <c r="CT516" s="898"/>
      <c r="CU516" s="898"/>
    </row>
    <row r="517" ht="16.5" customHeight="1">
      <c r="A517" s="718"/>
      <c r="B517" s="1195"/>
      <c r="C517" s="866"/>
      <c r="D517" s="968"/>
      <c r="E517" s="718"/>
      <c r="F517" s="718"/>
      <c r="G517" s="718"/>
      <c r="H517" s="718"/>
      <c r="I517" s="359"/>
      <c r="J517" s="359"/>
      <c r="K517" s="359"/>
      <c r="L517" s="359"/>
      <c r="M517" s="359"/>
      <c r="N517" s="359"/>
      <c r="O517" s="359"/>
      <c r="P517" s="359"/>
      <c r="Q517" s="359"/>
      <c r="R517" s="718"/>
      <c r="S517" s="669"/>
      <c r="T517" s="669"/>
      <c r="U517" s="967"/>
      <c r="V517" s="974"/>
      <c r="W517" s="1197"/>
      <c r="X517" s="974"/>
      <c r="Y517" s="974"/>
      <c r="Z517" s="974"/>
      <c r="AA517" s="974"/>
      <c r="AB517" s="974"/>
      <c r="AC517" s="974"/>
      <c r="AD517" s="974"/>
      <c r="AE517" s="974"/>
      <c r="AF517" s="974"/>
      <c r="AG517" s="974"/>
      <c r="AH517" s="974"/>
      <c r="AI517" s="1198"/>
      <c r="AJ517" s="974"/>
      <c r="AK517" s="1197"/>
      <c r="AL517" s="974"/>
      <c r="AM517" s="974"/>
      <c r="AN517" s="974"/>
      <c r="AO517" s="974"/>
      <c r="AP517" s="974"/>
      <c r="AQ517" s="974"/>
      <c r="AR517" s="974"/>
      <c r="AS517" s="974"/>
      <c r="AT517" s="974"/>
      <c r="AU517" s="974"/>
      <c r="AV517" s="974"/>
      <c r="AW517" s="1181"/>
      <c r="AX517" s="978"/>
      <c r="AY517" s="898"/>
      <c r="AZ517" s="898"/>
      <c r="BA517" s="898"/>
      <c r="BB517" s="898"/>
      <c r="BC517" s="898"/>
      <c r="BD517" s="898"/>
      <c r="BE517" s="898"/>
      <c r="BF517" s="898"/>
      <c r="BG517" s="898"/>
      <c r="BH517" s="898"/>
      <c r="BI517" s="898"/>
      <c r="BJ517" s="898"/>
      <c r="BK517" s="898"/>
      <c r="BL517" s="898"/>
      <c r="BM517" s="898"/>
      <c r="BN517" s="898"/>
      <c r="BO517" s="898"/>
      <c r="BP517" s="898"/>
      <c r="BQ517" s="898"/>
      <c r="BR517" s="898"/>
      <c r="BS517" s="898"/>
      <c r="BT517" s="898"/>
      <c r="BU517" s="898"/>
      <c r="BV517" s="898"/>
      <c r="BW517" s="898"/>
      <c r="BX517" s="898"/>
      <c r="BY517" s="898"/>
      <c r="BZ517" s="898"/>
      <c r="CA517" s="898"/>
      <c r="CB517" s="898"/>
      <c r="CC517" s="898"/>
      <c r="CD517" s="898"/>
      <c r="CE517" s="898"/>
      <c r="CF517" s="898"/>
      <c r="CG517" s="898"/>
      <c r="CH517" s="898"/>
      <c r="CI517" s="898"/>
      <c r="CJ517" s="898"/>
      <c r="CK517" s="898"/>
      <c r="CL517" s="898"/>
      <c r="CM517" s="898"/>
      <c r="CN517" s="898"/>
      <c r="CO517" s="898"/>
      <c r="CP517" s="898"/>
      <c r="CQ517" s="898"/>
      <c r="CR517" s="898"/>
      <c r="CS517" s="898"/>
      <c r="CT517" s="898"/>
      <c r="CU517" s="898"/>
    </row>
    <row r="518" ht="16.5" customHeight="1">
      <c r="A518" s="718"/>
      <c r="B518" s="1195"/>
      <c r="C518" s="866"/>
      <c r="D518" s="968"/>
      <c r="E518" s="718"/>
      <c r="F518" s="718"/>
      <c r="G518" s="718"/>
      <c r="H518" s="718"/>
      <c r="I518" s="359"/>
      <c r="J518" s="359"/>
      <c r="K518" s="359"/>
      <c r="L518" s="359"/>
      <c r="M518" s="359"/>
      <c r="N518" s="359"/>
      <c r="O518" s="359"/>
      <c r="P518" s="359"/>
      <c r="Q518" s="359"/>
      <c r="R518" s="718"/>
      <c r="S518" s="669"/>
      <c r="T518" s="669"/>
      <c r="U518" s="967"/>
      <c r="V518" s="974"/>
      <c r="W518" s="1197"/>
      <c r="X518" s="974"/>
      <c r="Y518" s="974"/>
      <c r="Z518" s="974"/>
      <c r="AA518" s="974"/>
      <c r="AB518" s="974"/>
      <c r="AC518" s="974"/>
      <c r="AD518" s="974"/>
      <c r="AE518" s="974"/>
      <c r="AF518" s="974"/>
      <c r="AG518" s="974"/>
      <c r="AH518" s="974"/>
      <c r="AI518" s="1198"/>
      <c r="AJ518" s="974"/>
      <c r="AK518" s="1197"/>
      <c r="AL518" s="974"/>
      <c r="AM518" s="974"/>
      <c r="AN518" s="974"/>
      <c r="AO518" s="974"/>
      <c r="AP518" s="974"/>
      <c r="AQ518" s="974"/>
      <c r="AR518" s="974"/>
      <c r="AS518" s="974"/>
      <c r="AT518" s="974"/>
      <c r="AU518" s="974"/>
      <c r="AV518" s="974"/>
      <c r="AW518" s="1181"/>
      <c r="AX518" s="978"/>
      <c r="AY518" s="898"/>
      <c r="AZ518" s="898"/>
      <c r="BA518" s="898"/>
      <c r="BB518" s="898"/>
      <c r="BC518" s="898"/>
      <c r="BD518" s="898"/>
      <c r="BE518" s="898"/>
      <c r="BF518" s="898"/>
      <c r="BG518" s="898"/>
      <c r="BH518" s="898"/>
      <c r="BI518" s="898"/>
      <c r="BJ518" s="898"/>
      <c r="BK518" s="898"/>
      <c r="BL518" s="898"/>
      <c r="BM518" s="898"/>
      <c r="BN518" s="898"/>
      <c r="BO518" s="898"/>
      <c r="BP518" s="898"/>
      <c r="BQ518" s="898"/>
      <c r="BR518" s="898"/>
      <c r="BS518" s="898"/>
      <c r="BT518" s="898"/>
      <c r="BU518" s="898"/>
      <c r="BV518" s="898"/>
      <c r="BW518" s="898"/>
      <c r="BX518" s="898"/>
      <c r="BY518" s="898"/>
      <c r="BZ518" s="898"/>
      <c r="CA518" s="898"/>
      <c r="CB518" s="898"/>
      <c r="CC518" s="898"/>
      <c r="CD518" s="898"/>
      <c r="CE518" s="898"/>
      <c r="CF518" s="898"/>
      <c r="CG518" s="898"/>
      <c r="CH518" s="898"/>
      <c r="CI518" s="898"/>
      <c r="CJ518" s="898"/>
      <c r="CK518" s="898"/>
      <c r="CL518" s="898"/>
      <c r="CM518" s="898"/>
      <c r="CN518" s="898"/>
      <c r="CO518" s="898"/>
      <c r="CP518" s="898"/>
      <c r="CQ518" s="898"/>
      <c r="CR518" s="898"/>
      <c r="CS518" s="898"/>
      <c r="CT518" s="898"/>
      <c r="CU518" s="898"/>
    </row>
    <row r="519" ht="16.5" customHeight="1">
      <c r="A519" s="718"/>
      <c r="B519" s="1195"/>
      <c r="C519" s="866"/>
      <c r="D519" s="968"/>
      <c r="E519" s="718"/>
      <c r="F519" s="718"/>
      <c r="G519" s="718"/>
      <c r="H519" s="718"/>
      <c r="I519" s="359"/>
      <c r="J519" s="359"/>
      <c r="K519" s="359"/>
      <c r="L519" s="359"/>
      <c r="M519" s="359"/>
      <c r="N519" s="359"/>
      <c r="O519" s="359"/>
      <c r="P519" s="359"/>
      <c r="Q519" s="359"/>
      <c r="R519" s="718"/>
      <c r="S519" s="669"/>
      <c r="T519" s="669"/>
      <c r="U519" s="967"/>
      <c r="V519" s="974"/>
      <c r="W519" s="1197"/>
      <c r="X519" s="974"/>
      <c r="Y519" s="974"/>
      <c r="Z519" s="974"/>
      <c r="AA519" s="974"/>
      <c r="AB519" s="974"/>
      <c r="AC519" s="974"/>
      <c r="AD519" s="974"/>
      <c r="AE519" s="974"/>
      <c r="AF519" s="974"/>
      <c r="AG519" s="974"/>
      <c r="AH519" s="974"/>
      <c r="AI519" s="1198"/>
      <c r="AJ519" s="974"/>
      <c r="AK519" s="1197"/>
      <c r="AL519" s="974"/>
      <c r="AM519" s="974"/>
      <c r="AN519" s="974"/>
      <c r="AO519" s="974"/>
      <c r="AP519" s="974"/>
      <c r="AQ519" s="974"/>
      <c r="AR519" s="974"/>
      <c r="AS519" s="974"/>
      <c r="AT519" s="974"/>
      <c r="AU519" s="974"/>
      <c r="AV519" s="974"/>
      <c r="AW519" s="1181"/>
      <c r="AX519" s="978"/>
      <c r="AY519" s="898"/>
      <c r="AZ519" s="898"/>
      <c r="BA519" s="898"/>
      <c r="BB519" s="898"/>
      <c r="BC519" s="898"/>
      <c r="BD519" s="898"/>
      <c r="BE519" s="898"/>
      <c r="BF519" s="898"/>
      <c r="BG519" s="898"/>
      <c r="BH519" s="898"/>
      <c r="BI519" s="898"/>
      <c r="BJ519" s="898"/>
      <c r="BK519" s="898"/>
      <c r="BL519" s="898"/>
      <c r="BM519" s="898"/>
      <c r="BN519" s="898"/>
      <c r="BO519" s="898"/>
      <c r="BP519" s="898"/>
      <c r="BQ519" s="898"/>
      <c r="BR519" s="898"/>
      <c r="BS519" s="898"/>
      <c r="BT519" s="898"/>
      <c r="BU519" s="898"/>
      <c r="BV519" s="898"/>
      <c r="BW519" s="898"/>
      <c r="BX519" s="898"/>
      <c r="BY519" s="898"/>
      <c r="BZ519" s="898"/>
      <c r="CA519" s="898"/>
      <c r="CB519" s="898"/>
      <c r="CC519" s="898"/>
      <c r="CD519" s="898"/>
      <c r="CE519" s="898"/>
      <c r="CF519" s="898"/>
      <c r="CG519" s="898"/>
      <c r="CH519" s="898"/>
      <c r="CI519" s="898"/>
      <c r="CJ519" s="898"/>
      <c r="CK519" s="898"/>
      <c r="CL519" s="898"/>
      <c r="CM519" s="898"/>
      <c r="CN519" s="898"/>
      <c r="CO519" s="898"/>
      <c r="CP519" s="898"/>
      <c r="CQ519" s="898"/>
      <c r="CR519" s="898"/>
      <c r="CS519" s="898"/>
      <c r="CT519" s="898"/>
      <c r="CU519" s="898"/>
    </row>
    <row r="520" ht="16.5" customHeight="1">
      <c r="A520" s="718"/>
      <c r="B520" s="1195"/>
      <c r="C520" s="866"/>
      <c r="D520" s="968"/>
      <c r="E520" s="718"/>
      <c r="F520" s="718"/>
      <c r="G520" s="718"/>
      <c r="H520" s="718"/>
      <c r="I520" s="359"/>
      <c r="J520" s="359"/>
      <c r="K520" s="359"/>
      <c r="L520" s="359"/>
      <c r="M520" s="359"/>
      <c r="N520" s="359"/>
      <c r="O520" s="359"/>
      <c r="P520" s="359"/>
      <c r="Q520" s="359"/>
      <c r="R520" s="718"/>
      <c r="S520" s="669"/>
      <c r="T520" s="669"/>
      <c r="U520" s="967"/>
      <c r="V520" s="974"/>
      <c r="W520" s="1197"/>
      <c r="X520" s="974"/>
      <c r="Y520" s="974"/>
      <c r="Z520" s="974"/>
      <c r="AA520" s="974"/>
      <c r="AB520" s="974"/>
      <c r="AC520" s="974"/>
      <c r="AD520" s="974"/>
      <c r="AE520" s="974"/>
      <c r="AF520" s="974"/>
      <c r="AG520" s="974"/>
      <c r="AH520" s="974"/>
      <c r="AI520" s="1198"/>
      <c r="AJ520" s="974"/>
      <c r="AK520" s="1197"/>
      <c r="AL520" s="974"/>
      <c r="AM520" s="974"/>
      <c r="AN520" s="974"/>
      <c r="AO520" s="974"/>
      <c r="AP520" s="974"/>
      <c r="AQ520" s="974"/>
      <c r="AR520" s="974"/>
      <c r="AS520" s="974"/>
      <c r="AT520" s="974"/>
      <c r="AU520" s="974"/>
      <c r="AV520" s="974"/>
      <c r="AW520" s="1181"/>
      <c r="AX520" s="978"/>
      <c r="AY520" s="898"/>
      <c r="AZ520" s="898"/>
      <c r="BA520" s="898"/>
      <c r="BB520" s="898"/>
      <c r="BC520" s="898"/>
      <c r="BD520" s="898"/>
      <c r="BE520" s="898"/>
      <c r="BF520" s="898"/>
      <c r="BG520" s="898"/>
      <c r="BH520" s="898"/>
      <c r="BI520" s="898"/>
      <c r="BJ520" s="898"/>
      <c r="BK520" s="898"/>
      <c r="BL520" s="898"/>
      <c r="BM520" s="898"/>
      <c r="BN520" s="898"/>
      <c r="BO520" s="898"/>
      <c r="BP520" s="898"/>
      <c r="BQ520" s="898"/>
      <c r="BR520" s="898"/>
      <c r="BS520" s="898"/>
      <c r="BT520" s="898"/>
      <c r="BU520" s="898"/>
      <c r="BV520" s="898"/>
      <c r="BW520" s="898"/>
      <c r="BX520" s="898"/>
      <c r="BY520" s="898"/>
      <c r="BZ520" s="898"/>
      <c r="CA520" s="898"/>
      <c r="CB520" s="898"/>
      <c r="CC520" s="898"/>
      <c r="CD520" s="898"/>
      <c r="CE520" s="898"/>
      <c r="CF520" s="898"/>
      <c r="CG520" s="898"/>
      <c r="CH520" s="898"/>
      <c r="CI520" s="898"/>
      <c r="CJ520" s="898"/>
      <c r="CK520" s="898"/>
      <c r="CL520" s="898"/>
      <c r="CM520" s="898"/>
      <c r="CN520" s="898"/>
      <c r="CO520" s="898"/>
      <c r="CP520" s="898"/>
      <c r="CQ520" s="898"/>
      <c r="CR520" s="898"/>
      <c r="CS520" s="898"/>
      <c r="CT520" s="898"/>
      <c r="CU520" s="898"/>
    </row>
    <row r="521" ht="16.5" customHeight="1">
      <c r="A521" s="718"/>
      <c r="B521" s="1195"/>
      <c r="C521" s="866"/>
      <c r="D521" s="968"/>
      <c r="E521" s="718"/>
      <c r="F521" s="718"/>
      <c r="G521" s="718"/>
      <c r="H521" s="718"/>
      <c r="I521" s="359"/>
      <c r="J521" s="359"/>
      <c r="K521" s="359"/>
      <c r="L521" s="359"/>
      <c r="M521" s="359"/>
      <c r="N521" s="359"/>
      <c r="O521" s="359"/>
      <c r="P521" s="359"/>
      <c r="Q521" s="359"/>
      <c r="R521" s="718"/>
      <c r="S521" s="669"/>
      <c r="T521" s="669"/>
      <c r="U521" s="967"/>
      <c r="V521" s="974"/>
      <c r="W521" s="1197"/>
      <c r="X521" s="974"/>
      <c r="Y521" s="974"/>
      <c r="Z521" s="974"/>
      <c r="AA521" s="974"/>
      <c r="AB521" s="974"/>
      <c r="AC521" s="974"/>
      <c r="AD521" s="974"/>
      <c r="AE521" s="974"/>
      <c r="AF521" s="974"/>
      <c r="AG521" s="974"/>
      <c r="AH521" s="974"/>
      <c r="AI521" s="1198"/>
      <c r="AJ521" s="974"/>
      <c r="AK521" s="1197"/>
      <c r="AL521" s="974"/>
      <c r="AM521" s="974"/>
      <c r="AN521" s="974"/>
      <c r="AO521" s="974"/>
      <c r="AP521" s="974"/>
      <c r="AQ521" s="974"/>
      <c r="AR521" s="974"/>
      <c r="AS521" s="974"/>
      <c r="AT521" s="974"/>
      <c r="AU521" s="974"/>
      <c r="AV521" s="974"/>
      <c r="AW521" s="1181"/>
      <c r="AX521" s="978"/>
      <c r="AY521" s="898"/>
      <c r="AZ521" s="898"/>
      <c r="BA521" s="898"/>
      <c r="BB521" s="898"/>
      <c r="BC521" s="898"/>
      <c r="BD521" s="898"/>
      <c r="BE521" s="898"/>
      <c r="BF521" s="898"/>
      <c r="BG521" s="898"/>
      <c r="BH521" s="898"/>
      <c r="BI521" s="898"/>
      <c r="BJ521" s="898"/>
      <c r="BK521" s="898"/>
      <c r="BL521" s="898"/>
      <c r="BM521" s="898"/>
      <c r="BN521" s="898"/>
      <c r="BO521" s="898"/>
      <c r="BP521" s="898"/>
      <c r="BQ521" s="898"/>
      <c r="BR521" s="898"/>
      <c r="BS521" s="898"/>
      <c r="BT521" s="898"/>
      <c r="BU521" s="898"/>
      <c r="BV521" s="898"/>
      <c r="BW521" s="898"/>
      <c r="BX521" s="898"/>
      <c r="BY521" s="898"/>
      <c r="BZ521" s="898"/>
      <c r="CA521" s="898"/>
      <c r="CB521" s="898"/>
      <c r="CC521" s="898"/>
      <c r="CD521" s="898"/>
      <c r="CE521" s="898"/>
      <c r="CF521" s="898"/>
      <c r="CG521" s="898"/>
      <c r="CH521" s="898"/>
      <c r="CI521" s="898"/>
      <c r="CJ521" s="898"/>
      <c r="CK521" s="898"/>
      <c r="CL521" s="898"/>
      <c r="CM521" s="898"/>
      <c r="CN521" s="898"/>
      <c r="CO521" s="898"/>
      <c r="CP521" s="898"/>
      <c r="CQ521" s="898"/>
      <c r="CR521" s="898"/>
      <c r="CS521" s="898"/>
      <c r="CT521" s="898"/>
      <c r="CU521" s="898"/>
    </row>
    <row r="522" ht="16.5" customHeight="1">
      <c r="A522" s="718"/>
      <c r="B522" s="1195"/>
      <c r="C522" s="866"/>
      <c r="D522" s="968"/>
      <c r="E522" s="718"/>
      <c r="F522" s="718"/>
      <c r="G522" s="718"/>
      <c r="H522" s="718"/>
      <c r="I522" s="359"/>
      <c r="J522" s="359"/>
      <c r="K522" s="359"/>
      <c r="L522" s="359"/>
      <c r="M522" s="359"/>
      <c r="N522" s="359"/>
      <c r="O522" s="359"/>
      <c r="P522" s="359"/>
      <c r="Q522" s="359"/>
      <c r="R522" s="718"/>
      <c r="S522" s="669"/>
      <c r="T522" s="669"/>
      <c r="U522" s="967"/>
      <c r="V522" s="974"/>
      <c r="W522" s="1197"/>
      <c r="X522" s="974"/>
      <c r="Y522" s="974"/>
      <c r="Z522" s="974"/>
      <c r="AA522" s="974"/>
      <c r="AB522" s="974"/>
      <c r="AC522" s="974"/>
      <c r="AD522" s="974"/>
      <c r="AE522" s="974"/>
      <c r="AF522" s="974"/>
      <c r="AG522" s="974"/>
      <c r="AH522" s="974"/>
      <c r="AI522" s="1198"/>
      <c r="AJ522" s="974"/>
      <c r="AK522" s="1197"/>
      <c r="AL522" s="974"/>
      <c r="AM522" s="974"/>
      <c r="AN522" s="974"/>
      <c r="AO522" s="974"/>
      <c r="AP522" s="974"/>
      <c r="AQ522" s="974"/>
      <c r="AR522" s="974"/>
      <c r="AS522" s="974"/>
      <c r="AT522" s="974"/>
      <c r="AU522" s="974"/>
      <c r="AV522" s="974"/>
      <c r="AW522" s="1181"/>
      <c r="AX522" s="978"/>
      <c r="AY522" s="898"/>
      <c r="AZ522" s="898"/>
      <c r="BA522" s="898"/>
      <c r="BB522" s="898"/>
      <c r="BC522" s="898"/>
      <c r="BD522" s="898"/>
      <c r="BE522" s="898"/>
      <c r="BF522" s="898"/>
      <c r="BG522" s="898"/>
      <c r="BH522" s="898"/>
      <c r="BI522" s="898"/>
      <c r="BJ522" s="898"/>
      <c r="BK522" s="898"/>
      <c r="BL522" s="898"/>
      <c r="BM522" s="898"/>
      <c r="BN522" s="898"/>
      <c r="BO522" s="898"/>
      <c r="BP522" s="898"/>
      <c r="BQ522" s="898"/>
      <c r="BR522" s="898"/>
      <c r="BS522" s="898"/>
      <c r="BT522" s="898"/>
      <c r="BU522" s="898"/>
      <c r="BV522" s="898"/>
      <c r="BW522" s="898"/>
      <c r="BX522" s="898"/>
      <c r="BY522" s="898"/>
      <c r="BZ522" s="898"/>
      <c r="CA522" s="898"/>
      <c r="CB522" s="898"/>
      <c r="CC522" s="898"/>
      <c r="CD522" s="898"/>
      <c r="CE522" s="898"/>
      <c r="CF522" s="898"/>
      <c r="CG522" s="898"/>
      <c r="CH522" s="898"/>
      <c r="CI522" s="898"/>
      <c r="CJ522" s="898"/>
      <c r="CK522" s="898"/>
      <c r="CL522" s="898"/>
      <c r="CM522" s="898"/>
      <c r="CN522" s="898"/>
      <c r="CO522" s="898"/>
      <c r="CP522" s="898"/>
      <c r="CQ522" s="898"/>
      <c r="CR522" s="898"/>
      <c r="CS522" s="898"/>
      <c r="CT522" s="898"/>
      <c r="CU522" s="898"/>
    </row>
    <row r="523" ht="16.5" customHeight="1">
      <c r="A523" s="718"/>
      <c r="B523" s="1195"/>
      <c r="C523" s="866"/>
      <c r="D523" s="968"/>
      <c r="E523" s="718"/>
      <c r="F523" s="718"/>
      <c r="G523" s="718"/>
      <c r="H523" s="718"/>
      <c r="I523" s="359"/>
      <c r="J523" s="359"/>
      <c r="K523" s="359"/>
      <c r="L523" s="359"/>
      <c r="M523" s="359"/>
      <c r="N523" s="359"/>
      <c r="O523" s="359"/>
      <c r="P523" s="359"/>
      <c r="Q523" s="359"/>
      <c r="R523" s="718"/>
      <c r="S523" s="669"/>
      <c r="T523" s="669"/>
      <c r="U523" s="967"/>
      <c r="V523" s="974"/>
      <c r="W523" s="1197"/>
      <c r="X523" s="974"/>
      <c r="Y523" s="974"/>
      <c r="Z523" s="974"/>
      <c r="AA523" s="974"/>
      <c r="AB523" s="974"/>
      <c r="AC523" s="974"/>
      <c r="AD523" s="974"/>
      <c r="AE523" s="974"/>
      <c r="AF523" s="974"/>
      <c r="AG523" s="974"/>
      <c r="AH523" s="974"/>
      <c r="AI523" s="1198"/>
      <c r="AJ523" s="974"/>
      <c r="AK523" s="1197"/>
      <c r="AL523" s="974"/>
      <c r="AM523" s="974"/>
      <c r="AN523" s="974"/>
      <c r="AO523" s="974"/>
      <c r="AP523" s="974"/>
      <c r="AQ523" s="974"/>
      <c r="AR523" s="974"/>
      <c r="AS523" s="974"/>
      <c r="AT523" s="974"/>
      <c r="AU523" s="974"/>
      <c r="AV523" s="974"/>
      <c r="AW523" s="1181"/>
      <c r="AX523" s="978"/>
      <c r="AY523" s="898"/>
      <c r="AZ523" s="898"/>
      <c r="BA523" s="898"/>
      <c r="BB523" s="898"/>
      <c r="BC523" s="898"/>
      <c r="BD523" s="898"/>
      <c r="BE523" s="898"/>
      <c r="BF523" s="898"/>
      <c r="BG523" s="898"/>
      <c r="BH523" s="898"/>
      <c r="BI523" s="898"/>
      <c r="BJ523" s="898"/>
      <c r="BK523" s="898"/>
      <c r="BL523" s="898"/>
      <c r="BM523" s="898"/>
      <c r="BN523" s="898"/>
      <c r="BO523" s="898"/>
      <c r="BP523" s="898"/>
      <c r="BQ523" s="898"/>
      <c r="BR523" s="898"/>
      <c r="BS523" s="898"/>
      <c r="BT523" s="898"/>
      <c r="BU523" s="898"/>
      <c r="BV523" s="898"/>
      <c r="BW523" s="898"/>
      <c r="BX523" s="898"/>
      <c r="BY523" s="898"/>
      <c r="BZ523" s="898"/>
      <c r="CA523" s="898"/>
      <c r="CB523" s="898"/>
      <c r="CC523" s="898"/>
      <c r="CD523" s="898"/>
      <c r="CE523" s="898"/>
      <c r="CF523" s="898"/>
      <c r="CG523" s="898"/>
      <c r="CH523" s="898"/>
      <c r="CI523" s="898"/>
      <c r="CJ523" s="898"/>
      <c r="CK523" s="898"/>
      <c r="CL523" s="898"/>
      <c r="CM523" s="898"/>
      <c r="CN523" s="898"/>
      <c r="CO523" s="898"/>
      <c r="CP523" s="898"/>
      <c r="CQ523" s="898"/>
      <c r="CR523" s="898"/>
      <c r="CS523" s="898"/>
      <c r="CT523" s="898"/>
      <c r="CU523" s="898"/>
    </row>
    <row r="524" ht="16.5" customHeight="1">
      <c r="A524" s="718"/>
      <c r="B524" s="1195"/>
      <c r="C524" s="866"/>
      <c r="D524" s="968"/>
      <c r="E524" s="718"/>
      <c r="F524" s="718"/>
      <c r="G524" s="718"/>
      <c r="H524" s="718"/>
      <c r="I524" s="359"/>
      <c r="J524" s="359"/>
      <c r="K524" s="359"/>
      <c r="L524" s="359"/>
      <c r="M524" s="359"/>
      <c r="N524" s="359"/>
      <c r="O524" s="359"/>
      <c r="P524" s="359"/>
      <c r="Q524" s="359"/>
      <c r="R524" s="718"/>
      <c r="S524" s="669"/>
      <c r="T524" s="669"/>
      <c r="U524" s="967"/>
      <c r="V524" s="974"/>
      <c r="W524" s="1197"/>
      <c r="X524" s="974"/>
      <c r="Y524" s="974"/>
      <c r="Z524" s="974"/>
      <c r="AA524" s="974"/>
      <c r="AB524" s="974"/>
      <c r="AC524" s="974"/>
      <c r="AD524" s="974"/>
      <c r="AE524" s="974"/>
      <c r="AF524" s="974"/>
      <c r="AG524" s="974"/>
      <c r="AH524" s="974"/>
      <c r="AI524" s="1198"/>
      <c r="AJ524" s="974"/>
      <c r="AK524" s="1197"/>
      <c r="AL524" s="974"/>
      <c r="AM524" s="974"/>
      <c r="AN524" s="974"/>
      <c r="AO524" s="974"/>
      <c r="AP524" s="974"/>
      <c r="AQ524" s="974"/>
      <c r="AR524" s="974"/>
      <c r="AS524" s="974"/>
      <c r="AT524" s="974"/>
      <c r="AU524" s="974"/>
      <c r="AV524" s="974"/>
      <c r="AW524" s="1181"/>
      <c r="AX524" s="978"/>
      <c r="AY524" s="898"/>
      <c r="AZ524" s="898"/>
      <c r="BA524" s="898"/>
      <c r="BB524" s="898"/>
      <c r="BC524" s="898"/>
      <c r="BD524" s="898"/>
      <c r="BE524" s="898"/>
      <c r="BF524" s="898"/>
      <c r="BG524" s="898"/>
      <c r="BH524" s="898"/>
      <c r="BI524" s="898"/>
      <c r="BJ524" s="898"/>
      <c r="BK524" s="898"/>
      <c r="BL524" s="898"/>
      <c r="BM524" s="898"/>
      <c r="BN524" s="898"/>
      <c r="BO524" s="898"/>
      <c r="BP524" s="898"/>
      <c r="BQ524" s="898"/>
      <c r="BR524" s="898"/>
      <c r="BS524" s="898"/>
      <c r="BT524" s="898"/>
      <c r="BU524" s="898"/>
      <c r="BV524" s="898"/>
      <c r="BW524" s="898"/>
      <c r="BX524" s="898"/>
      <c r="BY524" s="898"/>
      <c r="BZ524" s="898"/>
      <c r="CA524" s="898"/>
      <c r="CB524" s="898"/>
      <c r="CC524" s="898"/>
      <c r="CD524" s="898"/>
      <c r="CE524" s="898"/>
      <c r="CF524" s="898"/>
      <c r="CG524" s="898"/>
      <c r="CH524" s="898"/>
      <c r="CI524" s="898"/>
      <c r="CJ524" s="898"/>
      <c r="CK524" s="898"/>
      <c r="CL524" s="898"/>
      <c r="CM524" s="898"/>
      <c r="CN524" s="898"/>
      <c r="CO524" s="898"/>
      <c r="CP524" s="898"/>
      <c r="CQ524" s="898"/>
      <c r="CR524" s="898"/>
      <c r="CS524" s="898"/>
      <c r="CT524" s="898"/>
      <c r="CU524" s="898"/>
    </row>
    <row r="525" ht="16.5" customHeight="1">
      <c r="A525" s="718"/>
      <c r="B525" s="1195"/>
      <c r="C525" s="866"/>
      <c r="D525" s="968"/>
      <c r="E525" s="718"/>
      <c r="F525" s="718"/>
      <c r="G525" s="718"/>
      <c r="H525" s="718"/>
      <c r="I525" s="359"/>
      <c r="J525" s="359"/>
      <c r="K525" s="359"/>
      <c r="L525" s="359"/>
      <c r="M525" s="359"/>
      <c r="N525" s="359"/>
      <c r="O525" s="359"/>
      <c r="P525" s="359"/>
      <c r="Q525" s="359"/>
      <c r="R525" s="718"/>
      <c r="S525" s="669"/>
      <c r="T525" s="669"/>
      <c r="U525" s="967"/>
      <c r="V525" s="974"/>
      <c r="W525" s="1197"/>
      <c r="X525" s="974"/>
      <c r="Y525" s="974"/>
      <c r="Z525" s="974"/>
      <c r="AA525" s="974"/>
      <c r="AB525" s="974"/>
      <c r="AC525" s="974"/>
      <c r="AD525" s="974"/>
      <c r="AE525" s="974"/>
      <c r="AF525" s="974"/>
      <c r="AG525" s="974"/>
      <c r="AH525" s="974"/>
      <c r="AI525" s="1198"/>
      <c r="AJ525" s="974"/>
      <c r="AK525" s="1197"/>
      <c r="AL525" s="974"/>
      <c r="AM525" s="974"/>
      <c r="AN525" s="974"/>
      <c r="AO525" s="974"/>
      <c r="AP525" s="974"/>
      <c r="AQ525" s="974"/>
      <c r="AR525" s="974"/>
      <c r="AS525" s="974"/>
      <c r="AT525" s="974"/>
      <c r="AU525" s="974"/>
      <c r="AV525" s="974"/>
      <c r="AW525" s="1181"/>
      <c r="AX525" s="978"/>
      <c r="AY525" s="898"/>
      <c r="AZ525" s="898"/>
      <c r="BA525" s="898"/>
      <c r="BB525" s="898"/>
      <c r="BC525" s="898"/>
      <c r="BD525" s="898"/>
      <c r="BE525" s="898"/>
      <c r="BF525" s="898"/>
      <c r="BG525" s="898"/>
      <c r="BH525" s="898"/>
      <c r="BI525" s="898"/>
      <c r="BJ525" s="898"/>
      <c r="BK525" s="898"/>
      <c r="BL525" s="898"/>
      <c r="BM525" s="898"/>
      <c r="BN525" s="898"/>
      <c r="BO525" s="898"/>
      <c r="BP525" s="898"/>
      <c r="BQ525" s="898"/>
      <c r="BR525" s="898"/>
      <c r="BS525" s="898"/>
      <c r="BT525" s="898"/>
      <c r="BU525" s="898"/>
      <c r="BV525" s="898"/>
      <c r="BW525" s="898"/>
      <c r="BX525" s="898"/>
      <c r="BY525" s="898"/>
      <c r="BZ525" s="898"/>
      <c r="CA525" s="898"/>
      <c r="CB525" s="898"/>
      <c r="CC525" s="898"/>
      <c r="CD525" s="898"/>
      <c r="CE525" s="898"/>
      <c r="CF525" s="898"/>
      <c r="CG525" s="898"/>
      <c r="CH525" s="898"/>
      <c r="CI525" s="898"/>
      <c r="CJ525" s="898"/>
      <c r="CK525" s="898"/>
      <c r="CL525" s="898"/>
      <c r="CM525" s="898"/>
      <c r="CN525" s="898"/>
      <c r="CO525" s="898"/>
      <c r="CP525" s="898"/>
      <c r="CQ525" s="898"/>
      <c r="CR525" s="898"/>
      <c r="CS525" s="898"/>
      <c r="CT525" s="898"/>
      <c r="CU525" s="898"/>
    </row>
    <row r="526" ht="16.5" customHeight="1">
      <c r="A526" s="718"/>
      <c r="B526" s="1195"/>
      <c r="C526" s="866"/>
      <c r="D526" s="968"/>
      <c r="E526" s="718"/>
      <c r="F526" s="718"/>
      <c r="G526" s="718"/>
      <c r="H526" s="718"/>
      <c r="I526" s="359"/>
      <c r="J526" s="359"/>
      <c r="K526" s="359"/>
      <c r="L526" s="359"/>
      <c r="M526" s="359"/>
      <c r="N526" s="359"/>
      <c r="O526" s="359"/>
      <c r="P526" s="359"/>
      <c r="Q526" s="359"/>
      <c r="R526" s="718"/>
      <c r="S526" s="669"/>
      <c r="T526" s="669"/>
      <c r="U526" s="967"/>
      <c r="V526" s="974"/>
      <c r="W526" s="1197"/>
      <c r="X526" s="974"/>
      <c r="Y526" s="974"/>
      <c r="Z526" s="974"/>
      <c r="AA526" s="974"/>
      <c r="AB526" s="974"/>
      <c r="AC526" s="974"/>
      <c r="AD526" s="974"/>
      <c r="AE526" s="974"/>
      <c r="AF526" s="974"/>
      <c r="AG526" s="974"/>
      <c r="AH526" s="974"/>
      <c r="AI526" s="1198"/>
      <c r="AJ526" s="974"/>
      <c r="AK526" s="1197"/>
      <c r="AL526" s="974"/>
      <c r="AM526" s="974"/>
      <c r="AN526" s="974"/>
      <c r="AO526" s="974"/>
      <c r="AP526" s="974"/>
      <c r="AQ526" s="974"/>
      <c r="AR526" s="974"/>
      <c r="AS526" s="974"/>
      <c r="AT526" s="974"/>
      <c r="AU526" s="974"/>
      <c r="AV526" s="974"/>
      <c r="AW526" s="1181"/>
      <c r="AX526" s="978"/>
      <c r="AY526" s="898"/>
      <c r="AZ526" s="898"/>
      <c r="BA526" s="898"/>
      <c r="BB526" s="898"/>
      <c r="BC526" s="898"/>
      <c r="BD526" s="898"/>
      <c r="BE526" s="898"/>
      <c r="BF526" s="898"/>
      <c r="BG526" s="898"/>
      <c r="BH526" s="898"/>
      <c r="BI526" s="898"/>
      <c r="BJ526" s="898"/>
      <c r="BK526" s="898"/>
      <c r="BL526" s="898"/>
      <c r="BM526" s="898"/>
      <c r="BN526" s="898"/>
      <c r="BO526" s="898"/>
      <c r="BP526" s="898"/>
      <c r="BQ526" s="898"/>
      <c r="BR526" s="898"/>
      <c r="BS526" s="898"/>
      <c r="BT526" s="898"/>
      <c r="BU526" s="898"/>
      <c r="BV526" s="898"/>
      <c r="BW526" s="898"/>
      <c r="BX526" s="898"/>
      <c r="BY526" s="898"/>
      <c r="BZ526" s="898"/>
      <c r="CA526" s="898"/>
      <c r="CB526" s="898"/>
      <c r="CC526" s="898"/>
      <c r="CD526" s="898"/>
      <c r="CE526" s="898"/>
      <c r="CF526" s="898"/>
      <c r="CG526" s="898"/>
      <c r="CH526" s="898"/>
      <c r="CI526" s="898"/>
      <c r="CJ526" s="898"/>
      <c r="CK526" s="898"/>
      <c r="CL526" s="898"/>
      <c r="CM526" s="898"/>
      <c r="CN526" s="898"/>
      <c r="CO526" s="898"/>
      <c r="CP526" s="898"/>
      <c r="CQ526" s="898"/>
      <c r="CR526" s="898"/>
      <c r="CS526" s="898"/>
      <c r="CT526" s="898"/>
      <c r="CU526" s="898"/>
    </row>
    <row r="527" ht="16.5" customHeight="1">
      <c r="A527" s="718"/>
      <c r="B527" s="1195"/>
      <c r="C527" s="866"/>
      <c r="D527" s="968"/>
      <c r="E527" s="718"/>
      <c r="F527" s="718"/>
      <c r="G527" s="718"/>
      <c r="H527" s="718"/>
      <c r="I527" s="359"/>
      <c r="J527" s="359"/>
      <c r="K527" s="359"/>
      <c r="L527" s="359"/>
      <c r="M527" s="359"/>
      <c r="N527" s="359"/>
      <c r="O527" s="359"/>
      <c r="P527" s="359"/>
      <c r="Q527" s="359"/>
      <c r="R527" s="718"/>
      <c r="S527" s="669"/>
      <c r="T527" s="669"/>
      <c r="U527" s="967"/>
      <c r="V527" s="974"/>
      <c r="W527" s="1197"/>
      <c r="X527" s="974"/>
      <c r="Y527" s="974"/>
      <c r="Z527" s="974"/>
      <c r="AA527" s="974"/>
      <c r="AB527" s="974"/>
      <c r="AC527" s="974"/>
      <c r="AD527" s="974"/>
      <c r="AE527" s="974"/>
      <c r="AF527" s="974"/>
      <c r="AG527" s="974"/>
      <c r="AH527" s="974"/>
      <c r="AI527" s="1198"/>
      <c r="AJ527" s="974"/>
      <c r="AK527" s="1197"/>
      <c r="AL527" s="974"/>
      <c r="AM527" s="974"/>
      <c r="AN527" s="974"/>
      <c r="AO527" s="974"/>
      <c r="AP527" s="974"/>
      <c r="AQ527" s="974"/>
      <c r="AR527" s="974"/>
      <c r="AS527" s="974"/>
      <c r="AT527" s="974"/>
      <c r="AU527" s="974"/>
      <c r="AV527" s="974"/>
      <c r="AW527" s="1181"/>
      <c r="AX527" s="978"/>
      <c r="AY527" s="898"/>
      <c r="AZ527" s="898"/>
      <c r="BA527" s="898"/>
      <c r="BB527" s="898"/>
      <c r="BC527" s="898"/>
      <c r="BD527" s="898"/>
      <c r="BE527" s="898"/>
      <c r="BF527" s="898"/>
      <c r="BG527" s="898"/>
      <c r="BH527" s="898"/>
      <c r="BI527" s="898"/>
      <c r="BJ527" s="898"/>
      <c r="BK527" s="898"/>
      <c r="BL527" s="898"/>
      <c r="BM527" s="898"/>
      <c r="BN527" s="898"/>
      <c r="BO527" s="898"/>
      <c r="BP527" s="898"/>
      <c r="BQ527" s="898"/>
      <c r="BR527" s="898"/>
      <c r="BS527" s="898"/>
      <c r="BT527" s="898"/>
      <c r="BU527" s="898"/>
      <c r="BV527" s="898"/>
      <c r="BW527" s="898"/>
      <c r="BX527" s="898"/>
      <c r="BY527" s="898"/>
      <c r="BZ527" s="898"/>
      <c r="CA527" s="898"/>
      <c r="CB527" s="898"/>
      <c r="CC527" s="898"/>
      <c r="CD527" s="898"/>
      <c r="CE527" s="898"/>
      <c r="CF527" s="898"/>
      <c r="CG527" s="898"/>
      <c r="CH527" s="898"/>
      <c r="CI527" s="898"/>
      <c r="CJ527" s="898"/>
      <c r="CK527" s="898"/>
      <c r="CL527" s="898"/>
      <c r="CM527" s="898"/>
      <c r="CN527" s="898"/>
      <c r="CO527" s="898"/>
      <c r="CP527" s="898"/>
      <c r="CQ527" s="898"/>
      <c r="CR527" s="898"/>
      <c r="CS527" s="898"/>
      <c r="CT527" s="898"/>
      <c r="CU527" s="898"/>
    </row>
    <row r="528" ht="16.5" customHeight="1">
      <c r="A528" s="718"/>
      <c r="B528" s="1195"/>
      <c r="C528" s="866"/>
      <c r="D528" s="968"/>
      <c r="E528" s="718"/>
      <c r="F528" s="718"/>
      <c r="G528" s="718"/>
      <c r="H528" s="718"/>
      <c r="I528" s="359"/>
      <c r="J528" s="359"/>
      <c r="K528" s="359"/>
      <c r="L528" s="359"/>
      <c r="M528" s="359"/>
      <c r="N528" s="359"/>
      <c r="O528" s="359"/>
      <c r="P528" s="359"/>
      <c r="Q528" s="359"/>
      <c r="R528" s="718"/>
      <c r="S528" s="669"/>
      <c r="T528" s="669"/>
      <c r="U528" s="967"/>
      <c r="V528" s="974"/>
      <c r="W528" s="1197"/>
      <c r="X528" s="974"/>
      <c r="Y528" s="974"/>
      <c r="Z528" s="974"/>
      <c r="AA528" s="974"/>
      <c r="AB528" s="974"/>
      <c r="AC528" s="974"/>
      <c r="AD528" s="974"/>
      <c r="AE528" s="974"/>
      <c r="AF528" s="974"/>
      <c r="AG528" s="974"/>
      <c r="AH528" s="974"/>
      <c r="AI528" s="1198"/>
      <c r="AJ528" s="974"/>
      <c r="AK528" s="1197"/>
      <c r="AL528" s="974"/>
      <c r="AM528" s="974"/>
      <c r="AN528" s="974"/>
      <c r="AO528" s="974"/>
      <c r="AP528" s="974"/>
      <c r="AQ528" s="974"/>
      <c r="AR528" s="974"/>
      <c r="AS528" s="974"/>
      <c r="AT528" s="974"/>
      <c r="AU528" s="974"/>
      <c r="AV528" s="974"/>
      <c r="AW528" s="1181"/>
      <c r="AX528" s="978"/>
      <c r="AY528" s="898"/>
      <c r="AZ528" s="898"/>
      <c r="BA528" s="898"/>
      <c r="BB528" s="898"/>
      <c r="BC528" s="898"/>
      <c r="BD528" s="898"/>
      <c r="BE528" s="898"/>
      <c r="BF528" s="898"/>
      <c r="BG528" s="898"/>
      <c r="BH528" s="898"/>
      <c r="BI528" s="898"/>
      <c r="BJ528" s="898"/>
      <c r="BK528" s="898"/>
      <c r="BL528" s="898"/>
      <c r="BM528" s="898"/>
      <c r="BN528" s="898"/>
      <c r="BO528" s="898"/>
      <c r="BP528" s="898"/>
      <c r="BQ528" s="898"/>
      <c r="BR528" s="898"/>
      <c r="BS528" s="898"/>
      <c r="BT528" s="898"/>
      <c r="BU528" s="898"/>
      <c r="BV528" s="898"/>
      <c r="BW528" s="898"/>
      <c r="BX528" s="898"/>
      <c r="BY528" s="898"/>
      <c r="BZ528" s="898"/>
      <c r="CA528" s="898"/>
      <c r="CB528" s="898"/>
      <c r="CC528" s="898"/>
      <c r="CD528" s="898"/>
      <c r="CE528" s="898"/>
      <c r="CF528" s="898"/>
      <c r="CG528" s="898"/>
      <c r="CH528" s="898"/>
      <c r="CI528" s="898"/>
      <c r="CJ528" s="898"/>
      <c r="CK528" s="898"/>
      <c r="CL528" s="898"/>
      <c r="CM528" s="898"/>
      <c r="CN528" s="898"/>
      <c r="CO528" s="898"/>
      <c r="CP528" s="898"/>
      <c r="CQ528" s="898"/>
      <c r="CR528" s="898"/>
      <c r="CS528" s="898"/>
      <c r="CT528" s="898"/>
      <c r="CU528" s="898"/>
    </row>
    <row r="529" ht="16.5" customHeight="1">
      <c r="A529" s="718"/>
      <c r="B529" s="1195"/>
      <c r="C529" s="866"/>
      <c r="D529" s="968"/>
      <c r="E529" s="718"/>
      <c r="F529" s="718"/>
      <c r="G529" s="718"/>
      <c r="H529" s="718"/>
      <c r="I529" s="359"/>
      <c r="J529" s="359"/>
      <c r="K529" s="359"/>
      <c r="L529" s="359"/>
      <c r="M529" s="359"/>
      <c r="N529" s="359"/>
      <c r="O529" s="359"/>
      <c r="P529" s="359"/>
      <c r="Q529" s="359"/>
      <c r="R529" s="718"/>
      <c r="S529" s="669"/>
      <c r="T529" s="669"/>
      <c r="U529" s="967"/>
      <c r="V529" s="974"/>
      <c r="W529" s="1197"/>
      <c r="X529" s="974"/>
      <c r="Y529" s="974"/>
      <c r="Z529" s="974"/>
      <c r="AA529" s="974"/>
      <c r="AB529" s="974"/>
      <c r="AC529" s="974"/>
      <c r="AD529" s="974"/>
      <c r="AE529" s="974"/>
      <c r="AF529" s="974"/>
      <c r="AG529" s="974"/>
      <c r="AH529" s="974"/>
      <c r="AI529" s="1198"/>
      <c r="AJ529" s="974"/>
      <c r="AK529" s="1197"/>
      <c r="AL529" s="974"/>
      <c r="AM529" s="974"/>
      <c r="AN529" s="974"/>
      <c r="AO529" s="974"/>
      <c r="AP529" s="974"/>
      <c r="AQ529" s="974"/>
      <c r="AR529" s="974"/>
      <c r="AS529" s="974"/>
      <c r="AT529" s="974"/>
      <c r="AU529" s="974"/>
      <c r="AV529" s="974"/>
      <c r="AW529" s="1181"/>
      <c r="AX529" s="978"/>
      <c r="AY529" s="898"/>
      <c r="AZ529" s="898"/>
      <c r="BA529" s="898"/>
      <c r="BB529" s="898"/>
      <c r="BC529" s="898"/>
      <c r="BD529" s="898"/>
      <c r="BE529" s="898"/>
      <c r="BF529" s="898"/>
      <c r="BG529" s="898"/>
      <c r="BH529" s="898"/>
      <c r="BI529" s="898"/>
      <c r="BJ529" s="898"/>
      <c r="BK529" s="898"/>
      <c r="BL529" s="898"/>
      <c r="BM529" s="898"/>
      <c r="BN529" s="898"/>
      <c r="BO529" s="898"/>
      <c r="BP529" s="898"/>
      <c r="BQ529" s="898"/>
      <c r="BR529" s="898"/>
      <c r="BS529" s="898"/>
      <c r="BT529" s="898"/>
      <c r="BU529" s="898"/>
      <c r="BV529" s="898"/>
      <c r="BW529" s="898"/>
      <c r="BX529" s="898"/>
      <c r="BY529" s="898"/>
      <c r="BZ529" s="898"/>
      <c r="CA529" s="898"/>
      <c r="CB529" s="898"/>
      <c r="CC529" s="898"/>
      <c r="CD529" s="898"/>
      <c r="CE529" s="898"/>
      <c r="CF529" s="898"/>
      <c r="CG529" s="898"/>
      <c r="CH529" s="898"/>
      <c r="CI529" s="898"/>
      <c r="CJ529" s="898"/>
      <c r="CK529" s="898"/>
      <c r="CL529" s="898"/>
      <c r="CM529" s="898"/>
      <c r="CN529" s="898"/>
      <c r="CO529" s="898"/>
      <c r="CP529" s="898"/>
      <c r="CQ529" s="898"/>
      <c r="CR529" s="898"/>
      <c r="CS529" s="898"/>
      <c r="CT529" s="898"/>
      <c r="CU529" s="898"/>
    </row>
    <row r="530" ht="16.5" customHeight="1">
      <c r="A530" s="718"/>
      <c r="B530" s="1195"/>
      <c r="C530" s="866"/>
      <c r="D530" s="968"/>
      <c r="E530" s="718"/>
      <c r="F530" s="718"/>
      <c r="G530" s="718"/>
      <c r="H530" s="718"/>
      <c r="I530" s="359"/>
      <c r="J530" s="359"/>
      <c r="K530" s="359"/>
      <c r="L530" s="359"/>
      <c r="M530" s="359"/>
      <c r="N530" s="359"/>
      <c r="O530" s="359"/>
      <c r="P530" s="359"/>
      <c r="Q530" s="359"/>
      <c r="R530" s="718"/>
      <c r="S530" s="669"/>
      <c r="T530" s="669"/>
      <c r="U530" s="967"/>
      <c r="V530" s="974"/>
      <c r="W530" s="1197"/>
      <c r="X530" s="974"/>
      <c r="Y530" s="974"/>
      <c r="Z530" s="974"/>
      <c r="AA530" s="974"/>
      <c r="AB530" s="974"/>
      <c r="AC530" s="974"/>
      <c r="AD530" s="974"/>
      <c r="AE530" s="974"/>
      <c r="AF530" s="974"/>
      <c r="AG530" s="974"/>
      <c r="AH530" s="974"/>
      <c r="AI530" s="1198"/>
      <c r="AJ530" s="974"/>
      <c r="AK530" s="1197"/>
      <c r="AL530" s="974"/>
      <c r="AM530" s="974"/>
      <c r="AN530" s="974"/>
      <c r="AO530" s="974"/>
      <c r="AP530" s="974"/>
      <c r="AQ530" s="974"/>
      <c r="AR530" s="974"/>
      <c r="AS530" s="974"/>
      <c r="AT530" s="974"/>
      <c r="AU530" s="974"/>
      <c r="AV530" s="974"/>
      <c r="AW530" s="1181"/>
      <c r="AX530" s="978"/>
      <c r="AY530" s="898"/>
      <c r="AZ530" s="898"/>
      <c r="BA530" s="898"/>
      <c r="BB530" s="898"/>
      <c r="BC530" s="898"/>
      <c r="BD530" s="898"/>
      <c r="BE530" s="898"/>
      <c r="BF530" s="898"/>
      <c r="BG530" s="898"/>
      <c r="BH530" s="898"/>
      <c r="BI530" s="898"/>
      <c r="BJ530" s="898"/>
      <c r="BK530" s="898"/>
      <c r="BL530" s="898"/>
      <c r="BM530" s="898"/>
      <c r="BN530" s="898"/>
      <c r="BO530" s="898"/>
      <c r="BP530" s="898"/>
      <c r="BQ530" s="898"/>
      <c r="BR530" s="898"/>
      <c r="BS530" s="898"/>
      <c r="BT530" s="898"/>
      <c r="BU530" s="898"/>
      <c r="BV530" s="898"/>
      <c r="BW530" s="898"/>
      <c r="BX530" s="898"/>
      <c r="BY530" s="898"/>
      <c r="BZ530" s="898"/>
      <c r="CA530" s="898"/>
      <c r="CB530" s="898"/>
      <c r="CC530" s="898"/>
      <c r="CD530" s="898"/>
      <c r="CE530" s="898"/>
      <c r="CF530" s="898"/>
      <c r="CG530" s="898"/>
      <c r="CH530" s="898"/>
      <c r="CI530" s="898"/>
      <c r="CJ530" s="898"/>
      <c r="CK530" s="898"/>
      <c r="CL530" s="898"/>
      <c r="CM530" s="898"/>
      <c r="CN530" s="898"/>
      <c r="CO530" s="898"/>
      <c r="CP530" s="898"/>
      <c r="CQ530" s="898"/>
      <c r="CR530" s="898"/>
      <c r="CS530" s="898"/>
      <c r="CT530" s="898"/>
      <c r="CU530" s="898"/>
    </row>
    <row r="531" ht="16.5" customHeight="1">
      <c r="A531" s="718"/>
      <c r="B531" s="1195"/>
      <c r="C531" s="866"/>
      <c r="D531" s="968"/>
      <c r="E531" s="718"/>
      <c r="F531" s="718"/>
      <c r="G531" s="718"/>
      <c r="H531" s="718"/>
      <c r="I531" s="359"/>
      <c r="J531" s="359"/>
      <c r="K531" s="359"/>
      <c r="L531" s="359"/>
      <c r="M531" s="359"/>
      <c r="N531" s="359"/>
      <c r="O531" s="359"/>
      <c r="P531" s="359"/>
      <c r="Q531" s="359"/>
      <c r="R531" s="718"/>
      <c r="S531" s="669"/>
      <c r="T531" s="669"/>
      <c r="U531" s="967"/>
      <c r="V531" s="974"/>
      <c r="W531" s="1197"/>
      <c r="X531" s="974"/>
      <c r="Y531" s="974"/>
      <c r="Z531" s="974"/>
      <c r="AA531" s="974"/>
      <c r="AB531" s="974"/>
      <c r="AC531" s="974"/>
      <c r="AD531" s="974"/>
      <c r="AE531" s="974"/>
      <c r="AF531" s="974"/>
      <c r="AG531" s="974"/>
      <c r="AH531" s="974"/>
      <c r="AI531" s="1198"/>
      <c r="AJ531" s="974"/>
      <c r="AK531" s="1197"/>
      <c r="AL531" s="974"/>
      <c r="AM531" s="974"/>
      <c r="AN531" s="974"/>
      <c r="AO531" s="974"/>
      <c r="AP531" s="974"/>
      <c r="AQ531" s="974"/>
      <c r="AR531" s="974"/>
      <c r="AS531" s="974"/>
      <c r="AT531" s="974"/>
      <c r="AU531" s="974"/>
      <c r="AV531" s="974"/>
      <c r="AW531" s="1181"/>
      <c r="AX531" s="978"/>
      <c r="AY531" s="898"/>
      <c r="AZ531" s="898"/>
      <c r="BA531" s="898"/>
      <c r="BB531" s="898"/>
      <c r="BC531" s="898"/>
      <c r="BD531" s="898"/>
      <c r="BE531" s="898"/>
      <c r="BF531" s="898"/>
      <c r="BG531" s="898"/>
      <c r="BH531" s="898"/>
      <c r="BI531" s="898"/>
      <c r="BJ531" s="898"/>
      <c r="BK531" s="898"/>
      <c r="BL531" s="898"/>
      <c r="BM531" s="898"/>
      <c r="BN531" s="898"/>
      <c r="BO531" s="898"/>
      <c r="BP531" s="898"/>
      <c r="BQ531" s="898"/>
      <c r="BR531" s="898"/>
      <c r="BS531" s="898"/>
      <c r="BT531" s="898"/>
      <c r="BU531" s="898"/>
      <c r="BV531" s="898"/>
      <c r="BW531" s="898"/>
      <c r="BX531" s="898"/>
      <c r="BY531" s="898"/>
      <c r="BZ531" s="898"/>
      <c r="CA531" s="898"/>
      <c r="CB531" s="898"/>
      <c r="CC531" s="898"/>
      <c r="CD531" s="898"/>
      <c r="CE531" s="898"/>
      <c r="CF531" s="898"/>
      <c r="CG531" s="898"/>
      <c r="CH531" s="898"/>
      <c r="CI531" s="898"/>
      <c r="CJ531" s="898"/>
      <c r="CK531" s="898"/>
      <c r="CL531" s="898"/>
      <c r="CM531" s="898"/>
      <c r="CN531" s="898"/>
      <c r="CO531" s="898"/>
      <c r="CP531" s="898"/>
      <c r="CQ531" s="898"/>
      <c r="CR531" s="898"/>
      <c r="CS531" s="898"/>
      <c r="CT531" s="898"/>
      <c r="CU531" s="898"/>
    </row>
    <row r="532" ht="16.5" customHeight="1">
      <c r="A532" s="718"/>
      <c r="B532" s="1195"/>
      <c r="C532" s="866"/>
      <c r="D532" s="968"/>
      <c r="E532" s="718"/>
      <c r="F532" s="718"/>
      <c r="G532" s="718"/>
      <c r="H532" s="718"/>
      <c r="I532" s="359"/>
      <c r="J532" s="359"/>
      <c r="K532" s="359"/>
      <c r="L532" s="359"/>
      <c r="M532" s="359"/>
      <c r="N532" s="359"/>
      <c r="O532" s="359"/>
      <c r="P532" s="359"/>
      <c r="Q532" s="359"/>
      <c r="R532" s="718"/>
      <c r="S532" s="669"/>
      <c r="T532" s="669"/>
      <c r="U532" s="967"/>
      <c r="V532" s="974"/>
      <c r="W532" s="1197"/>
      <c r="X532" s="974"/>
      <c r="Y532" s="974"/>
      <c r="Z532" s="974"/>
      <c r="AA532" s="974"/>
      <c r="AB532" s="974"/>
      <c r="AC532" s="974"/>
      <c r="AD532" s="974"/>
      <c r="AE532" s="974"/>
      <c r="AF532" s="974"/>
      <c r="AG532" s="974"/>
      <c r="AH532" s="974"/>
      <c r="AI532" s="1198"/>
      <c r="AJ532" s="974"/>
      <c r="AK532" s="1197"/>
      <c r="AL532" s="974"/>
      <c r="AM532" s="974"/>
      <c r="AN532" s="974"/>
      <c r="AO532" s="974"/>
      <c r="AP532" s="974"/>
      <c r="AQ532" s="974"/>
      <c r="AR532" s="974"/>
      <c r="AS532" s="974"/>
      <c r="AT532" s="974"/>
      <c r="AU532" s="974"/>
      <c r="AV532" s="974"/>
      <c r="AW532" s="1181"/>
      <c r="AX532" s="978"/>
      <c r="AY532" s="898"/>
      <c r="AZ532" s="898"/>
      <c r="BA532" s="898"/>
      <c r="BB532" s="898"/>
      <c r="BC532" s="898"/>
      <c r="BD532" s="898"/>
      <c r="BE532" s="898"/>
      <c r="BF532" s="898"/>
      <c r="BG532" s="898"/>
      <c r="BH532" s="898"/>
      <c r="BI532" s="898"/>
      <c r="BJ532" s="898"/>
      <c r="BK532" s="898"/>
      <c r="BL532" s="898"/>
      <c r="BM532" s="898"/>
      <c r="BN532" s="898"/>
      <c r="BO532" s="898"/>
      <c r="BP532" s="898"/>
      <c r="BQ532" s="898"/>
      <c r="BR532" s="898"/>
      <c r="BS532" s="898"/>
      <c r="BT532" s="898"/>
      <c r="BU532" s="898"/>
      <c r="BV532" s="898"/>
      <c r="BW532" s="898"/>
      <c r="BX532" s="898"/>
      <c r="BY532" s="898"/>
      <c r="BZ532" s="898"/>
      <c r="CA532" s="898"/>
      <c r="CB532" s="898"/>
      <c r="CC532" s="898"/>
      <c r="CD532" s="898"/>
      <c r="CE532" s="898"/>
      <c r="CF532" s="898"/>
      <c r="CG532" s="898"/>
      <c r="CH532" s="898"/>
      <c r="CI532" s="898"/>
      <c r="CJ532" s="898"/>
      <c r="CK532" s="898"/>
      <c r="CL532" s="898"/>
      <c r="CM532" s="898"/>
      <c r="CN532" s="898"/>
      <c r="CO532" s="898"/>
      <c r="CP532" s="898"/>
      <c r="CQ532" s="898"/>
      <c r="CR532" s="898"/>
      <c r="CS532" s="898"/>
      <c r="CT532" s="898"/>
      <c r="CU532" s="898"/>
    </row>
    <row r="533" ht="16.5" customHeight="1">
      <c r="A533" s="718"/>
      <c r="B533" s="1195"/>
      <c r="C533" s="866"/>
      <c r="D533" s="968"/>
      <c r="E533" s="718"/>
      <c r="F533" s="718"/>
      <c r="G533" s="718"/>
      <c r="H533" s="718"/>
      <c r="I533" s="359"/>
      <c r="J533" s="359"/>
      <c r="K533" s="359"/>
      <c r="L533" s="359"/>
      <c r="M533" s="359"/>
      <c r="N533" s="359"/>
      <c r="O533" s="359"/>
      <c r="P533" s="359"/>
      <c r="Q533" s="359"/>
      <c r="R533" s="718"/>
      <c r="S533" s="669"/>
      <c r="T533" s="669"/>
      <c r="U533" s="967"/>
      <c r="V533" s="974"/>
      <c r="W533" s="1197"/>
      <c r="X533" s="974"/>
      <c r="Y533" s="974"/>
      <c r="Z533" s="974"/>
      <c r="AA533" s="974"/>
      <c r="AB533" s="974"/>
      <c r="AC533" s="974"/>
      <c r="AD533" s="974"/>
      <c r="AE533" s="974"/>
      <c r="AF533" s="974"/>
      <c r="AG533" s="974"/>
      <c r="AH533" s="974"/>
      <c r="AI533" s="1198"/>
      <c r="AJ533" s="974"/>
      <c r="AK533" s="1197"/>
      <c r="AL533" s="974"/>
      <c r="AM533" s="974"/>
      <c r="AN533" s="974"/>
      <c r="AO533" s="974"/>
      <c r="AP533" s="974"/>
      <c r="AQ533" s="974"/>
      <c r="AR533" s="974"/>
      <c r="AS533" s="974"/>
      <c r="AT533" s="974"/>
      <c r="AU533" s="974"/>
      <c r="AV533" s="974"/>
      <c r="AW533" s="1181"/>
      <c r="AX533" s="978"/>
      <c r="AY533" s="898"/>
      <c r="AZ533" s="898"/>
      <c r="BA533" s="898"/>
      <c r="BB533" s="898"/>
      <c r="BC533" s="898"/>
      <c r="BD533" s="898"/>
      <c r="BE533" s="898"/>
      <c r="BF533" s="898"/>
      <c r="BG533" s="898"/>
      <c r="BH533" s="898"/>
      <c r="BI533" s="898"/>
      <c r="BJ533" s="898"/>
      <c r="BK533" s="898"/>
      <c r="BL533" s="898"/>
      <c r="BM533" s="898"/>
      <c r="BN533" s="898"/>
      <c r="BO533" s="898"/>
      <c r="BP533" s="898"/>
      <c r="BQ533" s="898"/>
      <c r="BR533" s="898"/>
      <c r="BS533" s="898"/>
      <c r="BT533" s="898"/>
      <c r="BU533" s="898"/>
      <c r="BV533" s="898"/>
      <c r="BW533" s="898"/>
      <c r="BX533" s="898"/>
      <c r="BY533" s="898"/>
      <c r="BZ533" s="898"/>
      <c r="CA533" s="898"/>
      <c r="CB533" s="898"/>
      <c r="CC533" s="898"/>
      <c r="CD533" s="898"/>
      <c r="CE533" s="898"/>
      <c r="CF533" s="898"/>
      <c r="CG533" s="898"/>
      <c r="CH533" s="898"/>
      <c r="CI533" s="898"/>
      <c r="CJ533" s="898"/>
      <c r="CK533" s="898"/>
      <c r="CL533" s="898"/>
      <c r="CM533" s="898"/>
      <c r="CN533" s="898"/>
      <c r="CO533" s="898"/>
      <c r="CP533" s="898"/>
      <c r="CQ533" s="898"/>
      <c r="CR533" s="898"/>
      <c r="CS533" s="898"/>
      <c r="CT533" s="898"/>
      <c r="CU533" s="898"/>
    </row>
    <row r="534" ht="16.5" customHeight="1">
      <c r="A534" s="718"/>
      <c r="B534" s="1195"/>
      <c r="C534" s="866"/>
      <c r="D534" s="968"/>
      <c r="E534" s="718"/>
      <c r="F534" s="718"/>
      <c r="G534" s="718"/>
      <c r="H534" s="718"/>
      <c r="I534" s="359"/>
      <c r="J534" s="359"/>
      <c r="K534" s="359"/>
      <c r="L534" s="359"/>
      <c r="M534" s="359"/>
      <c r="N534" s="359"/>
      <c r="O534" s="359"/>
      <c r="P534" s="359"/>
      <c r="Q534" s="359"/>
      <c r="R534" s="718"/>
      <c r="S534" s="669"/>
      <c r="T534" s="669"/>
      <c r="U534" s="967"/>
      <c r="V534" s="974"/>
      <c r="W534" s="1197"/>
      <c r="X534" s="974"/>
      <c r="Y534" s="974"/>
      <c r="Z534" s="974"/>
      <c r="AA534" s="974"/>
      <c r="AB534" s="974"/>
      <c r="AC534" s="974"/>
      <c r="AD534" s="974"/>
      <c r="AE534" s="974"/>
      <c r="AF534" s="974"/>
      <c r="AG534" s="974"/>
      <c r="AH534" s="974"/>
      <c r="AI534" s="1198"/>
      <c r="AJ534" s="974"/>
      <c r="AK534" s="1197"/>
      <c r="AL534" s="974"/>
      <c r="AM534" s="974"/>
      <c r="AN534" s="974"/>
      <c r="AO534" s="974"/>
      <c r="AP534" s="974"/>
      <c r="AQ534" s="974"/>
      <c r="AR534" s="974"/>
      <c r="AS534" s="974"/>
      <c r="AT534" s="974"/>
      <c r="AU534" s="974"/>
      <c r="AV534" s="974"/>
      <c r="AW534" s="1181"/>
      <c r="AX534" s="978"/>
      <c r="AY534" s="898"/>
      <c r="AZ534" s="898"/>
      <c r="BA534" s="898"/>
      <c r="BB534" s="898"/>
      <c r="BC534" s="898"/>
      <c r="BD534" s="898"/>
      <c r="BE534" s="898"/>
      <c r="BF534" s="898"/>
      <c r="BG534" s="898"/>
      <c r="BH534" s="898"/>
      <c r="BI534" s="898"/>
      <c r="BJ534" s="898"/>
      <c r="BK534" s="898"/>
      <c r="BL534" s="898"/>
      <c r="BM534" s="898"/>
      <c r="BN534" s="898"/>
      <c r="BO534" s="898"/>
      <c r="BP534" s="898"/>
      <c r="BQ534" s="898"/>
      <c r="BR534" s="898"/>
      <c r="BS534" s="898"/>
      <c r="BT534" s="898"/>
      <c r="BU534" s="898"/>
      <c r="BV534" s="898"/>
      <c r="BW534" s="898"/>
      <c r="BX534" s="898"/>
      <c r="BY534" s="898"/>
      <c r="BZ534" s="898"/>
      <c r="CA534" s="898"/>
      <c r="CB534" s="898"/>
      <c r="CC534" s="898"/>
      <c r="CD534" s="898"/>
      <c r="CE534" s="898"/>
      <c r="CF534" s="898"/>
      <c r="CG534" s="898"/>
      <c r="CH534" s="898"/>
      <c r="CI534" s="898"/>
      <c r="CJ534" s="898"/>
      <c r="CK534" s="898"/>
      <c r="CL534" s="898"/>
      <c r="CM534" s="898"/>
      <c r="CN534" s="898"/>
      <c r="CO534" s="898"/>
      <c r="CP534" s="898"/>
      <c r="CQ534" s="898"/>
      <c r="CR534" s="898"/>
      <c r="CS534" s="898"/>
      <c r="CT534" s="898"/>
      <c r="CU534" s="898"/>
    </row>
    <row r="535" ht="16.5" customHeight="1">
      <c r="A535" s="718"/>
      <c r="B535" s="1195"/>
      <c r="C535" s="866"/>
      <c r="D535" s="968"/>
      <c r="E535" s="718"/>
      <c r="F535" s="718"/>
      <c r="G535" s="718"/>
      <c r="H535" s="718"/>
      <c r="I535" s="359"/>
      <c r="J535" s="359"/>
      <c r="K535" s="359"/>
      <c r="L535" s="359"/>
      <c r="M535" s="359"/>
      <c r="N535" s="359"/>
      <c r="O535" s="359"/>
      <c r="P535" s="359"/>
      <c r="Q535" s="359"/>
      <c r="R535" s="718"/>
      <c r="S535" s="669"/>
      <c r="T535" s="669"/>
      <c r="U535" s="967"/>
      <c r="V535" s="974"/>
      <c r="W535" s="1197"/>
      <c r="X535" s="974"/>
      <c r="Y535" s="974"/>
      <c r="Z535" s="974"/>
      <c r="AA535" s="974"/>
      <c r="AB535" s="974"/>
      <c r="AC535" s="974"/>
      <c r="AD535" s="974"/>
      <c r="AE535" s="974"/>
      <c r="AF535" s="974"/>
      <c r="AG535" s="974"/>
      <c r="AH535" s="974"/>
      <c r="AI535" s="1198"/>
      <c r="AJ535" s="974"/>
      <c r="AK535" s="1197"/>
      <c r="AL535" s="974"/>
      <c r="AM535" s="974"/>
      <c r="AN535" s="974"/>
      <c r="AO535" s="974"/>
      <c r="AP535" s="974"/>
      <c r="AQ535" s="974"/>
      <c r="AR535" s="974"/>
      <c r="AS535" s="974"/>
      <c r="AT535" s="974"/>
      <c r="AU535" s="974"/>
      <c r="AV535" s="974"/>
      <c r="AW535" s="1181"/>
      <c r="AX535" s="978"/>
      <c r="AY535" s="898"/>
      <c r="AZ535" s="898"/>
      <c r="BA535" s="898"/>
      <c r="BB535" s="898"/>
      <c r="BC535" s="898"/>
      <c r="BD535" s="898"/>
      <c r="BE535" s="898"/>
      <c r="BF535" s="898"/>
      <c r="BG535" s="898"/>
      <c r="BH535" s="898"/>
      <c r="BI535" s="898"/>
      <c r="BJ535" s="898"/>
      <c r="BK535" s="898"/>
      <c r="BL535" s="898"/>
      <c r="BM535" s="898"/>
      <c r="BN535" s="898"/>
      <c r="BO535" s="898"/>
      <c r="BP535" s="898"/>
      <c r="BQ535" s="898"/>
      <c r="BR535" s="898"/>
      <c r="BS535" s="898"/>
      <c r="BT535" s="898"/>
      <c r="BU535" s="898"/>
      <c r="BV535" s="898"/>
      <c r="BW535" s="898"/>
      <c r="BX535" s="898"/>
      <c r="BY535" s="898"/>
      <c r="BZ535" s="898"/>
      <c r="CA535" s="898"/>
      <c r="CB535" s="898"/>
      <c r="CC535" s="898"/>
      <c r="CD535" s="898"/>
      <c r="CE535" s="898"/>
      <c r="CF535" s="898"/>
      <c r="CG535" s="898"/>
      <c r="CH535" s="898"/>
      <c r="CI535" s="898"/>
      <c r="CJ535" s="898"/>
      <c r="CK535" s="898"/>
      <c r="CL535" s="898"/>
      <c r="CM535" s="898"/>
      <c r="CN535" s="898"/>
      <c r="CO535" s="898"/>
      <c r="CP535" s="898"/>
      <c r="CQ535" s="898"/>
      <c r="CR535" s="898"/>
      <c r="CS535" s="898"/>
      <c r="CT535" s="898"/>
      <c r="CU535" s="898"/>
    </row>
    <row r="536" ht="16.5" customHeight="1">
      <c r="A536" s="718"/>
      <c r="B536" s="1195"/>
      <c r="C536" s="866"/>
      <c r="D536" s="968"/>
      <c r="E536" s="718"/>
      <c r="F536" s="718"/>
      <c r="G536" s="718"/>
      <c r="H536" s="718"/>
      <c r="I536" s="359"/>
      <c r="J536" s="359"/>
      <c r="K536" s="359"/>
      <c r="L536" s="359"/>
      <c r="M536" s="359"/>
      <c r="N536" s="359"/>
      <c r="O536" s="359"/>
      <c r="P536" s="359"/>
      <c r="Q536" s="359"/>
      <c r="R536" s="718"/>
      <c r="S536" s="669"/>
      <c r="T536" s="669"/>
      <c r="U536" s="967"/>
      <c r="V536" s="974"/>
      <c r="W536" s="1197"/>
      <c r="X536" s="974"/>
      <c r="Y536" s="974"/>
      <c r="Z536" s="974"/>
      <c r="AA536" s="974"/>
      <c r="AB536" s="974"/>
      <c r="AC536" s="974"/>
      <c r="AD536" s="974"/>
      <c r="AE536" s="974"/>
      <c r="AF536" s="974"/>
      <c r="AG536" s="974"/>
      <c r="AH536" s="974"/>
      <c r="AI536" s="1198"/>
      <c r="AJ536" s="974"/>
      <c r="AK536" s="1197"/>
      <c r="AL536" s="974"/>
      <c r="AM536" s="974"/>
      <c r="AN536" s="974"/>
      <c r="AO536" s="974"/>
      <c r="AP536" s="974"/>
      <c r="AQ536" s="974"/>
      <c r="AR536" s="974"/>
      <c r="AS536" s="974"/>
      <c r="AT536" s="974"/>
      <c r="AU536" s="974"/>
      <c r="AV536" s="974"/>
      <c r="AW536" s="1181"/>
      <c r="AX536" s="978"/>
      <c r="AY536" s="898"/>
      <c r="AZ536" s="898"/>
      <c r="BA536" s="898"/>
      <c r="BB536" s="898"/>
      <c r="BC536" s="898"/>
      <c r="BD536" s="898"/>
      <c r="BE536" s="898"/>
      <c r="BF536" s="898"/>
      <c r="BG536" s="898"/>
      <c r="BH536" s="898"/>
      <c r="BI536" s="898"/>
      <c r="BJ536" s="898"/>
      <c r="BK536" s="898"/>
      <c r="BL536" s="898"/>
      <c r="BM536" s="898"/>
      <c r="BN536" s="898"/>
      <c r="BO536" s="898"/>
      <c r="BP536" s="898"/>
      <c r="BQ536" s="898"/>
      <c r="BR536" s="898"/>
      <c r="BS536" s="898"/>
      <c r="BT536" s="898"/>
      <c r="BU536" s="898"/>
      <c r="BV536" s="898"/>
      <c r="BW536" s="898"/>
      <c r="BX536" s="898"/>
      <c r="BY536" s="898"/>
      <c r="BZ536" s="898"/>
      <c r="CA536" s="898"/>
      <c r="CB536" s="898"/>
      <c r="CC536" s="898"/>
      <c r="CD536" s="898"/>
      <c r="CE536" s="898"/>
      <c r="CF536" s="898"/>
      <c r="CG536" s="898"/>
      <c r="CH536" s="898"/>
      <c r="CI536" s="898"/>
      <c r="CJ536" s="898"/>
      <c r="CK536" s="898"/>
      <c r="CL536" s="898"/>
      <c r="CM536" s="898"/>
      <c r="CN536" s="898"/>
      <c r="CO536" s="898"/>
      <c r="CP536" s="898"/>
      <c r="CQ536" s="898"/>
      <c r="CR536" s="898"/>
      <c r="CS536" s="898"/>
      <c r="CT536" s="898"/>
      <c r="CU536" s="898"/>
    </row>
    <row r="537" ht="16.5" customHeight="1">
      <c r="A537" s="718"/>
      <c r="B537" s="1195"/>
      <c r="C537" s="866"/>
      <c r="D537" s="968"/>
      <c r="E537" s="718"/>
      <c r="F537" s="718"/>
      <c r="G537" s="718"/>
      <c r="H537" s="718"/>
      <c r="I537" s="359"/>
      <c r="J537" s="359"/>
      <c r="K537" s="359"/>
      <c r="L537" s="359"/>
      <c r="M537" s="359"/>
      <c r="N537" s="359"/>
      <c r="O537" s="359"/>
      <c r="P537" s="359"/>
      <c r="Q537" s="359"/>
      <c r="R537" s="718"/>
      <c r="S537" s="669"/>
      <c r="T537" s="669"/>
      <c r="U537" s="967"/>
      <c r="V537" s="974"/>
      <c r="W537" s="1197"/>
      <c r="X537" s="974"/>
      <c r="Y537" s="974"/>
      <c r="Z537" s="974"/>
      <c r="AA537" s="974"/>
      <c r="AB537" s="974"/>
      <c r="AC537" s="974"/>
      <c r="AD537" s="974"/>
      <c r="AE537" s="974"/>
      <c r="AF537" s="974"/>
      <c r="AG537" s="974"/>
      <c r="AH537" s="974"/>
      <c r="AI537" s="1198"/>
      <c r="AJ537" s="974"/>
      <c r="AK537" s="1197"/>
      <c r="AL537" s="974"/>
      <c r="AM537" s="974"/>
      <c r="AN537" s="974"/>
      <c r="AO537" s="974"/>
      <c r="AP537" s="974"/>
      <c r="AQ537" s="974"/>
      <c r="AR537" s="974"/>
      <c r="AS537" s="974"/>
      <c r="AT537" s="974"/>
      <c r="AU537" s="974"/>
      <c r="AV537" s="974"/>
      <c r="AW537" s="1181"/>
      <c r="AX537" s="978"/>
      <c r="AY537" s="898"/>
      <c r="AZ537" s="898"/>
      <c r="BA537" s="898"/>
      <c r="BB537" s="898"/>
      <c r="BC537" s="898"/>
      <c r="BD537" s="898"/>
      <c r="BE537" s="898"/>
      <c r="BF537" s="898"/>
      <c r="BG537" s="898"/>
      <c r="BH537" s="898"/>
      <c r="BI537" s="898"/>
      <c r="BJ537" s="898"/>
      <c r="BK537" s="898"/>
      <c r="BL537" s="898"/>
      <c r="BM537" s="898"/>
      <c r="BN537" s="898"/>
      <c r="BO537" s="898"/>
      <c r="BP537" s="898"/>
      <c r="BQ537" s="898"/>
      <c r="BR537" s="898"/>
      <c r="BS537" s="898"/>
      <c r="BT537" s="898"/>
      <c r="BU537" s="898"/>
      <c r="BV537" s="898"/>
      <c r="BW537" s="898"/>
      <c r="BX537" s="898"/>
      <c r="BY537" s="898"/>
      <c r="BZ537" s="898"/>
      <c r="CA537" s="898"/>
      <c r="CB537" s="898"/>
      <c r="CC537" s="898"/>
      <c r="CD537" s="898"/>
      <c r="CE537" s="898"/>
      <c r="CF537" s="898"/>
      <c r="CG537" s="898"/>
      <c r="CH537" s="898"/>
      <c r="CI537" s="898"/>
      <c r="CJ537" s="898"/>
      <c r="CK537" s="898"/>
      <c r="CL537" s="898"/>
      <c r="CM537" s="898"/>
      <c r="CN537" s="898"/>
      <c r="CO537" s="898"/>
      <c r="CP537" s="898"/>
      <c r="CQ537" s="898"/>
      <c r="CR537" s="898"/>
      <c r="CS537" s="898"/>
      <c r="CT537" s="898"/>
      <c r="CU537" s="898"/>
    </row>
    <row r="538" ht="16.5" customHeight="1">
      <c r="A538" s="718"/>
      <c r="B538" s="1195"/>
      <c r="C538" s="866"/>
      <c r="D538" s="968"/>
      <c r="E538" s="718"/>
      <c r="F538" s="718"/>
      <c r="G538" s="718"/>
      <c r="H538" s="718"/>
      <c r="I538" s="359"/>
      <c r="J538" s="359"/>
      <c r="K538" s="359"/>
      <c r="L538" s="359"/>
      <c r="M538" s="359"/>
      <c r="N538" s="359"/>
      <c r="O538" s="359"/>
      <c r="P538" s="359"/>
      <c r="Q538" s="359"/>
      <c r="R538" s="718"/>
      <c r="S538" s="669"/>
      <c r="T538" s="669"/>
      <c r="U538" s="967"/>
      <c r="V538" s="974"/>
      <c r="W538" s="1197"/>
      <c r="X538" s="974"/>
      <c r="Y538" s="974"/>
      <c r="Z538" s="974"/>
      <c r="AA538" s="974"/>
      <c r="AB538" s="974"/>
      <c r="AC538" s="974"/>
      <c r="AD538" s="974"/>
      <c r="AE538" s="974"/>
      <c r="AF538" s="974"/>
      <c r="AG538" s="974"/>
      <c r="AH538" s="974"/>
      <c r="AI538" s="1198"/>
      <c r="AJ538" s="974"/>
      <c r="AK538" s="1197"/>
      <c r="AL538" s="974"/>
      <c r="AM538" s="974"/>
      <c r="AN538" s="974"/>
      <c r="AO538" s="974"/>
      <c r="AP538" s="974"/>
      <c r="AQ538" s="974"/>
      <c r="AR538" s="974"/>
      <c r="AS538" s="974"/>
      <c r="AT538" s="974"/>
      <c r="AU538" s="974"/>
      <c r="AV538" s="974"/>
      <c r="AW538" s="1181"/>
      <c r="AX538" s="978"/>
      <c r="AY538" s="898"/>
      <c r="AZ538" s="898"/>
      <c r="BA538" s="898"/>
      <c r="BB538" s="898"/>
      <c r="BC538" s="898"/>
      <c r="BD538" s="898"/>
      <c r="BE538" s="898"/>
      <c r="BF538" s="898"/>
      <c r="BG538" s="898"/>
      <c r="BH538" s="898"/>
      <c r="BI538" s="898"/>
      <c r="BJ538" s="898"/>
      <c r="BK538" s="898"/>
      <c r="BL538" s="898"/>
      <c r="BM538" s="898"/>
      <c r="BN538" s="898"/>
      <c r="BO538" s="898"/>
      <c r="BP538" s="898"/>
      <c r="BQ538" s="898"/>
      <c r="BR538" s="898"/>
      <c r="BS538" s="898"/>
      <c r="BT538" s="898"/>
      <c r="BU538" s="898"/>
      <c r="BV538" s="898"/>
      <c r="BW538" s="898"/>
      <c r="BX538" s="898"/>
      <c r="BY538" s="898"/>
      <c r="BZ538" s="898"/>
      <c r="CA538" s="898"/>
      <c r="CB538" s="898"/>
      <c r="CC538" s="898"/>
      <c r="CD538" s="898"/>
      <c r="CE538" s="898"/>
      <c r="CF538" s="898"/>
      <c r="CG538" s="898"/>
      <c r="CH538" s="898"/>
      <c r="CI538" s="898"/>
      <c r="CJ538" s="898"/>
      <c r="CK538" s="898"/>
      <c r="CL538" s="898"/>
      <c r="CM538" s="898"/>
      <c r="CN538" s="898"/>
      <c r="CO538" s="898"/>
      <c r="CP538" s="898"/>
      <c r="CQ538" s="898"/>
      <c r="CR538" s="898"/>
      <c r="CS538" s="898"/>
      <c r="CT538" s="898"/>
      <c r="CU538" s="898"/>
    </row>
    <row r="539" ht="16.5" customHeight="1">
      <c r="A539" s="718"/>
      <c r="B539" s="1195"/>
      <c r="C539" s="866"/>
      <c r="D539" s="968"/>
      <c r="E539" s="718"/>
      <c r="F539" s="718"/>
      <c r="G539" s="718"/>
      <c r="H539" s="718"/>
      <c r="I539" s="359"/>
      <c r="J539" s="359"/>
      <c r="K539" s="359"/>
      <c r="L539" s="359"/>
      <c r="M539" s="359"/>
      <c r="N539" s="359"/>
      <c r="O539" s="359"/>
      <c r="P539" s="359"/>
      <c r="Q539" s="359"/>
      <c r="R539" s="718"/>
      <c r="S539" s="669"/>
      <c r="T539" s="669"/>
      <c r="U539" s="967"/>
      <c r="V539" s="974"/>
      <c r="W539" s="1197"/>
      <c r="X539" s="974"/>
      <c r="Y539" s="974"/>
      <c r="Z539" s="974"/>
      <c r="AA539" s="974"/>
      <c r="AB539" s="974"/>
      <c r="AC539" s="974"/>
      <c r="AD539" s="974"/>
      <c r="AE539" s="974"/>
      <c r="AF539" s="974"/>
      <c r="AG539" s="974"/>
      <c r="AH539" s="974"/>
      <c r="AI539" s="1198"/>
      <c r="AJ539" s="974"/>
      <c r="AK539" s="1197"/>
      <c r="AL539" s="974"/>
      <c r="AM539" s="974"/>
      <c r="AN539" s="974"/>
      <c r="AO539" s="974"/>
      <c r="AP539" s="974"/>
      <c r="AQ539" s="974"/>
      <c r="AR539" s="974"/>
      <c r="AS539" s="974"/>
      <c r="AT539" s="974"/>
      <c r="AU539" s="974"/>
      <c r="AV539" s="974"/>
      <c r="AW539" s="1181"/>
      <c r="AX539" s="978"/>
      <c r="AY539" s="898"/>
      <c r="AZ539" s="898"/>
      <c r="BA539" s="898"/>
      <c r="BB539" s="898"/>
      <c r="BC539" s="898"/>
      <c r="BD539" s="898"/>
      <c r="BE539" s="898"/>
      <c r="BF539" s="898"/>
      <c r="BG539" s="898"/>
      <c r="BH539" s="898"/>
      <c r="BI539" s="898"/>
      <c r="BJ539" s="898"/>
      <c r="BK539" s="898"/>
      <c r="BL539" s="898"/>
      <c r="BM539" s="898"/>
      <c r="BN539" s="898"/>
      <c r="BO539" s="898"/>
      <c r="BP539" s="898"/>
      <c r="BQ539" s="898"/>
      <c r="BR539" s="898"/>
      <c r="BS539" s="898"/>
      <c r="BT539" s="898"/>
      <c r="BU539" s="898"/>
      <c r="BV539" s="898"/>
      <c r="BW539" s="898"/>
      <c r="BX539" s="898"/>
      <c r="BY539" s="898"/>
      <c r="BZ539" s="898"/>
      <c r="CA539" s="898"/>
      <c r="CB539" s="898"/>
      <c r="CC539" s="898"/>
      <c r="CD539" s="898"/>
      <c r="CE539" s="898"/>
      <c r="CF539" s="898"/>
      <c r="CG539" s="898"/>
      <c r="CH539" s="898"/>
      <c r="CI539" s="898"/>
      <c r="CJ539" s="898"/>
      <c r="CK539" s="898"/>
      <c r="CL539" s="898"/>
      <c r="CM539" s="898"/>
      <c r="CN539" s="898"/>
      <c r="CO539" s="898"/>
      <c r="CP539" s="898"/>
      <c r="CQ539" s="898"/>
      <c r="CR539" s="898"/>
      <c r="CS539" s="898"/>
      <c r="CT539" s="898"/>
      <c r="CU539" s="898"/>
    </row>
    <row r="540" ht="16.5" customHeight="1">
      <c r="A540" s="718"/>
      <c r="B540" s="1195"/>
      <c r="C540" s="866"/>
      <c r="D540" s="968"/>
      <c r="E540" s="718"/>
      <c r="F540" s="718"/>
      <c r="G540" s="718"/>
      <c r="H540" s="718"/>
      <c r="I540" s="359"/>
      <c r="J540" s="359"/>
      <c r="K540" s="359"/>
      <c r="L540" s="359"/>
      <c r="M540" s="359"/>
      <c r="N540" s="359"/>
      <c r="O540" s="359"/>
      <c r="P540" s="359"/>
      <c r="Q540" s="359"/>
      <c r="R540" s="718"/>
      <c r="S540" s="669"/>
      <c r="T540" s="669"/>
      <c r="U540" s="967"/>
      <c r="V540" s="974"/>
      <c r="W540" s="1197"/>
      <c r="X540" s="974"/>
      <c r="Y540" s="974"/>
      <c r="Z540" s="974"/>
      <c r="AA540" s="974"/>
      <c r="AB540" s="974"/>
      <c r="AC540" s="974"/>
      <c r="AD540" s="974"/>
      <c r="AE540" s="974"/>
      <c r="AF540" s="974"/>
      <c r="AG540" s="974"/>
      <c r="AH540" s="974"/>
      <c r="AI540" s="1198"/>
      <c r="AJ540" s="974"/>
      <c r="AK540" s="1197"/>
      <c r="AL540" s="974"/>
      <c r="AM540" s="974"/>
      <c r="AN540" s="974"/>
      <c r="AO540" s="974"/>
      <c r="AP540" s="974"/>
      <c r="AQ540" s="974"/>
      <c r="AR540" s="974"/>
      <c r="AS540" s="974"/>
      <c r="AT540" s="974"/>
      <c r="AU540" s="974"/>
      <c r="AV540" s="974"/>
      <c r="AW540" s="1181"/>
      <c r="AX540" s="978"/>
      <c r="AY540" s="898"/>
      <c r="AZ540" s="898"/>
      <c r="BA540" s="898"/>
      <c r="BB540" s="898"/>
      <c r="BC540" s="898"/>
      <c r="BD540" s="898"/>
      <c r="BE540" s="898"/>
      <c r="BF540" s="898"/>
      <c r="BG540" s="898"/>
      <c r="BH540" s="898"/>
      <c r="BI540" s="898"/>
      <c r="BJ540" s="898"/>
      <c r="BK540" s="898"/>
      <c r="BL540" s="898"/>
      <c r="BM540" s="898"/>
      <c r="BN540" s="898"/>
      <c r="BO540" s="898"/>
      <c r="BP540" s="898"/>
      <c r="BQ540" s="898"/>
      <c r="BR540" s="898"/>
      <c r="BS540" s="898"/>
      <c r="BT540" s="898"/>
      <c r="BU540" s="898"/>
      <c r="BV540" s="898"/>
      <c r="BW540" s="898"/>
      <c r="BX540" s="898"/>
      <c r="BY540" s="898"/>
      <c r="BZ540" s="898"/>
      <c r="CA540" s="898"/>
      <c r="CB540" s="898"/>
      <c r="CC540" s="898"/>
      <c r="CD540" s="898"/>
      <c r="CE540" s="898"/>
      <c r="CF540" s="898"/>
      <c r="CG540" s="898"/>
      <c r="CH540" s="898"/>
      <c r="CI540" s="898"/>
      <c r="CJ540" s="898"/>
      <c r="CK540" s="898"/>
      <c r="CL540" s="898"/>
      <c r="CM540" s="898"/>
      <c r="CN540" s="898"/>
      <c r="CO540" s="898"/>
      <c r="CP540" s="898"/>
      <c r="CQ540" s="898"/>
      <c r="CR540" s="898"/>
      <c r="CS540" s="898"/>
      <c r="CT540" s="898"/>
      <c r="CU540" s="898"/>
    </row>
    <row r="541" ht="16.5" customHeight="1">
      <c r="A541" s="718"/>
      <c r="B541" s="1195"/>
      <c r="C541" s="866"/>
      <c r="D541" s="968"/>
      <c r="E541" s="718"/>
      <c r="F541" s="718"/>
      <c r="G541" s="718"/>
      <c r="H541" s="718"/>
      <c r="I541" s="359"/>
      <c r="J541" s="359"/>
      <c r="K541" s="359"/>
      <c r="L541" s="359"/>
      <c r="M541" s="359"/>
      <c r="N541" s="359"/>
      <c r="O541" s="359"/>
      <c r="P541" s="359"/>
      <c r="Q541" s="359"/>
      <c r="R541" s="718"/>
      <c r="S541" s="669"/>
      <c r="T541" s="669"/>
      <c r="U541" s="967"/>
      <c r="V541" s="974"/>
      <c r="W541" s="1197"/>
      <c r="X541" s="974"/>
      <c r="Y541" s="974"/>
      <c r="Z541" s="974"/>
      <c r="AA541" s="974"/>
      <c r="AB541" s="974"/>
      <c r="AC541" s="974"/>
      <c r="AD541" s="974"/>
      <c r="AE541" s="974"/>
      <c r="AF541" s="974"/>
      <c r="AG541" s="974"/>
      <c r="AH541" s="974"/>
      <c r="AI541" s="1198"/>
      <c r="AJ541" s="974"/>
      <c r="AK541" s="1197"/>
      <c r="AL541" s="974"/>
      <c r="AM541" s="974"/>
      <c r="AN541" s="974"/>
      <c r="AO541" s="974"/>
      <c r="AP541" s="974"/>
      <c r="AQ541" s="974"/>
      <c r="AR541" s="974"/>
      <c r="AS541" s="974"/>
      <c r="AT541" s="974"/>
      <c r="AU541" s="974"/>
      <c r="AV541" s="974"/>
      <c r="AW541" s="1181"/>
      <c r="AX541" s="978"/>
      <c r="AY541" s="898"/>
      <c r="AZ541" s="898"/>
      <c r="BA541" s="898"/>
      <c r="BB541" s="898"/>
      <c r="BC541" s="898"/>
      <c r="BD541" s="898"/>
      <c r="BE541" s="898"/>
      <c r="BF541" s="898"/>
      <c r="BG541" s="898"/>
      <c r="BH541" s="898"/>
      <c r="BI541" s="898"/>
      <c r="BJ541" s="898"/>
      <c r="BK541" s="898"/>
      <c r="BL541" s="898"/>
      <c r="BM541" s="898"/>
      <c r="BN541" s="898"/>
      <c r="BO541" s="898"/>
      <c r="BP541" s="898"/>
      <c r="BQ541" s="898"/>
      <c r="BR541" s="898"/>
      <c r="BS541" s="898"/>
      <c r="BT541" s="898"/>
      <c r="BU541" s="898"/>
      <c r="BV541" s="898"/>
      <c r="BW541" s="898"/>
      <c r="BX541" s="898"/>
      <c r="BY541" s="898"/>
      <c r="BZ541" s="898"/>
      <c r="CA541" s="898"/>
      <c r="CB541" s="898"/>
      <c r="CC541" s="898"/>
      <c r="CD541" s="898"/>
      <c r="CE541" s="898"/>
      <c r="CF541" s="898"/>
      <c r="CG541" s="898"/>
      <c r="CH541" s="898"/>
      <c r="CI541" s="898"/>
      <c r="CJ541" s="898"/>
      <c r="CK541" s="898"/>
      <c r="CL541" s="898"/>
      <c r="CM541" s="898"/>
      <c r="CN541" s="898"/>
      <c r="CO541" s="898"/>
      <c r="CP541" s="898"/>
      <c r="CQ541" s="898"/>
      <c r="CR541" s="898"/>
      <c r="CS541" s="898"/>
      <c r="CT541" s="898"/>
      <c r="CU541" s="898"/>
    </row>
    <row r="542" ht="16.5" customHeight="1">
      <c r="A542" s="718"/>
      <c r="B542" s="1195"/>
      <c r="C542" s="866"/>
      <c r="D542" s="968"/>
      <c r="E542" s="718"/>
      <c r="F542" s="718"/>
      <c r="G542" s="718"/>
      <c r="H542" s="718"/>
      <c r="I542" s="359"/>
      <c r="J542" s="359"/>
      <c r="K542" s="359"/>
      <c r="L542" s="359"/>
      <c r="M542" s="359"/>
      <c r="N542" s="359"/>
      <c r="O542" s="359"/>
      <c r="P542" s="359"/>
      <c r="Q542" s="359"/>
      <c r="R542" s="718"/>
      <c r="S542" s="669"/>
      <c r="T542" s="669"/>
      <c r="U542" s="967"/>
      <c r="V542" s="974"/>
      <c r="W542" s="1197"/>
      <c r="X542" s="974"/>
      <c r="Y542" s="974"/>
      <c r="Z542" s="974"/>
      <c r="AA542" s="974"/>
      <c r="AB542" s="974"/>
      <c r="AC542" s="974"/>
      <c r="AD542" s="974"/>
      <c r="AE542" s="974"/>
      <c r="AF542" s="974"/>
      <c r="AG542" s="974"/>
      <c r="AH542" s="974"/>
      <c r="AI542" s="1198"/>
      <c r="AJ542" s="974"/>
      <c r="AK542" s="1197"/>
      <c r="AL542" s="974"/>
      <c r="AM542" s="974"/>
      <c r="AN542" s="974"/>
      <c r="AO542" s="974"/>
      <c r="AP542" s="974"/>
      <c r="AQ542" s="974"/>
      <c r="AR542" s="974"/>
      <c r="AS542" s="974"/>
      <c r="AT542" s="974"/>
      <c r="AU542" s="974"/>
      <c r="AV542" s="974"/>
      <c r="AW542" s="1181"/>
      <c r="AX542" s="978"/>
      <c r="AY542" s="898"/>
      <c r="AZ542" s="898"/>
      <c r="BA542" s="898"/>
      <c r="BB542" s="898"/>
      <c r="BC542" s="898"/>
      <c r="BD542" s="898"/>
      <c r="BE542" s="898"/>
      <c r="BF542" s="898"/>
      <c r="BG542" s="898"/>
      <c r="BH542" s="898"/>
      <c r="BI542" s="898"/>
      <c r="BJ542" s="898"/>
      <c r="BK542" s="898"/>
      <c r="BL542" s="898"/>
      <c r="BM542" s="898"/>
      <c r="BN542" s="898"/>
      <c r="BO542" s="898"/>
      <c r="BP542" s="898"/>
      <c r="BQ542" s="898"/>
      <c r="BR542" s="898"/>
      <c r="BS542" s="898"/>
      <c r="BT542" s="898"/>
      <c r="BU542" s="898"/>
      <c r="BV542" s="898"/>
      <c r="BW542" s="898"/>
      <c r="BX542" s="898"/>
      <c r="BY542" s="898"/>
      <c r="BZ542" s="898"/>
      <c r="CA542" s="898"/>
      <c r="CB542" s="898"/>
      <c r="CC542" s="898"/>
      <c r="CD542" s="898"/>
      <c r="CE542" s="898"/>
      <c r="CF542" s="898"/>
      <c r="CG542" s="898"/>
      <c r="CH542" s="898"/>
      <c r="CI542" s="898"/>
      <c r="CJ542" s="898"/>
      <c r="CK542" s="898"/>
      <c r="CL542" s="898"/>
      <c r="CM542" s="898"/>
      <c r="CN542" s="898"/>
      <c r="CO542" s="898"/>
      <c r="CP542" s="898"/>
      <c r="CQ542" s="898"/>
      <c r="CR542" s="898"/>
      <c r="CS542" s="898"/>
      <c r="CT542" s="898"/>
      <c r="CU542" s="898"/>
    </row>
    <row r="543" ht="16.5" customHeight="1">
      <c r="A543" s="718"/>
      <c r="B543" s="1195"/>
      <c r="C543" s="866"/>
      <c r="D543" s="968"/>
      <c r="E543" s="718"/>
      <c r="F543" s="718"/>
      <c r="G543" s="718"/>
      <c r="H543" s="718"/>
      <c r="I543" s="359"/>
      <c r="J543" s="359"/>
      <c r="K543" s="359"/>
      <c r="L543" s="359"/>
      <c r="M543" s="359"/>
      <c r="N543" s="359"/>
      <c r="O543" s="359"/>
      <c r="P543" s="359"/>
      <c r="Q543" s="359"/>
      <c r="R543" s="718"/>
      <c r="S543" s="669"/>
      <c r="T543" s="669"/>
      <c r="U543" s="967"/>
      <c r="V543" s="974"/>
      <c r="W543" s="1197"/>
      <c r="X543" s="974"/>
      <c r="Y543" s="974"/>
      <c r="Z543" s="974"/>
      <c r="AA543" s="974"/>
      <c r="AB543" s="974"/>
      <c r="AC543" s="974"/>
      <c r="AD543" s="974"/>
      <c r="AE543" s="974"/>
      <c r="AF543" s="974"/>
      <c r="AG543" s="974"/>
      <c r="AH543" s="974"/>
      <c r="AI543" s="1198"/>
      <c r="AJ543" s="974"/>
      <c r="AK543" s="1197"/>
      <c r="AL543" s="974"/>
      <c r="AM543" s="974"/>
      <c r="AN543" s="974"/>
      <c r="AO543" s="974"/>
      <c r="AP543" s="974"/>
      <c r="AQ543" s="974"/>
      <c r="AR543" s="974"/>
      <c r="AS543" s="974"/>
      <c r="AT543" s="974"/>
      <c r="AU543" s="974"/>
      <c r="AV543" s="974"/>
      <c r="AW543" s="1181"/>
      <c r="AX543" s="978"/>
      <c r="AY543" s="898"/>
      <c r="AZ543" s="898"/>
      <c r="BA543" s="898"/>
      <c r="BB543" s="898"/>
      <c r="BC543" s="898"/>
      <c r="BD543" s="898"/>
      <c r="BE543" s="898"/>
      <c r="BF543" s="898"/>
      <c r="BG543" s="898"/>
      <c r="BH543" s="898"/>
      <c r="BI543" s="898"/>
      <c r="BJ543" s="898"/>
      <c r="BK543" s="898"/>
      <c r="BL543" s="898"/>
      <c r="BM543" s="898"/>
      <c r="BN543" s="898"/>
      <c r="BO543" s="898"/>
      <c r="BP543" s="898"/>
      <c r="BQ543" s="898"/>
      <c r="BR543" s="898"/>
      <c r="BS543" s="898"/>
      <c r="BT543" s="898"/>
      <c r="BU543" s="898"/>
      <c r="BV543" s="898"/>
      <c r="BW543" s="898"/>
      <c r="BX543" s="898"/>
      <c r="BY543" s="898"/>
      <c r="BZ543" s="898"/>
      <c r="CA543" s="898"/>
      <c r="CB543" s="898"/>
      <c r="CC543" s="898"/>
      <c r="CD543" s="898"/>
      <c r="CE543" s="898"/>
      <c r="CF543" s="898"/>
      <c r="CG543" s="898"/>
      <c r="CH543" s="898"/>
      <c r="CI543" s="898"/>
      <c r="CJ543" s="898"/>
      <c r="CK543" s="898"/>
      <c r="CL543" s="898"/>
      <c r="CM543" s="898"/>
      <c r="CN543" s="898"/>
      <c r="CO543" s="898"/>
      <c r="CP543" s="898"/>
      <c r="CQ543" s="898"/>
      <c r="CR543" s="898"/>
      <c r="CS543" s="898"/>
      <c r="CT543" s="898"/>
      <c r="CU543" s="898"/>
    </row>
    <row r="544" ht="16.5" customHeight="1">
      <c r="A544" s="718"/>
      <c r="B544" s="1195"/>
      <c r="C544" s="866"/>
      <c r="D544" s="968"/>
      <c r="E544" s="718"/>
      <c r="F544" s="718"/>
      <c r="G544" s="718"/>
      <c r="H544" s="718"/>
      <c r="I544" s="359"/>
      <c r="J544" s="359"/>
      <c r="K544" s="359"/>
      <c r="L544" s="359"/>
      <c r="M544" s="359"/>
      <c r="N544" s="359"/>
      <c r="O544" s="359"/>
      <c r="P544" s="359"/>
      <c r="Q544" s="359"/>
      <c r="R544" s="718"/>
      <c r="S544" s="669"/>
      <c r="T544" s="669"/>
      <c r="U544" s="967"/>
      <c r="V544" s="974"/>
      <c r="W544" s="1197"/>
      <c r="X544" s="974"/>
      <c r="Y544" s="974"/>
      <c r="Z544" s="974"/>
      <c r="AA544" s="974"/>
      <c r="AB544" s="974"/>
      <c r="AC544" s="974"/>
      <c r="AD544" s="974"/>
      <c r="AE544" s="974"/>
      <c r="AF544" s="974"/>
      <c r="AG544" s="974"/>
      <c r="AH544" s="974"/>
      <c r="AI544" s="1198"/>
      <c r="AJ544" s="974"/>
      <c r="AK544" s="1197"/>
      <c r="AL544" s="974"/>
      <c r="AM544" s="974"/>
      <c r="AN544" s="974"/>
      <c r="AO544" s="974"/>
      <c r="AP544" s="974"/>
      <c r="AQ544" s="974"/>
      <c r="AR544" s="974"/>
      <c r="AS544" s="974"/>
      <c r="AT544" s="974"/>
      <c r="AU544" s="974"/>
      <c r="AV544" s="974"/>
      <c r="AW544" s="1181"/>
      <c r="AX544" s="978"/>
      <c r="AY544" s="898"/>
      <c r="AZ544" s="898"/>
      <c r="BA544" s="898"/>
      <c r="BB544" s="898"/>
      <c r="BC544" s="898"/>
      <c r="BD544" s="898"/>
      <c r="BE544" s="898"/>
      <c r="BF544" s="898"/>
      <c r="BG544" s="898"/>
      <c r="BH544" s="898"/>
      <c r="BI544" s="898"/>
      <c r="BJ544" s="898"/>
      <c r="BK544" s="898"/>
      <c r="BL544" s="898"/>
      <c r="BM544" s="898"/>
      <c r="BN544" s="898"/>
      <c r="BO544" s="898"/>
      <c r="BP544" s="898"/>
      <c r="BQ544" s="898"/>
      <c r="BR544" s="898"/>
      <c r="BS544" s="898"/>
      <c r="BT544" s="898"/>
      <c r="BU544" s="898"/>
      <c r="BV544" s="898"/>
      <c r="BW544" s="898"/>
      <c r="BX544" s="898"/>
      <c r="BY544" s="898"/>
      <c r="BZ544" s="898"/>
      <c r="CA544" s="898"/>
      <c r="CB544" s="898"/>
      <c r="CC544" s="898"/>
      <c r="CD544" s="898"/>
      <c r="CE544" s="898"/>
      <c r="CF544" s="898"/>
      <c r="CG544" s="898"/>
      <c r="CH544" s="898"/>
      <c r="CI544" s="898"/>
      <c r="CJ544" s="898"/>
      <c r="CK544" s="898"/>
      <c r="CL544" s="898"/>
      <c r="CM544" s="898"/>
      <c r="CN544" s="898"/>
      <c r="CO544" s="898"/>
      <c r="CP544" s="898"/>
      <c r="CQ544" s="898"/>
      <c r="CR544" s="898"/>
      <c r="CS544" s="898"/>
      <c r="CT544" s="898"/>
      <c r="CU544" s="898"/>
    </row>
    <row r="545" ht="16.5" customHeight="1">
      <c r="A545" s="718"/>
      <c r="B545" s="1195"/>
      <c r="C545" s="866"/>
      <c r="D545" s="968"/>
      <c r="E545" s="718"/>
      <c r="F545" s="718"/>
      <c r="G545" s="718"/>
      <c r="H545" s="718"/>
      <c r="I545" s="359"/>
      <c r="J545" s="359"/>
      <c r="K545" s="359"/>
      <c r="L545" s="359"/>
      <c r="M545" s="359"/>
      <c r="N545" s="359"/>
      <c r="O545" s="359"/>
      <c r="P545" s="359"/>
      <c r="Q545" s="359"/>
      <c r="R545" s="718"/>
      <c r="S545" s="669"/>
      <c r="T545" s="669"/>
      <c r="U545" s="967"/>
      <c r="V545" s="974"/>
      <c r="W545" s="1197"/>
      <c r="X545" s="974"/>
      <c r="Y545" s="974"/>
      <c r="Z545" s="974"/>
      <c r="AA545" s="974"/>
      <c r="AB545" s="974"/>
      <c r="AC545" s="974"/>
      <c r="AD545" s="974"/>
      <c r="AE545" s="974"/>
      <c r="AF545" s="974"/>
      <c r="AG545" s="974"/>
      <c r="AH545" s="974"/>
      <c r="AI545" s="1198"/>
      <c r="AJ545" s="974"/>
      <c r="AK545" s="1197"/>
      <c r="AL545" s="974"/>
      <c r="AM545" s="974"/>
      <c r="AN545" s="974"/>
      <c r="AO545" s="974"/>
      <c r="AP545" s="974"/>
      <c r="AQ545" s="974"/>
      <c r="AR545" s="974"/>
      <c r="AS545" s="974"/>
      <c r="AT545" s="974"/>
      <c r="AU545" s="974"/>
      <c r="AV545" s="974"/>
      <c r="AW545" s="1181"/>
      <c r="AX545" s="978"/>
      <c r="AY545" s="898"/>
      <c r="AZ545" s="898"/>
      <c r="BA545" s="898"/>
      <c r="BB545" s="898"/>
      <c r="BC545" s="898"/>
      <c r="BD545" s="898"/>
      <c r="BE545" s="898"/>
      <c r="BF545" s="898"/>
      <c r="BG545" s="898"/>
      <c r="BH545" s="898"/>
      <c r="BI545" s="898"/>
      <c r="BJ545" s="898"/>
      <c r="BK545" s="898"/>
      <c r="BL545" s="898"/>
      <c r="BM545" s="898"/>
      <c r="BN545" s="898"/>
      <c r="BO545" s="898"/>
      <c r="BP545" s="898"/>
      <c r="BQ545" s="898"/>
      <c r="BR545" s="898"/>
      <c r="BS545" s="898"/>
      <c r="BT545" s="898"/>
      <c r="BU545" s="898"/>
      <c r="BV545" s="898"/>
      <c r="BW545" s="898"/>
      <c r="BX545" s="898"/>
      <c r="BY545" s="898"/>
      <c r="BZ545" s="898"/>
      <c r="CA545" s="898"/>
      <c r="CB545" s="898"/>
      <c r="CC545" s="898"/>
      <c r="CD545" s="898"/>
      <c r="CE545" s="898"/>
      <c r="CF545" s="898"/>
      <c r="CG545" s="898"/>
      <c r="CH545" s="898"/>
      <c r="CI545" s="898"/>
      <c r="CJ545" s="898"/>
      <c r="CK545" s="898"/>
      <c r="CL545" s="898"/>
      <c r="CM545" s="898"/>
      <c r="CN545" s="898"/>
      <c r="CO545" s="898"/>
      <c r="CP545" s="898"/>
      <c r="CQ545" s="898"/>
      <c r="CR545" s="898"/>
      <c r="CS545" s="898"/>
      <c r="CT545" s="898"/>
      <c r="CU545" s="898"/>
    </row>
    <row r="546" ht="16.5" customHeight="1">
      <c r="A546" s="718"/>
      <c r="B546" s="1195"/>
      <c r="C546" s="866"/>
      <c r="D546" s="968"/>
      <c r="E546" s="718"/>
      <c r="F546" s="718"/>
      <c r="G546" s="718"/>
      <c r="H546" s="718"/>
      <c r="I546" s="359"/>
      <c r="J546" s="359"/>
      <c r="K546" s="359"/>
      <c r="L546" s="359"/>
      <c r="M546" s="359"/>
      <c r="N546" s="359"/>
      <c r="O546" s="359"/>
      <c r="P546" s="359"/>
      <c r="Q546" s="359"/>
      <c r="R546" s="718"/>
      <c r="S546" s="669"/>
      <c r="T546" s="669"/>
      <c r="U546" s="967"/>
      <c r="V546" s="974"/>
      <c r="W546" s="1197"/>
      <c r="X546" s="974"/>
      <c r="Y546" s="974"/>
      <c r="Z546" s="974"/>
      <c r="AA546" s="974"/>
      <c r="AB546" s="974"/>
      <c r="AC546" s="974"/>
      <c r="AD546" s="974"/>
      <c r="AE546" s="974"/>
      <c r="AF546" s="974"/>
      <c r="AG546" s="974"/>
      <c r="AH546" s="974"/>
      <c r="AI546" s="1198"/>
      <c r="AJ546" s="974"/>
      <c r="AK546" s="1197"/>
      <c r="AL546" s="974"/>
      <c r="AM546" s="974"/>
      <c r="AN546" s="974"/>
      <c r="AO546" s="974"/>
      <c r="AP546" s="974"/>
      <c r="AQ546" s="974"/>
      <c r="AR546" s="974"/>
      <c r="AS546" s="974"/>
      <c r="AT546" s="974"/>
      <c r="AU546" s="974"/>
      <c r="AV546" s="974"/>
      <c r="AW546" s="1181"/>
      <c r="AX546" s="978"/>
      <c r="AY546" s="898"/>
      <c r="AZ546" s="898"/>
      <c r="BA546" s="898"/>
      <c r="BB546" s="898"/>
      <c r="BC546" s="898"/>
      <c r="BD546" s="898"/>
      <c r="BE546" s="898"/>
      <c r="BF546" s="898"/>
      <c r="BG546" s="898"/>
      <c r="BH546" s="898"/>
      <c r="BI546" s="898"/>
      <c r="BJ546" s="898"/>
      <c r="BK546" s="898"/>
      <c r="BL546" s="898"/>
      <c r="BM546" s="898"/>
      <c r="BN546" s="898"/>
      <c r="BO546" s="898"/>
      <c r="BP546" s="898"/>
      <c r="BQ546" s="898"/>
      <c r="BR546" s="898"/>
      <c r="BS546" s="898"/>
      <c r="BT546" s="898"/>
      <c r="BU546" s="898"/>
      <c r="BV546" s="898"/>
      <c r="BW546" s="898"/>
      <c r="BX546" s="898"/>
      <c r="BY546" s="898"/>
      <c r="BZ546" s="898"/>
      <c r="CA546" s="898"/>
      <c r="CB546" s="898"/>
      <c r="CC546" s="898"/>
      <c r="CD546" s="898"/>
      <c r="CE546" s="898"/>
      <c r="CF546" s="898"/>
      <c r="CG546" s="898"/>
      <c r="CH546" s="898"/>
      <c r="CI546" s="898"/>
      <c r="CJ546" s="898"/>
      <c r="CK546" s="898"/>
      <c r="CL546" s="898"/>
      <c r="CM546" s="898"/>
      <c r="CN546" s="898"/>
      <c r="CO546" s="898"/>
      <c r="CP546" s="898"/>
      <c r="CQ546" s="898"/>
      <c r="CR546" s="898"/>
      <c r="CS546" s="898"/>
      <c r="CT546" s="898"/>
      <c r="CU546" s="898"/>
    </row>
    <row r="547" ht="16.5" customHeight="1">
      <c r="A547" s="718"/>
      <c r="B547" s="1195"/>
      <c r="C547" s="866"/>
      <c r="D547" s="968"/>
      <c r="E547" s="718"/>
      <c r="F547" s="718"/>
      <c r="G547" s="718"/>
      <c r="H547" s="718"/>
      <c r="I547" s="359"/>
      <c r="J547" s="359"/>
      <c r="K547" s="359"/>
      <c r="L547" s="359"/>
      <c r="M547" s="359"/>
      <c r="N547" s="359"/>
      <c r="O547" s="359"/>
      <c r="P547" s="359"/>
      <c r="Q547" s="359"/>
      <c r="R547" s="718"/>
      <c r="S547" s="669"/>
      <c r="T547" s="669"/>
      <c r="U547" s="967"/>
      <c r="V547" s="974"/>
      <c r="W547" s="1197"/>
      <c r="X547" s="974"/>
      <c r="Y547" s="974"/>
      <c r="Z547" s="974"/>
      <c r="AA547" s="974"/>
      <c r="AB547" s="974"/>
      <c r="AC547" s="974"/>
      <c r="AD547" s="974"/>
      <c r="AE547" s="974"/>
      <c r="AF547" s="974"/>
      <c r="AG547" s="974"/>
      <c r="AH547" s="974"/>
      <c r="AI547" s="1198"/>
      <c r="AJ547" s="974"/>
      <c r="AK547" s="1197"/>
      <c r="AL547" s="974"/>
      <c r="AM547" s="974"/>
      <c r="AN547" s="974"/>
      <c r="AO547" s="974"/>
      <c r="AP547" s="974"/>
      <c r="AQ547" s="974"/>
      <c r="AR547" s="974"/>
      <c r="AS547" s="974"/>
      <c r="AT547" s="974"/>
      <c r="AU547" s="974"/>
      <c r="AV547" s="974"/>
      <c r="AW547" s="1181"/>
      <c r="AX547" s="978"/>
      <c r="AY547" s="898"/>
      <c r="AZ547" s="898"/>
      <c r="BA547" s="898"/>
      <c r="BB547" s="898"/>
      <c r="BC547" s="898"/>
      <c r="BD547" s="898"/>
      <c r="BE547" s="898"/>
      <c r="BF547" s="898"/>
      <c r="BG547" s="898"/>
      <c r="BH547" s="898"/>
      <c r="BI547" s="898"/>
      <c r="BJ547" s="898"/>
      <c r="BK547" s="898"/>
      <c r="BL547" s="898"/>
      <c r="BM547" s="898"/>
      <c r="BN547" s="898"/>
      <c r="BO547" s="898"/>
      <c r="BP547" s="898"/>
      <c r="BQ547" s="898"/>
      <c r="BR547" s="898"/>
      <c r="BS547" s="898"/>
      <c r="BT547" s="898"/>
      <c r="BU547" s="898"/>
      <c r="BV547" s="898"/>
      <c r="BW547" s="898"/>
      <c r="BX547" s="898"/>
      <c r="BY547" s="898"/>
      <c r="BZ547" s="898"/>
      <c r="CA547" s="898"/>
      <c r="CB547" s="898"/>
      <c r="CC547" s="898"/>
      <c r="CD547" s="898"/>
      <c r="CE547" s="898"/>
      <c r="CF547" s="898"/>
      <c r="CG547" s="898"/>
      <c r="CH547" s="898"/>
      <c r="CI547" s="898"/>
      <c r="CJ547" s="898"/>
      <c r="CK547" s="898"/>
      <c r="CL547" s="898"/>
      <c r="CM547" s="898"/>
      <c r="CN547" s="898"/>
      <c r="CO547" s="898"/>
      <c r="CP547" s="898"/>
      <c r="CQ547" s="898"/>
      <c r="CR547" s="898"/>
      <c r="CS547" s="898"/>
      <c r="CT547" s="898"/>
      <c r="CU547" s="898"/>
    </row>
    <row r="548" ht="16.5" customHeight="1">
      <c r="A548" s="718"/>
      <c r="B548" s="1195"/>
      <c r="C548" s="866"/>
      <c r="D548" s="968"/>
      <c r="E548" s="718"/>
      <c r="F548" s="718"/>
      <c r="G548" s="718"/>
      <c r="H548" s="718"/>
      <c r="I548" s="359"/>
      <c r="J548" s="359"/>
      <c r="K548" s="359"/>
      <c r="L548" s="359"/>
      <c r="M548" s="359"/>
      <c r="N548" s="359"/>
      <c r="O548" s="359"/>
      <c r="P548" s="359"/>
      <c r="Q548" s="359"/>
      <c r="R548" s="718"/>
      <c r="S548" s="669"/>
      <c r="T548" s="669"/>
      <c r="U548" s="967"/>
      <c r="V548" s="974"/>
      <c r="W548" s="1197"/>
      <c r="X548" s="974"/>
      <c r="Y548" s="974"/>
      <c r="Z548" s="974"/>
      <c r="AA548" s="974"/>
      <c r="AB548" s="974"/>
      <c r="AC548" s="974"/>
      <c r="AD548" s="974"/>
      <c r="AE548" s="974"/>
      <c r="AF548" s="974"/>
      <c r="AG548" s="974"/>
      <c r="AH548" s="974"/>
      <c r="AI548" s="1198"/>
      <c r="AJ548" s="974"/>
      <c r="AK548" s="1197"/>
      <c r="AL548" s="974"/>
      <c r="AM548" s="974"/>
      <c r="AN548" s="974"/>
      <c r="AO548" s="974"/>
      <c r="AP548" s="974"/>
      <c r="AQ548" s="974"/>
      <c r="AR548" s="974"/>
      <c r="AS548" s="974"/>
      <c r="AT548" s="974"/>
      <c r="AU548" s="974"/>
      <c r="AV548" s="974"/>
      <c r="AW548" s="1181"/>
      <c r="AX548" s="978"/>
      <c r="AY548" s="898"/>
      <c r="AZ548" s="898"/>
      <c r="BA548" s="898"/>
      <c r="BB548" s="898"/>
      <c r="BC548" s="898"/>
      <c r="BD548" s="898"/>
      <c r="BE548" s="898"/>
      <c r="BF548" s="898"/>
      <c r="BG548" s="898"/>
      <c r="BH548" s="898"/>
      <c r="BI548" s="898"/>
      <c r="BJ548" s="898"/>
      <c r="BK548" s="898"/>
      <c r="BL548" s="898"/>
      <c r="BM548" s="898"/>
      <c r="BN548" s="898"/>
      <c r="BO548" s="898"/>
      <c r="BP548" s="898"/>
      <c r="BQ548" s="898"/>
      <c r="BR548" s="898"/>
      <c r="BS548" s="898"/>
      <c r="BT548" s="898"/>
      <c r="BU548" s="898"/>
      <c r="BV548" s="898"/>
      <c r="BW548" s="898"/>
      <c r="BX548" s="898"/>
      <c r="BY548" s="898"/>
      <c r="BZ548" s="898"/>
      <c r="CA548" s="898"/>
      <c r="CB548" s="898"/>
      <c r="CC548" s="898"/>
      <c r="CD548" s="898"/>
      <c r="CE548" s="898"/>
      <c r="CF548" s="898"/>
      <c r="CG548" s="898"/>
      <c r="CH548" s="898"/>
      <c r="CI548" s="898"/>
      <c r="CJ548" s="898"/>
      <c r="CK548" s="898"/>
      <c r="CL548" s="898"/>
      <c r="CM548" s="898"/>
      <c r="CN548" s="898"/>
      <c r="CO548" s="898"/>
      <c r="CP548" s="898"/>
      <c r="CQ548" s="898"/>
      <c r="CR548" s="898"/>
      <c r="CS548" s="898"/>
      <c r="CT548" s="898"/>
      <c r="CU548" s="898"/>
    </row>
    <row r="549" ht="16.5" customHeight="1">
      <c r="A549" s="718"/>
      <c r="B549" s="1195"/>
      <c r="C549" s="866"/>
      <c r="D549" s="968"/>
      <c r="E549" s="718"/>
      <c r="F549" s="718"/>
      <c r="G549" s="718"/>
      <c r="H549" s="718"/>
      <c r="I549" s="359"/>
      <c r="J549" s="359"/>
      <c r="K549" s="359"/>
      <c r="L549" s="359"/>
      <c r="M549" s="359"/>
      <c r="N549" s="359"/>
      <c r="O549" s="359"/>
      <c r="P549" s="359"/>
      <c r="Q549" s="359"/>
      <c r="R549" s="718"/>
      <c r="S549" s="669"/>
      <c r="T549" s="669"/>
      <c r="U549" s="967"/>
      <c r="V549" s="974"/>
      <c r="W549" s="1197"/>
      <c r="X549" s="974"/>
      <c r="Y549" s="974"/>
      <c r="Z549" s="974"/>
      <c r="AA549" s="974"/>
      <c r="AB549" s="974"/>
      <c r="AC549" s="974"/>
      <c r="AD549" s="974"/>
      <c r="AE549" s="974"/>
      <c r="AF549" s="974"/>
      <c r="AG549" s="974"/>
      <c r="AH549" s="974"/>
      <c r="AI549" s="1198"/>
      <c r="AJ549" s="974"/>
      <c r="AK549" s="1197"/>
      <c r="AL549" s="974"/>
      <c r="AM549" s="974"/>
      <c r="AN549" s="974"/>
      <c r="AO549" s="974"/>
      <c r="AP549" s="974"/>
      <c r="AQ549" s="974"/>
      <c r="AR549" s="974"/>
      <c r="AS549" s="974"/>
      <c r="AT549" s="974"/>
      <c r="AU549" s="974"/>
      <c r="AV549" s="974"/>
      <c r="AW549" s="1181"/>
      <c r="AX549" s="978"/>
      <c r="AY549" s="898"/>
      <c r="AZ549" s="898"/>
      <c r="BA549" s="898"/>
      <c r="BB549" s="898"/>
      <c r="BC549" s="898"/>
      <c r="BD549" s="898"/>
      <c r="BE549" s="898"/>
      <c r="BF549" s="898"/>
      <c r="BG549" s="898"/>
      <c r="BH549" s="898"/>
      <c r="BI549" s="898"/>
      <c r="BJ549" s="898"/>
      <c r="BK549" s="898"/>
      <c r="BL549" s="898"/>
      <c r="BM549" s="898"/>
      <c r="BN549" s="898"/>
      <c r="BO549" s="898"/>
      <c r="BP549" s="898"/>
      <c r="BQ549" s="898"/>
      <c r="BR549" s="898"/>
      <c r="BS549" s="898"/>
      <c r="BT549" s="898"/>
      <c r="BU549" s="898"/>
      <c r="BV549" s="898"/>
      <c r="BW549" s="898"/>
      <c r="BX549" s="898"/>
      <c r="BY549" s="898"/>
      <c r="BZ549" s="898"/>
      <c r="CA549" s="898"/>
      <c r="CB549" s="898"/>
      <c r="CC549" s="898"/>
      <c r="CD549" s="898"/>
      <c r="CE549" s="898"/>
      <c r="CF549" s="898"/>
      <c r="CG549" s="898"/>
      <c r="CH549" s="898"/>
      <c r="CI549" s="898"/>
      <c r="CJ549" s="898"/>
      <c r="CK549" s="898"/>
      <c r="CL549" s="898"/>
      <c r="CM549" s="898"/>
      <c r="CN549" s="898"/>
      <c r="CO549" s="898"/>
      <c r="CP549" s="898"/>
      <c r="CQ549" s="898"/>
      <c r="CR549" s="898"/>
      <c r="CS549" s="898"/>
      <c r="CT549" s="898"/>
      <c r="CU549" s="898"/>
    </row>
    <row r="550" ht="16.5" customHeight="1">
      <c r="A550" s="718"/>
      <c r="B550" s="1195"/>
      <c r="C550" s="866"/>
      <c r="D550" s="968"/>
      <c r="E550" s="718"/>
      <c r="F550" s="718"/>
      <c r="G550" s="718"/>
      <c r="H550" s="718"/>
      <c r="I550" s="359"/>
      <c r="J550" s="359"/>
      <c r="K550" s="359"/>
      <c r="L550" s="359"/>
      <c r="M550" s="359"/>
      <c r="N550" s="359"/>
      <c r="O550" s="359"/>
      <c r="P550" s="359"/>
      <c r="Q550" s="359"/>
      <c r="R550" s="718"/>
      <c r="S550" s="669"/>
      <c r="T550" s="669"/>
      <c r="U550" s="967"/>
      <c r="V550" s="974"/>
      <c r="W550" s="1197"/>
      <c r="X550" s="974"/>
      <c r="Y550" s="974"/>
      <c r="Z550" s="974"/>
      <c r="AA550" s="974"/>
      <c r="AB550" s="974"/>
      <c r="AC550" s="974"/>
      <c r="AD550" s="974"/>
      <c r="AE550" s="974"/>
      <c r="AF550" s="974"/>
      <c r="AG550" s="974"/>
      <c r="AH550" s="974"/>
      <c r="AI550" s="1198"/>
      <c r="AJ550" s="974"/>
      <c r="AK550" s="1197"/>
      <c r="AL550" s="974"/>
      <c r="AM550" s="974"/>
      <c r="AN550" s="974"/>
      <c r="AO550" s="974"/>
      <c r="AP550" s="974"/>
      <c r="AQ550" s="974"/>
      <c r="AR550" s="974"/>
      <c r="AS550" s="974"/>
      <c r="AT550" s="974"/>
      <c r="AU550" s="974"/>
      <c r="AV550" s="974"/>
      <c r="AW550" s="1181"/>
      <c r="AX550" s="978"/>
      <c r="AY550" s="898"/>
      <c r="AZ550" s="898"/>
      <c r="BA550" s="898"/>
      <c r="BB550" s="898"/>
      <c r="BC550" s="898"/>
      <c r="BD550" s="898"/>
      <c r="BE550" s="898"/>
      <c r="BF550" s="898"/>
      <c r="BG550" s="898"/>
      <c r="BH550" s="898"/>
      <c r="BI550" s="898"/>
      <c r="BJ550" s="898"/>
      <c r="BK550" s="898"/>
      <c r="BL550" s="898"/>
      <c r="BM550" s="898"/>
      <c r="BN550" s="898"/>
      <c r="BO550" s="898"/>
      <c r="BP550" s="898"/>
      <c r="BQ550" s="898"/>
      <c r="BR550" s="898"/>
      <c r="BS550" s="898"/>
      <c r="BT550" s="898"/>
      <c r="BU550" s="898"/>
      <c r="BV550" s="898"/>
      <c r="BW550" s="898"/>
      <c r="BX550" s="898"/>
      <c r="BY550" s="898"/>
      <c r="BZ550" s="898"/>
      <c r="CA550" s="898"/>
      <c r="CB550" s="898"/>
      <c r="CC550" s="898"/>
      <c r="CD550" s="898"/>
      <c r="CE550" s="898"/>
      <c r="CF550" s="898"/>
      <c r="CG550" s="898"/>
      <c r="CH550" s="898"/>
      <c r="CI550" s="898"/>
      <c r="CJ550" s="898"/>
      <c r="CK550" s="898"/>
      <c r="CL550" s="898"/>
      <c r="CM550" s="898"/>
      <c r="CN550" s="898"/>
      <c r="CO550" s="898"/>
      <c r="CP550" s="898"/>
      <c r="CQ550" s="898"/>
      <c r="CR550" s="898"/>
      <c r="CS550" s="898"/>
      <c r="CT550" s="898"/>
      <c r="CU550" s="898"/>
    </row>
    <row r="551" ht="16.5" customHeight="1">
      <c r="A551" s="718"/>
      <c r="B551" s="1195"/>
      <c r="C551" s="866"/>
      <c r="D551" s="968"/>
      <c r="E551" s="718"/>
      <c r="F551" s="718"/>
      <c r="G551" s="718"/>
      <c r="H551" s="718"/>
      <c r="I551" s="359"/>
      <c r="J551" s="359"/>
      <c r="K551" s="359"/>
      <c r="L551" s="359"/>
      <c r="M551" s="359"/>
      <c r="N551" s="359"/>
      <c r="O551" s="359"/>
      <c r="P551" s="359"/>
      <c r="Q551" s="359"/>
      <c r="R551" s="718"/>
      <c r="S551" s="669"/>
      <c r="T551" s="669"/>
      <c r="U551" s="967"/>
      <c r="V551" s="974"/>
      <c r="W551" s="1197"/>
      <c r="X551" s="974"/>
      <c r="Y551" s="974"/>
      <c r="Z551" s="974"/>
      <c r="AA551" s="974"/>
      <c r="AB551" s="974"/>
      <c r="AC551" s="974"/>
      <c r="AD551" s="974"/>
      <c r="AE551" s="974"/>
      <c r="AF551" s="974"/>
      <c r="AG551" s="974"/>
      <c r="AH551" s="974"/>
      <c r="AI551" s="1198"/>
      <c r="AJ551" s="974"/>
      <c r="AK551" s="1197"/>
      <c r="AL551" s="974"/>
      <c r="AM551" s="974"/>
      <c r="AN551" s="974"/>
      <c r="AO551" s="974"/>
      <c r="AP551" s="974"/>
      <c r="AQ551" s="974"/>
      <c r="AR551" s="974"/>
      <c r="AS551" s="974"/>
      <c r="AT551" s="974"/>
      <c r="AU551" s="974"/>
      <c r="AV551" s="974"/>
      <c r="AW551" s="1181"/>
      <c r="AX551" s="978"/>
      <c r="AY551" s="898"/>
      <c r="AZ551" s="898"/>
      <c r="BA551" s="898"/>
      <c r="BB551" s="898"/>
      <c r="BC551" s="898"/>
      <c r="BD551" s="898"/>
      <c r="BE551" s="898"/>
      <c r="BF551" s="898"/>
      <c r="BG551" s="898"/>
      <c r="BH551" s="898"/>
      <c r="BI551" s="898"/>
      <c r="BJ551" s="898"/>
      <c r="BK551" s="898"/>
      <c r="BL551" s="898"/>
      <c r="BM551" s="898"/>
      <c r="BN551" s="898"/>
      <c r="BO551" s="898"/>
      <c r="BP551" s="898"/>
      <c r="BQ551" s="898"/>
      <c r="BR551" s="898"/>
      <c r="BS551" s="898"/>
      <c r="BT551" s="898"/>
      <c r="BU551" s="898"/>
      <c r="BV551" s="898"/>
      <c r="BW551" s="898"/>
      <c r="BX551" s="898"/>
      <c r="BY551" s="898"/>
      <c r="BZ551" s="898"/>
      <c r="CA551" s="898"/>
      <c r="CB551" s="898"/>
      <c r="CC551" s="898"/>
      <c r="CD551" s="898"/>
      <c r="CE551" s="898"/>
      <c r="CF551" s="898"/>
      <c r="CG551" s="898"/>
      <c r="CH551" s="898"/>
      <c r="CI551" s="898"/>
      <c r="CJ551" s="898"/>
      <c r="CK551" s="898"/>
      <c r="CL551" s="898"/>
      <c r="CM551" s="898"/>
      <c r="CN551" s="898"/>
      <c r="CO551" s="898"/>
      <c r="CP551" s="898"/>
      <c r="CQ551" s="898"/>
      <c r="CR551" s="898"/>
      <c r="CS551" s="898"/>
      <c r="CT551" s="898"/>
      <c r="CU551" s="898"/>
    </row>
    <row r="552" ht="16.5" customHeight="1">
      <c r="A552" s="718"/>
      <c r="B552" s="1195"/>
      <c r="C552" s="866"/>
      <c r="D552" s="968"/>
      <c r="E552" s="718"/>
      <c r="F552" s="718"/>
      <c r="G552" s="718"/>
      <c r="H552" s="718"/>
      <c r="I552" s="359"/>
      <c r="J552" s="359"/>
      <c r="K552" s="359"/>
      <c r="L552" s="359"/>
      <c r="M552" s="359"/>
      <c r="N552" s="359"/>
      <c r="O552" s="359"/>
      <c r="P552" s="359"/>
      <c r="Q552" s="359"/>
      <c r="R552" s="718"/>
      <c r="S552" s="669"/>
      <c r="T552" s="669"/>
      <c r="U552" s="967"/>
      <c r="V552" s="974"/>
      <c r="W552" s="1197"/>
      <c r="X552" s="974"/>
      <c r="Y552" s="974"/>
      <c r="Z552" s="974"/>
      <c r="AA552" s="974"/>
      <c r="AB552" s="974"/>
      <c r="AC552" s="974"/>
      <c r="AD552" s="974"/>
      <c r="AE552" s="974"/>
      <c r="AF552" s="974"/>
      <c r="AG552" s="974"/>
      <c r="AH552" s="974"/>
      <c r="AI552" s="1198"/>
      <c r="AJ552" s="974"/>
      <c r="AK552" s="1197"/>
      <c r="AL552" s="974"/>
      <c r="AM552" s="974"/>
      <c r="AN552" s="974"/>
      <c r="AO552" s="974"/>
      <c r="AP552" s="974"/>
      <c r="AQ552" s="974"/>
      <c r="AR552" s="974"/>
      <c r="AS552" s="974"/>
      <c r="AT552" s="974"/>
      <c r="AU552" s="974"/>
      <c r="AV552" s="974"/>
      <c r="AW552" s="1181"/>
      <c r="AX552" s="978"/>
      <c r="AY552" s="898"/>
      <c r="AZ552" s="898"/>
      <c r="BA552" s="898"/>
      <c r="BB552" s="898"/>
      <c r="BC552" s="898"/>
      <c r="BD552" s="898"/>
      <c r="BE552" s="898"/>
      <c r="BF552" s="898"/>
      <c r="BG552" s="898"/>
      <c r="BH552" s="898"/>
      <c r="BI552" s="898"/>
      <c r="BJ552" s="898"/>
      <c r="BK552" s="898"/>
      <c r="BL552" s="898"/>
      <c r="BM552" s="898"/>
      <c r="BN552" s="898"/>
      <c r="BO552" s="898"/>
      <c r="BP552" s="898"/>
      <c r="BQ552" s="898"/>
      <c r="BR552" s="898"/>
      <c r="BS552" s="898"/>
      <c r="BT552" s="898"/>
      <c r="BU552" s="898"/>
      <c r="BV552" s="898"/>
      <c r="BW552" s="898"/>
      <c r="BX552" s="898"/>
      <c r="BY552" s="898"/>
      <c r="BZ552" s="898"/>
      <c r="CA552" s="898"/>
      <c r="CB552" s="898"/>
      <c r="CC552" s="898"/>
      <c r="CD552" s="898"/>
      <c r="CE552" s="898"/>
      <c r="CF552" s="898"/>
      <c r="CG552" s="898"/>
      <c r="CH552" s="898"/>
      <c r="CI552" s="898"/>
      <c r="CJ552" s="898"/>
      <c r="CK552" s="898"/>
      <c r="CL552" s="898"/>
      <c r="CM552" s="898"/>
      <c r="CN552" s="898"/>
      <c r="CO552" s="898"/>
      <c r="CP552" s="898"/>
      <c r="CQ552" s="898"/>
      <c r="CR552" s="898"/>
      <c r="CS552" s="898"/>
      <c r="CT552" s="898"/>
      <c r="CU552" s="898"/>
    </row>
    <row r="553" ht="16.5" customHeight="1">
      <c r="A553" s="718"/>
      <c r="B553" s="1195"/>
      <c r="C553" s="866"/>
      <c r="D553" s="968"/>
      <c r="E553" s="718"/>
      <c r="F553" s="718"/>
      <c r="G553" s="718"/>
      <c r="H553" s="718"/>
      <c r="I553" s="359"/>
      <c r="J553" s="359"/>
      <c r="K553" s="359"/>
      <c r="L553" s="359"/>
      <c r="M553" s="359"/>
      <c r="N553" s="359"/>
      <c r="O553" s="359"/>
      <c r="P553" s="359"/>
      <c r="Q553" s="359"/>
      <c r="R553" s="718"/>
      <c r="S553" s="669"/>
      <c r="T553" s="669"/>
      <c r="U553" s="967"/>
      <c r="V553" s="974"/>
      <c r="W553" s="1197"/>
      <c r="X553" s="974"/>
      <c r="Y553" s="974"/>
      <c r="Z553" s="974"/>
      <c r="AA553" s="974"/>
      <c r="AB553" s="974"/>
      <c r="AC553" s="974"/>
      <c r="AD553" s="974"/>
      <c r="AE553" s="974"/>
      <c r="AF553" s="974"/>
      <c r="AG553" s="974"/>
      <c r="AH553" s="974"/>
      <c r="AI553" s="1198"/>
      <c r="AJ553" s="974"/>
      <c r="AK553" s="1197"/>
      <c r="AL553" s="974"/>
      <c r="AM553" s="974"/>
      <c r="AN553" s="974"/>
      <c r="AO553" s="974"/>
      <c r="AP553" s="974"/>
      <c r="AQ553" s="974"/>
      <c r="AR553" s="974"/>
      <c r="AS553" s="974"/>
      <c r="AT553" s="974"/>
      <c r="AU553" s="974"/>
      <c r="AV553" s="974"/>
      <c r="AW553" s="1181"/>
      <c r="AX553" s="978"/>
      <c r="AY553" s="898"/>
      <c r="AZ553" s="898"/>
      <c r="BA553" s="898"/>
      <c r="BB553" s="898"/>
      <c r="BC553" s="898"/>
      <c r="BD553" s="898"/>
      <c r="BE553" s="898"/>
      <c r="BF553" s="898"/>
      <c r="BG553" s="898"/>
      <c r="BH553" s="898"/>
      <c r="BI553" s="898"/>
      <c r="BJ553" s="898"/>
      <c r="BK553" s="898"/>
      <c r="BL553" s="898"/>
      <c r="BM553" s="898"/>
      <c r="BN553" s="898"/>
      <c r="BO553" s="898"/>
      <c r="BP553" s="898"/>
      <c r="BQ553" s="898"/>
      <c r="BR553" s="898"/>
      <c r="BS553" s="898"/>
      <c r="BT553" s="898"/>
      <c r="BU553" s="898"/>
      <c r="BV553" s="898"/>
      <c r="BW553" s="898"/>
      <c r="BX553" s="898"/>
      <c r="BY553" s="898"/>
      <c r="BZ553" s="898"/>
      <c r="CA553" s="898"/>
      <c r="CB553" s="898"/>
      <c r="CC553" s="898"/>
      <c r="CD553" s="898"/>
      <c r="CE553" s="898"/>
      <c r="CF553" s="898"/>
      <c r="CG553" s="898"/>
      <c r="CH553" s="898"/>
      <c r="CI553" s="898"/>
      <c r="CJ553" s="898"/>
      <c r="CK553" s="898"/>
      <c r="CL553" s="898"/>
      <c r="CM553" s="898"/>
      <c r="CN553" s="898"/>
      <c r="CO553" s="898"/>
      <c r="CP553" s="898"/>
      <c r="CQ553" s="898"/>
      <c r="CR553" s="898"/>
      <c r="CS553" s="898"/>
      <c r="CT553" s="898"/>
      <c r="CU553" s="898"/>
    </row>
    <row r="554" ht="16.5" customHeight="1">
      <c r="A554" s="718"/>
      <c r="B554" s="1195"/>
      <c r="C554" s="866"/>
      <c r="D554" s="968"/>
      <c r="E554" s="718"/>
      <c r="F554" s="718"/>
      <c r="G554" s="718"/>
      <c r="H554" s="718"/>
      <c r="I554" s="359"/>
      <c r="J554" s="359"/>
      <c r="K554" s="359"/>
      <c r="L554" s="359"/>
      <c r="M554" s="359"/>
      <c r="N554" s="359"/>
      <c r="O554" s="359"/>
      <c r="P554" s="359"/>
      <c r="Q554" s="359"/>
      <c r="R554" s="718"/>
      <c r="S554" s="669"/>
      <c r="T554" s="669"/>
      <c r="U554" s="967"/>
      <c r="V554" s="974"/>
      <c r="W554" s="1197"/>
      <c r="X554" s="974"/>
      <c r="Y554" s="974"/>
      <c r="Z554" s="974"/>
      <c r="AA554" s="974"/>
      <c r="AB554" s="974"/>
      <c r="AC554" s="974"/>
      <c r="AD554" s="974"/>
      <c r="AE554" s="974"/>
      <c r="AF554" s="974"/>
      <c r="AG554" s="974"/>
      <c r="AH554" s="974"/>
      <c r="AI554" s="1198"/>
      <c r="AJ554" s="974"/>
      <c r="AK554" s="1197"/>
      <c r="AL554" s="974"/>
      <c r="AM554" s="974"/>
      <c r="AN554" s="974"/>
      <c r="AO554" s="974"/>
      <c r="AP554" s="974"/>
      <c r="AQ554" s="974"/>
      <c r="AR554" s="974"/>
      <c r="AS554" s="974"/>
      <c r="AT554" s="974"/>
      <c r="AU554" s="974"/>
      <c r="AV554" s="974"/>
      <c r="AW554" s="1181"/>
      <c r="AX554" s="978"/>
      <c r="AY554" s="898"/>
      <c r="AZ554" s="898"/>
      <c r="BA554" s="898"/>
      <c r="BB554" s="898"/>
      <c r="BC554" s="898"/>
      <c r="BD554" s="898"/>
      <c r="BE554" s="898"/>
      <c r="BF554" s="898"/>
      <c r="BG554" s="898"/>
      <c r="BH554" s="898"/>
      <c r="BI554" s="898"/>
      <c r="BJ554" s="898"/>
      <c r="BK554" s="898"/>
      <c r="BL554" s="898"/>
      <c r="BM554" s="898"/>
      <c r="BN554" s="898"/>
      <c r="BO554" s="898"/>
      <c r="BP554" s="898"/>
      <c r="BQ554" s="898"/>
      <c r="BR554" s="898"/>
      <c r="BS554" s="898"/>
      <c r="BT554" s="898"/>
      <c r="BU554" s="898"/>
      <c r="BV554" s="898"/>
      <c r="BW554" s="898"/>
      <c r="BX554" s="898"/>
      <c r="BY554" s="898"/>
      <c r="BZ554" s="898"/>
      <c r="CA554" s="898"/>
      <c r="CB554" s="898"/>
      <c r="CC554" s="898"/>
      <c r="CD554" s="898"/>
      <c r="CE554" s="898"/>
      <c r="CF554" s="898"/>
      <c r="CG554" s="898"/>
      <c r="CH554" s="898"/>
      <c r="CI554" s="898"/>
      <c r="CJ554" s="898"/>
      <c r="CK554" s="898"/>
      <c r="CL554" s="898"/>
      <c r="CM554" s="898"/>
      <c r="CN554" s="898"/>
      <c r="CO554" s="898"/>
      <c r="CP554" s="898"/>
      <c r="CQ554" s="898"/>
      <c r="CR554" s="898"/>
      <c r="CS554" s="898"/>
      <c r="CT554" s="898"/>
      <c r="CU554" s="898"/>
    </row>
    <row r="555" ht="16.5" customHeight="1">
      <c r="A555" s="718"/>
      <c r="B555" s="1195"/>
      <c r="C555" s="866"/>
      <c r="D555" s="968"/>
      <c r="E555" s="718"/>
      <c r="F555" s="718"/>
      <c r="G555" s="718"/>
      <c r="H555" s="718"/>
      <c r="I555" s="359"/>
      <c r="J555" s="359"/>
      <c r="K555" s="359"/>
      <c r="L555" s="359"/>
      <c r="M555" s="359"/>
      <c r="N555" s="359"/>
      <c r="O555" s="359"/>
      <c r="P555" s="359"/>
      <c r="Q555" s="359"/>
      <c r="R555" s="718"/>
      <c r="S555" s="669"/>
      <c r="T555" s="669"/>
      <c r="U555" s="967"/>
      <c r="V555" s="974"/>
      <c r="W555" s="1197"/>
      <c r="X555" s="974"/>
      <c r="Y555" s="974"/>
      <c r="Z555" s="974"/>
      <c r="AA555" s="974"/>
      <c r="AB555" s="974"/>
      <c r="AC555" s="974"/>
      <c r="AD555" s="974"/>
      <c r="AE555" s="974"/>
      <c r="AF555" s="974"/>
      <c r="AG555" s="974"/>
      <c r="AH555" s="974"/>
      <c r="AI555" s="1198"/>
      <c r="AJ555" s="974"/>
      <c r="AK555" s="1197"/>
      <c r="AL555" s="974"/>
      <c r="AM555" s="974"/>
      <c r="AN555" s="974"/>
      <c r="AO555" s="974"/>
      <c r="AP555" s="974"/>
      <c r="AQ555" s="974"/>
      <c r="AR555" s="974"/>
      <c r="AS555" s="974"/>
      <c r="AT555" s="974"/>
      <c r="AU555" s="974"/>
      <c r="AV555" s="974"/>
      <c r="AW555" s="1181"/>
      <c r="AX555" s="978"/>
      <c r="AY555" s="898"/>
      <c r="AZ555" s="898"/>
      <c r="BA555" s="898"/>
      <c r="BB555" s="898"/>
      <c r="BC555" s="898"/>
      <c r="BD555" s="898"/>
      <c r="BE555" s="898"/>
      <c r="BF555" s="898"/>
      <c r="BG555" s="898"/>
      <c r="BH555" s="898"/>
      <c r="BI555" s="898"/>
      <c r="BJ555" s="898"/>
      <c r="BK555" s="898"/>
      <c r="BL555" s="898"/>
      <c r="BM555" s="898"/>
      <c r="BN555" s="898"/>
      <c r="BO555" s="898"/>
      <c r="BP555" s="898"/>
      <c r="BQ555" s="898"/>
      <c r="BR555" s="898"/>
      <c r="BS555" s="898"/>
      <c r="BT555" s="898"/>
      <c r="BU555" s="898"/>
      <c r="BV555" s="898"/>
      <c r="BW555" s="898"/>
      <c r="BX555" s="898"/>
      <c r="BY555" s="898"/>
      <c r="BZ555" s="898"/>
      <c r="CA555" s="898"/>
      <c r="CB555" s="898"/>
      <c r="CC555" s="898"/>
      <c r="CD555" s="898"/>
      <c r="CE555" s="898"/>
      <c r="CF555" s="898"/>
      <c r="CG555" s="898"/>
      <c r="CH555" s="898"/>
      <c r="CI555" s="898"/>
      <c r="CJ555" s="898"/>
      <c r="CK555" s="898"/>
      <c r="CL555" s="898"/>
      <c r="CM555" s="898"/>
      <c r="CN555" s="898"/>
      <c r="CO555" s="898"/>
      <c r="CP555" s="898"/>
      <c r="CQ555" s="898"/>
      <c r="CR555" s="898"/>
      <c r="CS555" s="898"/>
      <c r="CT555" s="898"/>
      <c r="CU555" s="898"/>
    </row>
    <row r="556" ht="16.5" customHeight="1">
      <c r="A556" s="718"/>
      <c r="B556" s="1195"/>
      <c r="C556" s="866"/>
      <c r="D556" s="968"/>
      <c r="E556" s="718"/>
      <c r="F556" s="718"/>
      <c r="G556" s="718"/>
      <c r="H556" s="718"/>
      <c r="I556" s="359"/>
      <c r="J556" s="359"/>
      <c r="K556" s="359"/>
      <c r="L556" s="359"/>
      <c r="M556" s="359"/>
      <c r="N556" s="359"/>
      <c r="O556" s="359"/>
      <c r="P556" s="359"/>
      <c r="Q556" s="359"/>
      <c r="R556" s="718"/>
      <c r="S556" s="669"/>
      <c r="T556" s="669"/>
      <c r="U556" s="967"/>
      <c r="V556" s="974"/>
      <c r="W556" s="1197"/>
      <c r="X556" s="974"/>
      <c r="Y556" s="974"/>
      <c r="Z556" s="974"/>
      <c r="AA556" s="974"/>
      <c r="AB556" s="974"/>
      <c r="AC556" s="974"/>
      <c r="AD556" s="974"/>
      <c r="AE556" s="974"/>
      <c r="AF556" s="974"/>
      <c r="AG556" s="974"/>
      <c r="AH556" s="974"/>
      <c r="AI556" s="1198"/>
      <c r="AJ556" s="974"/>
      <c r="AK556" s="1197"/>
      <c r="AL556" s="974"/>
      <c r="AM556" s="974"/>
      <c r="AN556" s="974"/>
      <c r="AO556" s="974"/>
      <c r="AP556" s="974"/>
      <c r="AQ556" s="974"/>
      <c r="AR556" s="974"/>
      <c r="AS556" s="974"/>
      <c r="AT556" s="974"/>
      <c r="AU556" s="974"/>
      <c r="AV556" s="974"/>
      <c r="AW556" s="1181"/>
      <c r="AX556" s="978"/>
      <c r="AY556" s="898"/>
      <c r="AZ556" s="898"/>
      <c r="BA556" s="898"/>
      <c r="BB556" s="898"/>
      <c r="BC556" s="898"/>
      <c r="BD556" s="898"/>
      <c r="BE556" s="898"/>
      <c r="BF556" s="898"/>
      <c r="BG556" s="898"/>
      <c r="BH556" s="898"/>
      <c r="BI556" s="898"/>
      <c r="BJ556" s="898"/>
      <c r="BK556" s="898"/>
      <c r="BL556" s="898"/>
      <c r="BM556" s="898"/>
      <c r="BN556" s="898"/>
      <c r="BO556" s="898"/>
      <c r="BP556" s="898"/>
      <c r="BQ556" s="898"/>
      <c r="BR556" s="898"/>
      <c r="BS556" s="898"/>
      <c r="BT556" s="898"/>
      <c r="BU556" s="898"/>
      <c r="BV556" s="898"/>
      <c r="BW556" s="898"/>
      <c r="BX556" s="898"/>
      <c r="BY556" s="898"/>
      <c r="BZ556" s="898"/>
      <c r="CA556" s="898"/>
      <c r="CB556" s="898"/>
      <c r="CC556" s="898"/>
      <c r="CD556" s="898"/>
      <c r="CE556" s="898"/>
      <c r="CF556" s="898"/>
      <c r="CG556" s="898"/>
      <c r="CH556" s="898"/>
      <c r="CI556" s="898"/>
      <c r="CJ556" s="898"/>
      <c r="CK556" s="898"/>
      <c r="CL556" s="898"/>
      <c r="CM556" s="898"/>
      <c r="CN556" s="898"/>
      <c r="CO556" s="898"/>
      <c r="CP556" s="898"/>
      <c r="CQ556" s="898"/>
      <c r="CR556" s="898"/>
      <c r="CS556" s="898"/>
      <c r="CT556" s="898"/>
      <c r="CU556" s="898"/>
    </row>
    <row r="557" ht="16.5" customHeight="1">
      <c r="A557" s="718"/>
      <c r="B557" s="1195"/>
      <c r="C557" s="866"/>
      <c r="D557" s="968"/>
      <c r="E557" s="718"/>
      <c r="F557" s="718"/>
      <c r="G557" s="718"/>
      <c r="H557" s="718"/>
      <c r="I557" s="359"/>
      <c r="J557" s="359"/>
      <c r="K557" s="359"/>
      <c r="L557" s="359"/>
      <c r="M557" s="359"/>
      <c r="N557" s="359"/>
      <c r="O557" s="359"/>
      <c r="P557" s="359"/>
      <c r="Q557" s="359"/>
      <c r="R557" s="718"/>
      <c r="S557" s="669"/>
      <c r="T557" s="669"/>
      <c r="U557" s="967"/>
      <c r="V557" s="974"/>
      <c r="W557" s="1197"/>
      <c r="X557" s="974"/>
      <c r="Y557" s="974"/>
      <c r="Z557" s="974"/>
      <c r="AA557" s="974"/>
      <c r="AB557" s="974"/>
      <c r="AC557" s="974"/>
      <c r="AD557" s="974"/>
      <c r="AE557" s="974"/>
      <c r="AF557" s="974"/>
      <c r="AG557" s="974"/>
      <c r="AH557" s="974"/>
      <c r="AI557" s="1198"/>
      <c r="AJ557" s="974"/>
      <c r="AK557" s="1197"/>
      <c r="AL557" s="974"/>
      <c r="AM557" s="974"/>
      <c r="AN557" s="974"/>
      <c r="AO557" s="974"/>
      <c r="AP557" s="974"/>
      <c r="AQ557" s="974"/>
      <c r="AR557" s="974"/>
      <c r="AS557" s="974"/>
      <c r="AT557" s="974"/>
      <c r="AU557" s="974"/>
      <c r="AV557" s="974"/>
      <c r="AW557" s="1181"/>
      <c r="AX557" s="978"/>
      <c r="AY557" s="898"/>
      <c r="AZ557" s="898"/>
      <c r="BA557" s="898"/>
      <c r="BB557" s="898"/>
      <c r="BC557" s="898"/>
      <c r="BD557" s="898"/>
      <c r="BE557" s="898"/>
      <c r="BF557" s="898"/>
      <c r="BG557" s="898"/>
      <c r="BH557" s="898"/>
      <c r="BI557" s="898"/>
      <c r="BJ557" s="898"/>
      <c r="BK557" s="898"/>
      <c r="BL557" s="898"/>
      <c r="BM557" s="898"/>
      <c r="BN557" s="898"/>
      <c r="BO557" s="898"/>
      <c r="BP557" s="898"/>
      <c r="BQ557" s="898"/>
      <c r="BR557" s="898"/>
      <c r="BS557" s="898"/>
      <c r="BT557" s="898"/>
      <c r="BU557" s="898"/>
      <c r="BV557" s="898"/>
      <c r="BW557" s="898"/>
      <c r="BX557" s="898"/>
      <c r="BY557" s="898"/>
      <c r="BZ557" s="898"/>
      <c r="CA557" s="898"/>
      <c r="CB557" s="898"/>
      <c r="CC557" s="898"/>
      <c r="CD557" s="898"/>
      <c r="CE557" s="898"/>
      <c r="CF557" s="898"/>
      <c r="CG557" s="898"/>
      <c r="CH557" s="898"/>
      <c r="CI557" s="898"/>
      <c r="CJ557" s="898"/>
      <c r="CK557" s="898"/>
      <c r="CL557" s="898"/>
      <c r="CM557" s="898"/>
      <c r="CN557" s="898"/>
      <c r="CO557" s="898"/>
      <c r="CP557" s="898"/>
      <c r="CQ557" s="898"/>
      <c r="CR557" s="898"/>
      <c r="CS557" s="898"/>
      <c r="CT557" s="898"/>
      <c r="CU557" s="898"/>
    </row>
    <row r="558" ht="16.5" customHeight="1">
      <c r="A558" s="718"/>
      <c r="B558" s="1195"/>
      <c r="C558" s="866"/>
      <c r="D558" s="968"/>
      <c r="E558" s="718"/>
      <c r="F558" s="718"/>
      <c r="G558" s="718"/>
      <c r="H558" s="718"/>
      <c r="I558" s="359"/>
      <c r="J558" s="359"/>
      <c r="K558" s="359"/>
      <c r="L558" s="359"/>
      <c r="M558" s="359"/>
      <c r="N558" s="359"/>
      <c r="O558" s="359"/>
      <c r="P558" s="359"/>
      <c r="Q558" s="359"/>
      <c r="R558" s="718"/>
      <c r="S558" s="669"/>
      <c r="T558" s="669"/>
      <c r="U558" s="967"/>
      <c r="V558" s="974"/>
      <c r="W558" s="1197"/>
      <c r="X558" s="974"/>
      <c r="Y558" s="974"/>
      <c r="Z558" s="974"/>
      <c r="AA558" s="974"/>
      <c r="AB558" s="974"/>
      <c r="AC558" s="974"/>
      <c r="AD558" s="974"/>
      <c r="AE558" s="974"/>
      <c r="AF558" s="974"/>
      <c r="AG558" s="974"/>
      <c r="AH558" s="974"/>
      <c r="AI558" s="1198"/>
      <c r="AJ558" s="974"/>
      <c r="AK558" s="1197"/>
      <c r="AL558" s="974"/>
      <c r="AM558" s="974"/>
      <c r="AN558" s="974"/>
      <c r="AO558" s="974"/>
      <c r="AP558" s="974"/>
      <c r="AQ558" s="974"/>
      <c r="AR558" s="974"/>
      <c r="AS558" s="974"/>
      <c r="AT558" s="974"/>
      <c r="AU558" s="974"/>
      <c r="AV558" s="974"/>
      <c r="AW558" s="1181"/>
      <c r="AX558" s="978"/>
      <c r="AY558" s="898"/>
      <c r="AZ558" s="898"/>
      <c r="BA558" s="898"/>
      <c r="BB558" s="898"/>
      <c r="BC558" s="898"/>
      <c r="BD558" s="898"/>
      <c r="BE558" s="898"/>
      <c r="BF558" s="898"/>
      <c r="BG558" s="898"/>
      <c r="BH558" s="898"/>
      <c r="BI558" s="898"/>
      <c r="BJ558" s="898"/>
      <c r="BK558" s="898"/>
      <c r="BL558" s="898"/>
      <c r="BM558" s="898"/>
      <c r="BN558" s="898"/>
      <c r="BO558" s="898"/>
      <c r="BP558" s="898"/>
      <c r="BQ558" s="898"/>
      <c r="BR558" s="898"/>
      <c r="BS558" s="898"/>
      <c r="BT558" s="898"/>
      <c r="BU558" s="898"/>
      <c r="BV558" s="898"/>
      <c r="BW558" s="898"/>
      <c r="BX558" s="898"/>
      <c r="BY558" s="898"/>
      <c r="BZ558" s="898"/>
      <c r="CA558" s="898"/>
      <c r="CB558" s="898"/>
      <c r="CC558" s="898"/>
      <c r="CD558" s="898"/>
      <c r="CE558" s="898"/>
      <c r="CF558" s="898"/>
      <c r="CG558" s="898"/>
      <c r="CH558" s="898"/>
      <c r="CI558" s="898"/>
      <c r="CJ558" s="898"/>
      <c r="CK558" s="898"/>
      <c r="CL558" s="898"/>
      <c r="CM558" s="898"/>
      <c r="CN558" s="898"/>
      <c r="CO558" s="898"/>
      <c r="CP558" s="898"/>
      <c r="CQ558" s="898"/>
      <c r="CR558" s="898"/>
      <c r="CS558" s="898"/>
      <c r="CT558" s="898"/>
      <c r="CU558" s="898"/>
    </row>
    <row r="559" ht="16.5" customHeight="1">
      <c r="A559" s="718"/>
      <c r="B559" s="1195"/>
      <c r="C559" s="866"/>
      <c r="D559" s="968"/>
      <c r="E559" s="718"/>
      <c r="F559" s="718"/>
      <c r="G559" s="718"/>
      <c r="H559" s="718"/>
      <c r="I559" s="359"/>
      <c r="J559" s="359"/>
      <c r="K559" s="359"/>
      <c r="L559" s="359"/>
      <c r="M559" s="359"/>
      <c r="N559" s="359"/>
      <c r="O559" s="359"/>
      <c r="P559" s="359"/>
      <c r="Q559" s="359"/>
      <c r="R559" s="718"/>
      <c r="S559" s="669"/>
      <c r="T559" s="669"/>
      <c r="U559" s="967"/>
      <c r="V559" s="974"/>
      <c r="W559" s="1197"/>
      <c r="X559" s="974"/>
      <c r="Y559" s="974"/>
      <c r="Z559" s="974"/>
      <c r="AA559" s="974"/>
      <c r="AB559" s="974"/>
      <c r="AC559" s="974"/>
      <c r="AD559" s="974"/>
      <c r="AE559" s="974"/>
      <c r="AF559" s="974"/>
      <c r="AG559" s="974"/>
      <c r="AH559" s="974"/>
      <c r="AI559" s="1198"/>
      <c r="AJ559" s="974"/>
      <c r="AK559" s="1197"/>
      <c r="AL559" s="974"/>
      <c r="AM559" s="974"/>
      <c r="AN559" s="974"/>
      <c r="AO559" s="974"/>
      <c r="AP559" s="974"/>
      <c r="AQ559" s="974"/>
      <c r="AR559" s="974"/>
      <c r="AS559" s="974"/>
      <c r="AT559" s="974"/>
      <c r="AU559" s="974"/>
      <c r="AV559" s="974"/>
      <c r="AW559" s="1181"/>
      <c r="AX559" s="978"/>
      <c r="AY559" s="898"/>
      <c r="AZ559" s="898"/>
      <c r="BA559" s="898"/>
      <c r="BB559" s="898"/>
      <c r="BC559" s="898"/>
      <c r="BD559" s="898"/>
      <c r="BE559" s="898"/>
      <c r="BF559" s="898"/>
      <c r="BG559" s="898"/>
      <c r="BH559" s="898"/>
      <c r="BI559" s="898"/>
      <c r="BJ559" s="898"/>
      <c r="BK559" s="898"/>
      <c r="BL559" s="898"/>
      <c r="BM559" s="898"/>
      <c r="BN559" s="898"/>
      <c r="BO559" s="898"/>
      <c r="BP559" s="898"/>
      <c r="BQ559" s="898"/>
      <c r="BR559" s="898"/>
      <c r="BS559" s="898"/>
      <c r="BT559" s="898"/>
      <c r="BU559" s="898"/>
      <c r="BV559" s="898"/>
      <c r="BW559" s="898"/>
      <c r="BX559" s="898"/>
      <c r="BY559" s="898"/>
      <c r="BZ559" s="898"/>
      <c r="CA559" s="898"/>
      <c r="CB559" s="898"/>
      <c r="CC559" s="898"/>
      <c r="CD559" s="898"/>
      <c r="CE559" s="898"/>
      <c r="CF559" s="898"/>
      <c r="CG559" s="898"/>
      <c r="CH559" s="898"/>
      <c r="CI559" s="898"/>
      <c r="CJ559" s="898"/>
      <c r="CK559" s="898"/>
      <c r="CL559" s="898"/>
      <c r="CM559" s="898"/>
      <c r="CN559" s="898"/>
      <c r="CO559" s="898"/>
      <c r="CP559" s="898"/>
      <c r="CQ559" s="898"/>
      <c r="CR559" s="898"/>
      <c r="CS559" s="898"/>
      <c r="CT559" s="898"/>
      <c r="CU559" s="898"/>
    </row>
    <row r="560" ht="16.5" customHeight="1">
      <c r="A560" s="718"/>
      <c r="B560" s="1195"/>
      <c r="C560" s="866"/>
      <c r="D560" s="968"/>
      <c r="E560" s="718"/>
      <c r="F560" s="718"/>
      <c r="G560" s="718"/>
      <c r="H560" s="718"/>
      <c r="I560" s="359"/>
      <c r="J560" s="359"/>
      <c r="K560" s="359"/>
      <c r="L560" s="359"/>
      <c r="M560" s="359"/>
      <c r="N560" s="359"/>
      <c r="O560" s="359"/>
      <c r="P560" s="359"/>
      <c r="Q560" s="359"/>
      <c r="R560" s="718"/>
      <c r="S560" s="669"/>
      <c r="T560" s="669"/>
      <c r="U560" s="967"/>
      <c r="V560" s="974"/>
      <c r="W560" s="1197"/>
      <c r="X560" s="974"/>
      <c r="Y560" s="974"/>
      <c r="Z560" s="974"/>
      <c r="AA560" s="974"/>
      <c r="AB560" s="974"/>
      <c r="AC560" s="974"/>
      <c r="AD560" s="974"/>
      <c r="AE560" s="974"/>
      <c r="AF560" s="974"/>
      <c r="AG560" s="974"/>
      <c r="AH560" s="974"/>
      <c r="AI560" s="1198"/>
      <c r="AJ560" s="974"/>
      <c r="AK560" s="1197"/>
      <c r="AL560" s="974"/>
      <c r="AM560" s="974"/>
      <c r="AN560" s="974"/>
      <c r="AO560" s="974"/>
      <c r="AP560" s="974"/>
      <c r="AQ560" s="974"/>
      <c r="AR560" s="974"/>
      <c r="AS560" s="974"/>
      <c r="AT560" s="974"/>
      <c r="AU560" s="974"/>
      <c r="AV560" s="974"/>
      <c r="AW560" s="1181"/>
      <c r="AX560" s="978"/>
      <c r="AY560" s="898"/>
      <c r="AZ560" s="898"/>
      <c r="BA560" s="898"/>
      <c r="BB560" s="898"/>
      <c r="BC560" s="898"/>
      <c r="BD560" s="898"/>
      <c r="BE560" s="898"/>
      <c r="BF560" s="898"/>
      <c r="BG560" s="898"/>
      <c r="BH560" s="898"/>
      <c r="BI560" s="898"/>
      <c r="BJ560" s="898"/>
      <c r="BK560" s="898"/>
      <c r="BL560" s="898"/>
      <c r="BM560" s="898"/>
      <c r="BN560" s="898"/>
      <c r="BO560" s="898"/>
      <c r="BP560" s="898"/>
      <c r="BQ560" s="898"/>
      <c r="BR560" s="898"/>
      <c r="BS560" s="898"/>
      <c r="BT560" s="898"/>
      <c r="BU560" s="898"/>
      <c r="BV560" s="898"/>
      <c r="BW560" s="898"/>
      <c r="BX560" s="898"/>
      <c r="BY560" s="898"/>
      <c r="BZ560" s="898"/>
      <c r="CA560" s="898"/>
      <c r="CB560" s="898"/>
      <c r="CC560" s="898"/>
      <c r="CD560" s="898"/>
      <c r="CE560" s="898"/>
      <c r="CF560" s="898"/>
      <c r="CG560" s="898"/>
      <c r="CH560" s="898"/>
      <c r="CI560" s="898"/>
      <c r="CJ560" s="898"/>
      <c r="CK560" s="898"/>
      <c r="CL560" s="898"/>
      <c r="CM560" s="898"/>
      <c r="CN560" s="898"/>
      <c r="CO560" s="898"/>
      <c r="CP560" s="898"/>
      <c r="CQ560" s="898"/>
      <c r="CR560" s="898"/>
      <c r="CS560" s="898"/>
      <c r="CT560" s="898"/>
      <c r="CU560" s="898"/>
    </row>
    <row r="561" ht="16.5" customHeight="1">
      <c r="A561" s="718"/>
      <c r="B561" s="1195"/>
      <c r="C561" s="866"/>
      <c r="D561" s="968"/>
      <c r="E561" s="718"/>
      <c r="F561" s="718"/>
      <c r="G561" s="718"/>
      <c r="H561" s="718"/>
      <c r="I561" s="359"/>
      <c r="J561" s="359"/>
      <c r="K561" s="359"/>
      <c r="L561" s="359"/>
      <c r="M561" s="359"/>
      <c r="N561" s="359"/>
      <c r="O561" s="359"/>
      <c r="P561" s="359"/>
      <c r="Q561" s="359"/>
      <c r="R561" s="718"/>
      <c r="S561" s="669"/>
      <c r="T561" s="669"/>
      <c r="U561" s="967"/>
      <c r="V561" s="974"/>
      <c r="W561" s="1197"/>
      <c r="X561" s="974"/>
      <c r="Y561" s="974"/>
      <c r="Z561" s="974"/>
      <c r="AA561" s="974"/>
      <c r="AB561" s="974"/>
      <c r="AC561" s="974"/>
      <c r="AD561" s="974"/>
      <c r="AE561" s="974"/>
      <c r="AF561" s="974"/>
      <c r="AG561" s="974"/>
      <c r="AH561" s="974"/>
      <c r="AI561" s="1198"/>
      <c r="AJ561" s="974"/>
      <c r="AK561" s="1197"/>
      <c r="AL561" s="974"/>
      <c r="AM561" s="974"/>
      <c r="AN561" s="974"/>
      <c r="AO561" s="974"/>
      <c r="AP561" s="974"/>
      <c r="AQ561" s="974"/>
      <c r="AR561" s="974"/>
      <c r="AS561" s="974"/>
      <c r="AT561" s="974"/>
      <c r="AU561" s="974"/>
      <c r="AV561" s="974"/>
      <c r="AW561" s="1181"/>
      <c r="AX561" s="978"/>
      <c r="AY561" s="898"/>
      <c r="AZ561" s="898"/>
      <c r="BA561" s="898"/>
      <c r="BB561" s="898"/>
      <c r="BC561" s="898"/>
      <c r="BD561" s="898"/>
      <c r="BE561" s="898"/>
      <c r="BF561" s="898"/>
      <c r="BG561" s="898"/>
      <c r="BH561" s="898"/>
      <c r="BI561" s="898"/>
      <c r="BJ561" s="898"/>
      <c r="BK561" s="898"/>
      <c r="BL561" s="898"/>
      <c r="BM561" s="898"/>
      <c r="BN561" s="898"/>
      <c r="BO561" s="898"/>
      <c r="BP561" s="898"/>
      <c r="BQ561" s="898"/>
      <c r="BR561" s="898"/>
      <c r="BS561" s="898"/>
      <c r="BT561" s="898"/>
      <c r="BU561" s="898"/>
      <c r="BV561" s="898"/>
      <c r="BW561" s="898"/>
      <c r="BX561" s="898"/>
      <c r="BY561" s="898"/>
      <c r="BZ561" s="898"/>
      <c r="CA561" s="898"/>
      <c r="CB561" s="898"/>
      <c r="CC561" s="898"/>
      <c r="CD561" s="898"/>
      <c r="CE561" s="898"/>
      <c r="CF561" s="898"/>
      <c r="CG561" s="898"/>
      <c r="CH561" s="898"/>
      <c r="CI561" s="898"/>
      <c r="CJ561" s="898"/>
      <c r="CK561" s="898"/>
      <c r="CL561" s="898"/>
      <c r="CM561" s="898"/>
      <c r="CN561" s="898"/>
      <c r="CO561" s="898"/>
      <c r="CP561" s="898"/>
      <c r="CQ561" s="898"/>
      <c r="CR561" s="898"/>
      <c r="CS561" s="898"/>
      <c r="CT561" s="898"/>
      <c r="CU561" s="898"/>
    </row>
    <row r="562" ht="16.5" customHeight="1">
      <c r="A562" s="718"/>
      <c r="B562" s="1195"/>
      <c r="C562" s="866"/>
      <c r="D562" s="968"/>
      <c r="E562" s="718"/>
      <c r="F562" s="718"/>
      <c r="G562" s="718"/>
      <c r="H562" s="718"/>
      <c r="I562" s="359"/>
      <c r="J562" s="359"/>
      <c r="K562" s="359"/>
      <c r="L562" s="359"/>
      <c r="M562" s="359"/>
      <c r="N562" s="359"/>
      <c r="O562" s="359"/>
      <c r="P562" s="359"/>
      <c r="Q562" s="359"/>
      <c r="R562" s="718"/>
      <c r="S562" s="669"/>
      <c r="T562" s="669"/>
      <c r="U562" s="967"/>
      <c r="V562" s="974"/>
      <c r="W562" s="1197"/>
      <c r="X562" s="974"/>
      <c r="Y562" s="974"/>
      <c r="Z562" s="974"/>
      <c r="AA562" s="974"/>
      <c r="AB562" s="974"/>
      <c r="AC562" s="974"/>
      <c r="AD562" s="974"/>
      <c r="AE562" s="974"/>
      <c r="AF562" s="974"/>
      <c r="AG562" s="974"/>
      <c r="AH562" s="974"/>
      <c r="AI562" s="1198"/>
      <c r="AJ562" s="974"/>
      <c r="AK562" s="1197"/>
      <c r="AL562" s="974"/>
      <c r="AM562" s="974"/>
      <c r="AN562" s="974"/>
      <c r="AO562" s="974"/>
      <c r="AP562" s="974"/>
      <c r="AQ562" s="974"/>
      <c r="AR562" s="974"/>
      <c r="AS562" s="974"/>
      <c r="AT562" s="974"/>
      <c r="AU562" s="974"/>
      <c r="AV562" s="974"/>
      <c r="AW562" s="1181"/>
      <c r="AX562" s="978"/>
      <c r="AY562" s="898"/>
      <c r="AZ562" s="898"/>
      <c r="BA562" s="898"/>
      <c r="BB562" s="898"/>
      <c r="BC562" s="898"/>
      <c r="BD562" s="898"/>
      <c r="BE562" s="898"/>
      <c r="BF562" s="898"/>
      <c r="BG562" s="898"/>
      <c r="BH562" s="898"/>
      <c r="BI562" s="898"/>
      <c r="BJ562" s="898"/>
      <c r="BK562" s="898"/>
      <c r="BL562" s="898"/>
      <c r="BM562" s="898"/>
      <c r="BN562" s="898"/>
      <c r="BO562" s="898"/>
      <c r="BP562" s="898"/>
      <c r="BQ562" s="898"/>
      <c r="BR562" s="898"/>
      <c r="BS562" s="898"/>
      <c r="BT562" s="898"/>
      <c r="BU562" s="898"/>
      <c r="BV562" s="898"/>
      <c r="BW562" s="898"/>
      <c r="BX562" s="898"/>
      <c r="BY562" s="898"/>
      <c r="BZ562" s="898"/>
      <c r="CA562" s="898"/>
      <c r="CB562" s="898"/>
      <c r="CC562" s="898"/>
      <c r="CD562" s="898"/>
      <c r="CE562" s="898"/>
      <c r="CF562" s="898"/>
      <c r="CG562" s="898"/>
      <c r="CH562" s="898"/>
      <c r="CI562" s="898"/>
      <c r="CJ562" s="898"/>
      <c r="CK562" s="898"/>
      <c r="CL562" s="898"/>
      <c r="CM562" s="898"/>
      <c r="CN562" s="898"/>
      <c r="CO562" s="898"/>
      <c r="CP562" s="898"/>
      <c r="CQ562" s="898"/>
      <c r="CR562" s="898"/>
      <c r="CS562" s="898"/>
      <c r="CT562" s="898"/>
      <c r="CU562" s="898"/>
    </row>
    <row r="563" ht="16.5" customHeight="1">
      <c r="A563" s="718"/>
      <c r="B563" s="1195"/>
      <c r="C563" s="866"/>
      <c r="D563" s="968"/>
      <c r="E563" s="718"/>
      <c r="F563" s="718"/>
      <c r="G563" s="718"/>
      <c r="H563" s="718"/>
      <c r="I563" s="359"/>
      <c r="J563" s="359"/>
      <c r="K563" s="359"/>
      <c r="L563" s="359"/>
      <c r="M563" s="359"/>
      <c r="N563" s="359"/>
      <c r="O563" s="359"/>
      <c r="P563" s="359"/>
      <c r="Q563" s="359"/>
      <c r="R563" s="718"/>
      <c r="S563" s="669"/>
      <c r="T563" s="669"/>
      <c r="U563" s="967"/>
      <c r="V563" s="974"/>
      <c r="W563" s="1197"/>
      <c r="X563" s="974"/>
      <c r="Y563" s="974"/>
      <c r="Z563" s="974"/>
      <c r="AA563" s="974"/>
      <c r="AB563" s="974"/>
      <c r="AC563" s="974"/>
      <c r="AD563" s="974"/>
      <c r="AE563" s="974"/>
      <c r="AF563" s="974"/>
      <c r="AG563" s="974"/>
      <c r="AH563" s="974"/>
      <c r="AI563" s="1198"/>
      <c r="AJ563" s="974"/>
      <c r="AK563" s="1197"/>
      <c r="AL563" s="974"/>
      <c r="AM563" s="974"/>
      <c r="AN563" s="974"/>
      <c r="AO563" s="974"/>
      <c r="AP563" s="974"/>
      <c r="AQ563" s="974"/>
      <c r="AR563" s="974"/>
      <c r="AS563" s="974"/>
      <c r="AT563" s="974"/>
      <c r="AU563" s="974"/>
      <c r="AV563" s="974"/>
      <c r="AW563" s="1181"/>
      <c r="AX563" s="978"/>
      <c r="AY563" s="898"/>
      <c r="AZ563" s="898"/>
      <c r="BA563" s="898"/>
      <c r="BB563" s="898"/>
      <c r="BC563" s="898"/>
      <c r="BD563" s="898"/>
      <c r="BE563" s="898"/>
      <c r="BF563" s="898"/>
      <c r="BG563" s="898"/>
      <c r="BH563" s="898"/>
      <c r="BI563" s="898"/>
      <c r="BJ563" s="898"/>
      <c r="BK563" s="898"/>
      <c r="BL563" s="898"/>
      <c r="BM563" s="898"/>
      <c r="BN563" s="898"/>
      <c r="BO563" s="898"/>
      <c r="BP563" s="898"/>
      <c r="BQ563" s="898"/>
      <c r="BR563" s="898"/>
      <c r="BS563" s="898"/>
      <c r="BT563" s="898"/>
      <c r="BU563" s="898"/>
      <c r="BV563" s="898"/>
      <c r="BW563" s="898"/>
      <c r="BX563" s="898"/>
      <c r="BY563" s="898"/>
      <c r="BZ563" s="898"/>
      <c r="CA563" s="898"/>
      <c r="CB563" s="898"/>
      <c r="CC563" s="898"/>
      <c r="CD563" s="898"/>
      <c r="CE563" s="898"/>
      <c r="CF563" s="898"/>
      <c r="CG563" s="898"/>
      <c r="CH563" s="898"/>
      <c r="CI563" s="898"/>
      <c r="CJ563" s="898"/>
      <c r="CK563" s="898"/>
      <c r="CL563" s="898"/>
      <c r="CM563" s="898"/>
      <c r="CN563" s="898"/>
      <c r="CO563" s="898"/>
      <c r="CP563" s="898"/>
      <c r="CQ563" s="898"/>
      <c r="CR563" s="898"/>
      <c r="CS563" s="898"/>
      <c r="CT563" s="898"/>
      <c r="CU563" s="898"/>
    </row>
    <row r="564" ht="16.5" customHeight="1">
      <c r="A564" s="718"/>
      <c r="B564" s="1195"/>
      <c r="C564" s="866"/>
      <c r="D564" s="968"/>
      <c r="E564" s="718"/>
      <c r="F564" s="718"/>
      <c r="G564" s="718"/>
      <c r="H564" s="718"/>
      <c r="I564" s="359"/>
      <c r="J564" s="359"/>
      <c r="K564" s="359"/>
      <c r="L564" s="359"/>
      <c r="M564" s="359"/>
      <c r="N564" s="359"/>
      <c r="O564" s="359"/>
      <c r="P564" s="359"/>
      <c r="Q564" s="359"/>
      <c r="R564" s="718"/>
      <c r="S564" s="669"/>
      <c r="T564" s="669"/>
      <c r="U564" s="967"/>
      <c r="V564" s="974"/>
      <c r="W564" s="1197"/>
      <c r="X564" s="974"/>
      <c r="Y564" s="974"/>
      <c r="Z564" s="974"/>
      <c r="AA564" s="974"/>
      <c r="AB564" s="974"/>
      <c r="AC564" s="974"/>
      <c r="AD564" s="974"/>
      <c r="AE564" s="974"/>
      <c r="AF564" s="974"/>
      <c r="AG564" s="974"/>
      <c r="AH564" s="974"/>
      <c r="AI564" s="1198"/>
      <c r="AJ564" s="974"/>
      <c r="AK564" s="1197"/>
      <c r="AL564" s="974"/>
      <c r="AM564" s="974"/>
      <c r="AN564" s="974"/>
      <c r="AO564" s="974"/>
      <c r="AP564" s="974"/>
      <c r="AQ564" s="974"/>
      <c r="AR564" s="974"/>
      <c r="AS564" s="974"/>
      <c r="AT564" s="974"/>
      <c r="AU564" s="974"/>
      <c r="AV564" s="974"/>
      <c r="AW564" s="1181"/>
      <c r="AX564" s="978"/>
      <c r="AY564" s="898"/>
      <c r="AZ564" s="898"/>
      <c r="BA564" s="898"/>
      <c r="BB564" s="898"/>
      <c r="BC564" s="898"/>
      <c r="BD564" s="898"/>
      <c r="BE564" s="898"/>
      <c r="BF564" s="898"/>
      <c r="BG564" s="898"/>
      <c r="BH564" s="898"/>
      <c r="BI564" s="898"/>
      <c r="BJ564" s="898"/>
      <c r="BK564" s="898"/>
      <c r="BL564" s="898"/>
      <c r="BM564" s="898"/>
      <c r="BN564" s="898"/>
      <c r="BO564" s="898"/>
      <c r="BP564" s="898"/>
      <c r="BQ564" s="898"/>
      <c r="BR564" s="898"/>
      <c r="BS564" s="898"/>
      <c r="BT564" s="898"/>
      <c r="BU564" s="898"/>
      <c r="BV564" s="898"/>
      <c r="BW564" s="898"/>
      <c r="BX564" s="898"/>
      <c r="BY564" s="898"/>
      <c r="BZ564" s="898"/>
      <c r="CA564" s="898"/>
      <c r="CB564" s="898"/>
      <c r="CC564" s="898"/>
      <c r="CD564" s="898"/>
      <c r="CE564" s="898"/>
      <c r="CF564" s="898"/>
      <c r="CG564" s="898"/>
      <c r="CH564" s="898"/>
      <c r="CI564" s="898"/>
      <c r="CJ564" s="898"/>
      <c r="CK564" s="898"/>
      <c r="CL564" s="898"/>
      <c r="CM564" s="898"/>
      <c r="CN564" s="898"/>
      <c r="CO564" s="898"/>
      <c r="CP564" s="898"/>
      <c r="CQ564" s="898"/>
      <c r="CR564" s="898"/>
      <c r="CS564" s="898"/>
      <c r="CT564" s="898"/>
      <c r="CU564" s="898"/>
    </row>
    <row r="565" ht="16.5" customHeight="1">
      <c r="A565" s="718"/>
      <c r="B565" s="1195"/>
      <c r="C565" s="866"/>
      <c r="D565" s="968"/>
      <c r="E565" s="718"/>
      <c r="F565" s="718"/>
      <c r="G565" s="718"/>
      <c r="H565" s="718"/>
      <c r="I565" s="359"/>
      <c r="J565" s="359"/>
      <c r="K565" s="359"/>
      <c r="L565" s="359"/>
      <c r="M565" s="359"/>
      <c r="N565" s="359"/>
      <c r="O565" s="359"/>
      <c r="P565" s="359"/>
      <c r="Q565" s="359"/>
      <c r="R565" s="718"/>
      <c r="S565" s="669"/>
      <c r="T565" s="669"/>
      <c r="U565" s="967"/>
      <c r="V565" s="974"/>
      <c r="W565" s="1197"/>
      <c r="X565" s="974"/>
      <c r="Y565" s="974"/>
      <c r="Z565" s="974"/>
      <c r="AA565" s="974"/>
      <c r="AB565" s="974"/>
      <c r="AC565" s="974"/>
      <c r="AD565" s="974"/>
      <c r="AE565" s="974"/>
      <c r="AF565" s="974"/>
      <c r="AG565" s="974"/>
      <c r="AH565" s="974"/>
      <c r="AI565" s="1198"/>
      <c r="AJ565" s="974"/>
      <c r="AK565" s="1197"/>
      <c r="AL565" s="974"/>
      <c r="AM565" s="974"/>
      <c r="AN565" s="974"/>
      <c r="AO565" s="974"/>
      <c r="AP565" s="974"/>
      <c r="AQ565" s="974"/>
      <c r="AR565" s="974"/>
      <c r="AS565" s="974"/>
      <c r="AT565" s="974"/>
      <c r="AU565" s="974"/>
      <c r="AV565" s="974"/>
      <c r="AW565" s="1181"/>
      <c r="AX565" s="978"/>
      <c r="AY565" s="898"/>
      <c r="AZ565" s="898"/>
      <c r="BA565" s="898"/>
      <c r="BB565" s="898"/>
      <c r="BC565" s="898"/>
      <c r="BD565" s="898"/>
      <c r="BE565" s="898"/>
      <c r="BF565" s="898"/>
      <c r="BG565" s="898"/>
      <c r="BH565" s="898"/>
      <c r="BI565" s="898"/>
      <c r="BJ565" s="898"/>
      <c r="BK565" s="898"/>
      <c r="BL565" s="898"/>
      <c r="BM565" s="898"/>
      <c r="BN565" s="898"/>
      <c r="BO565" s="898"/>
      <c r="BP565" s="898"/>
      <c r="BQ565" s="898"/>
      <c r="BR565" s="898"/>
      <c r="BS565" s="898"/>
      <c r="BT565" s="898"/>
      <c r="BU565" s="898"/>
      <c r="BV565" s="898"/>
      <c r="BW565" s="898"/>
      <c r="BX565" s="898"/>
      <c r="BY565" s="898"/>
      <c r="BZ565" s="898"/>
      <c r="CA565" s="898"/>
      <c r="CB565" s="898"/>
      <c r="CC565" s="898"/>
      <c r="CD565" s="898"/>
      <c r="CE565" s="898"/>
      <c r="CF565" s="898"/>
      <c r="CG565" s="898"/>
      <c r="CH565" s="898"/>
      <c r="CI565" s="898"/>
      <c r="CJ565" s="898"/>
      <c r="CK565" s="898"/>
      <c r="CL565" s="898"/>
      <c r="CM565" s="898"/>
      <c r="CN565" s="898"/>
      <c r="CO565" s="898"/>
      <c r="CP565" s="898"/>
      <c r="CQ565" s="898"/>
      <c r="CR565" s="898"/>
      <c r="CS565" s="898"/>
      <c r="CT565" s="898"/>
      <c r="CU565" s="898"/>
    </row>
    <row r="566" ht="16.5" customHeight="1">
      <c r="A566" s="718"/>
      <c r="B566" s="1195"/>
      <c r="C566" s="866"/>
      <c r="D566" s="968"/>
      <c r="E566" s="718"/>
      <c r="F566" s="718"/>
      <c r="G566" s="718"/>
      <c r="H566" s="718"/>
      <c r="I566" s="359"/>
      <c r="J566" s="359"/>
      <c r="K566" s="359"/>
      <c r="L566" s="359"/>
      <c r="M566" s="359"/>
      <c r="N566" s="359"/>
      <c r="O566" s="359"/>
      <c r="P566" s="359"/>
      <c r="Q566" s="359"/>
      <c r="R566" s="718"/>
      <c r="S566" s="669"/>
      <c r="T566" s="669"/>
      <c r="U566" s="967"/>
      <c r="V566" s="974"/>
      <c r="W566" s="1197"/>
      <c r="X566" s="974"/>
      <c r="Y566" s="974"/>
      <c r="Z566" s="974"/>
      <c r="AA566" s="974"/>
      <c r="AB566" s="974"/>
      <c r="AC566" s="974"/>
      <c r="AD566" s="974"/>
      <c r="AE566" s="974"/>
      <c r="AF566" s="974"/>
      <c r="AG566" s="974"/>
      <c r="AH566" s="974"/>
      <c r="AI566" s="1198"/>
      <c r="AJ566" s="974"/>
      <c r="AK566" s="1197"/>
      <c r="AL566" s="974"/>
      <c r="AM566" s="974"/>
      <c r="AN566" s="974"/>
      <c r="AO566" s="974"/>
      <c r="AP566" s="974"/>
      <c r="AQ566" s="974"/>
      <c r="AR566" s="974"/>
      <c r="AS566" s="974"/>
      <c r="AT566" s="974"/>
      <c r="AU566" s="974"/>
      <c r="AV566" s="974"/>
      <c r="AW566" s="1181"/>
      <c r="AX566" s="978"/>
      <c r="AY566" s="898"/>
      <c r="AZ566" s="898"/>
      <c r="BA566" s="898"/>
      <c r="BB566" s="898"/>
      <c r="BC566" s="898"/>
      <c r="BD566" s="898"/>
      <c r="BE566" s="898"/>
      <c r="BF566" s="898"/>
      <c r="BG566" s="898"/>
      <c r="BH566" s="898"/>
      <c r="BI566" s="898"/>
      <c r="BJ566" s="898"/>
      <c r="BK566" s="898"/>
      <c r="BL566" s="898"/>
      <c r="BM566" s="898"/>
      <c r="BN566" s="898"/>
      <c r="BO566" s="898"/>
      <c r="BP566" s="898"/>
      <c r="BQ566" s="898"/>
      <c r="BR566" s="898"/>
      <c r="BS566" s="898"/>
      <c r="BT566" s="898"/>
      <c r="BU566" s="898"/>
      <c r="BV566" s="898"/>
      <c r="BW566" s="898"/>
      <c r="BX566" s="898"/>
      <c r="BY566" s="898"/>
      <c r="BZ566" s="898"/>
      <c r="CA566" s="898"/>
      <c r="CB566" s="898"/>
      <c r="CC566" s="898"/>
      <c r="CD566" s="898"/>
      <c r="CE566" s="898"/>
      <c r="CF566" s="898"/>
      <c r="CG566" s="898"/>
      <c r="CH566" s="898"/>
      <c r="CI566" s="898"/>
      <c r="CJ566" s="898"/>
      <c r="CK566" s="898"/>
      <c r="CL566" s="898"/>
      <c r="CM566" s="898"/>
      <c r="CN566" s="898"/>
      <c r="CO566" s="898"/>
      <c r="CP566" s="898"/>
      <c r="CQ566" s="898"/>
      <c r="CR566" s="898"/>
      <c r="CS566" s="898"/>
      <c r="CT566" s="898"/>
      <c r="CU566" s="898"/>
    </row>
    <row r="567" ht="16.5" customHeight="1">
      <c r="A567" s="718"/>
      <c r="B567" s="1195"/>
      <c r="C567" s="866"/>
      <c r="D567" s="968"/>
      <c r="E567" s="718"/>
      <c r="F567" s="718"/>
      <c r="G567" s="718"/>
      <c r="H567" s="718"/>
      <c r="I567" s="359"/>
      <c r="J567" s="359"/>
      <c r="K567" s="359"/>
      <c r="L567" s="359"/>
      <c r="M567" s="359"/>
      <c r="N567" s="359"/>
      <c r="O567" s="359"/>
      <c r="P567" s="359"/>
      <c r="Q567" s="359"/>
      <c r="R567" s="718"/>
      <c r="S567" s="669"/>
      <c r="T567" s="669"/>
      <c r="U567" s="967"/>
      <c r="V567" s="974"/>
      <c r="W567" s="1197"/>
      <c r="X567" s="974"/>
      <c r="Y567" s="974"/>
      <c r="Z567" s="974"/>
      <c r="AA567" s="974"/>
      <c r="AB567" s="974"/>
      <c r="AC567" s="974"/>
      <c r="AD567" s="974"/>
      <c r="AE567" s="974"/>
      <c r="AF567" s="974"/>
      <c r="AG567" s="974"/>
      <c r="AH567" s="974"/>
      <c r="AI567" s="1198"/>
      <c r="AJ567" s="974"/>
      <c r="AK567" s="1197"/>
      <c r="AL567" s="974"/>
      <c r="AM567" s="974"/>
      <c r="AN567" s="974"/>
      <c r="AO567" s="974"/>
      <c r="AP567" s="974"/>
      <c r="AQ567" s="974"/>
      <c r="AR567" s="974"/>
      <c r="AS567" s="974"/>
      <c r="AT567" s="974"/>
      <c r="AU567" s="974"/>
      <c r="AV567" s="974"/>
      <c r="AW567" s="1181"/>
      <c r="AX567" s="978"/>
      <c r="AY567" s="898"/>
      <c r="AZ567" s="898"/>
      <c r="BA567" s="898"/>
      <c r="BB567" s="898"/>
      <c r="BC567" s="898"/>
      <c r="BD567" s="898"/>
      <c r="BE567" s="898"/>
      <c r="BF567" s="898"/>
      <c r="BG567" s="898"/>
      <c r="BH567" s="898"/>
      <c r="BI567" s="898"/>
      <c r="BJ567" s="898"/>
      <c r="BK567" s="898"/>
      <c r="BL567" s="898"/>
      <c r="BM567" s="898"/>
      <c r="BN567" s="898"/>
      <c r="BO567" s="898"/>
      <c r="BP567" s="898"/>
      <c r="BQ567" s="898"/>
      <c r="BR567" s="898"/>
      <c r="BS567" s="898"/>
      <c r="BT567" s="898"/>
      <c r="BU567" s="898"/>
      <c r="BV567" s="898"/>
      <c r="BW567" s="898"/>
      <c r="BX567" s="898"/>
      <c r="BY567" s="898"/>
      <c r="BZ567" s="898"/>
      <c r="CA567" s="898"/>
      <c r="CB567" s="898"/>
      <c r="CC567" s="898"/>
      <c r="CD567" s="898"/>
      <c r="CE567" s="898"/>
      <c r="CF567" s="898"/>
      <c r="CG567" s="898"/>
      <c r="CH567" s="898"/>
      <c r="CI567" s="898"/>
      <c r="CJ567" s="898"/>
      <c r="CK567" s="898"/>
      <c r="CL567" s="898"/>
      <c r="CM567" s="898"/>
      <c r="CN567" s="898"/>
      <c r="CO567" s="898"/>
      <c r="CP567" s="898"/>
      <c r="CQ567" s="898"/>
      <c r="CR567" s="898"/>
      <c r="CS567" s="898"/>
      <c r="CT567" s="898"/>
      <c r="CU567" s="898"/>
    </row>
    <row r="568" ht="16.5" customHeight="1">
      <c r="A568" s="718"/>
      <c r="B568" s="1195"/>
      <c r="C568" s="866"/>
      <c r="D568" s="968"/>
      <c r="E568" s="718"/>
      <c r="F568" s="718"/>
      <c r="G568" s="718"/>
      <c r="H568" s="718"/>
      <c r="I568" s="359"/>
      <c r="J568" s="359"/>
      <c r="K568" s="359"/>
      <c r="L568" s="359"/>
      <c r="M568" s="359"/>
      <c r="N568" s="359"/>
      <c r="O568" s="359"/>
      <c r="P568" s="359"/>
      <c r="Q568" s="359"/>
      <c r="R568" s="718"/>
      <c r="S568" s="669"/>
      <c r="T568" s="669"/>
      <c r="U568" s="967"/>
      <c r="V568" s="974"/>
      <c r="W568" s="1197"/>
      <c r="X568" s="974"/>
      <c r="Y568" s="974"/>
      <c r="Z568" s="974"/>
      <c r="AA568" s="974"/>
      <c r="AB568" s="974"/>
      <c r="AC568" s="974"/>
      <c r="AD568" s="974"/>
      <c r="AE568" s="974"/>
      <c r="AF568" s="974"/>
      <c r="AG568" s="974"/>
      <c r="AH568" s="974"/>
      <c r="AI568" s="1198"/>
      <c r="AJ568" s="974"/>
      <c r="AK568" s="1197"/>
      <c r="AL568" s="974"/>
      <c r="AM568" s="974"/>
      <c r="AN568" s="974"/>
      <c r="AO568" s="974"/>
      <c r="AP568" s="974"/>
      <c r="AQ568" s="974"/>
      <c r="AR568" s="974"/>
      <c r="AS568" s="974"/>
      <c r="AT568" s="974"/>
      <c r="AU568" s="974"/>
      <c r="AV568" s="974"/>
      <c r="AW568" s="1181"/>
      <c r="AX568" s="978"/>
      <c r="AY568" s="898"/>
      <c r="AZ568" s="898"/>
      <c r="BA568" s="898"/>
      <c r="BB568" s="898"/>
      <c r="BC568" s="898"/>
      <c r="BD568" s="898"/>
      <c r="BE568" s="898"/>
      <c r="BF568" s="898"/>
      <c r="BG568" s="898"/>
      <c r="BH568" s="898"/>
      <c r="BI568" s="898"/>
      <c r="BJ568" s="898"/>
      <c r="BK568" s="898"/>
      <c r="BL568" s="898"/>
      <c r="BM568" s="898"/>
      <c r="BN568" s="898"/>
      <c r="BO568" s="898"/>
      <c r="BP568" s="898"/>
      <c r="BQ568" s="898"/>
      <c r="BR568" s="898"/>
      <c r="BS568" s="898"/>
      <c r="BT568" s="898"/>
      <c r="BU568" s="898"/>
      <c r="BV568" s="898"/>
      <c r="BW568" s="898"/>
      <c r="BX568" s="898"/>
      <c r="BY568" s="898"/>
      <c r="BZ568" s="898"/>
      <c r="CA568" s="898"/>
      <c r="CB568" s="898"/>
      <c r="CC568" s="898"/>
      <c r="CD568" s="898"/>
      <c r="CE568" s="898"/>
      <c r="CF568" s="898"/>
      <c r="CG568" s="898"/>
      <c r="CH568" s="898"/>
      <c r="CI568" s="898"/>
      <c r="CJ568" s="898"/>
      <c r="CK568" s="898"/>
      <c r="CL568" s="898"/>
      <c r="CM568" s="898"/>
      <c r="CN568" s="898"/>
      <c r="CO568" s="898"/>
      <c r="CP568" s="898"/>
      <c r="CQ568" s="898"/>
      <c r="CR568" s="898"/>
      <c r="CS568" s="898"/>
      <c r="CT568" s="898"/>
      <c r="CU568" s="898"/>
    </row>
    <row r="569" ht="16.5" customHeight="1">
      <c r="A569" s="718"/>
      <c r="B569" s="1195"/>
      <c r="C569" s="866"/>
      <c r="D569" s="968"/>
      <c r="E569" s="718"/>
      <c r="F569" s="718"/>
      <c r="G569" s="718"/>
      <c r="H569" s="718"/>
      <c r="I569" s="359"/>
      <c r="J569" s="359"/>
      <c r="K569" s="359"/>
      <c r="L569" s="359"/>
      <c r="M569" s="359"/>
      <c r="N569" s="359"/>
      <c r="O569" s="359"/>
      <c r="P569" s="359"/>
      <c r="Q569" s="359"/>
      <c r="R569" s="718"/>
      <c r="S569" s="669"/>
      <c r="T569" s="669"/>
      <c r="U569" s="967"/>
      <c r="V569" s="974"/>
      <c r="W569" s="1197"/>
      <c r="X569" s="974"/>
      <c r="Y569" s="974"/>
      <c r="Z569" s="974"/>
      <c r="AA569" s="974"/>
      <c r="AB569" s="974"/>
      <c r="AC569" s="974"/>
      <c r="AD569" s="974"/>
      <c r="AE569" s="974"/>
      <c r="AF569" s="974"/>
      <c r="AG569" s="974"/>
      <c r="AH569" s="974"/>
      <c r="AI569" s="1198"/>
      <c r="AJ569" s="974"/>
      <c r="AK569" s="1197"/>
      <c r="AL569" s="974"/>
      <c r="AM569" s="974"/>
      <c r="AN569" s="974"/>
      <c r="AO569" s="974"/>
      <c r="AP569" s="974"/>
      <c r="AQ569" s="974"/>
      <c r="AR569" s="974"/>
      <c r="AS569" s="974"/>
      <c r="AT569" s="974"/>
      <c r="AU569" s="974"/>
      <c r="AV569" s="974"/>
      <c r="AW569" s="1181"/>
      <c r="AX569" s="978"/>
      <c r="AY569" s="898"/>
      <c r="AZ569" s="898"/>
      <c r="BA569" s="898"/>
      <c r="BB569" s="898"/>
      <c r="BC569" s="898"/>
      <c r="BD569" s="898"/>
      <c r="BE569" s="898"/>
      <c r="BF569" s="898"/>
      <c r="BG569" s="898"/>
      <c r="BH569" s="898"/>
      <c r="BI569" s="898"/>
      <c r="BJ569" s="898"/>
      <c r="BK569" s="898"/>
      <c r="BL569" s="898"/>
      <c r="BM569" s="898"/>
      <c r="BN569" s="898"/>
      <c r="BO569" s="898"/>
      <c r="BP569" s="898"/>
      <c r="BQ569" s="898"/>
      <c r="BR569" s="898"/>
      <c r="BS569" s="898"/>
      <c r="BT569" s="898"/>
      <c r="BU569" s="898"/>
      <c r="BV569" s="898"/>
      <c r="BW569" s="898"/>
      <c r="BX569" s="898"/>
      <c r="BY569" s="898"/>
      <c r="BZ569" s="898"/>
      <c r="CA569" s="898"/>
      <c r="CB569" s="898"/>
      <c r="CC569" s="898"/>
      <c r="CD569" s="898"/>
      <c r="CE569" s="898"/>
      <c r="CF569" s="898"/>
      <c r="CG569" s="898"/>
      <c r="CH569" s="898"/>
      <c r="CI569" s="898"/>
      <c r="CJ569" s="898"/>
      <c r="CK569" s="898"/>
      <c r="CL569" s="898"/>
      <c r="CM569" s="898"/>
      <c r="CN569" s="898"/>
      <c r="CO569" s="898"/>
      <c r="CP569" s="898"/>
      <c r="CQ569" s="898"/>
      <c r="CR569" s="898"/>
      <c r="CS569" s="898"/>
      <c r="CT569" s="898"/>
      <c r="CU569" s="898"/>
    </row>
    <row r="570" ht="16.5" customHeight="1">
      <c r="A570" s="718"/>
      <c r="B570" s="1195"/>
      <c r="C570" s="866"/>
      <c r="D570" s="968"/>
      <c r="E570" s="718"/>
      <c r="F570" s="718"/>
      <c r="G570" s="718"/>
      <c r="H570" s="718"/>
      <c r="I570" s="359"/>
      <c r="J570" s="359"/>
      <c r="K570" s="359"/>
      <c r="L570" s="359"/>
      <c r="M570" s="359"/>
      <c r="N570" s="359"/>
      <c r="O570" s="359"/>
      <c r="P570" s="359"/>
      <c r="Q570" s="359"/>
      <c r="R570" s="718"/>
      <c r="S570" s="669"/>
      <c r="T570" s="669"/>
      <c r="U570" s="967"/>
      <c r="V570" s="974"/>
      <c r="W570" s="1197"/>
      <c r="X570" s="974"/>
      <c r="Y570" s="974"/>
      <c r="Z570" s="974"/>
      <c r="AA570" s="974"/>
      <c r="AB570" s="974"/>
      <c r="AC570" s="974"/>
      <c r="AD570" s="974"/>
      <c r="AE570" s="974"/>
      <c r="AF570" s="974"/>
      <c r="AG570" s="974"/>
      <c r="AH570" s="974"/>
      <c r="AI570" s="1198"/>
      <c r="AJ570" s="974"/>
      <c r="AK570" s="1197"/>
      <c r="AL570" s="974"/>
      <c r="AM570" s="974"/>
      <c r="AN570" s="974"/>
      <c r="AO570" s="974"/>
      <c r="AP570" s="974"/>
      <c r="AQ570" s="974"/>
      <c r="AR570" s="974"/>
      <c r="AS570" s="974"/>
      <c r="AT570" s="974"/>
      <c r="AU570" s="974"/>
      <c r="AV570" s="974"/>
      <c r="AW570" s="1181"/>
      <c r="AX570" s="978"/>
      <c r="AY570" s="898"/>
      <c r="AZ570" s="898"/>
      <c r="BA570" s="898"/>
      <c r="BB570" s="898"/>
      <c r="BC570" s="898"/>
      <c r="BD570" s="898"/>
      <c r="BE570" s="898"/>
      <c r="BF570" s="898"/>
      <c r="BG570" s="898"/>
      <c r="BH570" s="898"/>
      <c r="BI570" s="898"/>
      <c r="BJ570" s="898"/>
      <c r="BK570" s="898"/>
      <c r="BL570" s="898"/>
      <c r="BM570" s="898"/>
      <c r="BN570" s="898"/>
      <c r="BO570" s="898"/>
      <c r="BP570" s="898"/>
      <c r="BQ570" s="898"/>
      <c r="BR570" s="898"/>
      <c r="BS570" s="898"/>
      <c r="BT570" s="898"/>
      <c r="BU570" s="898"/>
      <c r="BV570" s="898"/>
      <c r="BW570" s="898"/>
      <c r="BX570" s="898"/>
      <c r="BY570" s="898"/>
      <c r="BZ570" s="898"/>
      <c r="CA570" s="898"/>
      <c r="CB570" s="898"/>
      <c r="CC570" s="898"/>
      <c r="CD570" s="898"/>
      <c r="CE570" s="898"/>
      <c r="CF570" s="898"/>
      <c r="CG570" s="898"/>
      <c r="CH570" s="898"/>
      <c r="CI570" s="898"/>
      <c r="CJ570" s="898"/>
      <c r="CK570" s="898"/>
      <c r="CL570" s="898"/>
      <c r="CM570" s="898"/>
      <c r="CN570" s="898"/>
      <c r="CO570" s="898"/>
      <c r="CP570" s="898"/>
      <c r="CQ570" s="898"/>
      <c r="CR570" s="898"/>
      <c r="CS570" s="898"/>
      <c r="CT570" s="898"/>
      <c r="CU570" s="898"/>
    </row>
    <row r="571" ht="16.5" customHeight="1">
      <c r="A571" s="718"/>
      <c r="B571" s="1195"/>
      <c r="C571" s="866"/>
      <c r="D571" s="968"/>
      <c r="E571" s="718"/>
      <c r="F571" s="718"/>
      <c r="G571" s="718"/>
      <c r="H571" s="718"/>
      <c r="I571" s="359"/>
      <c r="J571" s="359"/>
      <c r="K571" s="359"/>
      <c r="L571" s="359"/>
      <c r="M571" s="359"/>
      <c r="N571" s="359"/>
      <c r="O571" s="359"/>
      <c r="P571" s="359"/>
      <c r="Q571" s="359"/>
      <c r="R571" s="718"/>
      <c r="S571" s="669"/>
      <c r="T571" s="669"/>
      <c r="U571" s="967"/>
      <c r="V571" s="974"/>
      <c r="W571" s="1197"/>
      <c r="X571" s="974"/>
      <c r="Y571" s="974"/>
      <c r="Z571" s="974"/>
      <c r="AA571" s="974"/>
      <c r="AB571" s="974"/>
      <c r="AC571" s="974"/>
      <c r="AD571" s="974"/>
      <c r="AE571" s="974"/>
      <c r="AF571" s="974"/>
      <c r="AG571" s="974"/>
      <c r="AH571" s="974"/>
      <c r="AI571" s="1198"/>
      <c r="AJ571" s="974"/>
      <c r="AK571" s="1197"/>
      <c r="AL571" s="974"/>
      <c r="AM571" s="974"/>
      <c r="AN571" s="974"/>
      <c r="AO571" s="974"/>
      <c r="AP571" s="974"/>
      <c r="AQ571" s="974"/>
      <c r="AR571" s="974"/>
      <c r="AS571" s="974"/>
      <c r="AT571" s="974"/>
      <c r="AU571" s="974"/>
      <c r="AV571" s="974"/>
      <c r="AW571" s="1181"/>
      <c r="AX571" s="978"/>
      <c r="AY571" s="898"/>
      <c r="AZ571" s="898"/>
      <c r="BA571" s="898"/>
      <c r="BB571" s="898"/>
      <c r="BC571" s="898"/>
      <c r="BD571" s="898"/>
      <c r="BE571" s="898"/>
      <c r="BF571" s="898"/>
      <c r="BG571" s="898"/>
      <c r="BH571" s="898"/>
      <c r="BI571" s="898"/>
      <c r="BJ571" s="898"/>
      <c r="BK571" s="898"/>
      <c r="BL571" s="898"/>
      <c r="BM571" s="898"/>
      <c r="BN571" s="898"/>
      <c r="BO571" s="898"/>
      <c r="BP571" s="898"/>
      <c r="BQ571" s="898"/>
      <c r="BR571" s="898"/>
      <c r="BS571" s="898"/>
      <c r="BT571" s="898"/>
      <c r="BU571" s="898"/>
      <c r="BV571" s="898"/>
      <c r="BW571" s="898"/>
      <c r="BX571" s="898"/>
      <c r="BY571" s="898"/>
      <c r="BZ571" s="898"/>
      <c r="CA571" s="898"/>
      <c r="CB571" s="898"/>
      <c r="CC571" s="898"/>
      <c r="CD571" s="898"/>
      <c r="CE571" s="898"/>
      <c r="CF571" s="898"/>
      <c r="CG571" s="898"/>
      <c r="CH571" s="898"/>
      <c r="CI571" s="898"/>
      <c r="CJ571" s="898"/>
      <c r="CK571" s="898"/>
      <c r="CL571" s="898"/>
      <c r="CM571" s="898"/>
      <c r="CN571" s="898"/>
      <c r="CO571" s="898"/>
      <c r="CP571" s="898"/>
      <c r="CQ571" s="898"/>
      <c r="CR571" s="898"/>
      <c r="CS571" s="898"/>
      <c r="CT571" s="898"/>
      <c r="CU571" s="898"/>
    </row>
    <row r="572" ht="16.5" customHeight="1">
      <c r="A572" s="718"/>
      <c r="B572" s="1195"/>
      <c r="C572" s="866"/>
      <c r="D572" s="968"/>
      <c r="E572" s="718"/>
      <c r="F572" s="718"/>
      <c r="G572" s="718"/>
      <c r="H572" s="718"/>
      <c r="I572" s="359"/>
      <c r="J572" s="359"/>
      <c r="K572" s="359"/>
      <c r="L572" s="359"/>
      <c r="M572" s="359"/>
      <c r="N572" s="359"/>
      <c r="O572" s="359"/>
      <c r="P572" s="359"/>
      <c r="Q572" s="359"/>
      <c r="R572" s="718"/>
      <c r="S572" s="669"/>
      <c r="T572" s="669"/>
      <c r="U572" s="967"/>
      <c r="V572" s="974"/>
      <c r="W572" s="1197"/>
      <c r="X572" s="974"/>
      <c r="Y572" s="974"/>
      <c r="Z572" s="974"/>
      <c r="AA572" s="974"/>
      <c r="AB572" s="974"/>
      <c r="AC572" s="974"/>
      <c r="AD572" s="974"/>
      <c r="AE572" s="974"/>
      <c r="AF572" s="974"/>
      <c r="AG572" s="974"/>
      <c r="AH572" s="974"/>
      <c r="AI572" s="1198"/>
      <c r="AJ572" s="974"/>
      <c r="AK572" s="1197"/>
      <c r="AL572" s="974"/>
      <c r="AM572" s="974"/>
      <c r="AN572" s="974"/>
      <c r="AO572" s="974"/>
      <c r="AP572" s="974"/>
      <c r="AQ572" s="974"/>
      <c r="AR572" s="974"/>
      <c r="AS572" s="974"/>
      <c r="AT572" s="974"/>
      <c r="AU572" s="974"/>
      <c r="AV572" s="974"/>
      <c r="AW572" s="1181"/>
      <c r="AX572" s="978"/>
      <c r="AY572" s="898"/>
      <c r="AZ572" s="898"/>
      <c r="BA572" s="898"/>
      <c r="BB572" s="898"/>
      <c r="BC572" s="898"/>
      <c r="BD572" s="898"/>
      <c r="BE572" s="898"/>
      <c r="BF572" s="898"/>
      <c r="BG572" s="898"/>
      <c r="BH572" s="898"/>
      <c r="BI572" s="898"/>
      <c r="BJ572" s="898"/>
      <c r="BK572" s="898"/>
      <c r="BL572" s="898"/>
      <c r="BM572" s="898"/>
      <c r="BN572" s="898"/>
      <c r="BO572" s="898"/>
      <c r="BP572" s="898"/>
      <c r="BQ572" s="898"/>
      <c r="BR572" s="898"/>
      <c r="BS572" s="898"/>
      <c r="BT572" s="898"/>
      <c r="BU572" s="898"/>
      <c r="BV572" s="898"/>
      <c r="BW572" s="898"/>
      <c r="BX572" s="898"/>
      <c r="BY572" s="898"/>
      <c r="BZ572" s="898"/>
      <c r="CA572" s="898"/>
      <c r="CB572" s="898"/>
      <c r="CC572" s="898"/>
      <c r="CD572" s="898"/>
      <c r="CE572" s="898"/>
      <c r="CF572" s="898"/>
      <c r="CG572" s="898"/>
      <c r="CH572" s="898"/>
      <c r="CI572" s="898"/>
      <c r="CJ572" s="898"/>
      <c r="CK572" s="898"/>
      <c r="CL572" s="898"/>
      <c r="CM572" s="898"/>
      <c r="CN572" s="898"/>
      <c r="CO572" s="898"/>
      <c r="CP572" s="898"/>
      <c r="CQ572" s="898"/>
      <c r="CR572" s="898"/>
      <c r="CS572" s="898"/>
      <c r="CT572" s="898"/>
      <c r="CU572" s="898"/>
    </row>
    <row r="573" ht="16.5" customHeight="1">
      <c r="A573" s="718"/>
      <c r="B573" s="1195"/>
      <c r="C573" s="866"/>
      <c r="D573" s="968"/>
      <c r="E573" s="718"/>
      <c r="F573" s="718"/>
      <c r="G573" s="718"/>
      <c r="H573" s="718"/>
      <c r="I573" s="359"/>
      <c r="J573" s="359"/>
      <c r="K573" s="359"/>
      <c r="L573" s="359"/>
      <c r="M573" s="359"/>
      <c r="N573" s="359"/>
      <c r="O573" s="359"/>
      <c r="P573" s="359"/>
      <c r="Q573" s="359"/>
      <c r="R573" s="718"/>
      <c r="S573" s="669"/>
      <c r="T573" s="669"/>
      <c r="U573" s="967"/>
      <c r="V573" s="974"/>
      <c r="W573" s="1197"/>
      <c r="X573" s="974"/>
      <c r="Y573" s="974"/>
      <c r="Z573" s="974"/>
      <c r="AA573" s="974"/>
      <c r="AB573" s="974"/>
      <c r="AC573" s="974"/>
      <c r="AD573" s="974"/>
      <c r="AE573" s="974"/>
      <c r="AF573" s="974"/>
      <c r="AG573" s="974"/>
      <c r="AH573" s="974"/>
      <c r="AI573" s="1198"/>
      <c r="AJ573" s="974"/>
      <c r="AK573" s="1197"/>
      <c r="AL573" s="974"/>
      <c r="AM573" s="974"/>
      <c r="AN573" s="974"/>
      <c r="AO573" s="974"/>
      <c r="AP573" s="974"/>
      <c r="AQ573" s="974"/>
      <c r="AR573" s="974"/>
      <c r="AS573" s="974"/>
      <c r="AT573" s="974"/>
      <c r="AU573" s="974"/>
      <c r="AV573" s="974"/>
      <c r="AW573" s="1181"/>
      <c r="AX573" s="978"/>
      <c r="AY573" s="898"/>
      <c r="AZ573" s="898"/>
      <c r="BA573" s="898"/>
      <c r="BB573" s="898"/>
      <c r="BC573" s="898"/>
      <c r="BD573" s="898"/>
      <c r="BE573" s="898"/>
      <c r="BF573" s="898"/>
      <c r="BG573" s="898"/>
      <c r="BH573" s="898"/>
      <c r="BI573" s="898"/>
      <c r="BJ573" s="898"/>
      <c r="BK573" s="898"/>
      <c r="BL573" s="898"/>
      <c r="BM573" s="898"/>
      <c r="BN573" s="898"/>
      <c r="BO573" s="898"/>
      <c r="BP573" s="898"/>
      <c r="BQ573" s="898"/>
      <c r="BR573" s="898"/>
      <c r="BS573" s="898"/>
      <c r="BT573" s="898"/>
      <c r="BU573" s="898"/>
      <c r="BV573" s="898"/>
      <c r="BW573" s="898"/>
      <c r="BX573" s="898"/>
      <c r="BY573" s="898"/>
      <c r="BZ573" s="898"/>
      <c r="CA573" s="898"/>
      <c r="CB573" s="898"/>
      <c r="CC573" s="898"/>
      <c r="CD573" s="898"/>
      <c r="CE573" s="898"/>
      <c r="CF573" s="898"/>
      <c r="CG573" s="898"/>
      <c r="CH573" s="898"/>
      <c r="CI573" s="898"/>
      <c r="CJ573" s="898"/>
      <c r="CK573" s="898"/>
      <c r="CL573" s="898"/>
      <c r="CM573" s="898"/>
      <c r="CN573" s="898"/>
      <c r="CO573" s="898"/>
      <c r="CP573" s="898"/>
      <c r="CQ573" s="898"/>
      <c r="CR573" s="898"/>
      <c r="CS573" s="898"/>
      <c r="CT573" s="898"/>
      <c r="CU573" s="898"/>
    </row>
    <row r="574" ht="16.5" customHeight="1">
      <c r="A574" s="718"/>
      <c r="B574" s="1195"/>
      <c r="C574" s="866"/>
      <c r="D574" s="968"/>
      <c r="E574" s="718"/>
      <c r="F574" s="718"/>
      <c r="G574" s="718"/>
      <c r="H574" s="718"/>
      <c r="I574" s="359"/>
      <c r="J574" s="359"/>
      <c r="K574" s="359"/>
      <c r="L574" s="359"/>
      <c r="M574" s="359"/>
      <c r="N574" s="359"/>
      <c r="O574" s="359"/>
      <c r="P574" s="359"/>
      <c r="Q574" s="359"/>
      <c r="R574" s="718"/>
      <c r="S574" s="669"/>
      <c r="T574" s="669"/>
      <c r="U574" s="967"/>
      <c r="V574" s="974"/>
      <c r="W574" s="1197"/>
      <c r="X574" s="974"/>
      <c r="Y574" s="974"/>
      <c r="Z574" s="974"/>
      <c r="AA574" s="974"/>
      <c r="AB574" s="974"/>
      <c r="AC574" s="974"/>
      <c r="AD574" s="974"/>
      <c r="AE574" s="974"/>
      <c r="AF574" s="974"/>
      <c r="AG574" s="974"/>
      <c r="AH574" s="974"/>
      <c r="AI574" s="1198"/>
      <c r="AJ574" s="974"/>
      <c r="AK574" s="1197"/>
      <c r="AL574" s="974"/>
      <c r="AM574" s="974"/>
      <c r="AN574" s="974"/>
      <c r="AO574" s="974"/>
      <c r="AP574" s="974"/>
      <c r="AQ574" s="974"/>
      <c r="AR574" s="974"/>
      <c r="AS574" s="974"/>
      <c r="AT574" s="974"/>
      <c r="AU574" s="974"/>
      <c r="AV574" s="974"/>
      <c r="AW574" s="1181"/>
      <c r="AX574" s="978"/>
      <c r="AY574" s="898"/>
      <c r="AZ574" s="898"/>
      <c r="BA574" s="898"/>
      <c r="BB574" s="898"/>
      <c r="BC574" s="898"/>
      <c r="BD574" s="898"/>
      <c r="BE574" s="898"/>
      <c r="BF574" s="898"/>
      <c r="BG574" s="898"/>
      <c r="BH574" s="898"/>
      <c r="BI574" s="898"/>
      <c r="BJ574" s="898"/>
      <c r="BK574" s="898"/>
      <c r="BL574" s="898"/>
      <c r="BM574" s="898"/>
      <c r="BN574" s="898"/>
      <c r="BO574" s="898"/>
      <c r="BP574" s="898"/>
      <c r="BQ574" s="898"/>
      <c r="BR574" s="898"/>
      <c r="BS574" s="898"/>
      <c r="BT574" s="898"/>
      <c r="BU574" s="898"/>
      <c r="BV574" s="898"/>
      <c r="BW574" s="898"/>
      <c r="BX574" s="898"/>
      <c r="BY574" s="898"/>
      <c r="BZ574" s="898"/>
      <c r="CA574" s="898"/>
      <c r="CB574" s="898"/>
      <c r="CC574" s="898"/>
      <c r="CD574" s="898"/>
      <c r="CE574" s="898"/>
      <c r="CF574" s="898"/>
      <c r="CG574" s="898"/>
      <c r="CH574" s="898"/>
      <c r="CI574" s="898"/>
      <c r="CJ574" s="898"/>
      <c r="CK574" s="898"/>
      <c r="CL574" s="898"/>
      <c r="CM574" s="898"/>
      <c r="CN574" s="898"/>
      <c r="CO574" s="898"/>
      <c r="CP574" s="898"/>
      <c r="CQ574" s="898"/>
      <c r="CR574" s="898"/>
      <c r="CS574" s="898"/>
      <c r="CT574" s="898"/>
      <c r="CU574" s="898"/>
    </row>
    <row r="575" ht="16.5" customHeight="1">
      <c r="A575" s="718"/>
      <c r="B575" s="1195"/>
      <c r="C575" s="866"/>
      <c r="D575" s="968"/>
      <c r="E575" s="718"/>
      <c r="F575" s="718"/>
      <c r="G575" s="718"/>
      <c r="H575" s="718"/>
      <c r="I575" s="359"/>
      <c r="J575" s="359"/>
      <c r="K575" s="359"/>
      <c r="L575" s="359"/>
      <c r="M575" s="359"/>
      <c r="N575" s="359"/>
      <c r="O575" s="359"/>
      <c r="P575" s="359"/>
      <c r="Q575" s="359"/>
      <c r="R575" s="718"/>
      <c r="S575" s="669"/>
      <c r="T575" s="669"/>
      <c r="U575" s="967"/>
      <c r="V575" s="974"/>
      <c r="W575" s="1197"/>
      <c r="X575" s="974"/>
      <c r="Y575" s="974"/>
      <c r="Z575" s="974"/>
      <c r="AA575" s="974"/>
      <c r="AB575" s="974"/>
      <c r="AC575" s="974"/>
      <c r="AD575" s="974"/>
      <c r="AE575" s="974"/>
      <c r="AF575" s="974"/>
      <c r="AG575" s="974"/>
      <c r="AH575" s="974"/>
      <c r="AI575" s="1198"/>
      <c r="AJ575" s="974"/>
      <c r="AK575" s="1197"/>
      <c r="AL575" s="974"/>
      <c r="AM575" s="974"/>
      <c r="AN575" s="974"/>
      <c r="AO575" s="974"/>
      <c r="AP575" s="974"/>
      <c r="AQ575" s="974"/>
      <c r="AR575" s="974"/>
      <c r="AS575" s="974"/>
      <c r="AT575" s="974"/>
      <c r="AU575" s="974"/>
      <c r="AV575" s="974"/>
      <c r="AW575" s="1181"/>
      <c r="AX575" s="978"/>
      <c r="AY575" s="898"/>
      <c r="AZ575" s="898"/>
      <c r="BA575" s="898"/>
      <c r="BB575" s="898"/>
      <c r="BC575" s="898"/>
      <c r="BD575" s="898"/>
      <c r="BE575" s="898"/>
      <c r="BF575" s="898"/>
      <c r="BG575" s="898"/>
      <c r="BH575" s="898"/>
      <c r="BI575" s="898"/>
      <c r="BJ575" s="898"/>
      <c r="BK575" s="898"/>
      <c r="BL575" s="898"/>
      <c r="BM575" s="898"/>
      <c r="BN575" s="898"/>
      <c r="BO575" s="898"/>
      <c r="BP575" s="898"/>
      <c r="BQ575" s="898"/>
      <c r="BR575" s="898"/>
      <c r="BS575" s="898"/>
      <c r="BT575" s="898"/>
      <c r="BU575" s="898"/>
      <c r="BV575" s="898"/>
      <c r="BW575" s="898"/>
      <c r="BX575" s="898"/>
      <c r="BY575" s="898"/>
      <c r="BZ575" s="898"/>
      <c r="CA575" s="898"/>
      <c r="CB575" s="898"/>
      <c r="CC575" s="898"/>
      <c r="CD575" s="898"/>
      <c r="CE575" s="898"/>
      <c r="CF575" s="898"/>
      <c r="CG575" s="898"/>
      <c r="CH575" s="898"/>
      <c r="CI575" s="898"/>
      <c r="CJ575" s="898"/>
      <c r="CK575" s="898"/>
      <c r="CL575" s="898"/>
      <c r="CM575" s="898"/>
      <c r="CN575" s="898"/>
      <c r="CO575" s="898"/>
      <c r="CP575" s="898"/>
      <c r="CQ575" s="898"/>
      <c r="CR575" s="898"/>
      <c r="CS575" s="898"/>
      <c r="CT575" s="898"/>
      <c r="CU575" s="898"/>
    </row>
    <row r="576" ht="16.5" customHeight="1">
      <c r="A576" s="718"/>
      <c r="B576" s="1195"/>
      <c r="C576" s="866"/>
      <c r="D576" s="968"/>
      <c r="E576" s="718"/>
      <c r="F576" s="718"/>
      <c r="G576" s="718"/>
      <c r="H576" s="718"/>
      <c r="I576" s="359"/>
      <c r="J576" s="359"/>
      <c r="K576" s="359"/>
      <c r="L576" s="359"/>
      <c r="M576" s="359"/>
      <c r="N576" s="359"/>
      <c r="O576" s="359"/>
      <c r="P576" s="359"/>
      <c r="Q576" s="359"/>
      <c r="R576" s="718"/>
      <c r="S576" s="669"/>
      <c r="T576" s="669"/>
      <c r="U576" s="967"/>
      <c r="V576" s="974"/>
      <c r="W576" s="1197"/>
      <c r="X576" s="974"/>
      <c r="Y576" s="974"/>
      <c r="Z576" s="974"/>
      <c r="AA576" s="974"/>
      <c r="AB576" s="974"/>
      <c r="AC576" s="974"/>
      <c r="AD576" s="974"/>
      <c r="AE576" s="974"/>
      <c r="AF576" s="974"/>
      <c r="AG576" s="974"/>
      <c r="AH576" s="974"/>
      <c r="AI576" s="1198"/>
      <c r="AJ576" s="974"/>
      <c r="AK576" s="1197"/>
      <c r="AL576" s="974"/>
      <c r="AM576" s="974"/>
      <c r="AN576" s="974"/>
      <c r="AO576" s="974"/>
      <c r="AP576" s="974"/>
      <c r="AQ576" s="974"/>
      <c r="AR576" s="974"/>
      <c r="AS576" s="974"/>
      <c r="AT576" s="974"/>
      <c r="AU576" s="974"/>
      <c r="AV576" s="974"/>
      <c r="AW576" s="1181"/>
      <c r="AX576" s="978"/>
      <c r="AY576" s="898"/>
      <c r="AZ576" s="898"/>
      <c r="BA576" s="898"/>
      <c r="BB576" s="898"/>
      <c r="BC576" s="898"/>
      <c r="BD576" s="898"/>
      <c r="BE576" s="898"/>
      <c r="BF576" s="898"/>
      <c r="BG576" s="898"/>
      <c r="BH576" s="898"/>
      <c r="BI576" s="898"/>
      <c r="BJ576" s="898"/>
      <c r="BK576" s="898"/>
      <c r="BL576" s="898"/>
      <c r="BM576" s="898"/>
      <c r="BN576" s="898"/>
      <c r="BO576" s="898"/>
      <c r="BP576" s="898"/>
      <c r="BQ576" s="898"/>
      <c r="BR576" s="898"/>
      <c r="BS576" s="898"/>
      <c r="BT576" s="898"/>
      <c r="BU576" s="898"/>
      <c r="BV576" s="898"/>
      <c r="BW576" s="898"/>
      <c r="BX576" s="898"/>
      <c r="BY576" s="898"/>
      <c r="BZ576" s="898"/>
      <c r="CA576" s="898"/>
      <c r="CB576" s="898"/>
      <c r="CC576" s="898"/>
      <c r="CD576" s="898"/>
      <c r="CE576" s="898"/>
      <c r="CF576" s="898"/>
      <c r="CG576" s="898"/>
      <c r="CH576" s="898"/>
      <c r="CI576" s="898"/>
      <c r="CJ576" s="898"/>
      <c r="CK576" s="898"/>
      <c r="CL576" s="898"/>
      <c r="CM576" s="898"/>
      <c r="CN576" s="898"/>
      <c r="CO576" s="898"/>
      <c r="CP576" s="898"/>
      <c r="CQ576" s="898"/>
      <c r="CR576" s="898"/>
      <c r="CS576" s="898"/>
      <c r="CT576" s="898"/>
      <c r="CU576" s="898"/>
    </row>
    <row r="577" ht="16.5" customHeight="1">
      <c r="A577" s="718"/>
      <c r="B577" s="1195"/>
      <c r="C577" s="866"/>
      <c r="D577" s="968"/>
      <c r="E577" s="718"/>
      <c r="F577" s="718"/>
      <c r="G577" s="718"/>
      <c r="H577" s="718"/>
      <c r="I577" s="359"/>
      <c r="J577" s="359"/>
      <c r="K577" s="359"/>
      <c r="L577" s="359"/>
      <c r="M577" s="359"/>
      <c r="N577" s="359"/>
      <c r="O577" s="359"/>
      <c r="P577" s="359"/>
      <c r="Q577" s="359"/>
      <c r="R577" s="718"/>
      <c r="S577" s="669"/>
      <c r="T577" s="669"/>
      <c r="U577" s="967"/>
      <c r="V577" s="974"/>
      <c r="W577" s="1197"/>
      <c r="X577" s="974"/>
      <c r="Y577" s="974"/>
      <c r="Z577" s="974"/>
      <c r="AA577" s="974"/>
      <c r="AB577" s="974"/>
      <c r="AC577" s="974"/>
      <c r="AD577" s="974"/>
      <c r="AE577" s="974"/>
      <c r="AF577" s="974"/>
      <c r="AG577" s="974"/>
      <c r="AH577" s="974"/>
      <c r="AI577" s="1198"/>
      <c r="AJ577" s="974"/>
      <c r="AK577" s="1197"/>
      <c r="AL577" s="974"/>
      <c r="AM577" s="974"/>
      <c r="AN577" s="974"/>
      <c r="AO577" s="974"/>
      <c r="AP577" s="974"/>
      <c r="AQ577" s="974"/>
      <c r="AR577" s="974"/>
      <c r="AS577" s="974"/>
      <c r="AT577" s="974"/>
      <c r="AU577" s="974"/>
      <c r="AV577" s="974"/>
      <c r="AW577" s="1181"/>
      <c r="AX577" s="978"/>
      <c r="AY577" s="898"/>
      <c r="AZ577" s="898"/>
      <c r="BA577" s="898"/>
      <c r="BB577" s="898"/>
      <c r="BC577" s="898"/>
      <c r="BD577" s="898"/>
      <c r="BE577" s="898"/>
      <c r="BF577" s="898"/>
      <c r="BG577" s="898"/>
      <c r="BH577" s="898"/>
      <c r="BI577" s="898"/>
      <c r="BJ577" s="898"/>
      <c r="BK577" s="898"/>
      <c r="BL577" s="898"/>
      <c r="BM577" s="898"/>
      <c r="BN577" s="898"/>
      <c r="BO577" s="898"/>
      <c r="BP577" s="898"/>
      <c r="BQ577" s="898"/>
      <c r="BR577" s="898"/>
      <c r="BS577" s="898"/>
      <c r="BT577" s="898"/>
      <c r="BU577" s="898"/>
      <c r="BV577" s="898"/>
      <c r="BW577" s="898"/>
      <c r="BX577" s="898"/>
      <c r="BY577" s="898"/>
      <c r="BZ577" s="898"/>
      <c r="CA577" s="898"/>
      <c r="CB577" s="898"/>
      <c r="CC577" s="898"/>
      <c r="CD577" s="898"/>
      <c r="CE577" s="898"/>
      <c r="CF577" s="898"/>
      <c r="CG577" s="898"/>
      <c r="CH577" s="898"/>
      <c r="CI577" s="898"/>
      <c r="CJ577" s="898"/>
      <c r="CK577" s="898"/>
      <c r="CL577" s="898"/>
      <c r="CM577" s="898"/>
      <c r="CN577" s="898"/>
      <c r="CO577" s="898"/>
      <c r="CP577" s="898"/>
      <c r="CQ577" s="898"/>
      <c r="CR577" s="898"/>
      <c r="CS577" s="898"/>
      <c r="CT577" s="898"/>
      <c r="CU577" s="898"/>
    </row>
    <row r="578" ht="16.5" customHeight="1">
      <c r="A578" s="718"/>
      <c r="B578" s="1195"/>
      <c r="C578" s="866"/>
      <c r="D578" s="968"/>
      <c r="E578" s="718"/>
      <c r="F578" s="718"/>
      <c r="G578" s="718"/>
      <c r="H578" s="718"/>
      <c r="I578" s="359"/>
      <c r="J578" s="359"/>
      <c r="K578" s="359"/>
      <c r="L578" s="359"/>
      <c r="M578" s="359"/>
      <c r="N578" s="359"/>
      <c r="O578" s="359"/>
      <c r="P578" s="359"/>
      <c r="Q578" s="359"/>
      <c r="R578" s="718"/>
      <c r="S578" s="669"/>
      <c r="T578" s="669"/>
      <c r="U578" s="967"/>
      <c r="V578" s="974"/>
      <c r="W578" s="1197"/>
      <c r="X578" s="974"/>
      <c r="Y578" s="974"/>
      <c r="Z578" s="974"/>
      <c r="AA578" s="974"/>
      <c r="AB578" s="974"/>
      <c r="AC578" s="974"/>
      <c r="AD578" s="974"/>
      <c r="AE578" s="974"/>
      <c r="AF578" s="974"/>
      <c r="AG578" s="974"/>
      <c r="AH578" s="974"/>
      <c r="AI578" s="1198"/>
      <c r="AJ578" s="974"/>
      <c r="AK578" s="1197"/>
      <c r="AL578" s="974"/>
      <c r="AM578" s="974"/>
      <c r="AN578" s="974"/>
      <c r="AO578" s="974"/>
      <c r="AP578" s="974"/>
      <c r="AQ578" s="974"/>
      <c r="AR578" s="974"/>
      <c r="AS578" s="974"/>
      <c r="AT578" s="974"/>
      <c r="AU578" s="974"/>
      <c r="AV578" s="974"/>
      <c r="AW578" s="1181"/>
      <c r="AX578" s="978"/>
      <c r="AY578" s="898"/>
      <c r="AZ578" s="898"/>
      <c r="BA578" s="898"/>
      <c r="BB578" s="898"/>
      <c r="BC578" s="898"/>
      <c r="BD578" s="898"/>
      <c r="BE578" s="898"/>
      <c r="BF578" s="898"/>
      <c r="BG578" s="898"/>
      <c r="BH578" s="898"/>
      <c r="BI578" s="898"/>
      <c r="BJ578" s="898"/>
      <c r="BK578" s="898"/>
      <c r="BL578" s="898"/>
      <c r="BM578" s="898"/>
      <c r="BN578" s="898"/>
      <c r="BO578" s="898"/>
      <c r="BP578" s="898"/>
      <c r="BQ578" s="898"/>
      <c r="BR578" s="898"/>
      <c r="BS578" s="898"/>
      <c r="BT578" s="898"/>
      <c r="BU578" s="898"/>
      <c r="BV578" s="898"/>
      <c r="BW578" s="898"/>
      <c r="BX578" s="898"/>
      <c r="BY578" s="898"/>
      <c r="BZ578" s="898"/>
      <c r="CA578" s="898"/>
      <c r="CB578" s="898"/>
      <c r="CC578" s="898"/>
      <c r="CD578" s="898"/>
      <c r="CE578" s="898"/>
      <c r="CF578" s="898"/>
      <c r="CG578" s="898"/>
      <c r="CH578" s="898"/>
      <c r="CI578" s="898"/>
      <c r="CJ578" s="898"/>
      <c r="CK578" s="898"/>
      <c r="CL578" s="898"/>
      <c r="CM578" s="898"/>
      <c r="CN578" s="898"/>
      <c r="CO578" s="898"/>
      <c r="CP578" s="898"/>
      <c r="CQ578" s="898"/>
      <c r="CR578" s="898"/>
      <c r="CS578" s="898"/>
      <c r="CT578" s="898"/>
      <c r="CU578" s="898"/>
    </row>
    <row r="579" ht="16.5" customHeight="1">
      <c r="A579" s="718"/>
      <c r="B579" s="1195"/>
      <c r="C579" s="866"/>
      <c r="D579" s="968"/>
      <c r="E579" s="718"/>
      <c r="F579" s="718"/>
      <c r="G579" s="718"/>
      <c r="H579" s="718"/>
      <c r="I579" s="359"/>
      <c r="J579" s="359"/>
      <c r="K579" s="359"/>
      <c r="L579" s="359"/>
      <c r="M579" s="359"/>
      <c r="N579" s="359"/>
      <c r="O579" s="359"/>
      <c r="P579" s="359"/>
      <c r="Q579" s="359"/>
      <c r="R579" s="718"/>
      <c r="S579" s="669"/>
      <c r="T579" s="669"/>
      <c r="U579" s="967"/>
      <c r="V579" s="974"/>
      <c r="W579" s="1197"/>
      <c r="X579" s="974"/>
      <c r="Y579" s="974"/>
      <c r="Z579" s="974"/>
      <c r="AA579" s="974"/>
      <c r="AB579" s="974"/>
      <c r="AC579" s="974"/>
      <c r="AD579" s="974"/>
      <c r="AE579" s="974"/>
      <c r="AF579" s="974"/>
      <c r="AG579" s="974"/>
      <c r="AH579" s="974"/>
      <c r="AI579" s="1198"/>
      <c r="AJ579" s="974"/>
      <c r="AK579" s="1197"/>
      <c r="AL579" s="974"/>
      <c r="AM579" s="974"/>
      <c r="AN579" s="974"/>
      <c r="AO579" s="974"/>
      <c r="AP579" s="974"/>
      <c r="AQ579" s="974"/>
      <c r="AR579" s="974"/>
      <c r="AS579" s="974"/>
      <c r="AT579" s="974"/>
      <c r="AU579" s="974"/>
      <c r="AV579" s="974"/>
      <c r="AW579" s="1181"/>
      <c r="AX579" s="978"/>
      <c r="AY579" s="898"/>
      <c r="AZ579" s="898"/>
      <c r="BA579" s="898"/>
      <c r="BB579" s="898"/>
      <c r="BC579" s="898"/>
      <c r="BD579" s="898"/>
      <c r="BE579" s="898"/>
      <c r="BF579" s="898"/>
      <c r="BG579" s="898"/>
      <c r="BH579" s="898"/>
      <c r="BI579" s="898"/>
      <c r="BJ579" s="898"/>
      <c r="BK579" s="898"/>
      <c r="BL579" s="898"/>
      <c r="BM579" s="898"/>
      <c r="BN579" s="898"/>
      <c r="BO579" s="898"/>
      <c r="BP579" s="898"/>
      <c r="BQ579" s="898"/>
      <c r="BR579" s="898"/>
      <c r="BS579" s="898"/>
      <c r="BT579" s="898"/>
      <c r="BU579" s="898"/>
      <c r="BV579" s="898"/>
      <c r="BW579" s="898"/>
      <c r="BX579" s="898"/>
      <c r="BY579" s="898"/>
      <c r="BZ579" s="898"/>
      <c r="CA579" s="898"/>
      <c r="CB579" s="898"/>
      <c r="CC579" s="898"/>
      <c r="CD579" s="898"/>
      <c r="CE579" s="898"/>
      <c r="CF579" s="898"/>
      <c r="CG579" s="898"/>
      <c r="CH579" s="898"/>
      <c r="CI579" s="898"/>
      <c r="CJ579" s="898"/>
      <c r="CK579" s="898"/>
      <c r="CL579" s="898"/>
      <c r="CM579" s="898"/>
      <c r="CN579" s="898"/>
      <c r="CO579" s="898"/>
      <c r="CP579" s="898"/>
      <c r="CQ579" s="898"/>
      <c r="CR579" s="898"/>
      <c r="CS579" s="898"/>
      <c r="CT579" s="898"/>
      <c r="CU579" s="898"/>
    </row>
    <row r="580" ht="16.5" customHeight="1">
      <c r="A580" s="718"/>
      <c r="B580" s="1195"/>
      <c r="C580" s="866"/>
      <c r="D580" s="968"/>
      <c r="E580" s="718"/>
      <c r="F580" s="718"/>
      <c r="G580" s="718"/>
      <c r="H580" s="718"/>
      <c r="I580" s="359"/>
      <c r="J580" s="359"/>
      <c r="K580" s="359"/>
      <c r="L580" s="359"/>
      <c r="M580" s="359"/>
      <c r="N580" s="359"/>
      <c r="O580" s="359"/>
      <c r="P580" s="359"/>
      <c r="Q580" s="359"/>
      <c r="R580" s="718"/>
      <c r="S580" s="669"/>
      <c r="T580" s="669"/>
      <c r="U580" s="967"/>
      <c r="V580" s="974"/>
      <c r="W580" s="1197"/>
      <c r="X580" s="974"/>
      <c r="Y580" s="974"/>
      <c r="Z580" s="974"/>
      <c r="AA580" s="974"/>
      <c r="AB580" s="974"/>
      <c r="AC580" s="974"/>
      <c r="AD580" s="974"/>
      <c r="AE580" s="974"/>
      <c r="AF580" s="974"/>
      <c r="AG580" s="974"/>
      <c r="AH580" s="974"/>
      <c r="AI580" s="1198"/>
      <c r="AJ580" s="974"/>
      <c r="AK580" s="1197"/>
      <c r="AL580" s="974"/>
      <c r="AM580" s="974"/>
      <c r="AN580" s="974"/>
      <c r="AO580" s="974"/>
      <c r="AP580" s="974"/>
      <c r="AQ580" s="974"/>
      <c r="AR580" s="974"/>
      <c r="AS580" s="974"/>
      <c r="AT580" s="974"/>
      <c r="AU580" s="974"/>
      <c r="AV580" s="974"/>
      <c r="AW580" s="1181"/>
      <c r="AX580" s="978"/>
      <c r="AY580" s="898"/>
      <c r="AZ580" s="898"/>
      <c r="BA580" s="898"/>
      <c r="BB580" s="898"/>
      <c r="BC580" s="898"/>
      <c r="BD580" s="898"/>
      <c r="BE580" s="898"/>
      <c r="BF580" s="898"/>
      <c r="BG580" s="898"/>
      <c r="BH580" s="898"/>
      <c r="BI580" s="898"/>
      <c r="BJ580" s="898"/>
      <c r="BK580" s="898"/>
      <c r="BL580" s="898"/>
      <c r="BM580" s="898"/>
      <c r="BN580" s="898"/>
      <c r="BO580" s="898"/>
      <c r="BP580" s="898"/>
      <c r="BQ580" s="898"/>
      <c r="BR580" s="898"/>
      <c r="BS580" s="898"/>
      <c r="BT580" s="898"/>
      <c r="BU580" s="898"/>
      <c r="BV580" s="898"/>
      <c r="BW580" s="898"/>
      <c r="BX580" s="898"/>
      <c r="BY580" s="898"/>
      <c r="BZ580" s="898"/>
      <c r="CA580" s="898"/>
      <c r="CB580" s="898"/>
      <c r="CC580" s="898"/>
      <c r="CD580" s="898"/>
      <c r="CE580" s="898"/>
      <c r="CF580" s="898"/>
      <c r="CG580" s="898"/>
      <c r="CH580" s="898"/>
      <c r="CI580" s="898"/>
      <c r="CJ580" s="898"/>
      <c r="CK580" s="898"/>
      <c r="CL580" s="898"/>
      <c r="CM580" s="898"/>
      <c r="CN580" s="898"/>
      <c r="CO580" s="898"/>
      <c r="CP580" s="898"/>
      <c r="CQ580" s="898"/>
      <c r="CR580" s="898"/>
      <c r="CS580" s="898"/>
      <c r="CT580" s="898"/>
      <c r="CU580" s="898"/>
    </row>
    <row r="581" ht="16.5" customHeight="1">
      <c r="A581" s="718"/>
      <c r="B581" s="1195"/>
      <c r="C581" s="866"/>
      <c r="D581" s="968"/>
      <c r="E581" s="718"/>
      <c r="F581" s="718"/>
      <c r="G581" s="718"/>
      <c r="H581" s="718"/>
      <c r="I581" s="359"/>
      <c r="J581" s="359"/>
      <c r="K581" s="359"/>
      <c r="L581" s="359"/>
      <c r="M581" s="359"/>
      <c r="N581" s="359"/>
      <c r="O581" s="359"/>
      <c r="P581" s="359"/>
      <c r="Q581" s="359"/>
      <c r="R581" s="718"/>
      <c r="S581" s="669"/>
      <c r="T581" s="669"/>
      <c r="U581" s="967"/>
      <c r="V581" s="974"/>
      <c r="W581" s="1197"/>
      <c r="X581" s="974"/>
      <c r="Y581" s="974"/>
      <c r="Z581" s="974"/>
      <c r="AA581" s="974"/>
      <c r="AB581" s="974"/>
      <c r="AC581" s="974"/>
      <c r="AD581" s="974"/>
      <c r="AE581" s="974"/>
      <c r="AF581" s="974"/>
      <c r="AG581" s="974"/>
      <c r="AH581" s="974"/>
      <c r="AI581" s="1198"/>
      <c r="AJ581" s="974"/>
      <c r="AK581" s="1197"/>
      <c r="AL581" s="974"/>
      <c r="AM581" s="974"/>
      <c r="AN581" s="974"/>
      <c r="AO581" s="974"/>
      <c r="AP581" s="974"/>
      <c r="AQ581" s="974"/>
      <c r="AR581" s="974"/>
      <c r="AS581" s="974"/>
      <c r="AT581" s="974"/>
      <c r="AU581" s="974"/>
      <c r="AV581" s="974"/>
      <c r="AW581" s="1181"/>
      <c r="AX581" s="978"/>
      <c r="AY581" s="898"/>
      <c r="AZ581" s="898"/>
      <c r="BA581" s="898"/>
      <c r="BB581" s="898"/>
      <c r="BC581" s="898"/>
      <c r="BD581" s="898"/>
      <c r="BE581" s="898"/>
      <c r="BF581" s="898"/>
      <c r="BG581" s="898"/>
      <c r="BH581" s="898"/>
      <c r="BI581" s="898"/>
      <c r="BJ581" s="898"/>
      <c r="BK581" s="898"/>
      <c r="BL581" s="898"/>
      <c r="BM581" s="898"/>
      <c r="BN581" s="898"/>
      <c r="BO581" s="898"/>
      <c r="BP581" s="898"/>
      <c r="BQ581" s="898"/>
      <c r="BR581" s="898"/>
      <c r="BS581" s="898"/>
      <c r="BT581" s="898"/>
      <c r="BU581" s="898"/>
      <c r="BV581" s="898"/>
      <c r="BW581" s="898"/>
      <c r="BX581" s="898"/>
      <c r="BY581" s="898"/>
      <c r="BZ581" s="898"/>
      <c r="CA581" s="898"/>
      <c r="CB581" s="898"/>
      <c r="CC581" s="898"/>
      <c r="CD581" s="898"/>
      <c r="CE581" s="898"/>
      <c r="CF581" s="898"/>
      <c r="CG581" s="898"/>
      <c r="CH581" s="898"/>
      <c r="CI581" s="898"/>
      <c r="CJ581" s="898"/>
      <c r="CK581" s="898"/>
      <c r="CL581" s="898"/>
      <c r="CM581" s="898"/>
      <c r="CN581" s="898"/>
      <c r="CO581" s="898"/>
      <c r="CP581" s="898"/>
      <c r="CQ581" s="898"/>
      <c r="CR581" s="898"/>
      <c r="CS581" s="898"/>
      <c r="CT581" s="898"/>
      <c r="CU581" s="898"/>
    </row>
    <row r="582" ht="16.5" customHeight="1">
      <c r="A582" s="718"/>
      <c r="B582" s="1195"/>
      <c r="C582" s="866"/>
      <c r="D582" s="968"/>
      <c r="E582" s="718"/>
      <c r="F582" s="718"/>
      <c r="G582" s="718"/>
      <c r="H582" s="718"/>
      <c r="I582" s="359"/>
      <c r="J582" s="359"/>
      <c r="K582" s="359"/>
      <c r="L582" s="359"/>
      <c r="M582" s="359"/>
      <c r="N582" s="359"/>
      <c r="O582" s="359"/>
      <c r="P582" s="359"/>
      <c r="Q582" s="359"/>
      <c r="R582" s="718"/>
      <c r="S582" s="669"/>
      <c r="T582" s="669"/>
      <c r="U582" s="967"/>
      <c r="V582" s="974"/>
      <c r="W582" s="1197"/>
      <c r="X582" s="974"/>
      <c r="Y582" s="974"/>
      <c r="Z582" s="974"/>
      <c r="AA582" s="974"/>
      <c r="AB582" s="974"/>
      <c r="AC582" s="974"/>
      <c r="AD582" s="974"/>
      <c r="AE582" s="974"/>
      <c r="AF582" s="974"/>
      <c r="AG582" s="974"/>
      <c r="AH582" s="974"/>
      <c r="AI582" s="1198"/>
      <c r="AJ582" s="974"/>
      <c r="AK582" s="1197"/>
      <c r="AL582" s="974"/>
      <c r="AM582" s="974"/>
      <c r="AN582" s="974"/>
      <c r="AO582" s="974"/>
      <c r="AP582" s="974"/>
      <c r="AQ582" s="974"/>
      <c r="AR582" s="974"/>
      <c r="AS582" s="974"/>
      <c r="AT582" s="974"/>
      <c r="AU582" s="974"/>
      <c r="AV582" s="974"/>
      <c r="AW582" s="1181"/>
      <c r="AX582" s="978"/>
      <c r="AY582" s="898"/>
      <c r="AZ582" s="898"/>
      <c r="BA582" s="898"/>
      <c r="BB582" s="898"/>
      <c r="BC582" s="898"/>
      <c r="BD582" s="898"/>
      <c r="BE582" s="898"/>
      <c r="BF582" s="898"/>
      <c r="BG582" s="898"/>
      <c r="BH582" s="898"/>
      <c r="BI582" s="898"/>
      <c r="BJ582" s="898"/>
      <c r="BK582" s="898"/>
      <c r="BL582" s="898"/>
      <c r="BM582" s="898"/>
      <c r="BN582" s="898"/>
      <c r="BO582" s="898"/>
      <c r="BP582" s="898"/>
      <c r="BQ582" s="898"/>
      <c r="BR582" s="898"/>
      <c r="BS582" s="898"/>
      <c r="BT582" s="898"/>
      <c r="BU582" s="898"/>
      <c r="BV582" s="898"/>
      <c r="BW582" s="898"/>
      <c r="BX582" s="898"/>
      <c r="BY582" s="898"/>
      <c r="BZ582" s="898"/>
      <c r="CA582" s="898"/>
      <c r="CB582" s="898"/>
      <c r="CC582" s="898"/>
      <c r="CD582" s="898"/>
      <c r="CE582" s="898"/>
      <c r="CF582" s="898"/>
      <c r="CG582" s="898"/>
      <c r="CH582" s="898"/>
      <c r="CI582" s="898"/>
      <c r="CJ582" s="898"/>
      <c r="CK582" s="898"/>
      <c r="CL582" s="898"/>
      <c r="CM582" s="898"/>
      <c r="CN582" s="898"/>
      <c r="CO582" s="898"/>
      <c r="CP582" s="898"/>
      <c r="CQ582" s="898"/>
      <c r="CR582" s="898"/>
      <c r="CS582" s="898"/>
      <c r="CT582" s="898"/>
      <c r="CU582" s="898"/>
    </row>
    <row r="583" ht="16.5" customHeight="1">
      <c r="A583" s="718"/>
      <c r="B583" s="1195"/>
      <c r="C583" s="866"/>
      <c r="D583" s="968"/>
      <c r="E583" s="718"/>
      <c r="F583" s="718"/>
      <c r="G583" s="718"/>
      <c r="H583" s="718"/>
      <c r="I583" s="359"/>
      <c r="J583" s="359"/>
      <c r="K583" s="359"/>
      <c r="L583" s="359"/>
      <c r="M583" s="359"/>
      <c r="N583" s="359"/>
      <c r="O583" s="359"/>
      <c r="P583" s="359"/>
      <c r="Q583" s="359"/>
      <c r="R583" s="718"/>
      <c r="S583" s="669"/>
      <c r="T583" s="669"/>
      <c r="U583" s="967"/>
      <c r="V583" s="974"/>
      <c r="W583" s="1197"/>
      <c r="X583" s="974"/>
      <c r="Y583" s="974"/>
      <c r="Z583" s="974"/>
      <c r="AA583" s="974"/>
      <c r="AB583" s="974"/>
      <c r="AC583" s="974"/>
      <c r="AD583" s="974"/>
      <c r="AE583" s="974"/>
      <c r="AF583" s="974"/>
      <c r="AG583" s="974"/>
      <c r="AH583" s="974"/>
      <c r="AI583" s="1198"/>
      <c r="AJ583" s="974"/>
      <c r="AK583" s="1197"/>
      <c r="AL583" s="974"/>
      <c r="AM583" s="974"/>
      <c r="AN583" s="974"/>
      <c r="AO583" s="974"/>
      <c r="AP583" s="974"/>
      <c r="AQ583" s="974"/>
      <c r="AR583" s="974"/>
      <c r="AS583" s="974"/>
      <c r="AT583" s="974"/>
      <c r="AU583" s="974"/>
      <c r="AV583" s="974"/>
      <c r="AW583" s="1181"/>
      <c r="AX583" s="978"/>
      <c r="AY583" s="898"/>
      <c r="AZ583" s="898"/>
      <c r="BA583" s="898"/>
      <c r="BB583" s="898"/>
      <c r="BC583" s="898"/>
      <c r="BD583" s="898"/>
      <c r="BE583" s="898"/>
      <c r="BF583" s="898"/>
      <c r="BG583" s="898"/>
      <c r="BH583" s="898"/>
      <c r="BI583" s="898"/>
      <c r="BJ583" s="898"/>
      <c r="BK583" s="898"/>
      <c r="BL583" s="898"/>
      <c r="BM583" s="898"/>
      <c r="BN583" s="898"/>
      <c r="BO583" s="898"/>
      <c r="BP583" s="898"/>
      <c r="BQ583" s="898"/>
      <c r="BR583" s="898"/>
      <c r="BS583" s="898"/>
      <c r="BT583" s="898"/>
      <c r="BU583" s="898"/>
      <c r="BV583" s="898"/>
      <c r="BW583" s="898"/>
      <c r="BX583" s="898"/>
      <c r="BY583" s="898"/>
      <c r="BZ583" s="898"/>
      <c r="CA583" s="898"/>
      <c r="CB583" s="898"/>
      <c r="CC583" s="898"/>
      <c r="CD583" s="898"/>
      <c r="CE583" s="898"/>
      <c r="CF583" s="898"/>
      <c r="CG583" s="898"/>
      <c r="CH583" s="898"/>
      <c r="CI583" s="898"/>
      <c r="CJ583" s="898"/>
      <c r="CK583" s="898"/>
      <c r="CL583" s="898"/>
      <c r="CM583" s="898"/>
      <c r="CN583" s="898"/>
      <c r="CO583" s="898"/>
      <c r="CP583" s="898"/>
      <c r="CQ583" s="898"/>
      <c r="CR583" s="898"/>
      <c r="CS583" s="898"/>
      <c r="CT583" s="898"/>
      <c r="CU583" s="898"/>
    </row>
    <row r="584" ht="16.5" customHeight="1">
      <c r="A584" s="718"/>
      <c r="B584" s="1195"/>
      <c r="C584" s="866"/>
      <c r="D584" s="968"/>
      <c r="E584" s="718"/>
      <c r="F584" s="718"/>
      <c r="G584" s="718"/>
      <c r="H584" s="718"/>
      <c r="I584" s="359"/>
      <c r="J584" s="359"/>
      <c r="K584" s="359"/>
      <c r="L584" s="359"/>
      <c r="M584" s="359"/>
      <c r="N584" s="359"/>
      <c r="O584" s="359"/>
      <c r="P584" s="359"/>
      <c r="Q584" s="359"/>
      <c r="R584" s="718"/>
      <c r="S584" s="669"/>
      <c r="T584" s="669"/>
      <c r="U584" s="967"/>
      <c r="V584" s="974"/>
      <c r="W584" s="1197"/>
      <c r="X584" s="974"/>
      <c r="Y584" s="974"/>
      <c r="Z584" s="974"/>
      <c r="AA584" s="974"/>
      <c r="AB584" s="974"/>
      <c r="AC584" s="974"/>
      <c r="AD584" s="974"/>
      <c r="AE584" s="974"/>
      <c r="AF584" s="974"/>
      <c r="AG584" s="974"/>
      <c r="AH584" s="974"/>
      <c r="AI584" s="1198"/>
      <c r="AJ584" s="974"/>
      <c r="AK584" s="1197"/>
      <c r="AL584" s="974"/>
      <c r="AM584" s="974"/>
      <c r="AN584" s="974"/>
      <c r="AO584" s="974"/>
      <c r="AP584" s="974"/>
      <c r="AQ584" s="974"/>
      <c r="AR584" s="974"/>
      <c r="AS584" s="974"/>
      <c r="AT584" s="974"/>
      <c r="AU584" s="974"/>
      <c r="AV584" s="974"/>
      <c r="AW584" s="1181"/>
      <c r="AX584" s="978"/>
      <c r="AY584" s="898"/>
      <c r="AZ584" s="898"/>
      <c r="BA584" s="898"/>
      <c r="BB584" s="898"/>
      <c r="BC584" s="898"/>
      <c r="BD584" s="898"/>
      <c r="BE584" s="898"/>
      <c r="BF584" s="898"/>
      <c r="BG584" s="898"/>
      <c r="BH584" s="898"/>
      <c r="BI584" s="898"/>
      <c r="BJ584" s="898"/>
      <c r="BK584" s="898"/>
      <c r="BL584" s="898"/>
      <c r="BM584" s="898"/>
      <c r="BN584" s="898"/>
      <c r="BO584" s="898"/>
      <c r="BP584" s="898"/>
      <c r="BQ584" s="898"/>
      <c r="BR584" s="898"/>
      <c r="BS584" s="898"/>
      <c r="BT584" s="898"/>
      <c r="BU584" s="898"/>
      <c r="BV584" s="898"/>
      <c r="BW584" s="898"/>
      <c r="BX584" s="898"/>
      <c r="BY584" s="898"/>
      <c r="BZ584" s="898"/>
      <c r="CA584" s="898"/>
      <c r="CB584" s="898"/>
      <c r="CC584" s="898"/>
      <c r="CD584" s="898"/>
      <c r="CE584" s="898"/>
      <c r="CF584" s="898"/>
      <c r="CG584" s="898"/>
      <c r="CH584" s="898"/>
      <c r="CI584" s="898"/>
      <c r="CJ584" s="898"/>
      <c r="CK584" s="898"/>
      <c r="CL584" s="898"/>
      <c r="CM584" s="898"/>
      <c r="CN584" s="898"/>
      <c r="CO584" s="898"/>
      <c r="CP584" s="898"/>
      <c r="CQ584" s="898"/>
      <c r="CR584" s="898"/>
      <c r="CS584" s="898"/>
      <c r="CT584" s="898"/>
      <c r="CU584" s="898"/>
    </row>
    <row r="585" ht="16.5" customHeight="1">
      <c r="A585" s="718"/>
      <c r="B585" s="1195"/>
      <c r="C585" s="866"/>
      <c r="D585" s="968"/>
      <c r="E585" s="718"/>
      <c r="F585" s="718"/>
      <c r="G585" s="718"/>
      <c r="H585" s="718"/>
      <c r="I585" s="359"/>
      <c r="J585" s="359"/>
      <c r="K585" s="359"/>
      <c r="L585" s="359"/>
      <c r="M585" s="359"/>
      <c r="N585" s="359"/>
      <c r="O585" s="359"/>
      <c r="P585" s="359"/>
      <c r="Q585" s="359"/>
      <c r="R585" s="718"/>
      <c r="S585" s="669"/>
      <c r="T585" s="669"/>
      <c r="U585" s="967"/>
      <c r="V585" s="974"/>
      <c r="W585" s="1197"/>
      <c r="X585" s="974"/>
      <c r="Y585" s="974"/>
      <c r="Z585" s="974"/>
      <c r="AA585" s="974"/>
      <c r="AB585" s="974"/>
      <c r="AC585" s="974"/>
      <c r="AD585" s="974"/>
      <c r="AE585" s="974"/>
      <c r="AF585" s="974"/>
      <c r="AG585" s="974"/>
      <c r="AH585" s="974"/>
      <c r="AI585" s="1198"/>
      <c r="AJ585" s="974"/>
      <c r="AK585" s="1197"/>
      <c r="AL585" s="974"/>
      <c r="AM585" s="974"/>
      <c r="AN585" s="974"/>
      <c r="AO585" s="974"/>
      <c r="AP585" s="974"/>
      <c r="AQ585" s="974"/>
      <c r="AR585" s="974"/>
      <c r="AS585" s="974"/>
      <c r="AT585" s="974"/>
      <c r="AU585" s="974"/>
      <c r="AV585" s="974"/>
      <c r="AW585" s="1181"/>
      <c r="AX585" s="978"/>
      <c r="AY585" s="898"/>
      <c r="AZ585" s="898"/>
      <c r="BA585" s="898"/>
      <c r="BB585" s="898"/>
      <c r="BC585" s="898"/>
      <c r="BD585" s="898"/>
      <c r="BE585" s="898"/>
      <c r="BF585" s="898"/>
      <c r="BG585" s="898"/>
      <c r="BH585" s="898"/>
      <c r="BI585" s="898"/>
      <c r="BJ585" s="898"/>
      <c r="BK585" s="898"/>
      <c r="BL585" s="898"/>
      <c r="BM585" s="898"/>
      <c r="BN585" s="898"/>
      <c r="BO585" s="898"/>
      <c r="BP585" s="898"/>
      <c r="BQ585" s="898"/>
      <c r="BR585" s="898"/>
      <c r="BS585" s="898"/>
      <c r="BT585" s="898"/>
      <c r="BU585" s="898"/>
      <c r="BV585" s="898"/>
      <c r="BW585" s="898"/>
      <c r="BX585" s="898"/>
      <c r="BY585" s="898"/>
      <c r="BZ585" s="898"/>
      <c r="CA585" s="898"/>
      <c r="CB585" s="898"/>
      <c r="CC585" s="898"/>
      <c r="CD585" s="898"/>
      <c r="CE585" s="898"/>
      <c r="CF585" s="898"/>
      <c r="CG585" s="898"/>
      <c r="CH585" s="898"/>
      <c r="CI585" s="898"/>
      <c r="CJ585" s="898"/>
      <c r="CK585" s="898"/>
      <c r="CL585" s="898"/>
      <c r="CM585" s="898"/>
      <c r="CN585" s="898"/>
      <c r="CO585" s="898"/>
      <c r="CP585" s="898"/>
      <c r="CQ585" s="898"/>
      <c r="CR585" s="898"/>
      <c r="CS585" s="898"/>
      <c r="CT585" s="898"/>
      <c r="CU585" s="898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12.86"/>
    <col customWidth="1" min="27" max="27" width="12.71"/>
    <col customWidth="1" min="28" max="28" width="12.86"/>
    <col customWidth="1" min="29" max="29" width="40.0"/>
  </cols>
  <sheetData>
    <row r="1">
      <c r="A1" s="1199" t="s">
        <v>2</v>
      </c>
      <c r="B1" s="1200" t="s">
        <v>113</v>
      </c>
      <c r="C1" s="1199" t="s">
        <v>114</v>
      </c>
      <c r="D1" s="1201" t="s">
        <v>115</v>
      </c>
      <c r="E1" s="1199" t="s">
        <v>116</v>
      </c>
      <c r="F1" s="1199" t="s">
        <v>117</v>
      </c>
      <c r="G1" s="1199" t="s">
        <v>118</v>
      </c>
      <c r="H1" s="1202" t="s">
        <v>119</v>
      </c>
      <c r="I1" s="1203" t="s">
        <v>120</v>
      </c>
      <c r="J1" s="1204" t="s">
        <v>121</v>
      </c>
      <c r="K1" s="1204" t="s">
        <v>122</v>
      </c>
      <c r="L1" s="1205" t="s">
        <v>108</v>
      </c>
      <c r="M1" s="1206" t="s">
        <v>123</v>
      </c>
      <c r="N1" s="1207" t="s">
        <v>124</v>
      </c>
      <c r="O1" s="234" t="s">
        <v>125</v>
      </c>
      <c r="P1" s="234" t="s">
        <v>126</v>
      </c>
      <c r="Q1" s="234" t="s">
        <v>127</v>
      </c>
      <c r="R1" s="1206" t="s">
        <v>130</v>
      </c>
      <c r="S1" s="1208" t="s">
        <v>131</v>
      </c>
      <c r="T1" s="239" t="s">
        <v>132</v>
      </c>
      <c r="U1" s="239" t="s">
        <v>133</v>
      </c>
      <c r="V1" s="239" t="s">
        <v>134</v>
      </c>
      <c r="W1" s="240" t="s">
        <v>135</v>
      </c>
      <c r="X1" s="241" t="s">
        <v>136</v>
      </c>
      <c r="Y1" s="1209" t="s">
        <v>1767</v>
      </c>
      <c r="Z1" s="243" t="s">
        <v>139</v>
      </c>
      <c r="AA1" s="244" t="s">
        <v>140</v>
      </c>
      <c r="AB1" s="245" t="s">
        <v>141</v>
      </c>
      <c r="AC1" s="1210" t="s">
        <v>142</v>
      </c>
    </row>
    <row r="2">
      <c r="A2" s="1211">
        <v>2020.0</v>
      </c>
      <c r="B2" s="1212">
        <v>43878.0</v>
      </c>
      <c r="C2" s="1211" t="s">
        <v>327</v>
      </c>
      <c r="D2" s="1213" t="s">
        <v>1768</v>
      </c>
      <c r="E2" s="1211" t="s">
        <v>170</v>
      </c>
      <c r="F2" s="1211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11" t="s">
        <v>54</v>
      </c>
      <c r="H2" s="1211">
        <v>340.0</v>
      </c>
      <c r="I2" s="1211" t="s">
        <v>1769</v>
      </c>
      <c r="J2" s="1211">
        <v>24.54652</v>
      </c>
      <c r="K2" s="1211">
        <v>-81.40189</v>
      </c>
      <c r="L2" s="1211" t="s">
        <v>1770</v>
      </c>
      <c r="M2" s="1214">
        <v>43907.0</v>
      </c>
      <c r="N2" s="1215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16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16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16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14">
        <v>44217.0</v>
      </c>
      <c r="S2" s="1217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17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17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17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14">
        <v>44956.0</v>
      </c>
      <c r="X2" s="1211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18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262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Monitored"")"),45258.0)</f>
        <v>45258</v>
      </c>
      <c r="AA2" s="263">
        <f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Monitored"")"),2.0)</f>
        <v>2</v>
      </c>
      <c r="AB2" s="264">
        <f t="shared" ref="AB2:AB26" si="1">IFERROR(AA2/H2,"Not Monitored")</f>
        <v>0.005882352941</v>
      </c>
      <c r="AC2" s="899" t="s">
        <v>1771</v>
      </c>
    </row>
    <row r="3">
      <c r="A3" s="1211">
        <v>2020.0</v>
      </c>
      <c r="B3" s="1212">
        <v>44117.0</v>
      </c>
      <c r="C3" s="1211" t="s">
        <v>596</v>
      </c>
      <c r="D3" s="1213" t="s">
        <v>1772</v>
      </c>
      <c r="E3" s="1211" t="s">
        <v>170</v>
      </c>
      <c r="F3" s="1211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11" t="s">
        <v>54</v>
      </c>
      <c r="H3" s="1211">
        <v>530.0</v>
      </c>
      <c r="I3" s="1211" t="s">
        <v>1773</v>
      </c>
      <c r="J3" s="1219">
        <v>24.55086</v>
      </c>
      <c r="K3" s="1219">
        <v>-81.38988</v>
      </c>
      <c r="L3" s="1211" t="s">
        <v>1774</v>
      </c>
      <c r="M3" s="1214">
        <v>44151.0</v>
      </c>
      <c r="N3" s="1215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16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16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16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14">
        <v>44467.0</v>
      </c>
      <c r="S3" s="1217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17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17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17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20"/>
      <c r="X3" s="1211"/>
      <c r="Y3" s="1218"/>
      <c r="Z3" s="262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A3" s="263" t="str">
        <f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Monitored"")"),"Not Monitored")</f>
        <v>Not Monitored</v>
      </c>
      <c r="AB3" s="264" t="str">
        <f t="shared" si="1"/>
        <v>Not Monitored</v>
      </c>
      <c r="AC3" s="899" t="s">
        <v>1775</v>
      </c>
    </row>
    <row r="4">
      <c r="A4" s="1221">
        <v>2020.0</v>
      </c>
      <c r="B4" s="1222">
        <v>44120.0</v>
      </c>
      <c r="C4" s="1221" t="s">
        <v>275</v>
      </c>
      <c r="D4" s="1223" t="s">
        <v>1776</v>
      </c>
      <c r="E4" s="1221" t="s">
        <v>170</v>
      </c>
      <c r="F4" s="1221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21" t="s">
        <v>54</v>
      </c>
      <c r="H4" s="1221">
        <v>574.0</v>
      </c>
      <c r="I4" s="1221" t="s">
        <v>1777</v>
      </c>
      <c r="J4" s="1221">
        <v>24.54111</v>
      </c>
      <c r="K4" s="1221">
        <v>-81.43488</v>
      </c>
      <c r="L4" s="1221" t="s">
        <v>1778</v>
      </c>
      <c r="M4" s="1224">
        <v>44151.0</v>
      </c>
      <c r="N4" s="1225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26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26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26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24">
        <v>44466.0</v>
      </c>
      <c r="S4" s="1227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27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27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27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24">
        <v>45239.0</v>
      </c>
      <c r="X4" s="1221"/>
      <c r="Y4" s="1228"/>
      <c r="Z4" s="262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Monitored"")"),45239.0)</f>
        <v>45239</v>
      </c>
      <c r="AA4" s="263">
        <f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Monitored"")"),0.0)</f>
        <v>0</v>
      </c>
      <c r="AB4" s="264">
        <f t="shared" si="1"/>
        <v>0</v>
      </c>
      <c r="AC4" s="1229"/>
    </row>
    <row r="5">
      <c r="A5" s="1230">
        <v>2020.0</v>
      </c>
      <c r="B5" s="1231">
        <v>44181.0</v>
      </c>
      <c r="C5" s="1230" t="s">
        <v>168</v>
      </c>
      <c r="D5" s="1232" t="s">
        <v>1779</v>
      </c>
      <c r="E5" s="1230" t="s">
        <v>170</v>
      </c>
      <c r="F5" s="1230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30" t="s">
        <v>54</v>
      </c>
      <c r="H5" s="1230">
        <v>296.0</v>
      </c>
      <c r="I5" s="1230" t="s">
        <v>1780</v>
      </c>
      <c r="J5" s="1230">
        <v>24.5223</v>
      </c>
      <c r="K5" s="1230">
        <v>-81.52023</v>
      </c>
      <c r="L5" s="1230" t="s">
        <v>1778</v>
      </c>
      <c r="M5" s="1233">
        <v>43841.0</v>
      </c>
      <c r="N5" s="1234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35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35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35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33">
        <v>44522.0</v>
      </c>
      <c r="S5" s="1236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36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36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36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33">
        <v>45264.0</v>
      </c>
      <c r="X5" s="1230"/>
      <c r="Y5" s="1237"/>
      <c r="Z5" s="262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Monitored"")"),45264.0)</f>
        <v>45264</v>
      </c>
      <c r="AA5" s="263">
        <f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Monitored"")"),0.0)</f>
        <v>0</v>
      </c>
      <c r="AB5" s="264">
        <f t="shared" si="1"/>
        <v>0</v>
      </c>
      <c r="AC5" s="1238" t="s">
        <v>1781</v>
      </c>
    </row>
    <row r="6">
      <c r="A6" s="1211">
        <v>2021.0</v>
      </c>
      <c r="B6" s="1212">
        <v>44284.0</v>
      </c>
      <c r="C6" s="1211" t="s">
        <v>275</v>
      </c>
      <c r="D6" s="1239" t="s">
        <v>1782</v>
      </c>
      <c r="E6" s="1211" t="s">
        <v>170</v>
      </c>
      <c r="F6" s="1211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11" t="s">
        <v>54</v>
      </c>
      <c r="H6" s="1211">
        <v>115.0</v>
      </c>
      <c r="I6" s="1211" t="s">
        <v>1783</v>
      </c>
      <c r="J6" s="1211">
        <v>24.54105</v>
      </c>
      <c r="K6" s="1211">
        <v>-81.43549</v>
      </c>
      <c r="L6" s="1211" t="s">
        <v>1784</v>
      </c>
      <c r="M6" s="1214">
        <v>44320.0</v>
      </c>
      <c r="N6" s="1215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16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16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16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14">
        <v>44666.0</v>
      </c>
      <c r="S6" s="1240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17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17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17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41"/>
      <c r="X6" s="1211"/>
      <c r="Y6" s="1218"/>
      <c r="Z6" s="262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A6" s="263" t="str">
        <f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Monitored"")"),"Not Monitored")</f>
        <v>Not Monitored</v>
      </c>
      <c r="AB6" s="264" t="str">
        <f t="shared" si="1"/>
        <v>Not Monitored</v>
      </c>
      <c r="AC6" s="898"/>
    </row>
    <row r="7">
      <c r="A7" s="1211">
        <v>2021.0</v>
      </c>
      <c r="B7" s="1212">
        <v>44284.0</v>
      </c>
      <c r="C7" s="1211" t="s">
        <v>275</v>
      </c>
      <c r="D7" s="1239" t="s">
        <v>1785</v>
      </c>
      <c r="E7" s="1211" t="s">
        <v>170</v>
      </c>
      <c r="F7" s="1211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11" t="s">
        <v>54</v>
      </c>
      <c r="H7" s="1211">
        <v>115.0</v>
      </c>
      <c r="I7" s="1211" t="s">
        <v>1786</v>
      </c>
      <c r="J7" s="1211">
        <v>24.54075</v>
      </c>
      <c r="K7" s="1211">
        <v>-81.43651</v>
      </c>
      <c r="L7" s="1211" t="s">
        <v>1784</v>
      </c>
      <c r="M7" s="1214">
        <v>44320.0</v>
      </c>
      <c r="N7" s="1215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16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16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16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14">
        <v>44666.0</v>
      </c>
      <c r="S7" s="1240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17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17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17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41"/>
      <c r="X7" s="1211"/>
      <c r="Y7" s="1242"/>
      <c r="Z7" s="262" t="str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Monitored"")"),"Not Monitored")</f>
        <v>Not Monitored</v>
      </c>
      <c r="AA7" s="263" t="str">
        <f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Monitored"")"),"Not Monitored")</f>
        <v>Not Monitored</v>
      </c>
      <c r="AB7" s="264" t="str">
        <f t="shared" si="1"/>
        <v>Not Monitored</v>
      </c>
      <c r="AC7" s="898"/>
    </row>
    <row r="8">
      <c r="A8" s="1211">
        <v>2021.0</v>
      </c>
      <c r="B8" s="1212">
        <v>44292.0</v>
      </c>
      <c r="C8" s="1211" t="s">
        <v>1388</v>
      </c>
      <c r="D8" s="1243" t="s">
        <v>1787</v>
      </c>
      <c r="E8" s="1211" t="s">
        <v>170</v>
      </c>
      <c r="F8" s="1211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11" t="s">
        <v>54</v>
      </c>
      <c r="H8" s="1211">
        <v>39.0</v>
      </c>
      <c r="I8" s="1211" t="s">
        <v>1788</v>
      </c>
      <c r="J8" s="1211">
        <v>24.62141</v>
      </c>
      <c r="K8" s="1211">
        <v>-81.36315</v>
      </c>
      <c r="L8" s="1211" t="s">
        <v>1789</v>
      </c>
      <c r="M8" s="1214">
        <v>44320.0</v>
      </c>
      <c r="N8" s="1215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16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16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16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14">
        <v>44688.0</v>
      </c>
      <c r="S8" s="1240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17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17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17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20"/>
      <c r="X8" s="1211"/>
      <c r="Y8" s="1218"/>
      <c r="Z8" s="262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Monitored"")"),45216.0)</f>
        <v>45216</v>
      </c>
      <c r="AA8" s="263">
        <f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Monitored"")"),0.0)</f>
        <v>0</v>
      </c>
      <c r="AB8" s="264">
        <f t="shared" si="1"/>
        <v>0</v>
      </c>
      <c r="AC8" s="899" t="s">
        <v>1790</v>
      </c>
    </row>
    <row r="9">
      <c r="A9" s="1211">
        <v>2021.0</v>
      </c>
      <c r="B9" s="1212">
        <v>44418.0</v>
      </c>
      <c r="C9" s="1211" t="s">
        <v>1388</v>
      </c>
      <c r="D9" s="1243" t="s">
        <v>1791</v>
      </c>
      <c r="E9" s="1211" t="s">
        <v>170</v>
      </c>
      <c r="F9" s="1211" t="s">
        <v>146</v>
      </c>
      <c r="G9" s="1211" t="s">
        <v>54</v>
      </c>
      <c r="H9" s="1211">
        <v>39.0</v>
      </c>
      <c r="I9" s="1211" t="s">
        <v>1792</v>
      </c>
      <c r="J9" s="1211">
        <v>24.62141</v>
      </c>
      <c r="K9" s="1211">
        <v>-81.36315</v>
      </c>
      <c r="L9" s="1211" t="s">
        <v>1789</v>
      </c>
      <c r="M9" s="1214">
        <v>44447.0</v>
      </c>
      <c r="N9" s="1215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16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16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16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14">
        <v>44762.0</v>
      </c>
      <c r="S9" s="1240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17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17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17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20"/>
      <c r="X9" s="1211"/>
      <c r="Y9" s="1218"/>
      <c r="Z9" s="262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Monitored"")"),45216.0)</f>
        <v>45216</v>
      </c>
      <c r="AA9" s="263">
        <f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Monitored"")"),0.0)</f>
        <v>0</v>
      </c>
      <c r="AB9" s="264">
        <f t="shared" si="1"/>
        <v>0</v>
      </c>
      <c r="AC9" s="899" t="s">
        <v>1790</v>
      </c>
    </row>
    <row r="10">
      <c r="A10" s="1211">
        <v>2021.0</v>
      </c>
      <c r="B10" s="1244">
        <v>44474.0</v>
      </c>
      <c r="C10" s="1211" t="s">
        <v>1793</v>
      </c>
      <c r="D10" s="1243" t="s">
        <v>1794</v>
      </c>
      <c r="E10" s="1211" t="s">
        <v>170</v>
      </c>
      <c r="F10" s="1211" t="s">
        <v>146</v>
      </c>
      <c r="G10" s="1211" t="s">
        <v>54</v>
      </c>
      <c r="H10" s="1211">
        <v>125.0</v>
      </c>
      <c r="I10" s="1211" t="s">
        <v>1146</v>
      </c>
      <c r="J10" s="1211">
        <v>24.54767</v>
      </c>
      <c r="K10" s="1211">
        <v>-81.45697</v>
      </c>
      <c r="L10" s="1211" t="s">
        <v>1795</v>
      </c>
      <c r="M10" s="1214">
        <v>44574.0</v>
      </c>
      <c r="N10" s="1215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16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16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16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14">
        <v>44823.0</v>
      </c>
      <c r="S10" s="1240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17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17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17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20"/>
      <c r="X10" s="1211"/>
      <c r="Y10" s="1218"/>
      <c r="Z10" s="262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Monitored"")"),45265.0)</f>
        <v>45265</v>
      </c>
      <c r="AA10" s="263">
        <f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Monitored"")"),31.0)</f>
        <v>31</v>
      </c>
      <c r="AB10" s="264">
        <f t="shared" si="1"/>
        <v>0.248</v>
      </c>
      <c r="AC10" s="899" t="s">
        <v>1796</v>
      </c>
    </row>
    <row r="11">
      <c r="A11" s="1221">
        <v>2021.0</v>
      </c>
      <c r="B11" s="1222">
        <v>44483.0</v>
      </c>
      <c r="C11" s="1221" t="s">
        <v>168</v>
      </c>
      <c r="D11" s="1245" t="s">
        <v>1797</v>
      </c>
      <c r="E11" s="1221" t="s">
        <v>170</v>
      </c>
      <c r="F11" s="1221" t="s">
        <v>146</v>
      </c>
      <c r="G11" s="1221" t="s">
        <v>54</v>
      </c>
      <c r="H11" s="1221">
        <v>125.0</v>
      </c>
      <c r="I11" s="1221" t="s">
        <v>1146</v>
      </c>
      <c r="J11" s="1221">
        <v>24.52141</v>
      </c>
      <c r="K11" s="1221">
        <v>-81.52428</v>
      </c>
      <c r="L11" s="1221" t="s">
        <v>1795</v>
      </c>
      <c r="M11" s="1224">
        <v>44574.0</v>
      </c>
      <c r="N11" s="1225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26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26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26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24">
        <v>44823.0</v>
      </c>
      <c r="S11" s="1246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27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27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27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24">
        <v>45264.0</v>
      </c>
      <c r="X11" s="1221"/>
      <c r="Y11" s="1228"/>
      <c r="Z11" s="262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Monitored"")"),45264.0)</f>
        <v>45264</v>
      </c>
      <c r="AA11" s="263">
        <f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Monitored"")"),0.0)</f>
        <v>0</v>
      </c>
      <c r="AB11" s="264">
        <f t="shared" si="1"/>
        <v>0</v>
      </c>
      <c r="AC11" s="1247" t="s">
        <v>1796</v>
      </c>
    </row>
    <row r="12">
      <c r="A12" s="1211">
        <v>2021.0</v>
      </c>
      <c r="B12" s="1212">
        <v>44495.0</v>
      </c>
      <c r="C12" s="1211" t="s">
        <v>1798</v>
      </c>
      <c r="D12" s="1243" t="s">
        <v>1799</v>
      </c>
      <c r="E12" s="1211" t="s">
        <v>170</v>
      </c>
      <c r="F12" s="1211" t="s">
        <v>146</v>
      </c>
      <c r="G12" s="1211" t="s">
        <v>54</v>
      </c>
      <c r="H12" s="1211">
        <v>125.0</v>
      </c>
      <c r="I12" s="1211" t="s">
        <v>1146</v>
      </c>
      <c r="J12" s="1211">
        <v>24.56081</v>
      </c>
      <c r="K12" s="1211">
        <v>-81.50137</v>
      </c>
      <c r="L12" s="1211" t="s">
        <v>1795</v>
      </c>
      <c r="M12" s="1214">
        <v>44574.0</v>
      </c>
      <c r="N12" s="1215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16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16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16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14">
        <v>44823.0</v>
      </c>
      <c r="S12" s="1240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17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17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17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20"/>
      <c r="X12" s="1211"/>
      <c r="Y12" s="1218"/>
      <c r="Z12" s="262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Monitored"")"),45265.0)</f>
        <v>45265</v>
      </c>
      <c r="AA12" s="263">
        <f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Monitored"")"),1.0)</f>
        <v>1</v>
      </c>
      <c r="AB12" s="264">
        <f t="shared" si="1"/>
        <v>0.008</v>
      </c>
      <c r="AC12" s="899" t="s">
        <v>1796</v>
      </c>
    </row>
    <row r="13">
      <c r="A13" s="1248">
        <v>2021.0</v>
      </c>
      <c r="B13" s="1249">
        <v>44504.0</v>
      </c>
      <c r="C13" s="1248" t="s">
        <v>318</v>
      </c>
      <c r="D13" s="1250" t="s">
        <v>1800</v>
      </c>
      <c r="E13" s="1248" t="s">
        <v>170</v>
      </c>
      <c r="F13" s="1248" t="s">
        <v>146</v>
      </c>
      <c r="G13" s="1248" t="s">
        <v>54</v>
      </c>
      <c r="H13" s="1248">
        <v>125.0</v>
      </c>
      <c r="I13" s="1248" t="s">
        <v>1146</v>
      </c>
      <c r="J13" s="1248">
        <v>24.5249</v>
      </c>
      <c r="K13" s="1248">
        <v>-81.50668</v>
      </c>
      <c r="L13" s="1248" t="s">
        <v>1795</v>
      </c>
      <c r="M13" s="1251">
        <v>44574.0</v>
      </c>
      <c r="N13" s="1252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53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53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53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51">
        <v>44823.0</v>
      </c>
      <c r="S13" s="1254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55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55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55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56"/>
      <c r="X13" s="1248"/>
      <c r="Y13" s="1257"/>
      <c r="Z13" s="262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Monitored"")"),45264.0)</f>
        <v>45264</v>
      </c>
      <c r="AA13" s="263">
        <f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Monitored"")"),1.0)</f>
        <v>1</v>
      </c>
      <c r="AB13" s="264">
        <f t="shared" si="1"/>
        <v>0.008</v>
      </c>
      <c r="AC13" s="1258" t="s">
        <v>1796</v>
      </c>
    </row>
    <row r="14">
      <c r="A14" s="1211">
        <v>2022.0</v>
      </c>
      <c r="B14" s="1212">
        <v>44657.0</v>
      </c>
      <c r="C14" s="1211" t="s">
        <v>428</v>
      </c>
      <c r="D14" s="1243" t="s">
        <v>1801</v>
      </c>
      <c r="E14" s="1211" t="s">
        <v>170</v>
      </c>
      <c r="F14" s="1211" t="s">
        <v>146</v>
      </c>
      <c r="G14" s="1211" t="s">
        <v>54</v>
      </c>
      <c r="H14" s="1211">
        <v>112.0</v>
      </c>
      <c r="I14" s="1211" t="s">
        <v>1802</v>
      </c>
      <c r="J14" s="1211">
        <v>24.5317</v>
      </c>
      <c r="K14" s="1211">
        <v>-81.48325</v>
      </c>
      <c r="L14" s="1211" t="s">
        <v>1803</v>
      </c>
      <c r="M14" s="1214">
        <v>44694.0</v>
      </c>
      <c r="N14" s="1215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16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16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16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14">
        <v>45009.0</v>
      </c>
      <c r="S14" s="1240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17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17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17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20"/>
      <c r="X14" s="1211"/>
      <c r="Y14" s="1218"/>
      <c r="Z14" s="262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Monitored"")"),45258.0)</f>
        <v>45258</v>
      </c>
      <c r="AA14" s="263">
        <f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Monitored"")"),1.0)</f>
        <v>1</v>
      </c>
      <c r="AB14" s="264">
        <f t="shared" si="1"/>
        <v>0.008928571429</v>
      </c>
      <c r="AC14" s="899" t="s">
        <v>1804</v>
      </c>
    </row>
    <row r="15">
      <c r="A15" s="1211">
        <v>2022.0</v>
      </c>
      <c r="B15" s="1212">
        <v>44658.0</v>
      </c>
      <c r="C15" s="1211" t="s">
        <v>1805</v>
      </c>
      <c r="D15" s="1243" t="s">
        <v>1806</v>
      </c>
      <c r="E15" s="1211" t="s">
        <v>170</v>
      </c>
      <c r="F15" s="1211" t="s">
        <v>146</v>
      </c>
      <c r="G15" s="1211" t="s">
        <v>54</v>
      </c>
      <c r="H15" s="1211">
        <v>112.0</v>
      </c>
      <c r="I15" s="1211" t="s">
        <v>1802</v>
      </c>
      <c r="J15" s="1211">
        <v>24.5529</v>
      </c>
      <c r="K15" s="1211">
        <v>-81.43753</v>
      </c>
      <c r="L15" s="1211" t="s">
        <v>1803</v>
      </c>
      <c r="M15" s="1214">
        <v>44694.0</v>
      </c>
      <c r="N15" s="1215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16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16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16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20" t="s">
        <v>149</v>
      </c>
      <c r="S15" s="1240" t="str">
        <f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1217" t="str">
        <f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1217" t="str">
        <f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1217" t="str">
        <f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1220"/>
      <c r="X15" s="1211"/>
      <c r="Y15" s="1218"/>
      <c r="Z15" s="262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Monitored"")"),45265.0)</f>
        <v>45265</v>
      </c>
      <c r="AA15" s="263">
        <f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Monitored"")"),5.0)</f>
        <v>5</v>
      </c>
      <c r="AB15" s="264">
        <f t="shared" si="1"/>
        <v>0.04464285714</v>
      </c>
      <c r="AC15" s="899" t="s">
        <v>1804</v>
      </c>
    </row>
    <row r="16">
      <c r="A16" s="1211">
        <v>2022.0</v>
      </c>
      <c r="B16" s="1212">
        <v>44658.0</v>
      </c>
      <c r="C16" s="1211" t="s">
        <v>275</v>
      </c>
      <c r="D16" s="1243" t="s">
        <v>1807</v>
      </c>
      <c r="E16" s="1211" t="s">
        <v>170</v>
      </c>
      <c r="F16" s="1211" t="s">
        <v>146</v>
      </c>
      <c r="G16" s="1211" t="s">
        <v>54</v>
      </c>
      <c r="H16" s="1211">
        <v>66.0</v>
      </c>
      <c r="I16" s="1211" t="s">
        <v>1808</v>
      </c>
      <c r="J16" s="1211">
        <v>24.54085</v>
      </c>
      <c r="K16" s="1211">
        <v>-81.43611</v>
      </c>
      <c r="L16" s="1211" t="s">
        <v>1809</v>
      </c>
      <c r="M16" s="1214">
        <v>44694.0</v>
      </c>
      <c r="N16" s="1215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16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16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16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14">
        <v>45009.0</v>
      </c>
      <c r="S16" s="1240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17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17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17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20"/>
      <c r="X16" s="1211"/>
      <c r="Y16" s="1218"/>
      <c r="Z16" s="262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Monitored"")"),45302.0)</f>
        <v>45302</v>
      </c>
      <c r="AA16" s="263">
        <f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Monitored"")"),0.0)</f>
        <v>0</v>
      </c>
      <c r="AB16" s="264">
        <f t="shared" si="1"/>
        <v>0</v>
      </c>
      <c r="AC16" s="899" t="s">
        <v>1810</v>
      </c>
    </row>
    <row r="17">
      <c r="A17" s="1211">
        <v>2022.0</v>
      </c>
      <c r="B17" s="1212">
        <v>44686.0</v>
      </c>
      <c r="C17" s="1211" t="s">
        <v>1388</v>
      </c>
      <c r="D17" s="1243" t="s">
        <v>815</v>
      </c>
      <c r="E17" s="1211" t="s">
        <v>170</v>
      </c>
      <c r="F17" s="1211" t="s">
        <v>146</v>
      </c>
      <c r="G17" s="1211" t="s">
        <v>54</v>
      </c>
      <c r="H17" s="1211">
        <v>96.0</v>
      </c>
      <c r="I17" s="1211" t="s">
        <v>1811</v>
      </c>
      <c r="J17" s="1211">
        <v>24.62133</v>
      </c>
      <c r="K17" s="1211">
        <v>-81.36317</v>
      </c>
      <c r="L17" s="1211" t="s">
        <v>1812</v>
      </c>
      <c r="M17" s="1214">
        <v>44726.0</v>
      </c>
      <c r="N17" s="1215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16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16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16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14">
        <v>45019.0</v>
      </c>
      <c r="S17" s="1240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17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17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17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20"/>
      <c r="X17" s="1211"/>
      <c r="Y17" s="1218"/>
      <c r="Z17" s="262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Monitored"")"),45216.0)</f>
        <v>45216</v>
      </c>
      <c r="AA17" s="263">
        <f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Monitored"")"),0.0)</f>
        <v>0</v>
      </c>
      <c r="AB17" s="264">
        <f t="shared" si="1"/>
        <v>0</v>
      </c>
      <c r="AC17" s="899" t="s">
        <v>1813</v>
      </c>
    </row>
    <row r="18">
      <c r="A18" s="1211">
        <v>2022.0</v>
      </c>
      <c r="B18" s="1212">
        <v>44688.0</v>
      </c>
      <c r="C18" s="1211" t="s">
        <v>1470</v>
      </c>
      <c r="D18" s="1243" t="s">
        <v>820</v>
      </c>
      <c r="E18" s="1211" t="s">
        <v>170</v>
      </c>
      <c r="F18" s="1211" t="s">
        <v>146</v>
      </c>
      <c r="G18" s="1211" t="s">
        <v>54</v>
      </c>
      <c r="H18" s="1211">
        <v>96.0</v>
      </c>
      <c r="I18" s="1211" t="s">
        <v>1814</v>
      </c>
      <c r="J18" s="1259">
        <v>24.61466</v>
      </c>
      <c r="K18" s="1259">
        <v>-81.37912</v>
      </c>
      <c r="L18" s="1211" t="s">
        <v>1812</v>
      </c>
      <c r="M18" s="1214">
        <v>44726.0</v>
      </c>
      <c r="N18" s="1215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16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16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16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14">
        <v>45019.0</v>
      </c>
      <c r="S18" s="1240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17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17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17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20"/>
      <c r="X18" s="1211"/>
      <c r="Y18" s="1218"/>
      <c r="Z18" s="262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Monitored"")"),45216.0)</f>
        <v>45216</v>
      </c>
      <c r="AA18" s="263">
        <f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Monitored"")"),0.0)</f>
        <v>0</v>
      </c>
      <c r="AB18" s="264">
        <f t="shared" si="1"/>
        <v>0</v>
      </c>
      <c r="AC18" s="899" t="s">
        <v>1813</v>
      </c>
    </row>
    <row r="19">
      <c r="A19" s="1211">
        <v>2022.0</v>
      </c>
      <c r="B19" s="1212">
        <v>44728.0</v>
      </c>
      <c r="C19" s="1211" t="s">
        <v>1815</v>
      </c>
      <c r="D19" s="1243" t="s">
        <v>1816</v>
      </c>
      <c r="E19" s="1211" t="s">
        <v>170</v>
      </c>
      <c r="F19" s="1211" t="s">
        <v>146</v>
      </c>
      <c r="G19" s="1211" t="s">
        <v>54</v>
      </c>
      <c r="H19" s="1211">
        <v>322.0</v>
      </c>
      <c r="I19" s="1211" t="s">
        <v>1817</v>
      </c>
      <c r="J19" s="1259">
        <v>24.4546</v>
      </c>
      <c r="K19" s="1259">
        <v>-81.85729</v>
      </c>
      <c r="L19" s="1211" t="s">
        <v>1818</v>
      </c>
      <c r="M19" s="1214">
        <v>44730.0</v>
      </c>
      <c r="N19" s="1215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16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16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16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14">
        <v>45085.0</v>
      </c>
      <c r="S19" s="1240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17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17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17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20"/>
      <c r="X19" s="1211"/>
      <c r="Y19" s="1218"/>
      <c r="Z19" s="262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Monitored"")"),45259.0)</f>
        <v>45259</v>
      </c>
      <c r="AA19" s="263">
        <f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Monitored"")"),5.0)</f>
        <v>5</v>
      </c>
      <c r="AB19" s="264">
        <f t="shared" si="1"/>
        <v>0.01552795031</v>
      </c>
      <c r="AC19" s="899" t="s">
        <v>1819</v>
      </c>
    </row>
    <row r="20">
      <c r="A20" s="1211">
        <v>2022.0</v>
      </c>
      <c r="B20" s="1212">
        <v>44733.0</v>
      </c>
      <c r="C20" s="1211" t="s">
        <v>997</v>
      </c>
      <c r="D20" s="1243" t="s">
        <v>1820</v>
      </c>
      <c r="E20" s="1211" t="s">
        <v>170</v>
      </c>
      <c r="F20" s="1211" t="s">
        <v>146</v>
      </c>
      <c r="G20" s="1211" t="s">
        <v>54</v>
      </c>
      <c r="H20" s="1211">
        <v>376.0</v>
      </c>
      <c r="I20" s="1211" t="s">
        <v>1821</v>
      </c>
      <c r="J20" s="1259">
        <v>24.47251</v>
      </c>
      <c r="K20" s="1259">
        <v>-81.74643</v>
      </c>
      <c r="L20" s="1211" t="s">
        <v>1822</v>
      </c>
      <c r="M20" s="1214">
        <v>44776.0</v>
      </c>
      <c r="N20" s="1215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16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16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16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14">
        <v>45069.0</v>
      </c>
      <c r="S20" s="1240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17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17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17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20"/>
      <c r="X20" s="1211"/>
      <c r="Y20" s="1218"/>
      <c r="Z20" s="305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Monitored"")"),45240.0)</f>
        <v>45240</v>
      </c>
      <c r="AA20" s="263">
        <f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Monitored"")"),36.0)</f>
        <v>36</v>
      </c>
      <c r="AB20" s="264">
        <f t="shared" si="1"/>
        <v>0.09574468085</v>
      </c>
      <c r="AC20" s="899" t="s">
        <v>1819</v>
      </c>
    </row>
    <row r="21">
      <c r="A21" s="652">
        <v>2022.0</v>
      </c>
      <c r="B21" s="1260">
        <v>44748.0</v>
      </c>
      <c r="C21" s="652" t="s">
        <v>1823</v>
      </c>
      <c r="D21" s="1261" t="s">
        <v>1824</v>
      </c>
      <c r="E21" s="652" t="s">
        <v>170</v>
      </c>
      <c r="F21" s="652" t="s">
        <v>146</v>
      </c>
      <c r="G21" s="652" t="s">
        <v>69</v>
      </c>
      <c r="H21" s="652">
        <v>107.0</v>
      </c>
      <c r="I21" s="652" t="s">
        <v>1825</v>
      </c>
      <c r="J21" s="654">
        <v>24.52003</v>
      </c>
      <c r="K21" s="654">
        <v>-81.54063</v>
      </c>
      <c r="L21" s="652" t="s">
        <v>1803</v>
      </c>
      <c r="M21" s="1262">
        <v>44777.0</v>
      </c>
      <c r="N21" s="1263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64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64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64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62">
        <v>45092.0</v>
      </c>
      <c r="S21" s="1265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266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266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266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20"/>
      <c r="X21" s="1211"/>
      <c r="Y21" s="1218"/>
      <c r="Z21" s="262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Monitored"")"),45264.0)</f>
        <v>45264</v>
      </c>
      <c r="AA21" s="263">
        <f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Monitored"")"),9.0)</f>
        <v>9</v>
      </c>
      <c r="AB21" s="264">
        <f t="shared" si="1"/>
        <v>0.08411214953</v>
      </c>
      <c r="AC21" s="899"/>
    </row>
    <row r="22">
      <c r="A22" s="652">
        <v>2022.0</v>
      </c>
      <c r="B22" s="1260">
        <v>44750.0</v>
      </c>
      <c r="C22" s="652" t="s">
        <v>1826</v>
      </c>
      <c r="D22" s="1261" t="s">
        <v>1827</v>
      </c>
      <c r="E22" s="652" t="s">
        <v>170</v>
      </c>
      <c r="F22" s="652" t="s">
        <v>146</v>
      </c>
      <c r="G22" s="652" t="s">
        <v>69</v>
      </c>
      <c r="H22" s="652">
        <v>249.0</v>
      </c>
      <c r="I22" s="652" t="s">
        <v>1828</v>
      </c>
      <c r="J22" s="654">
        <v>24.5145</v>
      </c>
      <c r="K22" s="654">
        <v>-81.55344</v>
      </c>
      <c r="L22" s="652" t="s">
        <v>1829</v>
      </c>
      <c r="M22" s="1262">
        <v>44785.0</v>
      </c>
      <c r="N22" s="1263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264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264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264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262">
        <v>45092.0</v>
      </c>
      <c r="S22" s="1265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266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266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266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20"/>
      <c r="X22" s="1211"/>
      <c r="Y22" s="1218"/>
      <c r="Z22" s="262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Monitored"")"),45258.0)</f>
        <v>45258</v>
      </c>
      <c r="AA22" s="263">
        <f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Monitored"")"),0.0)</f>
        <v>0</v>
      </c>
      <c r="AB22" s="264">
        <f t="shared" si="1"/>
        <v>0</v>
      </c>
      <c r="AC22" s="899" t="s">
        <v>1830</v>
      </c>
    </row>
    <row r="23">
      <c r="A23" s="652">
        <v>2022.0</v>
      </c>
      <c r="B23" s="1260">
        <v>44755.0</v>
      </c>
      <c r="C23" s="652" t="s">
        <v>1831</v>
      </c>
      <c r="D23" s="1261" t="s">
        <v>1832</v>
      </c>
      <c r="E23" s="652" t="s">
        <v>170</v>
      </c>
      <c r="F23" s="652" t="s">
        <v>146</v>
      </c>
      <c r="G23" s="652" t="s">
        <v>69</v>
      </c>
      <c r="H23" s="652">
        <v>364.0</v>
      </c>
      <c r="I23" s="652" t="s">
        <v>1833</v>
      </c>
      <c r="J23" s="654">
        <v>24.47814</v>
      </c>
      <c r="K23" s="654">
        <v>-81.73078</v>
      </c>
      <c r="L23" s="652" t="s">
        <v>1829</v>
      </c>
      <c r="M23" s="1262">
        <v>44791.0</v>
      </c>
      <c r="N23" s="1263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264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264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264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262">
        <v>45085.0</v>
      </c>
      <c r="S23" s="1265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266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266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266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20"/>
      <c r="X23" s="1211"/>
      <c r="Y23" s="1218"/>
      <c r="Z23" s="262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Monitored"")"),45307.0)</f>
        <v>45307</v>
      </c>
      <c r="AA23" s="263">
        <f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Monitored"")"),0.0)</f>
        <v>0</v>
      </c>
      <c r="AB23" s="264">
        <f t="shared" si="1"/>
        <v>0</v>
      </c>
      <c r="AC23" s="899"/>
    </row>
    <row r="24">
      <c r="A24" s="652">
        <v>2022.0</v>
      </c>
      <c r="B24" s="1260">
        <v>44756.0</v>
      </c>
      <c r="C24" s="652" t="s">
        <v>1834</v>
      </c>
      <c r="D24" s="1261" t="s">
        <v>1835</v>
      </c>
      <c r="E24" s="652" t="s">
        <v>170</v>
      </c>
      <c r="F24" s="652" t="s">
        <v>146</v>
      </c>
      <c r="G24" s="652" t="s">
        <v>69</v>
      </c>
      <c r="H24" s="652">
        <v>209.0</v>
      </c>
      <c r="I24" s="652" t="s">
        <v>1769</v>
      </c>
      <c r="J24" s="654">
        <v>24.47988</v>
      </c>
      <c r="K24" s="654">
        <v>-81.71463</v>
      </c>
      <c r="L24" s="652" t="s">
        <v>1829</v>
      </c>
      <c r="M24" s="1262">
        <v>44791.0</v>
      </c>
      <c r="N24" s="1263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264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264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264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262">
        <v>45097.0</v>
      </c>
      <c r="S24" s="1265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266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266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266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20"/>
      <c r="X24" s="1211"/>
      <c r="Y24" s="1218"/>
      <c r="Z24" s="262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Monitored"")"),45307.0)</f>
        <v>45307</v>
      </c>
      <c r="AA24" s="263">
        <f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Monitored"")"),0.0)</f>
        <v>0</v>
      </c>
      <c r="AB24" s="264">
        <f t="shared" si="1"/>
        <v>0</v>
      </c>
      <c r="AC24" s="899"/>
    </row>
    <row r="25">
      <c r="A25" s="1267">
        <v>2023.0</v>
      </c>
      <c r="B25" s="1268">
        <v>45030.0</v>
      </c>
      <c r="C25" s="1267" t="s">
        <v>586</v>
      </c>
      <c r="D25" s="1267" t="s">
        <v>1836</v>
      </c>
      <c r="E25" s="1267" t="s">
        <v>170</v>
      </c>
      <c r="F25" s="1267" t="s">
        <v>146</v>
      </c>
      <c r="G25" s="1267" t="s">
        <v>89</v>
      </c>
      <c r="H25" s="1267">
        <v>213.0</v>
      </c>
      <c r="I25" s="1269">
        <v>44931.0</v>
      </c>
      <c r="J25" s="1270">
        <v>24.53395</v>
      </c>
      <c r="K25" s="1270">
        <v>-81.47822</v>
      </c>
      <c r="L25" s="1267" t="s">
        <v>1837</v>
      </c>
      <c r="M25" s="1271">
        <v>45069.0</v>
      </c>
      <c r="N25" s="1272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273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273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273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274"/>
      <c r="S25" s="1275" t="str">
        <f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1276" t="str">
        <f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1276" t="str">
        <f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1276" t="str">
        <f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1277"/>
      <c r="X25" s="1267"/>
      <c r="Y25" s="1278"/>
      <c r="Z25" s="305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Monitored"")"),45258.0)</f>
        <v>45258</v>
      </c>
      <c r="AA25" s="263">
        <f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Monitored"")"),158.0)</f>
        <v>158</v>
      </c>
      <c r="AB25" s="264">
        <f t="shared" si="1"/>
        <v>0.7417840376</v>
      </c>
      <c r="AC25" s="718"/>
    </row>
    <row r="26">
      <c r="A26" s="1267">
        <v>2023.0</v>
      </c>
      <c r="B26" s="1279">
        <v>45030.0</v>
      </c>
      <c r="C26" s="1267" t="s">
        <v>1826</v>
      </c>
      <c r="D26" s="1280" t="s">
        <v>1838</v>
      </c>
      <c r="E26" s="1267" t="s">
        <v>170</v>
      </c>
      <c r="F26" s="1267" t="s">
        <v>146</v>
      </c>
      <c r="G26" s="1267" t="s">
        <v>89</v>
      </c>
      <c r="H26" s="1267">
        <v>212.0</v>
      </c>
      <c r="I26" s="1269">
        <v>44964.0</v>
      </c>
      <c r="J26" s="1270">
        <v>24.51424</v>
      </c>
      <c r="K26" s="1270">
        <v>-81.55301</v>
      </c>
      <c r="L26" s="1267" t="s">
        <v>1837</v>
      </c>
      <c r="M26" s="1268">
        <v>45069.0</v>
      </c>
      <c r="N26" s="1272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273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273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273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274"/>
      <c r="S26" s="1275" t="str">
        <f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1276" t="str">
        <f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1276" t="str">
        <f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1276" t="str">
        <f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1267"/>
      <c r="X26" s="1267"/>
      <c r="Y26" s="1281"/>
      <c r="Z26" s="305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Monitored"")"),45258.0)</f>
        <v>45258</v>
      </c>
      <c r="AA26" s="263">
        <f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Monitored"")"),141.0)</f>
        <v>141</v>
      </c>
      <c r="AB26" s="264">
        <f t="shared" si="1"/>
        <v>0.6650943396</v>
      </c>
      <c r="AC26" s="718"/>
    </row>
    <row r="27">
      <c r="A27" s="718"/>
      <c r="B27" s="967"/>
      <c r="C27" s="718"/>
      <c r="D27" s="1282"/>
      <c r="E27" s="718"/>
      <c r="F27" s="718"/>
      <c r="G27" s="718"/>
      <c r="H27" s="718"/>
      <c r="I27" s="1283"/>
      <c r="J27" s="669"/>
      <c r="K27" s="669"/>
      <c r="L27" s="718"/>
      <c r="M27" s="1284"/>
      <c r="N27" s="256"/>
      <c r="O27" s="974"/>
      <c r="P27" s="974"/>
      <c r="Q27" s="974"/>
      <c r="R27" s="1181"/>
      <c r="S27" s="1285"/>
      <c r="T27" s="261"/>
      <c r="U27" s="261"/>
      <c r="V27" s="261"/>
      <c r="W27" s="718"/>
      <c r="X27" s="718"/>
      <c r="Y27" s="1286"/>
      <c r="Z27" s="1286"/>
      <c r="AA27" s="1286"/>
      <c r="AB27" s="1286"/>
      <c r="AC27" s="718"/>
    </row>
  </sheetData>
  <conditionalFormatting sqref="AC1">
    <cfRule type="notContainsBlanks" dxfId="9" priority="1">
      <formula>LEN(TRIM(AC1))&gt;0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30" width="5.14"/>
    <col customWidth="1" min="31" max="31" width="7.14"/>
    <col customWidth="1" min="32" max="36" width="5.14"/>
    <col customWidth="1" min="37" max="38" width="4.57"/>
  </cols>
  <sheetData>
    <row r="1">
      <c r="A1" s="225" t="s">
        <v>2</v>
      </c>
      <c r="B1" s="226" t="s">
        <v>113</v>
      </c>
      <c r="C1" s="225" t="s">
        <v>114</v>
      </c>
      <c r="D1" s="225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120</v>
      </c>
      <c r="J1" s="1287" t="s">
        <v>1366</v>
      </c>
      <c r="K1" s="1288" t="s">
        <v>1368</v>
      </c>
      <c r="L1" s="1288" t="s">
        <v>1367</v>
      </c>
      <c r="M1" s="1289" t="s">
        <v>1369</v>
      </c>
      <c r="N1" s="230" t="s">
        <v>121</v>
      </c>
      <c r="O1" s="230" t="s">
        <v>122</v>
      </c>
      <c r="P1" s="231" t="s">
        <v>108</v>
      </c>
      <c r="Q1" s="878" t="s">
        <v>123</v>
      </c>
      <c r="R1" s="234" t="s">
        <v>124</v>
      </c>
      <c r="S1" s="1290" t="s">
        <v>125</v>
      </c>
      <c r="T1" s="1290" t="s">
        <v>126</v>
      </c>
      <c r="U1" s="1290" t="s">
        <v>127</v>
      </c>
      <c r="V1" s="878" t="s">
        <v>130</v>
      </c>
      <c r="W1" s="880" t="s">
        <v>131</v>
      </c>
      <c r="X1" s="880" t="s">
        <v>132</v>
      </c>
      <c r="Y1" s="880" t="s">
        <v>133</v>
      </c>
      <c r="Z1" s="880" t="s">
        <v>134</v>
      </c>
      <c r="AA1" s="1291" t="s">
        <v>142</v>
      </c>
      <c r="AB1" s="734"/>
      <c r="AC1" s="734"/>
      <c r="AD1" s="734"/>
      <c r="AE1" s="734"/>
      <c r="AF1" s="734"/>
      <c r="AG1" s="734"/>
      <c r="AH1" s="734"/>
      <c r="AI1" s="734"/>
      <c r="AJ1" s="734"/>
      <c r="AK1" s="735"/>
      <c r="AL1" s="735"/>
    </row>
    <row r="2">
      <c r="A2" s="1292">
        <v>2019.0</v>
      </c>
      <c r="B2" s="1293">
        <v>43600.0</v>
      </c>
      <c r="C2" s="1292" t="s">
        <v>1455</v>
      </c>
      <c r="D2" s="1294" t="s">
        <v>432</v>
      </c>
      <c r="E2" s="1292" t="s">
        <v>277</v>
      </c>
      <c r="F2" s="1295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295" t="s">
        <v>35</v>
      </c>
      <c r="H2" s="1295">
        <v>180.0</v>
      </c>
      <c r="I2" s="1295" t="s">
        <v>235</v>
      </c>
      <c r="J2" s="1296">
        <v>60.0</v>
      </c>
      <c r="K2" s="1297">
        <v>60.0</v>
      </c>
      <c r="L2" s="1297">
        <v>60.0</v>
      </c>
      <c r="M2" s="1298"/>
      <c r="N2" s="1299">
        <v>24.53832</v>
      </c>
      <c r="O2" s="1299">
        <v>-81.45374</v>
      </c>
      <c r="P2" s="1292" t="s">
        <v>433</v>
      </c>
      <c r="Q2" s="1300">
        <v>43634.0</v>
      </c>
      <c r="R2" s="1301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301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301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301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300">
        <v>43951.0</v>
      </c>
      <c r="W2" s="1302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303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303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303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1304" t="str">
        <f>IFERROR(__xludf.DUMMYFUNCTION("TRANSPOSE(SORT(UNIQUE(INDEX(IMPORTRANGE(""https://docs.google.com/spreadsheets/d/1J_y2OWnO1khWTXIGBRu_QcdSzOnW52uG3ACUOj9soCM/edit#gid=1058860631"", D2),,12))))"),"MC-3")</f>
        <v>MC-3</v>
      </c>
      <c r="AB2" s="943" t="str">
        <f>IFERROR(__xludf.DUMMYFUNCTION("""COMPUTED_VALUE"""),"MC-4")</f>
        <v>MC-4</v>
      </c>
      <c r="AC2" s="943" t="str">
        <f>IFERROR(__xludf.DUMMYFUNCTION("""COMPUTED_VALUE"""),"MC-5")</f>
        <v>MC-5</v>
      </c>
      <c r="AD2" s="943" t="str">
        <f>IFERROR(__xludf.DUMMYFUNCTION("""COMPUTED_VALUE"""),"OF-3")</f>
        <v>OF-3</v>
      </c>
      <c r="AE2" s="943" t="str">
        <f>IFERROR(__xludf.DUMMYFUNCTION("""COMPUTED_VALUE"""),"OF-4")</f>
        <v>OF-4</v>
      </c>
      <c r="AF2" s="943" t="str">
        <f>IFERROR(__xludf.DUMMYFUNCTION("""COMPUTED_VALUE"""),"OF-5")</f>
        <v>OF-5</v>
      </c>
      <c r="AG2" s="943" t="str">
        <f>IFERROR(__xludf.DUMMYFUNCTION("""COMPUTED_VALUE"""),"PC-3")</f>
        <v>PC-3</v>
      </c>
      <c r="AH2" s="943" t="str">
        <f>IFERROR(__xludf.DUMMYFUNCTION("""COMPUTED_VALUE"""),"PC-4")</f>
        <v>PC-4</v>
      </c>
      <c r="AI2" s="943" t="str">
        <f>IFERROR(__xludf.DUMMYFUNCTION("""COMPUTED_VALUE"""),"PC-5")</f>
        <v>PC-5</v>
      </c>
      <c r="AJ2" s="943"/>
      <c r="AK2" s="943"/>
      <c r="AL2" s="943"/>
    </row>
    <row r="3">
      <c r="A3" s="659">
        <v>2022.0</v>
      </c>
      <c r="B3" s="1305">
        <v>44719.0</v>
      </c>
      <c r="C3" s="659" t="s">
        <v>327</v>
      </c>
      <c r="D3" s="1306" t="s">
        <v>1839</v>
      </c>
      <c r="E3" s="659" t="s">
        <v>451</v>
      </c>
      <c r="F3" s="659" t="s">
        <v>146</v>
      </c>
      <c r="G3" s="659" t="s">
        <v>65</v>
      </c>
      <c r="H3" s="659">
        <v>300.0</v>
      </c>
      <c r="I3" s="659" t="s">
        <v>1840</v>
      </c>
      <c r="J3" s="1307">
        <v>100.0</v>
      </c>
      <c r="K3" s="659">
        <v>100.0</v>
      </c>
      <c r="L3" s="659">
        <v>100.0</v>
      </c>
      <c r="M3" s="1308"/>
      <c r="N3" s="1309">
        <v>24.5462</v>
      </c>
      <c r="O3" s="1309">
        <v>-81.40154</v>
      </c>
      <c r="P3" s="1310" t="s">
        <v>1841</v>
      </c>
      <c r="Q3" s="1311">
        <v>44747.0</v>
      </c>
      <c r="R3" s="1312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687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687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687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1311">
        <v>45064.0</v>
      </c>
      <c r="W3" s="258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720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720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720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898" t="str">
        <f>IFERROR(__xludf.DUMMYFUNCTION("TRANSPOSE(SORT(UNIQUE(INDEX(IMPORTRANGE(""https://docs.google.com/spreadsheets/d/1J_y2OWnO1khWTXIGBRu_QcdSzOnW52uG3ACUOj9soCM/edit#gid=1058860631"", D3),,12))))"),"MC1")</f>
        <v>MC1</v>
      </c>
      <c r="AB3" s="898" t="str">
        <f>IFERROR(__xludf.DUMMYFUNCTION("""COMPUTED_VALUE"""),"MC2")</f>
        <v>MC2</v>
      </c>
      <c r="AC3" s="898" t="str">
        <f>IFERROR(__xludf.DUMMYFUNCTION("""COMPUTED_VALUE"""),"OF1")</f>
        <v>OF1</v>
      </c>
      <c r="AD3" s="898" t="str">
        <f>IFERROR(__xludf.DUMMYFUNCTION("""COMPUTED_VALUE"""),"OF2")</f>
        <v>OF2</v>
      </c>
      <c r="AE3" s="898" t="str">
        <f>IFERROR(__xludf.DUMMYFUNCTION("""COMPUTED_VALUE"""),"PC1")</f>
        <v>PC1</v>
      </c>
      <c r="AF3" s="898" t="str">
        <f>IFERROR(__xludf.DUMMYFUNCTION("""COMPUTED_VALUE"""),"PC2")</f>
        <v>PC2</v>
      </c>
      <c r="AG3" s="898"/>
      <c r="AH3" s="898"/>
      <c r="AI3" s="898"/>
      <c r="AJ3" s="898"/>
      <c r="AK3" s="898"/>
      <c r="AL3" s="898"/>
    </row>
    <row r="4">
      <c r="A4" s="659">
        <v>2022.0</v>
      </c>
      <c r="B4" s="1305">
        <v>44720.0</v>
      </c>
      <c r="C4" s="659" t="s">
        <v>172</v>
      </c>
      <c r="D4" s="1306" t="s">
        <v>1842</v>
      </c>
      <c r="E4" s="1310" t="s">
        <v>451</v>
      </c>
      <c r="F4" s="659" t="s">
        <v>146</v>
      </c>
      <c r="G4" s="659" t="s">
        <v>65</v>
      </c>
      <c r="H4" s="659">
        <v>300.0</v>
      </c>
      <c r="I4" s="659" t="s">
        <v>1843</v>
      </c>
      <c r="J4" s="1307">
        <v>100.0</v>
      </c>
      <c r="K4" s="659">
        <v>100.0</v>
      </c>
      <c r="L4" s="659">
        <v>100.0</v>
      </c>
      <c r="M4" s="1308"/>
      <c r="N4" s="1309">
        <v>24.55244</v>
      </c>
      <c r="O4" s="1309">
        <v>-81.37778</v>
      </c>
      <c r="P4" s="1310" t="s">
        <v>1841</v>
      </c>
      <c r="Q4" s="1311">
        <v>44747.0</v>
      </c>
      <c r="R4" s="1312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687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687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687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1311">
        <v>45064.0</v>
      </c>
      <c r="W4" s="258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720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720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720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898" t="str">
        <f>IFERROR(__xludf.DUMMYFUNCTION("TRANSPOSE(SORT(UNIQUE(INDEX(IMPORTRANGE(""https://docs.google.com/spreadsheets/d/1J_y2OWnO1khWTXIGBRu_QcdSzOnW52uG3ACUOj9soCM/edit#gid=1058860631"", D4),,12))))"),"MC1")</f>
        <v>MC1</v>
      </c>
      <c r="AB4" s="898" t="str">
        <f>IFERROR(__xludf.DUMMYFUNCTION("""COMPUTED_VALUE"""),"MC2")</f>
        <v>MC2</v>
      </c>
      <c r="AC4" s="898" t="str">
        <f>IFERROR(__xludf.DUMMYFUNCTION("""COMPUTED_VALUE"""),"OF1")</f>
        <v>OF1</v>
      </c>
      <c r="AD4" s="898" t="str">
        <f>IFERROR(__xludf.DUMMYFUNCTION("""COMPUTED_VALUE"""),"OF2")</f>
        <v>OF2</v>
      </c>
      <c r="AE4" s="898" t="str">
        <f>IFERROR(__xludf.DUMMYFUNCTION("""COMPUTED_VALUE"""),"PC1")</f>
        <v>PC1</v>
      </c>
      <c r="AF4" s="898" t="str">
        <f>IFERROR(__xludf.DUMMYFUNCTION("""COMPUTED_VALUE"""),"PC2")</f>
        <v>PC2</v>
      </c>
      <c r="AG4" s="898"/>
      <c r="AH4" s="898"/>
      <c r="AI4" s="898"/>
      <c r="AJ4" s="898"/>
      <c r="AK4" s="898"/>
      <c r="AL4" s="898"/>
    </row>
    <row r="5">
      <c r="A5" s="659">
        <v>2022.0</v>
      </c>
      <c r="B5" s="1305">
        <v>44721.0</v>
      </c>
      <c r="C5" s="659" t="s">
        <v>1388</v>
      </c>
      <c r="D5" s="1306" t="s">
        <v>1844</v>
      </c>
      <c r="E5" s="1310" t="s">
        <v>451</v>
      </c>
      <c r="F5" s="659" t="s">
        <v>146</v>
      </c>
      <c r="G5" s="659" t="s">
        <v>65</v>
      </c>
      <c r="H5" s="659">
        <v>300.0</v>
      </c>
      <c r="I5" s="659" t="s">
        <v>1845</v>
      </c>
      <c r="J5" s="1307">
        <v>100.0</v>
      </c>
      <c r="K5" s="659">
        <v>100.0</v>
      </c>
      <c r="L5" s="659">
        <v>100.0</v>
      </c>
      <c r="M5" s="1308"/>
      <c r="N5" s="1309">
        <v>24.62129</v>
      </c>
      <c r="O5" s="1309">
        <v>-81.36306</v>
      </c>
      <c r="P5" s="1310" t="s">
        <v>1841</v>
      </c>
      <c r="Q5" s="1311">
        <v>44747.0</v>
      </c>
      <c r="R5" s="1312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687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687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687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1311">
        <v>45071.0</v>
      </c>
      <c r="W5" s="258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720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720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720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898" t="str">
        <f>IFERROR(__xludf.DUMMYFUNCTION("TRANSPOSE(SORT(UNIQUE(INDEX(IMPORTRANGE(""https://docs.google.com/spreadsheets/d/1J_y2OWnO1khWTXIGBRu_QcdSzOnW52uG3ACUOj9soCM/edit#gid=1058860631"", D5),,12))))"),"MC1")</f>
        <v>MC1</v>
      </c>
      <c r="AB5" s="898" t="str">
        <f>IFERROR(__xludf.DUMMYFUNCTION("""COMPUTED_VALUE"""),"MC2")</f>
        <v>MC2</v>
      </c>
      <c r="AC5" s="898" t="str">
        <f>IFERROR(__xludf.DUMMYFUNCTION("""COMPUTED_VALUE"""),"OF1")</f>
        <v>OF1</v>
      </c>
      <c r="AD5" s="898" t="str">
        <f>IFERROR(__xludf.DUMMYFUNCTION("""COMPUTED_VALUE"""),"OF2")</f>
        <v>OF2</v>
      </c>
      <c r="AE5" s="898" t="str">
        <f>IFERROR(__xludf.DUMMYFUNCTION("""COMPUTED_VALUE"""),"PC1")</f>
        <v>PC1</v>
      </c>
      <c r="AF5" s="898" t="str">
        <f>IFERROR(__xludf.DUMMYFUNCTION("""COMPUTED_VALUE"""),"PC2")</f>
        <v>PC2</v>
      </c>
      <c r="AG5" s="898"/>
      <c r="AH5" s="898"/>
      <c r="AI5" s="898"/>
      <c r="AJ5" s="898"/>
      <c r="AK5" s="898"/>
      <c r="AL5" s="898"/>
    </row>
    <row r="6">
      <c r="A6" s="659">
        <v>2022.0</v>
      </c>
      <c r="B6" s="1305">
        <v>44721.0</v>
      </c>
      <c r="C6" s="659" t="s">
        <v>1476</v>
      </c>
      <c r="D6" s="1306" t="s">
        <v>1846</v>
      </c>
      <c r="E6" s="1310" t="s">
        <v>451</v>
      </c>
      <c r="F6" s="659" t="s">
        <v>146</v>
      </c>
      <c r="G6" s="659" t="s">
        <v>65</v>
      </c>
      <c r="H6" s="659">
        <v>300.0</v>
      </c>
      <c r="I6" s="659" t="s">
        <v>1847</v>
      </c>
      <c r="J6" s="1307">
        <v>100.0</v>
      </c>
      <c r="K6" s="659">
        <v>100.0</v>
      </c>
      <c r="L6" s="659">
        <v>100.0</v>
      </c>
      <c r="M6" s="1308"/>
      <c r="N6" s="1309">
        <v>24.61469</v>
      </c>
      <c r="O6" s="1309">
        <v>-81.39057</v>
      </c>
      <c r="P6" s="659" t="s">
        <v>1841</v>
      </c>
      <c r="Q6" s="1311">
        <v>44747.0</v>
      </c>
      <c r="R6" s="1312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687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687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1312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1311">
        <v>45071.0</v>
      </c>
      <c r="W6" s="258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720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720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720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898" t="str">
        <f>IFERROR(__xludf.DUMMYFUNCTION("TRANSPOSE(SORT(UNIQUE(INDEX(IMPORTRANGE(""https://docs.google.com/spreadsheets/d/1J_y2OWnO1khWTXIGBRu_QcdSzOnW52uG3ACUOj9soCM/edit#gid=1058860631"", D6),,12))))"),"MC1")</f>
        <v>MC1</v>
      </c>
      <c r="AB6" s="898" t="str">
        <f>IFERROR(__xludf.DUMMYFUNCTION("""COMPUTED_VALUE"""),"MC2")</f>
        <v>MC2</v>
      </c>
      <c r="AC6" s="898" t="str">
        <f>IFERROR(__xludf.DUMMYFUNCTION("""COMPUTED_VALUE"""),"OF1")</f>
        <v>OF1</v>
      </c>
      <c r="AD6" s="898" t="str">
        <f>IFERROR(__xludf.DUMMYFUNCTION("""COMPUTED_VALUE"""),"OF2")</f>
        <v>OF2</v>
      </c>
      <c r="AE6" s="898" t="str">
        <f>IFERROR(__xludf.DUMMYFUNCTION("""COMPUTED_VALUE"""),"PC1")</f>
        <v>PC1</v>
      </c>
      <c r="AF6" s="898" t="str">
        <f>IFERROR(__xludf.DUMMYFUNCTION("""COMPUTED_VALUE"""),"PC2")</f>
        <v>PC2</v>
      </c>
      <c r="AG6" s="898"/>
      <c r="AH6" s="898"/>
      <c r="AI6" s="898"/>
      <c r="AJ6" s="898"/>
      <c r="AK6" s="898"/>
      <c r="AL6" s="898"/>
    </row>
    <row r="7">
      <c r="A7" s="1313">
        <v>2022.0</v>
      </c>
      <c r="B7" s="1314">
        <v>44803.0</v>
      </c>
      <c r="C7" s="652" t="s">
        <v>275</v>
      </c>
      <c r="D7" s="1315" t="s">
        <v>1848</v>
      </c>
      <c r="E7" s="652" t="s">
        <v>170</v>
      </c>
      <c r="F7" s="652" t="s">
        <v>161</v>
      </c>
      <c r="G7" s="652" t="s">
        <v>69</v>
      </c>
      <c r="H7" s="652">
        <v>100.0</v>
      </c>
      <c r="I7" s="1316">
        <v>44581.0</v>
      </c>
      <c r="J7" s="1317">
        <v>35.0</v>
      </c>
      <c r="K7" s="652">
        <v>30.0</v>
      </c>
      <c r="L7" s="652">
        <v>20.0</v>
      </c>
      <c r="M7" s="1318">
        <v>15.0</v>
      </c>
      <c r="N7" s="652">
        <v>24.54045</v>
      </c>
      <c r="O7" s="652">
        <v>-81.44542</v>
      </c>
      <c r="P7" s="652" t="s">
        <v>1849</v>
      </c>
      <c r="Q7" s="1311">
        <v>44839.0</v>
      </c>
      <c r="R7" s="1312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687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687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1312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1311">
        <v>45156.0</v>
      </c>
      <c r="W7" s="258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720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720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720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898" t="str">
        <f>IFERROR(__xludf.DUMMYFUNCTION("TRANSPOSE(SORT(UNIQUE(INDEX(IMPORTRANGE(""https://docs.google.com/spreadsheets/d/1J_y2OWnO1khWTXIGBRu_QcdSzOnW52uG3ACUOj9soCM/edit#gid=1058860631"", D7),,12))))"),"MC-1")</f>
        <v>MC-1</v>
      </c>
      <c r="AB7" s="898" t="str">
        <f>IFERROR(__xludf.DUMMYFUNCTION("""COMPUTED_VALUE"""),"MC-2")</f>
        <v>MC-2</v>
      </c>
      <c r="AC7" s="898" t="str">
        <f>IFERROR(__xludf.DUMMYFUNCTION("""COMPUTED_VALUE"""),"OF-1")</f>
        <v>OF-1</v>
      </c>
      <c r="AD7" s="898" t="str">
        <f>IFERROR(__xludf.DUMMYFUNCTION("""COMPUTED_VALUE"""),"OF-2")</f>
        <v>OF-2</v>
      </c>
      <c r="AE7" s="898" t="str">
        <f>IFERROR(__xludf.DUMMYFUNCTION("""COMPUTED_VALUE"""),"PC-2")</f>
        <v>PC-2</v>
      </c>
      <c r="AF7" s="898" t="str">
        <f>IFERROR(__xludf.DUMMYFUNCTION("""COMPUTED_VALUE"""),"PS-1")</f>
        <v>PS-1</v>
      </c>
      <c r="AG7" s="898"/>
      <c r="AH7" s="898"/>
      <c r="AI7" s="898"/>
      <c r="AJ7" s="898"/>
      <c r="AK7" s="898"/>
      <c r="AL7" s="898"/>
    </row>
    <row r="8">
      <c r="A8" s="1313">
        <v>2022.0</v>
      </c>
      <c r="B8" s="1314">
        <v>44803.0</v>
      </c>
      <c r="C8" s="652" t="s">
        <v>428</v>
      </c>
      <c r="D8" s="1315" t="s">
        <v>1850</v>
      </c>
      <c r="E8" s="652" t="s">
        <v>170</v>
      </c>
      <c r="F8" s="652" t="s">
        <v>161</v>
      </c>
      <c r="G8" s="652" t="s">
        <v>69</v>
      </c>
      <c r="H8" s="652">
        <v>100.0</v>
      </c>
      <c r="I8" s="1316">
        <v>44581.0</v>
      </c>
      <c r="J8" s="1317">
        <v>30.0</v>
      </c>
      <c r="K8" s="652">
        <v>35.0</v>
      </c>
      <c r="L8" s="652">
        <v>15.0</v>
      </c>
      <c r="M8" s="1318">
        <v>20.0</v>
      </c>
      <c r="N8" s="652">
        <v>24.53116</v>
      </c>
      <c r="O8" s="652">
        <v>-81.48455</v>
      </c>
      <c r="P8" s="652" t="s">
        <v>1851</v>
      </c>
      <c r="Q8" s="1311">
        <v>44839.0</v>
      </c>
      <c r="R8" s="1312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687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687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1312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1311">
        <v>45156.0</v>
      </c>
      <c r="W8" s="258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720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720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720" t="str">
        <f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898" t="str">
        <f>IFERROR(__xludf.DUMMYFUNCTION("TRANSPOSE(SORT(UNIQUE(INDEX(IMPORTRANGE(""https://docs.google.com/spreadsheets/d/1J_y2OWnO1khWTXIGBRu_QcdSzOnW52uG3ACUOj9soCM/edit#gid=1058860631"", D8),,12))))"),"MC-1")</f>
        <v>MC-1</v>
      </c>
      <c r="AB8" s="898" t="str">
        <f>IFERROR(__xludf.DUMMYFUNCTION("""COMPUTED_VALUE"""),"MC-2")</f>
        <v>MC-2</v>
      </c>
      <c r="AC8" s="898" t="str">
        <f>IFERROR(__xludf.DUMMYFUNCTION("""COMPUTED_VALUE"""),"OF-1")</f>
        <v>OF-1</v>
      </c>
      <c r="AD8" s="898" t="str">
        <f>IFERROR(__xludf.DUMMYFUNCTION("""COMPUTED_VALUE"""),"OF-2")</f>
        <v>OF-2</v>
      </c>
      <c r="AE8" s="898" t="str">
        <f>IFERROR(__xludf.DUMMYFUNCTION("""COMPUTED_VALUE"""),"PC-2")</f>
        <v>PC-2</v>
      </c>
      <c r="AF8" s="898" t="str">
        <f>IFERROR(__xludf.DUMMYFUNCTION("""COMPUTED_VALUE"""),"PS-1")</f>
        <v>PS-1</v>
      </c>
      <c r="AG8" s="898"/>
      <c r="AH8" s="898"/>
      <c r="AI8" s="898"/>
      <c r="AJ8" s="898"/>
      <c r="AK8" s="898"/>
      <c r="AL8" s="898"/>
    </row>
    <row r="9">
      <c r="A9" s="1313">
        <v>2022.0</v>
      </c>
      <c r="B9" s="1314">
        <v>44803.0</v>
      </c>
      <c r="C9" s="652" t="s">
        <v>577</v>
      </c>
      <c r="D9" s="1315" t="s">
        <v>1852</v>
      </c>
      <c r="E9" s="652" t="s">
        <v>170</v>
      </c>
      <c r="F9" s="652" t="s">
        <v>161</v>
      </c>
      <c r="G9" s="652" t="s">
        <v>69</v>
      </c>
      <c r="H9" s="652">
        <v>100.0</v>
      </c>
      <c r="I9" s="1316">
        <v>44581.0</v>
      </c>
      <c r="J9" s="1317">
        <v>35.0</v>
      </c>
      <c r="K9" s="652">
        <v>35.0</v>
      </c>
      <c r="L9" s="652">
        <v>15.0</v>
      </c>
      <c r="M9" s="1318">
        <v>15.0</v>
      </c>
      <c r="N9" s="652">
        <v>24.5274</v>
      </c>
      <c r="O9" s="652">
        <v>-81.49897</v>
      </c>
      <c r="P9" s="652" t="s">
        <v>1853</v>
      </c>
      <c r="Q9" s="1311">
        <v>44839.0</v>
      </c>
      <c r="R9" s="1312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687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687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1312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1311">
        <v>45156.0</v>
      </c>
      <c r="W9" s="258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720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720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720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898" t="str">
        <f>IFERROR(__xludf.DUMMYFUNCTION("TRANSPOSE(SORT(UNIQUE(INDEX(IMPORTRANGE(""https://docs.google.com/spreadsheets/d/1J_y2OWnO1khWTXIGBRu_QcdSzOnW52uG3ACUOj9soCM/edit#gid=1058860631"", D9),,12))))"),"MC-1")</f>
        <v>MC-1</v>
      </c>
      <c r="AB9" s="898" t="str">
        <f>IFERROR(__xludf.DUMMYFUNCTION("""COMPUTED_VALUE"""),"MC-2")</f>
        <v>MC-2</v>
      </c>
      <c r="AC9" s="898" t="str">
        <f>IFERROR(__xludf.DUMMYFUNCTION("""COMPUTED_VALUE"""),"OF-1")</f>
        <v>OF-1</v>
      </c>
      <c r="AD9" s="898" t="str">
        <f>IFERROR(__xludf.DUMMYFUNCTION("""COMPUTED_VALUE"""),"OF-2")</f>
        <v>OF-2</v>
      </c>
      <c r="AE9" s="898" t="str">
        <f>IFERROR(__xludf.DUMMYFUNCTION("""COMPUTED_VALUE"""),"PC-2")</f>
        <v>PC-2</v>
      </c>
      <c r="AF9" s="898" t="str">
        <f>IFERROR(__xludf.DUMMYFUNCTION("""COMPUTED_VALUE"""),"PS-1")</f>
        <v>PS-1</v>
      </c>
      <c r="AG9" s="898"/>
      <c r="AH9" s="898"/>
      <c r="AI9" s="898"/>
      <c r="AJ9" s="898"/>
      <c r="AK9" s="898"/>
      <c r="AL9" s="898"/>
    </row>
    <row r="10">
      <c r="A10" s="659">
        <v>2022.0</v>
      </c>
      <c r="B10" s="1305">
        <v>44804.0</v>
      </c>
      <c r="C10" s="659" t="s">
        <v>318</v>
      </c>
      <c r="D10" s="1306" t="s">
        <v>1854</v>
      </c>
      <c r="E10" s="659" t="s">
        <v>145</v>
      </c>
      <c r="F10" s="659" t="s">
        <v>161</v>
      </c>
      <c r="G10" s="659" t="s">
        <v>65</v>
      </c>
      <c r="H10" s="659">
        <v>300.0</v>
      </c>
      <c r="I10" s="659" t="s">
        <v>235</v>
      </c>
      <c r="J10" s="1307">
        <v>100.0</v>
      </c>
      <c r="K10" s="659">
        <v>100.0</v>
      </c>
      <c r="L10" s="659">
        <v>100.0</v>
      </c>
      <c r="M10" s="1308"/>
      <c r="N10" s="1309">
        <v>24.5264</v>
      </c>
      <c r="O10" s="1309">
        <v>-81.5044</v>
      </c>
      <c r="P10" s="659"/>
      <c r="Q10" s="1311">
        <v>44839.0</v>
      </c>
      <c r="R10" s="1312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687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687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1312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1311">
        <v>45180.0</v>
      </c>
      <c r="W10" s="258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720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720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720" t="str">
        <f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898" t="str">
        <f>IFERROR(__xludf.DUMMYFUNCTION("TRANSPOSE(SORT(UNIQUE(INDEX(IMPORTRANGE(""https://docs.google.com/spreadsheets/d/1J_y2OWnO1khWTXIGBRu_QcdSzOnW52uG3ACUOj9soCM/edit#gid=1058860631"", D10),,12))))"),"MC-1")</f>
        <v>MC-1</v>
      </c>
      <c r="AB10" s="898" t="str">
        <f>IFERROR(__xludf.DUMMYFUNCTION("""COMPUTED_VALUE"""),"MC-2")</f>
        <v>MC-2</v>
      </c>
      <c r="AC10" s="898" t="str">
        <f>IFERROR(__xludf.DUMMYFUNCTION("""COMPUTED_VALUE"""),"OF-1")</f>
        <v>OF-1</v>
      </c>
      <c r="AD10" s="898" t="str">
        <f>IFERROR(__xludf.DUMMYFUNCTION("""COMPUTED_VALUE"""),"OF-2")</f>
        <v>OF-2</v>
      </c>
      <c r="AE10" s="898" t="str">
        <f>IFERROR(__xludf.DUMMYFUNCTION("""COMPUTED_VALUE"""),"PC-1")</f>
        <v>PC-1</v>
      </c>
      <c r="AF10" s="898" t="str">
        <f>IFERROR(__xludf.DUMMYFUNCTION("""COMPUTED_VALUE"""),"PC-2")</f>
        <v>PC-2</v>
      </c>
      <c r="AG10" s="898"/>
      <c r="AH10" s="898"/>
      <c r="AI10" s="898"/>
      <c r="AJ10" s="898"/>
      <c r="AK10" s="898"/>
      <c r="AL10" s="898"/>
    </row>
    <row r="11">
      <c r="A11" s="1315">
        <v>2022.0</v>
      </c>
      <c r="B11" s="1319">
        <v>44880.0</v>
      </c>
      <c r="C11" s="652" t="s">
        <v>275</v>
      </c>
      <c r="D11" s="1315" t="s">
        <v>1855</v>
      </c>
      <c r="E11" s="652" t="s">
        <v>170</v>
      </c>
      <c r="F11" s="652" t="s">
        <v>161</v>
      </c>
      <c r="G11" s="652" t="s">
        <v>69</v>
      </c>
      <c r="H11" s="652">
        <v>100.0</v>
      </c>
      <c r="I11" s="1316">
        <v>44581.0</v>
      </c>
      <c r="J11" s="1317">
        <v>30.0</v>
      </c>
      <c r="K11" s="652">
        <v>30.0</v>
      </c>
      <c r="L11" s="652">
        <v>40.0</v>
      </c>
      <c r="M11" s="1318"/>
      <c r="N11" s="689">
        <v>24.54047</v>
      </c>
      <c r="O11" s="689">
        <v>-81.44465</v>
      </c>
      <c r="P11" s="652" t="s">
        <v>1856</v>
      </c>
      <c r="Q11" s="1311">
        <v>44911.0</v>
      </c>
      <c r="R11" s="1312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687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687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1312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11"/>
      <c r="W11" s="258" t="str">
        <f>IFERROR(__xludf.DUMMYFUNCTION("index(IMPORTRANGE(""https://docs.google.com/spreadsheets/d/1J_y2OWnO1khWTXIGBRu_QcdSzOnW52uG3ACUOj9soCM/edit#gid=346089540"",""NEW summary stats!AF:AF""), MATCH($D11,IMPORTRANGE(""https://docs.google.com/spreadsheets/d/1J_y2OWnO1khWTXIGBRu_QcdSzOnW52uG3AC"&amp;"UOj9soCM/edit#gid=346089540"",""NEW summary stats!C:C""),0))"),"N/A")</f>
        <v>N/A</v>
      </c>
      <c r="X11" s="720">
        <f>IFERROR(__xludf.DUMMYFUNCTION("IF(Q11="""", ""N/A"",SUM(Index(IMPORTRANGE(""https://docs.google.com/spreadsheets/d/1J_y2OWnO1khWTXIGBRu_QcdSzOnW52uG3ACUOj9soCM/edit#gid=346089540"", ""NEW summary stats!AI3:AI""), MATCH(D11,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MATCH(D1"&amp;"1, IMPORTRANGE(""https://docs.google.com/spreadsheets/d/1J_y2OWnO1khWTXIGBRu_QcdSzOnW52uG3ACUOj9soCM/edit#gid=346089540"", ""NEW summary stats!C3:C""),0))))"),0.0)</f>
        <v>0</v>
      </c>
      <c r="Y11" s="720">
        <f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stats!C:C""),0))"),0.0)</f>
        <v>0</v>
      </c>
      <c r="Z11" s="720" t="str">
        <f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898" t="str">
        <f>IFERROR(__xludf.DUMMYFUNCTION("TRANSPOSE(SORT(UNIQUE(INDEX(IMPORTRANGE(""https://docs.google.com/spreadsheets/d/1J_y2OWnO1khWTXIGBRu_QcdSzOnW52uG3ACUOj9soCM/edit#gid=1058860631"", D11),,12))))"),"MC-2")</f>
        <v>MC-2</v>
      </c>
      <c r="AB11" s="898" t="str">
        <f>IFERROR(__xludf.DUMMYFUNCTION("""COMPUTED_VALUE"""),"OF-1")</f>
        <v>OF-1</v>
      </c>
      <c r="AC11" s="898" t="str">
        <f>IFERROR(__xludf.DUMMYFUNCTION("""COMPUTED_VALUE"""),"OF-3")</f>
        <v>OF-3</v>
      </c>
      <c r="AD11" s="898" t="str">
        <f>IFERROR(__xludf.DUMMYFUNCTION("""COMPUTED_VALUE"""),"PC-2")</f>
        <v>PC-2</v>
      </c>
      <c r="AE11" s="898" t="str">
        <f>IFERROR(__xludf.DUMMYFUNCTION("""COMPUTED_VALUE"""),"X-MC-1")</f>
        <v>X-MC-1</v>
      </c>
      <c r="AF11" s="898"/>
      <c r="AG11" s="898"/>
      <c r="AH11" s="898"/>
      <c r="AI11" s="898"/>
      <c r="AJ11" s="898"/>
      <c r="AK11" s="898"/>
      <c r="AL11" s="898"/>
    </row>
    <row r="12">
      <c r="A12" s="1315">
        <v>2022.0</v>
      </c>
      <c r="B12" s="1319">
        <v>44881.0</v>
      </c>
      <c r="C12" s="652" t="s">
        <v>428</v>
      </c>
      <c r="D12" s="1315" t="s">
        <v>1857</v>
      </c>
      <c r="E12" s="652" t="s">
        <v>170</v>
      </c>
      <c r="F12" s="652" t="s">
        <v>161</v>
      </c>
      <c r="G12" s="652" t="s">
        <v>69</v>
      </c>
      <c r="H12" s="652">
        <v>100.0</v>
      </c>
      <c r="I12" s="1316">
        <v>44581.0</v>
      </c>
      <c r="J12" s="652">
        <v>30.0</v>
      </c>
      <c r="K12" s="652">
        <v>30.0</v>
      </c>
      <c r="L12" s="652">
        <v>40.0</v>
      </c>
      <c r="M12" s="652"/>
      <c r="N12" s="689">
        <v>24.53109</v>
      </c>
      <c r="O12" s="689">
        <v>-81.48502</v>
      </c>
      <c r="P12" s="652" t="s">
        <v>1858</v>
      </c>
      <c r="Q12" s="1284">
        <v>44911.0</v>
      </c>
      <c r="R12" s="1312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687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687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1312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284"/>
      <c r="W12" s="258" t="str">
        <f>IFERROR(__xludf.DUMMYFUNCTION("index(IMPORTRANGE(""https://docs.google.com/spreadsheets/d/1J_y2OWnO1khWTXIGBRu_QcdSzOnW52uG3ACUOj9soCM/edit#gid=346089540"",""NEW summary stats!AF:AF""), MATCH($D12,IMPORTRANGE(""https://docs.google.com/spreadsheets/d/1J_y2OWnO1khWTXIGBRu_QcdSzOnW52uG3AC"&amp;"UOj9soCM/edit#gid=346089540"",""NEW summary stats!C:C""),0))"),"N/A")</f>
        <v>N/A</v>
      </c>
      <c r="X12" s="720">
        <f>IFERROR(__xludf.DUMMYFUNCTION("IF(Q12="""", ""N/A"",SUM(Index(IMPORTRANGE(""https://docs.google.com/spreadsheets/d/1J_y2OWnO1khWTXIGBRu_QcdSzOnW52uG3ACUOj9soCM/edit#gid=346089540"", ""NEW summary stats!AI3:AI""), MATCH(D12,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MATCH(D1"&amp;"2, IMPORTRANGE(""https://docs.google.com/spreadsheets/d/1J_y2OWnO1khWTXIGBRu_QcdSzOnW52uG3ACUOj9soCM/edit#gid=346089540"", ""NEW summary stats!C3:C""),0))))"),0.0)</f>
        <v>0</v>
      </c>
      <c r="Y12" s="720">
        <f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stats!C:C""),0))"),0.0)</f>
        <v>0</v>
      </c>
      <c r="Z12" s="720" t="str">
        <f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898" t="str">
        <f>IFERROR(__xludf.DUMMYFUNCTION("TRANSPOSE(SORT(UNIQUE(INDEX(IMPORTRANGE(""https://docs.google.com/spreadsheets/d/1J_y2OWnO1khWTXIGBRu_QcdSzOnW52uG3ACUOj9soCM/edit#gid=1058860631"", D12),,12))))"),"MC-2")</f>
        <v>MC-2</v>
      </c>
      <c r="AB12" s="898" t="str">
        <f>IFERROR(__xludf.DUMMYFUNCTION("""COMPUTED_VALUE"""),"OF-3")</f>
        <v>OF-3</v>
      </c>
      <c r="AC12" s="898" t="str">
        <f>IFERROR(__xludf.DUMMYFUNCTION("""COMPUTED_VALUE"""),"OF-5")</f>
        <v>OF-5</v>
      </c>
      <c r="AD12" s="898" t="str">
        <f>IFERROR(__xludf.DUMMYFUNCTION("""COMPUTED_VALUE"""),"PC-2")</f>
        <v>PC-2</v>
      </c>
      <c r="AE12" s="898" t="str">
        <f>IFERROR(__xludf.DUMMYFUNCTION("""COMPUTED_VALUE"""),"X-MC-1")</f>
        <v>X-MC-1</v>
      </c>
      <c r="AF12" s="898"/>
      <c r="AG12" s="898"/>
      <c r="AH12" s="898"/>
      <c r="AI12" s="898"/>
      <c r="AJ12" s="898"/>
      <c r="AK12" s="898"/>
      <c r="AL12" s="898"/>
    </row>
    <row r="13">
      <c r="A13" s="1315">
        <v>2022.0</v>
      </c>
      <c r="B13" s="1319">
        <v>44881.0</v>
      </c>
      <c r="C13" s="652" t="s">
        <v>577</v>
      </c>
      <c r="D13" s="1315" t="s">
        <v>1859</v>
      </c>
      <c r="E13" s="652" t="s">
        <v>170</v>
      </c>
      <c r="F13" s="652" t="s">
        <v>161</v>
      </c>
      <c r="G13" s="652" t="s">
        <v>69</v>
      </c>
      <c r="H13" s="652">
        <v>99.0</v>
      </c>
      <c r="I13" s="1316">
        <v>44581.0</v>
      </c>
      <c r="J13" s="652">
        <v>30.0</v>
      </c>
      <c r="K13" s="652">
        <v>30.0</v>
      </c>
      <c r="L13" s="652">
        <v>40.0</v>
      </c>
      <c r="M13" s="652"/>
      <c r="N13" s="689">
        <v>24.52757</v>
      </c>
      <c r="O13" s="689">
        <v>-81.49843</v>
      </c>
      <c r="P13" s="652" t="s">
        <v>1860</v>
      </c>
      <c r="Q13" s="1284">
        <v>44911.0</v>
      </c>
      <c r="R13" s="1312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687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687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1312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284"/>
      <c r="W13" s="258" t="str">
        <f>IFERROR(__xludf.DUMMYFUNCTION("index(IMPORTRANGE(""https://docs.google.com/spreadsheets/d/1J_y2OWnO1khWTXIGBRu_QcdSzOnW52uG3ACUOj9soCM/edit#gid=346089540"",""NEW summary stats!AF:AF""), MATCH($D13,IMPORTRANGE(""https://docs.google.com/spreadsheets/d/1J_y2OWnO1khWTXIGBRu_QcdSzOnW52uG3AC"&amp;"UOj9soCM/edit#gid=346089540"",""NEW summary stats!C:C""),0))"),"N/A")</f>
        <v>N/A</v>
      </c>
      <c r="X13" s="720">
        <f>IFERROR(__xludf.DUMMYFUNCTION("IF(Q13="""", ""N/A"",SUM(Index(IMPORTRANGE(""https://docs.google.com/spreadsheets/d/1J_y2OWnO1khWTXIGBRu_QcdSzOnW52uG3ACUOj9soCM/edit#gid=346089540"", ""NEW summary stats!AI3:AI""), MATCH(D13,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MATCH(D1"&amp;"3, IMPORTRANGE(""https://docs.google.com/spreadsheets/d/1J_y2OWnO1khWTXIGBRu_QcdSzOnW52uG3ACUOj9soCM/edit#gid=346089540"", ""NEW summary stats!C3:C""),0))))"),0.0)</f>
        <v>0</v>
      </c>
      <c r="Y13" s="720">
        <f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stats!C:C""),0))"),0.0)</f>
        <v>0</v>
      </c>
      <c r="Z13" s="720" t="str">
        <f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898" t="str">
        <f>IFERROR(__xludf.DUMMYFUNCTION("TRANSPOSE(SORT(UNIQUE(INDEX(IMPORTRANGE(""https://docs.google.com/spreadsheets/d/1J_y2OWnO1khWTXIGBRu_QcdSzOnW52uG3ACUOj9soCM/edit#gid=1058860631"", D13),,12))))"),"MC-1")</f>
        <v>MC-1</v>
      </c>
      <c r="AB13" s="898" t="str">
        <f>IFERROR(__xludf.DUMMYFUNCTION("""COMPUTED_VALUE"""),"OF-3")</f>
        <v>OF-3</v>
      </c>
      <c r="AC13" s="898" t="str">
        <f>IFERROR(__xludf.DUMMYFUNCTION("""COMPUTED_VALUE"""),"OF-5")</f>
        <v>OF-5</v>
      </c>
      <c r="AD13" s="898" t="str">
        <f>IFERROR(__xludf.DUMMYFUNCTION("""COMPUTED_VALUE"""),"PC-2")</f>
        <v>PC-2</v>
      </c>
      <c r="AE13" s="898" t="str">
        <f>IFERROR(__xludf.DUMMYFUNCTION("""COMPUTED_VALUE"""),"X-MC-1")</f>
        <v>X-MC-1</v>
      </c>
      <c r="AF13" s="898"/>
      <c r="AG13" s="898"/>
      <c r="AH13" s="898"/>
      <c r="AI13" s="898"/>
      <c r="AJ13" s="898"/>
      <c r="AK13" s="898"/>
      <c r="AL13" s="898"/>
    </row>
    <row r="14">
      <c r="A14" s="866">
        <v>2023.0</v>
      </c>
      <c r="B14" s="1320">
        <v>45096.0</v>
      </c>
      <c r="C14" s="718" t="s">
        <v>275</v>
      </c>
      <c r="D14" s="866" t="s">
        <v>1861</v>
      </c>
      <c r="E14" s="718" t="s">
        <v>170</v>
      </c>
      <c r="F14" s="718" t="s">
        <v>161</v>
      </c>
      <c r="G14" s="718" t="s">
        <v>89</v>
      </c>
      <c r="H14" s="718">
        <v>150.0</v>
      </c>
      <c r="I14" s="1321" t="s">
        <v>1862</v>
      </c>
      <c r="J14" s="1322"/>
      <c r="K14" s="1322"/>
      <c r="L14" s="1322">
        <v>110.0</v>
      </c>
      <c r="M14" s="1322">
        <v>40.0</v>
      </c>
      <c r="N14" s="716">
        <v>24.54047</v>
      </c>
      <c r="O14" s="716">
        <v>-81.44465</v>
      </c>
      <c r="P14" s="718" t="s">
        <v>1856</v>
      </c>
      <c r="Q14" s="1284"/>
      <c r="R14" s="1312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687" t="str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687" t="str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1312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1284"/>
      <c r="W14" s="258" t="str">
        <f>IFERROR(__xludf.DUMMYFUNCTION("index(IMPORTRANGE(""https://docs.google.com/spreadsheets/d/1J_y2OWnO1khWTXIGBRu_QcdSzOnW52uG3ACUOj9soCM/edit#gid=346089540"",""NEW summary stats!AF:AF""), MATCH($D14,IMPORTRANGE(""https://docs.google.com/spreadsheets/d/1J_y2OWnO1khWTXIGBRu_QcdSzOnW52uG3AC"&amp;"UOj9soCM/edit#gid=346089540"",""NEW summary stats!C:C""),0))"),"N/A")</f>
        <v>N/A</v>
      </c>
      <c r="X14" s="720" t="str">
        <f>IFERROR(__xludf.DUMMYFUNCTION("IF(Q14="""", ""N/A"",SUM(Index(IMPORTRANGE(""https://docs.google.com/spreadsheets/d/1J_y2OWnO1khWTXIGBRu_QcdSzOnW52uG3ACUOj9soCM/edit#gid=346089540"", ""NEW summary stats!AI3:AI""), MATCH(D14,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MATCH(D1"&amp;"4, IMPORTRANGE(""https://docs.google.com/spreadsheets/d/1J_y2OWnO1khWTXIGBRu_QcdSzOnW52uG3ACUOj9soCM/edit#gid=346089540"", ""NEW summary stats!C3:C""),0))))"),"N/A")</f>
        <v>N/A</v>
      </c>
      <c r="Y14" s="720">
        <f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stats!C:C""),0))"),0.0)</f>
        <v>0</v>
      </c>
      <c r="Z14" s="720" t="str">
        <f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898" t="str">
        <f>IFERROR(__xludf.DUMMYFUNCTION("TRANSPOSE(SORT(UNIQUE(INDEX(IMPORTRANGE(""https://docs.google.com/spreadsheets/d/1J_y2OWnO1khWTXIGBRu_QcdSzOnW52uG3ACUOj9soCM/edit#gid=1058860631"", D14),,12))))"),"PC-2")</f>
        <v>PC-2</v>
      </c>
      <c r="AB14" s="898" t="str">
        <f>IFERROR(__xludf.DUMMYFUNCTION("""COMPUTED_VALUE"""),"PS-1")</f>
        <v>PS-1</v>
      </c>
      <c r="AC14" s="898" t="str">
        <f>IFERROR(__xludf.DUMMYFUNCTION("""COMPUTED_VALUE"""),"X-PC-17")</f>
        <v>X-PC-17</v>
      </c>
      <c r="AD14" s="898"/>
      <c r="AE14" s="898"/>
      <c r="AF14" s="898"/>
      <c r="AG14" s="898"/>
      <c r="AH14" s="898"/>
      <c r="AI14" s="898"/>
      <c r="AJ14" s="898"/>
      <c r="AK14" s="898"/>
      <c r="AL14" s="898"/>
    </row>
    <row r="15">
      <c r="A15" s="866">
        <v>2023.0</v>
      </c>
      <c r="B15" s="1320">
        <v>45096.0</v>
      </c>
      <c r="C15" s="718" t="s">
        <v>428</v>
      </c>
      <c r="D15" s="866" t="s">
        <v>1863</v>
      </c>
      <c r="E15" s="718" t="s">
        <v>170</v>
      </c>
      <c r="F15" s="718" t="s">
        <v>161</v>
      </c>
      <c r="G15" s="718" t="s">
        <v>89</v>
      </c>
      <c r="H15" s="718">
        <v>150.0</v>
      </c>
      <c r="I15" s="1321" t="s">
        <v>1862</v>
      </c>
      <c r="J15" s="1322"/>
      <c r="K15" s="1322"/>
      <c r="L15" s="1322">
        <v>110.0</v>
      </c>
      <c r="M15" s="1322">
        <v>40.0</v>
      </c>
      <c r="N15" s="716">
        <v>24.53109</v>
      </c>
      <c r="O15" s="716">
        <v>-81.48502</v>
      </c>
      <c r="P15" s="718" t="s">
        <v>1858</v>
      </c>
      <c r="Q15" s="1284"/>
      <c r="R15" s="1312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687" t="str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687" t="str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1312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284"/>
      <c r="W15" s="258" t="str">
        <f>IFERROR(__xludf.DUMMYFUNCTION("index(IMPORTRANGE(""https://docs.google.com/spreadsheets/d/1J_y2OWnO1khWTXIGBRu_QcdSzOnW52uG3ACUOj9soCM/edit#gid=346089540"",""NEW summary stats!AF:AF""), MATCH($D15,IMPORTRANGE(""https://docs.google.com/spreadsheets/d/1J_y2OWnO1khWTXIGBRu_QcdSzOnW52uG3AC"&amp;"UOj9soCM/edit#gid=346089540"",""NEW summary stats!C:C""),0))"),"N/A")</f>
        <v>N/A</v>
      </c>
      <c r="X15" s="720" t="str">
        <f>IFERROR(__xludf.DUMMYFUNCTION("IF(Q15="""", ""N/A"",SUM(Index(IMPORTRANGE(""https://docs.google.com/spreadsheets/d/1J_y2OWnO1khWTXIGBRu_QcdSzOnW52uG3ACUOj9soCM/edit#gid=346089540"", ""NEW summary stats!AI3:AI""), MATCH(D15,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MATCH(D1"&amp;"5, IMPORTRANGE(""https://docs.google.com/spreadsheets/d/1J_y2OWnO1khWTXIGBRu_QcdSzOnW52uG3ACUOj9soCM/edit#gid=346089540"", ""NEW summary stats!C3:C""),0))))"),"N/A")</f>
        <v>N/A</v>
      </c>
      <c r="Y15" s="720">
        <f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stats!C:C""),0))"),0.0)</f>
        <v>0</v>
      </c>
      <c r="Z15" s="720" t="str">
        <f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898" t="str">
        <f>IFERROR(__xludf.DUMMYFUNCTION("TRANSPOSE(SORT(UNIQUE(INDEX(IMPORTRANGE(""https://docs.google.com/spreadsheets/d/1J_y2OWnO1khWTXIGBRu_QcdSzOnW52uG3ACUOj9soCM/edit#gid=1058860631"", D15),,12))))"),"PC-2")</f>
        <v>PC-2</v>
      </c>
      <c r="AB15" s="898" t="str">
        <f>IFERROR(__xludf.DUMMYFUNCTION("""COMPUTED_VALUE"""),"PS-1")</f>
        <v>PS-1</v>
      </c>
      <c r="AC15" s="898" t="str">
        <f>IFERROR(__xludf.DUMMYFUNCTION("""COMPUTED_VALUE"""),"X-PC-17")</f>
        <v>X-PC-17</v>
      </c>
      <c r="AD15" s="898"/>
      <c r="AE15" s="898"/>
      <c r="AF15" s="898"/>
      <c r="AG15" s="898"/>
      <c r="AH15" s="898"/>
      <c r="AI15" s="898"/>
      <c r="AJ15" s="898"/>
      <c r="AK15" s="898"/>
      <c r="AL15" s="898"/>
    </row>
    <row r="16">
      <c r="A16" s="866">
        <v>2023.0</v>
      </c>
      <c r="B16" s="1320">
        <v>45096.0</v>
      </c>
      <c r="C16" s="718" t="s">
        <v>577</v>
      </c>
      <c r="D16" s="866" t="s">
        <v>1864</v>
      </c>
      <c r="E16" s="718" t="s">
        <v>170</v>
      </c>
      <c r="F16" s="718" t="s">
        <v>161</v>
      </c>
      <c r="G16" s="718" t="s">
        <v>89</v>
      </c>
      <c r="H16" s="718">
        <v>150.0</v>
      </c>
      <c r="I16" s="1321" t="s">
        <v>1862</v>
      </c>
      <c r="J16" s="1322"/>
      <c r="K16" s="1322"/>
      <c r="L16" s="1322">
        <v>110.0</v>
      </c>
      <c r="M16" s="1322">
        <v>40.0</v>
      </c>
      <c r="N16" s="716">
        <v>24.52757</v>
      </c>
      <c r="O16" s="716">
        <v>-81.49843</v>
      </c>
      <c r="P16" s="718" t="s">
        <v>1860</v>
      </c>
      <c r="Q16" s="1284"/>
      <c r="R16" s="1312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687" t="str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687" t="str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1312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284"/>
      <c r="W16" s="258" t="str">
        <f>IFERROR(__xludf.DUMMYFUNCTION("index(IMPORTRANGE(""https://docs.google.com/spreadsheets/d/1J_y2OWnO1khWTXIGBRu_QcdSzOnW52uG3ACUOj9soCM/edit#gid=346089540"",""NEW summary stats!AF:AF""), MATCH($D16,IMPORTRANGE(""https://docs.google.com/spreadsheets/d/1J_y2OWnO1khWTXIGBRu_QcdSzOnW52uG3AC"&amp;"UOj9soCM/edit#gid=346089540"",""NEW summary stats!C:C""),0))"),"N/A")</f>
        <v>N/A</v>
      </c>
      <c r="X16" s="720" t="str">
        <f>IFERROR(__xludf.DUMMYFUNCTION("IF(Q16="""", ""N/A"",SUM(Index(IMPORTRANGE(""https://docs.google.com/spreadsheets/d/1J_y2OWnO1khWTXIGBRu_QcdSzOnW52uG3ACUOj9soCM/edit#gid=346089540"", ""NEW summary stats!AI3:AI""), MATCH(D16,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MATCH(D1"&amp;"6, IMPORTRANGE(""https://docs.google.com/spreadsheets/d/1J_y2OWnO1khWTXIGBRu_QcdSzOnW52uG3ACUOj9soCM/edit#gid=346089540"", ""NEW summary stats!C3:C""),0))))"),"N/A")</f>
        <v>N/A</v>
      </c>
      <c r="Y16" s="720">
        <f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stats!C:C""),0))"),0.0)</f>
        <v>0</v>
      </c>
      <c r="Z16" s="720" t="str">
        <f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898" t="str">
        <f>IFERROR(__xludf.DUMMYFUNCTION("TRANSPOSE(SORT(UNIQUE(INDEX(IMPORTRANGE(""https://docs.google.com/spreadsheets/d/1J_y2OWnO1khWTXIGBRu_QcdSzOnW52uG3ACUOj9soCM/edit#gid=1058860631"", D16),,12))))"),"PC-2")</f>
        <v>PC-2</v>
      </c>
      <c r="AB16" s="898" t="str">
        <f>IFERROR(__xludf.DUMMYFUNCTION("""COMPUTED_VALUE"""),"PS-1")</f>
        <v>PS-1</v>
      </c>
      <c r="AC16" s="898" t="str">
        <f>IFERROR(__xludf.DUMMYFUNCTION("""COMPUTED_VALUE"""),"X-PC-17")</f>
        <v>X-PC-17</v>
      </c>
      <c r="AD16" s="898"/>
      <c r="AE16" s="898"/>
      <c r="AF16" s="898"/>
      <c r="AG16" s="898"/>
      <c r="AH16" s="898"/>
      <c r="AI16" s="898"/>
      <c r="AJ16" s="898"/>
      <c r="AK16" s="898"/>
      <c r="AL16" s="898"/>
    </row>
    <row r="17">
      <c r="A17" s="866"/>
      <c r="B17" s="1320"/>
      <c r="C17" s="718"/>
      <c r="D17" s="866"/>
      <c r="E17" s="718"/>
      <c r="F17" s="718"/>
      <c r="G17" s="718"/>
      <c r="H17" s="718"/>
      <c r="I17" s="1321"/>
      <c r="J17" s="1322"/>
      <c r="K17" s="1322"/>
      <c r="L17" s="1322"/>
      <c r="M17" s="1322"/>
      <c r="N17" s="716"/>
      <c r="O17" s="716"/>
      <c r="P17" s="718"/>
      <c r="Q17" s="1284"/>
      <c r="R17" s="1312"/>
      <c r="S17" s="687"/>
      <c r="T17" s="687"/>
      <c r="U17" s="1312"/>
      <c r="V17" s="1284"/>
      <c r="W17" s="258"/>
      <c r="X17" s="720"/>
      <c r="Y17" s="720"/>
      <c r="Z17" s="720"/>
      <c r="AA17" s="898"/>
      <c r="AB17" s="898"/>
      <c r="AC17" s="898"/>
      <c r="AD17" s="898"/>
      <c r="AE17" s="898"/>
      <c r="AF17" s="898"/>
      <c r="AG17" s="898"/>
      <c r="AH17" s="898"/>
      <c r="AI17" s="898"/>
      <c r="AJ17" s="898"/>
      <c r="AK17" s="898"/>
      <c r="AL17" s="898"/>
    </row>
  </sheetData>
  <mergeCells count="1">
    <mergeCell ref="AA1:AJ1"/>
  </mergeCells>
  <conditionalFormatting sqref="AA1:AJ1">
    <cfRule type="notContainsBlanks" dxfId="9" priority="1">
      <formula>LEN(TRIM(AA1))&gt;0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5" width="10.0"/>
    <col customWidth="1" min="16" max="16" width="8.86"/>
    <col customWidth="1" min="17" max="17" width="20.0"/>
  </cols>
  <sheetData>
    <row r="1">
      <c r="A1" s="1323" t="s">
        <v>2</v>
      </c>
      <c r="B1" s="1324" t="s">
        <v>113</v>
      </c>
      <c r="C1" s="1323" t="s">
        <v>114</v>
      </c>
      <c r="D1" s="1323" t="s">
        <v>115</v>
      </c>
      <c r="E1" s="1323" t="s">
        <v>116</v>
      </c>
      <c r="F1" s="1323" t="s">
        <v>117</v>
      </c>
      <c r="G1" s="1323" t="s">
        <v>118</v>
      </c>
      <c r="H1" s="1325" t="s">
        <v>119</v>
      </c>
      <c r="I1" s="1326" t="s">
        <v>120</v>
      </c>
      <c r="J1" s="1327" t="s">
        <v>121</v>
      </c>
      <c r="K1" s="1327" t="s">
        <v>122</v>
      </c>
      <c r="L1" s="1328" t="s">
        <v>108</v>
      </c>
      <c r="M1" s="1206" t="s">
        <v>123</v>
      </c>
      <c r="N1" s="1329" t="s">
        <v>124</v>
      </c>
      <c r="O1" s="1206" t="s">
        <v>130</v>
      </c>
      <c r="P1" s="1208" t="s">
        <v>131</v>
      </c>
      <c r="Q1" s="1210" t="s">
        <v>142</v>
      </c>
    </row>
    <row r="2">
      <c r="A2" s="1330">
        <v>2019.0</v>
      </c>
      <c r="B2" s="1331">
        <v>43755.0</v>
      </c>
      <c r="C2" s="1330" t="s">
        <v>520</v>
      </c>
      <c r="D2" s="1330" t="s">
        <v>1865</v>
      </c>
      <c r="E2" s="1330" t="s">
        <v>170</v>
      </c>
      <c r="F2" s="1330" t="s">
        <v>146</v>
      </c>
      <c r="G2" s="1330" t="s">
        <v>33</v>
      </c>
      <c r="H2" s="1330">
        <v>1.0</v>
      </c>
      <c r="I2" s="1332" t="s">
        <v>32</v>
      </c>
      <c r="J2" s="1333"/>
      <c r="K2" s="1333"/>
      <c r="L2" s="1295" t="s">
        <v>1866</v>
      </c>
      <c r="M2" s="1192"/>
      <c r="N2" s="1334"/>
      <c r="O2" s="1192"/>
      <c r="P2" s="1335"/>
      <c r="Q2" s="1258" t="s">
        <v>1867</v>
      </c>
    </row>
    <row r="3">
      <c r="A3" s="359">
        <v>2022.0</v>
      </c>
      <c r="B3" s="1336">
        <v>44750.0</v>
      </c>
      <c r="C3" s="359" t="s">
        <v>703</v>
      </c>
      <c r="D3" s="359" t="s">
        <v>1868</v>
      </c>
      <c r="E3" s="359" t="s">
        <v>170</v>
      </c>
      <c r="F3" s="359" t="s">
        <v>146</v>
      </c>
      <c r="G3" s="359" t="s">
        <v>33</v>
      </c>
      <c r="H3" s="359">
        <v>30.0</v>
      </c>
      <c r="I3" s="981" t="s">
        <v>212</v>
      </c>
      <c r="J3" s="669">
        <v>24.5145</v>
      </c>
      <c r="K3" s="669">
        <v>-81.55344</v>
      </c>
      <c r="L3" s="718" t="s">
        <v>1869</v>
      </c>
      <c r="M3" s="1284">
        <v>44785.0</v>
      </c>
      <c r="N3" s="1337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284">
        <v>45092.0</v>
      </c>
      <c r="P3" s="1338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899" t="s">
        <v>1870</v>
      </c>
    </row>
    <row r="4">
      <c r="A4" s="359">
        <v>2022.0</v>
      </c>
      <c r="B4" s="1336">
        <v>44804.0</v>
      </c>
      <c r="C4" s="359" t="s">
        <v>318</v>
      </c>
      <c r="D4" s="359" t="s">
        <v>1871</v>
      </c>
      <c r="E4" s="359" t="s">
        <v>170</v>
      </c>
      <c r="F4" s="359" t="s">
        <v>146</v>
      </c>
      <c r="G4" s="359" t="s">
        <v>1872</v>
      </c>
      <c r="H4" s="359">
        <v>30.0</v>
      </c>
      <c r="I4" s="981" t="s">
        <v>212</v>
      </c>
      <c r="J4" s="868">
        <v>24.52638</v>
      </c>
      <c r="K4" s="868">
        <v>-81.50422</v>
      </c>
      <c r="L4" s="718" t="s">
        <v>1869</v>
      </c>
      <c r="M4" s="1284">
        <v>44819.0</v>
      </c>
      <c r="N4" s="1337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284">
        <v>45180.0</v>
      </c>
      <c r="P4" s="1338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Q4" s="899" t="s">
        <v>1870</v>
      </c>
    </row>
    <row r="5">
      <c r="A5" s="359"/>
      <c r="B5" s="1336"/>
      <c r="C5" s="359"/>
      <c r="D5" s="359"/>
      <c r="E5" s="359"/>
      <c r="F5" s="359"/>
      <c r="G5" s="359"/>
      <c r="H5" s="359"/>
      <c r="I5" s="981"/>
      <c r="J5" s="1339"/>
      <c r="K5" s="1339"/>
      <c r="L5" s="718"/>
      <c r="M5" s="1181"/>
      <c r="N5" s="1337"/>
      <c r="O5" s="1181"/>
      <c r="P5" s="1338"/>
      <c r="Q5" s="899"/>
    </row>
    <row r="6">
      <c r="A6" s="359"/>
      <c r="B6" s="1336"/>
      <c r="C6" s="359"/>
      <c r="D6" s="359"/>
      <c r="E6" s="359"/>
      <c r="F6" s="359"/>
      <c r="G6" s="359"/>
      <c r="H6" s="359"/>
      <c r="I6" s="981"/>
      <c r="J6" s="1339"/>
      <c r="K6" s="1339"/>
      <c r="L6" s="718"/>
      <c r="M6" s="1181"/>
      <c r="N6" s="1337"/>
      <c r="O6" s="1181"/>
      <c r="P6" s="1338"/>
      <c r="Q6" s="899"/>
    </row>
    <row r="7">
      <c r="A7" s="359"/>
      <c r="B7" s="1336"/>
      <c r="C7" s="359"/>
      <c r="D7" s="359"/>
      <c r="E7" s="359"/>
      <c r="F7" s="359"/>
      <c r="G7" s="359"/>
      <c r="H7" s="359"/>
      <c r="I7" s="981"/>
      <c r="J7" s="1339"/>
      <c r="K7" s="1339"/>
      <c r="L7" s="718"/>
      <c r="M7" s="1181"/>
      <c r="N7" s="1337"/>
      <c r="O7" s="1181"/>
      <c r="P7" s="1338"/>
      <c r="Q7" s="899"/>
    </row>
  </sheetData>
  <conditionalFormatting sqref="Q1">
    <cfRule type="notContainsBlanks" dxfId="9" priority="1">
      <formula>LEN(TRIM(Q1))&gt;0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5" width="3.43"/>
    <col customWidth="1" min="16" max="16" width="4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8.86"/>
    <col customWidth="1" min="26" max="27" width="11.0"/>
    <col customWidth="1" min="28" max="28" width="28.57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1340" t="s">
        <v>99</v>
      </c>
      <c r="J1" s="1340" t="s">
        <v>100</v>
      </c>
      <c r="K1" s="1340" t="s">
        <v>1377</v>
      </c>
      <c r="L1" s="1341" t="s">
        <v>1376</v>
      </c>
      <c r="M1" s="1341" t="s">
        <v>1378</v>
      </c>
      <c r="N1" s="1341" t="s">
        <v>1379</v>
      </c>
      <c r="O1" s="1341" t="s">
        <v>1384</v>
      </c>
      <c r="P1" s="229" t="s">
        <v>120</v>
      </c>
      <c r="Q1" s="230" t="s">
        <v>121</v>
      </c>
      <c r="R1" s="230" t="s">
        <v>122</v>
      </c>
      <c r="S1" s="231" t="s">
        <v>108</v>
      </c>
      <c r="T1" s="237" t="s">
        <v>123</v>
      </c>
      <c r="U1" s="1342" t="s">
        <v>124</v>
      </c>
      <c r="V1" s="1343" t="s">
        <v>1873</v>
      </c>
      <c r="W1" s="237" t="s">
        <v>130</v>
      </c>
      <c r="X1" s="238" t="s">
        <v>131</v>
      </c>
      <c r="Y1" s="239" t="s">
        <v>1874</v>
      </c>
      <c r="Z1" s="1344" t="s">
        <v>135</v>
      </c>
      <c r="AA1" s="1345" t="s">
        <v>138</v>
      </c>
      <c r="AB1" s="1291" t="s">
        <v>142</v>
      </c>
      <c r="AC1" s="734"/>
      <c r="AD1" s="734"/>
      <c r="AE1" s="734"/>
      <c r="AF1" s="734"/>
      <c r="AG1" s="734"/>
      <c r="AH1" s="734"/>
      <c r="AI1" s="734"/>
      <c r="AJ1" s="734"/>
      <c r="AK1" s="734"/>
    </row>
    <row r="2">
      <c r="A2" s="866">
        <v>2022.0</v>
      </c>
      <c r="B2" s="867">
        <v>44679.0</v>
      </c>
      <c r="C2" s="866" t="s">
        <v>1168</v>
      </c>
      <c r="D2" s="866" t="s">
        <v>1875</v>
      </c>
      <c r="E2" s="866" t="s">
        <v>1876</v>
      </c>
      <c r="F2" s="866" t="s">
        <v>161</v>
      </c>
      <c r="G2" s="866" t="s">
        <v>69</v>
      </c>
      <c r="H2" s="866">
        <v>130.0</v>
      </c>
      <c r="I2" s="980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80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80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80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80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80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80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1346" t="s">
        <v>1877</v>
      </c>
      <c r="Q2" s="1347">
        <v>24.84554</v>
      </c>
      <c r="R2" s="1347">
        <v>-80.624</v>
      </c>
      <c r="S2" s="866" t="s">
        <v>1878</v>
      </c>
      <c r="T2" s="1311">
        <v>44713.0</v>
      </c>
      <c r="U2" s="1348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"""")"),1.0)</f>
        <v>1</v>
      </c>
      <c r="V2" s="1348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1349"/>
      <c r="X2" s="1350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"""")"),0.038461538461538436)</f>
        <v>0.03846153846</v>
      </c>
      <c r="Y2" s="866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"""")"),0.038461538461538464)</f>
        <v>0.03846153846</v>
      </c>
      <c r="Z2" s="1349"/>
      <c r="AA2" s="1351"/>
      <c r="AB2" s="1350" t="str">
        <f>IFERROR(__xludf.DUMMYFUNCTION("TRANSPOSE(UNIQUE(INDEX(IMPORTRANGE(""https://docs.google.com/spreadsheets/d/1EnVVp3yvCKPYEJH5Lh-Bw-NZURKD6xd8ZgliIGdLHdU/edit#gid=1607306385"", D2),,10)))"),"AP79")</f>
        <v>AP79</v>
      </c>
      <c r="AC2" s="1350" t="str">
        <f>IFERROR(__xludf.DUMMYFUNCTION("""COMPUTED_VALUE"""),"AP99")</f>
        <v>AP99</v>
      </c>
      <c r="AD2" s="1350"/>
      <c r="AE2" s="1350"/>
      <c r="AF2" s="1350"/>
      <c r="AG2" s="1350"/>
      <c r="AH2" s="1350"/>
      <c r="AI2" s="1350"/>
      <c r="AJ2" s="1350"/>
      <c r="AK2" s="1350"/>
    </row>
    <row r="3">
      <c r="A3" s="866">
        <v>2022.0</v>
      </c>
      <c r="B3" s="867">
        <v>44785.0</v>
      </c>
      <c r="C3" s="866" t="s">
        <v>1879</v>
      </c>
      <c r="D3" s="866" t="s">
        <v>1880</v>
      </c>
      <c r="E3" s="866" t="s">
        <v>1881</v>
      </c>
      <c r="F3" s="866" t="s">
        <v>161</v>
      </c>
      <c r="G3" s="866" t="s">
        <v>73</v>
      </c>
      <c r="H3" s="866">
        <v>100.0</v>
      </c>
      <c r="I3" s="980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80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80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80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80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80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80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1346" t="s">
        <v>217</v>
      </c>
      <c r="Q3" s="1347">
        <v>25.03403</v>
      </c>
      <c r="R3" s="1347">
        <v>-80.34927</v>
      </c>
      <c r="S3" s="866" t="s">
        <v>1882</v>
      </c>
      <c r="T3" s="1311">
        <v>44820.0</v>
      </c>
      <c r="U3" s="1348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V3" s="1348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1349"/>
      <c r="X3" s="1350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866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1349"/>
      <c r="AA3" s="1351"/>
      <c r="AB3" s="1350" t="str">
        <f>IFERROR(__xludf.DUMMYFUNCTION("TRANSPOSE(UNIQUE(INDEX(IMPORTRANGE(""https://docs.google.com/spreadsheets/d/1EnVVp3yvCKPYEJH5Lh-Bw-NZURKD6xd8ZgliIGdLHdU/edit#gid=1607306385"", D3),,10)))"),"AP125")</f>
        <v>AP125</v>
      </c>
      <c r="AC3" s="1350" t="str">
        <f>IFERROR(__xludf.DUMMYFUNCTION("""COMPUTED_VALUE"""),"AP41")</f>
        <v>AP41</v>
      </c>
      <c r="AD3" s="1350" t="str">
        <f>IFERROR(__xludf.DUMMYFUNCTION("""COMPUTED_VALUE"""),"AC29")</f>
        <v>AC29</v>
      </c>
      <c r="AE3" s="1350"/>
      <c r="AF3" s="1350"/>
      <c r="AG3" s="1350"/>
      <c r="AH3" s="1350"/>
      <c r="AI3" s="1350"/>
      <c r="AJ3" s="1350"/>
      <c r="AK3" s="1350"/>
    </row>
    <row r="4">
      <c r="A4" s="866">
        <v>2023.0</v>
      </c>
      <c r="B4" s="867">
        <v>45029.0</v>
      </c>
      <c r="C4" s="866" t="s">
        <v>1883</v>
      </c>
      <c r="D4" s="866" t="s">
        <v>1884</v>
      </c>
      <c r="E4" s="866" t="s">
        <v>1876</v>
      </c>
      <c r="F4" s="866" t="s">
        <v>161</v>
      </c>
      <c r="G4" s="66" t="s">
        <v>82</v>
      </c>
      <c r="H4" s="866">
        <v>21.0</v>
      </c>
      <c r="I4" s="980">
        <v>21.0</v>
      </c>
      <c r="J4" s="980"/>
      <c r="K4" s="980"/>
      <c r="L4" s="980"/>
      <c r="M4" s="980"/>
      <c r="N4" s="980"/>
      <c r="O4" s="980"/>
      <c r="P4" s="1346" t="s">
        <v>1885</v>
      </c>
      <c r="Q4" s="1347">
        <v>24.89312</v>
      </c>
      <c r="R4" s="1347">
        <v>-80.5525</v>
      </c>
      <c r="S4" s="866" t="s">
        <v>1886</v>
      </c>
      <c r="T4" s="1352">
        <v>45061.0</v>
      </c>
      <c r="U4" s="1348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"""")"),1.0)</f>
        <v>1</v>
      </c>
      <c r="V4" s="1348" t="str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1349"/>
      <c r="X4" s="1350" t="str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866" t="str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1349"/>
      <c r="AA4" s="1351"/>
      <c r="AB4" s="1350" t="str">
        <f>IFERROR(__xludf.DUMMYFUNCTION("TRANSPOSE(UNIQUE(INDEX(IMPORTRANGE(""https://docs.google.com/spreadsheets/d/1EnVVp3yvCKPYEJH5Lh-Bw-NZURKD6xd8ZgliIGdLHdU/edit#gid=1607306385"", D4),,10)))"),"AC13")</f>
        <v>AC13</v>
      </c>
      <c r="AC4" s="1350"/>
      <c r="AD4" s="1350"/>
      <c r="AE4" s="1350"/>
      <c r="AF4" s="1350"/>
      <c r="AG4" s="1350"/>
      <c r="AH4" s="1350"/>
      <c r="AI4" s="1350"/>
      <c r="AJ4" s="1350"/>
      <c r="AK4" s="1350"/>
    </row>
    <row r="5">
      <c r="A5" s="866">
        <v>2023.0</v>
      </c>
      <c r="B5" s="867">
        <v>45078.0</v>
      </c>
      <c r="C5" s="866" t="s">
        <v>1879</v>
      </c>
      <c r="D5" s="866" t="s">
        <v>1887</v>
      </c>
      <c r="E5" s="866" t="s">
        <v>1881</v>
      </c>
      <c r="F5" s="866" t="s">
        <v>161</v>
      </c>
      <c r="G5" s="866" t="s">
        <v>86</v>
      </c>
      <c r="H5" s="866">
        <v>255.0</v>
      </c>
      <c r="I5" s="980">
        <v>255.0</v>
      </c>
      <c r="J5" s="980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80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80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80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80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80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1346" t="s">
        <v>1888</v>
      </c>
      <c r="Q5" s="1347">
        <v>25.03383</v>
      </c>
      <c r="R5" s="1347">
        <v>-80.34915</v>
      </c>
      <c r="S5" s="1350"/>
      <c r="T5" s="1352"/>
      <c r="U5" s="1348"/>
      <c r="V5" s="1348"/>
      <c r="W5" s="1349"/>
      <c r="X5" s="1350"/>
      <c r="Y5" s="1350"/>
      <c r="Z5" s="1349"/>
      <c r="AA5" s="1351"/>
      <c r="AB5" s="1350"/>
      <c r="AC5" s="1350"/>
      <c r="AD5" s="1350"/>
      <c r="AE5" s="1350"/>
      <c r="AF5" s="1350"/>
      <c r="AG5" s="1350"/>
      <c r="AH5" s="1350"/>
      <c r="AI5" s="1350"/>
      <c r="AJ5" s="1350"/>
      <c r="AK5" s="1350"/>
    </row>
    <row r="6">
      <c r="A6" s="866">
        <v>2023.0</v>
      </c>
      <c r="B6" s="867">
        <v>45098.0</v>
      </c>
      <c r="C6" s="866" t="s">
        <v>1889</v>
      </c>
      <c r="D6" s="866" t="s">
        <v>1890</v>
      </c>
      <c r="E6" s="866" t="s">
        <v>1876</v>
      </c>
      <c r="F6" s="866" t="s">
        <v>161</v>
      </c>
      <c r="G6" s="66" t="s">
        <v>82</v>
      </c>
      <c r="H6" s="866">
        <v>210.0</v>
      </c>
      <c r="I6" s="866">
        <v>210.0</v>
      </c>
      <c r="J6" s="1350"/>
      <c r="K6" s="1350"/>
      <c r="L6" s="1350"/>
      <c r="M6" s="1350"/>
      <c r="N6" s="1350"/>
      <c r="O6" s="1350"/>
      <c r="P6" s="1346" t="s">
        <v>1891</v>
      </c>
      <c r="Q6" s="1347">
        <v>24.88954</v>
      </c>
      <c r="R6" s="1347">
        <v>-80.56651</v>
      </c>
      <c r="S6" s="1350"/>
      <c r="T6" s="1352"/>
      <c r="U6" s="1348"/>
      <c r="V6" s="1348"/>
      <c r="W6" s="1349"/>
      <c r="X6" s="1350"/>
      <c r="Y6" s="1350"/>
      <c r="Z6" s="1349"/>
      <c r="AA6" s="1351"/>
      <c r="AB6" s="1350"/>
      <c r="AC6" s="1350"/>
      <c r="AD6" s="1350"/>
      <c r="AE6" s="1350"/>
      <c r="AF6" s="1350"/>
      <c r="AG6" s="1350"/>
      <c r="AH6" s="1350"/>
      <c r="AI6" s="1350"/>
      <c r="AJ6" s="1350"/>
      <c r="AK6" s="1350"/>
    </row>
    <row r="7">
      <c r="A7" s="866">
        <v>2023.0</v>
      </c>
      <c r="B7" s="867">
        <v>45103.0</v>
      </c>
      <c r="C7" s="866" t="s">
        <v>1883</v>
      </c>
      <c r="D7" s="866" t="s">
        <v>1892</v>
      </c>
      <c r="E7" s="866" t="s">
        <v>1876</v>
      </c>
      <c r="F7" s="866" t="s">
        <v>161</v>
      </c>
      <c r="G7" s="66" t="s">
        <v>82</v>
      </c>
      <c r="H7" s="866">
        <v>200.0</v>
      </c>
      <c r="I7" s="866">
        <v>200.0</v>
      </c>
      <c r="J7" s="1350"/>
      <c r="K7" s="1350"/>
      <c r="L7" s="1350"/>
      <c r="M7" s="1350"/>
      <c r="N7" s="1350"/>
      <c r="O7" s="1350"/>
      <c r="P7" s="1346" t="s">
        <v>1893</v>
      </c>
      <c r="Q7" s="1347">
        <v>24.89312</v>
      </c>
      <c r="R7" s="1347">
        <v>-80.5525</v>
      </c>
      <c r="S7" s="1350"/>
      <c r="T7" s="1352"/>
      <c r="U7" s="1348"/>
      <c r="V7" s="1348"/>
      <c r="W7" s="1349"/>
      <c r="X7" s="1350"/>
      <c r="Y7" s="1350"/>
      <c r="Z7" s="1349"/>
      <c r="AA7" s="1351"/>
      <c r="AB7" s="1350"/>
      <c r="AC7" s="1350"/>
      <c r="AD7" s="1350"/>
      <c r="AE7" s="1350"/>
      <c r="AF7" s="1350"/>
      <c r="AG7" s="1350"/>
      <c r="AH7" s="1350"/>
      <c r="AI7" s="1350"/>
      <c r="AJ7" s="1350"/>
      <c r="AK7" s="1350"/>
    </row>
    <row r="8">
      <c r="A8" s="866">
        <v>2023.0</v>
      </c>
      <c r="B8" s="867">
        <v>45114.0</v>
      </c>
      <c r="C8" s="866" t="s">
        <v>1894</v>
      </c>
      <c r="D8" s="866" t="s">
        <v>1895</v>
      </c>
      <c r="E8" s="866" t="s">
        <v>1881</v>
      </c>
      <c r="F8" s="866" t="s">
        <v>161</v>
      </c>
      <c r="G8" s="866" t="s">
        <v>86</v>
      </c>
      <c r="H8" s="866">
        <v>280.0</v>
      </c>
      <c r="I8" s="866">
        <v>280.0</v>
      </c>
      <c r="J8" s="1350"/>
      <c r="K8" s="1350"/>
      <c r="L8" s="1350"/>
      <c r="M8" s="1350"/>
      <c r="N8" s="1350"/>
      <c r="O8" s="1350"/>
      <c r="P8" s="1346" t="s">
        <v>1030</v>
      </c>
      <c r="Q8" s="1347">
        <v>25.01817</v>
      </c>
      <c r="R8" s="1347">
        <v>-80.36793</v>
      </c>
      <c r="S8" s="1350"/>
      <c r="T8" s="1352"/>
      <c r="U8" s="1348"/>
      <c r="V8" s="1348"/>
      <c r="W8" s="1349"/>
      <c r="X8" s="1350"/>
      <c r="Y8" s="1350"/>
      <c r="Z8" s="1349"/>
      <c r="AA8" s="1351"/>
      <c r="AB8" s="1350"/>
      <c r="AC8" s="1350"/>
      <c r="AD8" s="1350"/>
      <c r="AE8" s="1350"/>
      <c r="AF8" s="1350"/>
      <c r="AG8" s="1350"/>
      <c r="AH8" s="1350"/>
      <c r="AI8" s="1350"/>
      <c r="AJ8" s="1350"/>
      <c r="AK8" s="1350"/>
    </row>
    <row r="9">
      <c r="A9" s="866">
        <v>2023.0</v>
      </c>
      <c r="B9" s="866" t="s">
        <v>440</v>
      </c>
      <c r="C9" s="866" t="s">
        <v>1168</v>
      </c>
      <c r="D9" s="866" t="s">
        <v>1896</v>
      </c>
      <c r="E9" s="866" t="s">
        <v>1876</v>
      </c>
      <c r="F9" s="866" t="s">
        <v>186</v>
      </c>
      <c r="G9" s="1353" t="s">
        <v>84</v>
      </c>
      <c r="H9" s="866">
        <v>1060.0</v>
      </c>
      <c r="I9" s="1350"/>
      <c r="J9" s="866">
        <v>1060.0</v>
      </c>
      <c r="K9" s="1350"/>
      <c r="L9" s="1350"/>
      <c r="M9" s="1350"/>
      <c r="N9" s="1350"/>
      <c r="O9" s="1350"/>
      <c r="P9" s="1354"/>
      <c r="Q9" s="1355"/>
      <c r="R9" s="1355"/>
      <c r="S9" s="1350"/>
      <c r="T9" s="1349"/>
      <c r="U9" s="1348"/>
      <c r="V9" s="1348"/>
      <c r="W9" s="1349"/>
      <c r="X9" s="1350"/>
      <c r="Y9" s="1350"/>
      <c r="Z9" s="1349"/>
      <c r="AA9" s="1351"/>
      <c r="AB9" s="1350"/>
      <c r="AC9" s="1350"/>
      <c r="AD9" s="1350"/>
      <c r="AE9" s="1350"/>
      <c r="AF9" s="1350"/>
      <c r="AG9" s="1350"/>
      <c r="AH9" s="1350"/>
      <c r="AI9" s="1350"/>
      <c r="AJ9" s="1350"/>
      <c r="AK9" s="1350"/>
    </row>
    <row r="10">
      <c r="A10" s="866">
        <v>2023.0</v>
      </c>
      <c r="B10" s="866" t="s">
        <v>440</v>
      </c>
      <c r="C10" s="866" t="s">
        <v>1897</v>
      </c>
      <c r="D10" s="866" t="s">
        <v>1898</v>
      </c>
      <c r="E10" s="866" t="s">
        <v>1876</v>
      </c>
      <c r="F10" s="866" t="s">
        <v>186</v>
      </c>
      <c r="G10" s="1353" t="s">
        <v>84</v>
      </c>
      <c r="H10" s="866">
        <v>1195.0</v>
      </c>
      <c r="I10" s="866">
        <v>1195.0</v>
      </c>
      <c r="J10" s="1350"/>
      <c r="K10" s="1350"/>
      <c r="L10" s="1350"/>
      <c r="M10" s="1350"/>
      <c r="N10" s="1350"/>
      <c r="O10" s="1350"/>
      <c r="P10" s="1354"/>
      <c r="Q10" s="1355"/>
      <c r="R10" s="1355"/>
      <c r="S10" s="1350"/>
      <c r="T10" s="1349"/>
      <c r="U10" s="1348"/>
      <c r="V10" s="1348"/>
      <c r="W10" s="1349"/>
      <c r="X10" s="1350"/>
      <c r="Y10" s="1350"/>
      <c r="Z10" s="1349"/>
      <c r="AA10" s="1351"/>
      <c r="AB10" s="1350"/>
      <c r="AC10" s="1350"/>
      <c r="AD10" s="1350"/>
      <c r="AE10" s="1350"/>
      <c r="AF10" s="1350"/>
      <c r="AG10" s="1350"/>
      <c r="AH10" s="1350"/>
      <c r="AI10" s="1350"/>
      <c r="AJ10" s="1350"/>
      <c r="AK10" s="1350"/>
    </row>
    <row r="11">
      <c r="A11" s="866">
        <v>2023.0</v>
      </c>
      <c r="B11" s="866" t="s">
        <v>440</v>
      </c>
      <c r="C11" s="866" t="s">
        <v>1899</v>
      </c>
      <c r="D11" s="866" t="s">
        <v>1898</v>
      </c>
      <c r="E11" s="866" t="s">
        <v>1876</v>
      </c>
      <c r="F11" s="866" t="s">
        <v>186</v>
      </c>
      <c r="G11" s="1353" t="s">
        <v>84</v>
      </c>
      <c r="H11" s="866">
        <v>950.0</v>
      </c>
      <c r="I11" s="866">
        <v>950.0</v>
      </c>
      <c r="J11" s="1350"/>
      <c r="K11" s="1350"/>
      <c r="L11" s="1350"/>
      <c r="M11" s="1350"/>
      <c r="N11" s="1350"/>
      <c r="O11" s="1350"/>
      <c r="P11" s="1354"/>
      <c r="Q11" s="1355"/>
      <c r="R11" s="1355"/>
      <c r="S11" s="1350"/>
      <c r="T11" s="1349"/>
      <c r="U11" s="1348"/>
      <c r="V11" s="1348"/>
      <c r="W11" s="1349"/>
      <c r="X11" s="1350"/>
      <c r="Y11" s="1350"/>
      <c r="Z11" s="1349"/>
      <c r="AA11" s="1351"/>
      <c r="AB11" s="1350"/>
      <c r="AC11" s="1350"/>
      <c r="AD11" s="1350"/>
      <c r="AE11" s="1350"/>
      <c r="AF11" s="1350"/>
      <c r="AG11" s="1350"/>
      <c r="AH11" s="1350"/>
      <c r="AI11" s="1350"/>
      <c r="AJ11" s="1350"/>
      <c r="AK11" s="1350"/>
    </row>
    <row r="12">
      <c r="A12" s="866">
        <v>2023.0</v>
      </c>
      <c r="B12" s="866" t="s">
        <v>440</v>
      </c>
      <c r="C12" s="866" t="s">
        <v>1900</v>
      </c>
      <c r="D12" s="866" t="s">
        <v>1898</v>
      </c>
      <c r="E12" s="866" t="s">
        <v>1876</v>
      </c>
      <c r="F12" s="866" t="s">
        <v>186</v>
      </c>
      <c r="G12" s="1353" t="s">
        <v>84</v>
      </c>
      <c r="H12" s="866">
        <v>1085.0</v>
      </c>
      <c r="I12" s="866">
        <v>1085.0</v>
      </c>
      <c r="J12" s="1350"/>
      <c r="K12" s="1350"/>
      <c r="L12" s="1350"/>
      <c r="M12" s="1350"/>
      <c r="N12" s="1350"/>
      <c r="O12" s="1350"/>
      <c r="P12" s="1354"/>
      <c r="Q12" s="1355"/>
      <c r="R12" s="1355"/>
      <c r="S12" s="1350"/>
      <c r="T12" s="1349"/>
      <c r="U12" s="1348"/>
      <c r="V12" s="1348"/>
      <c r="W12" s="1349"/>
      <c r="X12" s="1350"/>
      <c r="Y12" s="1350"/>
      <c r="Z12" s="1349"/>
      <c r="AA12" s="1351"/>
      <c r="AB12" s="1350"/>
      <c r="AC12" s="1350"/>
      <c r="AD12" s="1350"/>
      <c r="AE12" s="1350"/>
      <c r="AF12" s="1350"/>
      <c r="AG12" s="1350"/>
      <c r="AH12" s="1350"/>
      <c r="AI12" s="1350"/>
      <c r="AJ12" s="1350"/>
      <c r="AK12" s="1350"/>
    </row>
    <row r="13">
      <c r="A13" s="1350"/>
      <c r="B13" s="1350"/>
      <c r="C13" s="1350"/>
      <c r="D13" s="1350"/>
      <c r="E13" s="1350"/>
      <c r="F13" s="1350"/>
      <c r="G13" s="1350"/>
      <c r="H13" s="1350"/>
      <c r="I13" s="1350"/>
      <c r="J13" s="1350"/>
      <c r="K13" s="1350"/>
      <c r="L13" s="1350"/>
      <c r="M13" s="1350"/>
      <c r="N13" s="1350"/>
      <c r="O13" s="1350"/>
      <c r="P13" s="1354"/>
      <c r="Q13" s="1355"/>
      <c r="R13" s="1355"/>
      <c r="S13" s="1350"/>
      <c r="T13" s="1349"/>
      <c r="U13" s="1348"/>
      <c r="V13" s="1348"/>
      <c r="W13" s="1349"/>
      <c r="X13" s="1350"/>
      <c r="Y13" s="1350"/>
      <c r="Z13" s="1349"/>
      <c r="AA13" s="1351"/>
      <c r="AB13" s="1350"/>
      <c r="AC13" s="1350"/>
      <c r="AD13" s="1350"/>
      <c r="AE13" s="1350"/>
      <c r="AF13" s="1350"/>
      <c r="AG13" s="1350"/>
      <c r="AH13" s="1350"/>
      <c r="AI13" s="1350"/>
      <c r="AJ13" s="1350"/>
      <c r="AK13" s="1350"/>
    </row>
    <row r="14">
      <c r="A14" s="1350"/>
      <c r="B14" s="1350"/>
      <c r="C14" s="1350"/>
      <c r="D14" s="1350"/>
      <c r="E14" s="1350"/>
      <c r="F14" s="1350"/>
      <c r="G14" s="1350"/>
      <c r="H14" s="1350"/>
      <c r="I14" s="1350"/>
      <c r="J14" s="1350"/>
      <c r="K14" s="1350"/>
      <c r="L14" s="1350"/>
      <c r="M14" s="1350"/>
      <c r="N14" s="1350"/>
      <c r="O14" s="1350"/>
      <c r="P14" s="1354"/>
      <c r="Q14" s="1355"/>
      <c r="R14" s="1355"/>
      <c r="S14" s="1350"/>
      <c r="T14" s="1349"/>
      <c r="U14" s="1348"/>
      <c r="V14" s="1348"/>
      <c r="W14" s="1349"/>
      <c r="X14" s="1350"/>
      <c r="Y14" s="1350"/>
      <c r="Z14" s="1349"/>
      <c r="AA14" s="1351"/>
      <c r="AB14" s="1350"/>
      <c r="AC14" s="1350"/>
      <c r="AD14" s="1350"/>
      <c r="AE14" s="1350"/>
      <c r="AF14" s="1350"/>
      <c r="AG14" s="1350"/>
      <c r="AH14" s="1350"/>
      <c r="AI14" s="1350"/>
      <c r="AJ14" s="1350"/>
      <c r="AK14" s="1350"/>
    </row>
    <row r="15">
      <c r="A15" s="1350"/>
      <c r="B15" s="1350"/>
      <c r="C15" s="1350"/>
      <c r="D15" s="1350"/>
      <c r="E15" s="1350"/>
      <c r="F15" s="1350"/>
      <c r="G15" s="1350"/>
      <c r="H15" s="1350"/>
      <c r="I15" s="1350"/>
      <c r="J15" s="1350"/>
      <c r="K15" s="1350"/>
      <c r="L15" s="1350"/>
      <c r="M15" s="1350"/>
      <c r="N15" s="1350"/>
      <c r="O15" s="1350"/>
      <c r="P15" s="1354"/>
      <c r="Q15" s="1355"/>
      <c r="R15" s="1355"/>
      <c r="S15" s="1350"/>
      <c r="T15" s="1349"/>
      <c r="U15" s="1348"/>
      <c r="V15" s="1348"/>
      <c r="W15" s="1349"/>
      <c r="X15" s="1350"/>
      <c r="Y15" s="1350"/>
      <c r="Z15" s="1349"/>
      <c r="AA15" s="1351"/>
      <c r="AB15" s="1350"/>
      <c r="AC15" s="1350"/>
      <c r="AD15" s="1350"/>
      <c r="AE15" s="1350"/>
      <c r="AF15" s="1350"/>
      <c r="AG15" s="1350"/>
      <c r="AH15" s="1350"/>
      <c r="AI15" s="1350"/>
      <c r="AJ15" s="1350"/>
      <c r="AK15" s="1350"/>
    </row>
    <row r="16">
      <c r="A16" s="1350"/>
      <c r="B16" s="1350"/>
      <c r="C16" s="1350"/>
      <c r="D16" s="1350"/>
      <c r="E16" s="1350"/>
      <c r="F16" s="1350"/>
      <c r="G16" s="1350"/>
      <c r="H16" s="1350"/>
      <c r="I16" s="1350"/>
      <c r="J16" s="1350"/>
      <c r="K16" s="1350"/>
      <c r="L16" s="1350"/>
      <c r="M16" s="1350"/>
      <c r="N16" s="1350"/>
      <c r="O16" s="1350"/>
      <c r="P16" s="1354"/>
      <c r="Q16" s="1355"/>
      <c r="R16" s="1355"/>
      <c r="S16" s="1350"/>
      <c r="T16" s="1349"/>
      <c r="U16" s="1348"/>
      <c r="V16" s="1348"/>
      <c r="W16" s="1349"/>
      <c r="X16" s="1350"/>
      <c r="Y16" s="1350"/>
      <c r="Z16" s="1349"/>
      <c r="AA16" s="1351"/>
      <c r="AB16" s="1350"/>
      <c r="AC16" s="1350"/>
      <c r="AD16" s="1350"/>
      <c r="AE16" s="1350"/>
      <c r="AF16" s="1350"/>
      <c r="AG16" s="1350"/>
      <c r="AH16" s="1350"/>
      <c r="AI16" s="1350"/>
      <c r="AJ16" s="1350"/>
      <c r="AK16" s="1350"/>
    </row>
    <row r="17">
      <c r="A17" s="1350"/>
      <c r="B17" s="1350"/>
      <c r="C17" s="1350"/>
      <c r="D17" s="1350"/>
      <c r="E17" s="1350"/>
      <c r="F17" s="1350"/>
      <c r="G17" s="1350"/>
      <c r="H17" s="1350"/>
      <c r="I17" s="1350"/>
      <c r="J17" s="1350"/>
      <c r="K17" s="1350"/>
      <c r="L17" s="1350"/>
      <c r="M17" s="1350"/>
      <c r="N17" s="1350"/>
      <c r="O17" s="1350"/>
      <c r="P17" s="1354"/>
      <c r="Q17" s="1355"/>
      <c r="R17" s="1355"/>
      <c r="S17" s="1350"/>
      <c r="T17" s="1349"/>
      <c r="U17" s="1348"/>
      <c r="V17" s="1348"/>
      <c r="W17" s="1349"/>
      <c r="X17" s="1350"/>
      <c r="Y17" s="1350"/>
      <c r="Z17" s="1349"/>
      <c r="AA17" s="1351"/>
      <c r="AB17" s="1350"/>
      <c r="AC17" s="1350"/>
      <c r="AD17" s="1350"/>
      <c r="AE17" s="1350"/>
      <c r="AF17" s="1350"/>
      <c r="AG17" s="1350"/>
      <c r="AH17" s="1350"/>
      <c r="AI17" s="1350"/>
      <c r="AJ17" s="1350"/>
      <c r="AK17" s="1350"/>
    </row>
    <row r="18">
      <c r="A18" s="1350"/>
      <c r="B18" s="1350"/>
      <c r="C18" s="1350"/>
      <c r="D18" s="1350"/>
      <c r="E18" s="1350"/>
      <c r="F18" s="1350"/>
      <c r="G18" s="1350"/>
      <c r="H18" s="1350"/>
      <c r="I18" s="1350"/>
      <c r="J18" s="1350"/>
      <c r="K18" s="1350"/>
      <c r="L18" s="1350"/>
      <c r="M18" s="1350"/>
      <c r="N18" s="1350"/>
      <c r="O18" s="1350"/>
      <c r="P18" s="1354"/>
      <c r="Q18" s="1355"/>
      <c r="R18" s="1355"/>
      <c r="S18" s="1350"/>
      <c r="T18" s="1349"/>
      <c r="U18" s="1348"/>
      <c r="V18" s="1348"/>
      <c r="W18" s="1349"/>
      <c r="X18" s="1350"/>
      <c r="Y18" s="1350"/>
      <c r="Z18" s="1349"/>
      <c r="AA18" s="1351"/>
      <c r="AB18" s="1350"/>
      <c r="AC18" s="1350"/>
      <c r="AD18" s="1350"/>
      <c r="AE18" s="1350"/>
      <c r="AF18" s="1350"/>
      <c r="AG18" s="1350"/>
      <c r="AH18" s="1350"/>
      <c r="AI18" s="1350"/>
      <c r="AJ18" s="1350"/>
      <c r="AK18" s="1350"/>
    </row>
    <row r="19">
      <c r="A19" s="1350"/>
      <c r="B19" s="1350"/>
      <c r="C19" s="1350"/>
      <c r="D19" s="1350"/>
      <c r="E19" s="1350"/>
      <c r="F19" s="1350"/>
      <c r="G19" s="1350"/>
      <c r="H19" s="1350"/>
      <c r="I19" s="1350"/>
      <c r="J19" s="1350"/>
      <c r="K19" s="1350"/>
      <c r="L19" s="1350"/>
      <c r="M19" s="1350"/>
      <c r="N19" s="1350"/>
      <c r="O19" s="1350"/>
      <c r="P19" s="1354"/>
      <c r="Q19" s="1355"/>
      <c r="R19" s="1355"/>
      <c r="S19" s="1350"/>
      <c r="T19" s="1349"/>
      <c r="U19" s="1348"/>
      <c r="V19" s="1348"/>
      <c r="W19" s="1349"/>
      <c r="X19" s="1350"/>
      <c r="Y19" s="1350"/>
      <c r="Z19" s="1349"/>
      <c r="AA19" s="1351"/>
      <c r="AB19" s="1350"/>
      <c r="AC19" s="1350"/>
      <c r="AD19" s="1350"/>
      <c r="AE19" s="1350"/>
      <c r="AF19" s="1350"/>
      <c r="AG19" s="1350"/>
      <c r="AH19" s="1350"/>
      <c r="AI19" s="1350"/>
      <c r="AJ19" s="1350"/>
      <c r="AK19" s="1350"/>
    </row>
    <row r="20">
      <c r="A20" s="1350"/>
      <c r="B20" s="1350"/>
      <c r="C20" s="1350"/>
      <c r="D20" s="1350"/>
      <c r="E20" s="1350"/>
      <c r="F20" s="1350"/>
      <c r="G20" s="1350"/>
      <c r="H20" s="1350"/>
      <c r="I20" s="1350"/>
      <c r="J20" s="1350"/>
      <c r="K20" s="1350"/>
      <c r="L20" s="1350"/>
      <c r="M20" s="1350"/>
      <c r="N20" s="1350"/>
      <c r="O20" s="1350"/>
      <c r="P20" s="1354"/>
      <c r="Q20" s="1355"/>
      <c r="R20" s="1355"/>
      <c r="S20" s="1350"/>
      <c r="T20" s="1349"/>
      <c r="U20" s="1348"/>
      <c r="V20" s="1348"/>
      <c r="W20" s="1349"/>
      <c r="X20" s="1350"/>
      <c r="Y20" s="1350"/>
      <c r="Z20" s="1349"/>
      <c r="AA20" s="1351"/>
      <c r="AB20" s="1350"/>
      <c r="AC20" s="1350"/>
      <c r="AD20" s="1350"/>
      <c r="AE20" s="1350"/>
      <c r="AF20" s="1350"/>
      <c r="AG20" s="1350"/>
      <c r="AH20" s="1350"/>
      <c r="AI20" s="1350"/>
      <c r="AJ20" s="1350"/>
      <c r="AK20" s="1350"/>
    </row>
    <row r="21">
      <c r="A21" s="1350"/>
      <c r="B21" s="1350"/>
      <c r="C21" s="1350"/>
      <c r="D21" s="1350"/>
      <c r="E21" s="1350"/>
      <c r="F21" s="1350"/>
      <c r="G21" s="1350"/>
      <c r="H21" s="1350"/>
      <c r="I21" s="1350"/>
      <c r="J21" s="1350"/>
      <c r="K21" s="1350"/>
      <c r="L21" s="1350"/>
      <c r="M21" s="1350"/>
      <c r="N21" s="1350"/>
      <c r="O21" s="1350"/>
      <c r="P21" s="1354"/>
      <c r="Q21" s="1355"/>
      <c r="R21" s="1355"/>
      <c r="S21" s="1350"/>
      <c r="T21" s="1349"/>
      <c r="U21" s="1348"/>
      <c r="V21" s="1348"/>
      <c r="W21" s="1349"/>
      <c r="X21" s="1350"/>
      <c r="Y21" s="1350"/>
      <c r="Z21" s="1349"/>
      <c r="AA21" s="1351"/>
      <c r="AB21" s="1350"/>
      <c r="AC21" s="1350"/>
      <c r="AD21" s="1350"/>
      <c r="AE21" s="1350"/>
      <c r="AF21" s="1350"/>
      <c r="AG21" s="1350"/>
      <c r="AH21" s="1350"/>
      <c r="AI21" s="1350"/>
      <c r="AJ21" s="1350"/>
      <c r="AK21" s="1350"/>
    </row>
    <row r="22">
      <c r="A22" s="1350"/>
      <c r="B22" s="1350"/>
      <c r="C22" s="1350"/>
      <c r="D22" s="1350"/>
      <c r="E22" s="1350"/>
      <c r="F22" s="1350"/>
      <c r="G22" s="1350"/>
      <c r="H22" s="1350"/>
      <c r="I22" s="1350"/>
      <c r="J22" s="1350"/>
      <c r="K22" s="1350"/>
      <c r="L22" s="1350"/>
      <c r="M22" s="1350"/>
      <c r="N22" s="1350"/>
      <c r="O22" s="1350"/>
      <c r="P22" s="1354"/>
      <c r="Q22" s="1355"/>
      <c r="R22" s="1355"/>
      <c r="S22" s="1350"/>
      <c r="T22" s="1349"/>
      <c r="U22" s="1348"/>
      <c r="V22" s="1348"/>
      <c r="W22" s="1349"/>
      <c r="X22" s="1350"/>
      <c r="Y22" s="1350"/>
      <c r="Z22" s="1349"/>
      <c r="AA22" s="1351"/>
      <c r="AB22" s="1350"/>
      <c r="AC22" s="1350"/>
      <c r="AD22" s="1350"/>
      <c r="AE22" s="1350"/>
      <c r="AF22" s="1350"/>
      <c r="AG22" s="1350"/>
      <c r="AH22" s="1350"/>
      <c r="AI22" s="1350"/>
      <c r="AJ22" s="1350"/>
      <c r="AK22" s="1350"/>
    </row>
    <row r="23">
      <c r="A23" s="1350"/>
      <c r="B23" s="1350"/>
      <c r="C23" s="1350"/>
      <c r="D23" s="1350"/>
      <c r="E23" s="1350"/>
      <c r="F23" s="1350"/>
      <c r="G23" s="1350"/>
      <c r="H23" s="1350"/>
      <c r="I23" s="1350"/>
      <c r="J23" s="1350"/>
      <c r="K23" s="1350"/>
      <c r="L23" s="1350"/>
      <c r="M23" s="1350"/>
      <c r="N23" s="1350"/>
      <c r="O23" s="1350"/>
      <c r="P23" s="1354"/>
      <c r="Q23" s="1355"/>
      <c r="R23" s="1355"/>
      <c r="S23" s="1350"/>
      <c r="T23" s="1349"/>
      <c r="U23" s="1348"/>
      <c r="V23" s="1348"/>
      <c r="W23" s="1349"/>
      <c r="X23" s="1350"/>
      <c r="Y23" s="1350"/>
      <c r="Z23" s="1349"/>
      <c r="AA23" s="1351"/>
      <c r="AB23" s="1350"/>
      <c r="AC23" s="1350"/>
      <c r="AD23" s="1350"/>
      <c r="AE23" s="1350"/>
      <c r="AF23" s="1350"/>
      <c r="AG23" s="1350"/>
      <c r="AH23" s="1350"/>
      <c r="AI23" s="1350"/>
      <c r="AJ23" s="1350"/>
      <c r="AK23" s="1350"/>
    </row>
    <row r="24">
      <c r="A24" s="1350"/>
      <c r="B24" s="1350"/>
      <c r="C24" s="1350"/>
      <c r="D24" s="1350"/>
      <c r="E24" s="1350"/>
      <c r="F24" s="1350"/>
      <c r="G24" s="1350"/>
      <c r="H24" s="1350"/>
      <c r="I24" s="1350"/>
      <c r="J24" s="1350"/>
      <c r="K24" s="1350"/>
      <c r="L24" s="1350"/>
      <c r="M24" s="1350"/>
      <c r="N24" s="1350"/>
      <c r="O24" s="1350"/>
      <c r="P24" s="1354"/>
      <c r="Q24" s="1355"/>
      <c r="R24" s="1355"/>
      <c r="S24" s="1350"/>
      <c r="T24" s="1349"/>
      <c r="U24" s="1348"/>
      <c r="V24" s="1348"/>
      <c r="W24" s="1349"/>
      <c r="X24" s="1350"/>
      <c r="Y24" s="1350"/>
      <c r="Z24" s="1349"/>
      <c r="AA24" s="1351"/>
      <c r="AB24" s="1350"/>
      <c r="AC24" s="1350"/>
      <c r="AD24" s="1350"/>
      <c r="AE24" s="1350"/>
      <c r="AF24" s="1350"/>
      <c r="AG24" s="1350"/>
      <c r="AH24" s="1350"/>
      <c r="AI24" s="1350"/>
      <c r="AJ24" s="1350"/>
      <c r="AK24" s="1350"/>
    </row>
    <row r="25">
      <c r="A25" s="1350"/>
      <c r="B25" s="1350"/>
      <c r="C25" s="1350"/>
      <c r="D25" s="1350"/>
      <c r="E25" s="1350"/>
      <c r="F25" s="1350"/>
      <c r="G25" s="1350"/>
      <c r="H25" s="1350"/>
      <c r="I25" s="1350"/>
      <c r="J25" s="1350"/>
      <c r="K25" s="1350"/>
      <c r="L25" s="1350"/>
      <c r="M25" s="1350"/>
      <c r="N25" s="1350"/>
      <c r="O25" s="1350"/>
      <c r="P25" s="1354"/>
      <c r="Q25" s="1355"/>
      <c r="R25" s="1355"/>
      <c r="S25" s="1350"/>
      <c r="T25" s="1349"/>
      <c r="U25" s="1348"/>
      <c r="V25" s="1348"/>
      <c r="W25" s="1349"/>
      <c r="X25" s="1350"/>
      <c r="Y25" s="1350"/>
      <c r="Z25" s="1349"/>
      <c r="AA25" s="1351"/>
      <c r="AB25" s="1350"/>
      <c r="AC25" s="1350"/>
      <c r="AD25" s="1350"/>
      <c r="AE25" s="1350"/>
      <c r="AF25" s="1350"/>
      <c r="AG25" s="1350"/>
      <c r="AH25" s="1350"/>
      <c r="AI25" s="1350"/>
      <c r="AJ25" s="1350"/>
      <c r="AK25" s="1350"/>
    </row>
    <row r="26">
      <c r="A26" s="1350"/>
      <c r="B26" s="1350"/>
      <c r="C26" s="1350"/>
      <c r="D26" s="1350"/>
      <c r="E26" s="1350"/>
      <c r="F26" s="1350"/>
      <c r="G26" s="1350"/>
      <c r="H26" s="1350"/>
      <c r="I26" s="1350"/>
      <c r="J26" s="1350"/>
      <c r="K26" s="1350"/>
      <c r="L26" s="1350"/>
      <c r="M26" s="1350"/>
      <c r="N26" s="1350"/>
      <c r="O26" s="1350"/>
      <c r="P26" s="1354"/>
      <c r="Q26" s="1355"/>
      <c r="R26" s="1355"/>
      <c r="S26" s="1350"/>
      <c r="T26" s="1349"/>
      <c r="U26" s="1348"/>
      <c r="V26" s="1348"/>
      <c r="W26" s="1349"/>
      <c r="X26" s="1350"/>
      <c r="Y26" s="1350"/>
      <c r="Z26" s="1349"/>
      <c r="AA26" s="1351"/>
      <c r="AB26" s="1350"/>
      <c r="AC26" s="1350"/>
      <c r="AD26" s="1350"/>
      <c r="AE26" s="1350"/>
      <c r="AF26" s="1350"/>
      <c r="AG26" s="1350"/>
      <c r="AH26" s="1350"/>
      <c r="AI26" s="1350"/>
      <c r="AJ26" s="1350"/>
      <c r="AK26" s="1350"/>
    </row>
    <row r="27">
      <c r="A27" s="1350"/>
      <c r="B27" s="1350"/>
      <c r="C27" s="1350"/>
      <c r="D27" s="1350"/>
      <c r="E27" s="1350"/>
      <c r="F27" s="1350"/>
      <c r="G27" s="1350"/>
      <c r="H27" s="1350"/>
      <c r="I27" s="1350"/>
      <c r="J27" s="1350"/>
      <c r="K27" s="1350"/>
      <c r="L27" s="1350"/>
      <c r="M27" s="1350"/>
      <c r="N27" s="1350"/>
      <c r="O27" s="1350"/>
      <c r="P27" s="1354"/>
      <c r="Q27" s="1355"/>
      <c r="R27" s="1355"/>
      <c r="S27" s="1350"/>
      <c r="T27" s="1349"/>
      <c r="U27" s="1348"/>
      <c r="V27" s="1348"/>
      <c r="W27" s="1349"/>
      <c r="X27" s="1350"/>
      <c r="Y27" s="1350"/>
      <c r="Z27" s="1349"/>
      <c r="AA27" s="1351"/>
      <c r="AB27" s="1350"/>
      <c r="AC27" s="1350"/>
      <c r="AD27" s="1350"/>
      <c r="AE27" s="1350"/>
      <c r="AF27" s="1350"/>
      <c r="AG27" s="1350"/>
      <c r="AH27" s="1350"/>
      <c r="AI27" s="1350"/>
      <c r="AJ27" s="1350"/>
      <c r="AK27" s="1350"/>
    </row>
    <row r="28">
      <c r="A28" s="1350"/>
      <c r="B28" s="1350"/>
      <c r="C28" s="1350"/>
      <c r="D28" s="1350"/>
      <c r="E28" s="1350"/>
      <c r="F28" s="1350"/>
      <c r="G28" s="1350"/>
      <c r="H28" s="1350"/>
      <c r="I28" s="1350"/>
      <c r="J28" s="1350"/>
      <c r="K28" s="1350"/>
      <c r="L28" s="1350"/>
      <c r="M28" s="1350"/>
      <c r="N28" s="1350"/>
      <c r="O28" s="1350"/>
      <c r="P28" s="1354"/>
      <c r="Q28" s="1355"/>
      <c r="R28" s="1355"/>
      <c r="S28" s="1350"/>
      <c r="T28" s="1349"/>
      <c r="U28" s="1348"/>
      <c r="V28" s="1348"/>
      <c r="W28" s="1349"/>
      <c r="X28" s="1350"/>
      <c r="Y28" s="1350"/>
      <c r="Z28" s="1349"/>
      <c r="AA28" s="1351"/>
      <c r="AB28" s="1350"/>
      <c r="AC28" s="1350"/>
      <c r="AD28" s="1350"/>
      <c r="AE28" s="1350"/>
      <c r="AF28" s="1350"/>
      <c r="AG28" s="1350"/>
      <c r="AH28" s="1350"/>
      <c r="AI28" s="1350"/>
      <c r="AJ28" s="1350"/>
      <c r="AK28" s="1350"/>
    </row>
    <row r="29">
      <c r="A29" s="1350"/>
      <c r="B29" s="1350"/>
      <c r="C29" s="1350"/>
      <c r="D29" s="1350"/>
      <c r="E29" s="1350"/>
      <c r="F29" s="1350"/>
      <c r="G29" s="1350"/>
      <c r="H29" s="1350"/>
      <c r="I29" s="1350"/>
      <c r="J29" s="1350"/>
      <c r="K29" s="1350"/>
      <c r="L29" s="1350"/>
      <c r="M29" s="1350"/>
      <c r="N29" s="1350"/>
      <c r="O29" s="1350"/>
      <c r="P29" s="1354"/>
      <c r="Q29" s="1355"/>
      <c r="R29" s="1355"/>
      <c r="S29" s="1350"/>
      <c r="T29" s="1349"/>
      <c r="U29" s="1348"/>
      <c r="V29" s="1348"/>
      <c r="W29" s="1349"/>
      <c r="X29" s="1350"/>
      <c r="Y29" s="1350"/>
      <c r="Z29" s="1349"/>
      <c r="AA29" s="1351"/>
      <c r="AB29" s="1350"/>
      <c r="AC29" s="1350"/>
      <c r="AD29" s="1350"/>
      <c r="AE29" s="1350"/>
      <c r="AF29" s="1350"/>
      <c r="AG29" s="1350"/>
      <c r="AH29" s="1350"/>
      <c r="AI29" s="1350"/>
      <c r="AJ29" s="1350"/>
      <c r="AK29" s="1350"/>
    </row>
    <row r="30">
      <c r="A30" s="1350"/>
      <c r="B30" s="1350"/>
      <c r="C30" s="1350"/>
      <c r="D30" s="1350"/>
      <c r="E30" s="1350"/>
      <c r="F30" s="1350"/>
      <c r="G30" s="1350"/>
      <c r="H30" s="1350"/>
      <c r="I30" s="1350"/>
      <c r="J30" s="1350"/>
      <c r="K30" s="1350"/>
      <c r="L30" s="1350"/>
      <c r="M30" s="1350"/>
      <c r="N30" s="1350"/>
      <c r="O30" s="1350"/>
      <c r="P30" s="1354"/>
      <c r="Q30" s="1355"/>
      <c r="R30" s="1355"/>
      <c r="S30" s="1350"/>
      <c r="T30" s="1349"/>
      <c r="U30" s="1348"/>
      <c r="V30" s="1348"/>
      <c r="W30" s="1349"/>
      <c r="X30" s="1350"/>
      <c r="Y30" s="1350"/>
      <c r="Z30" s="1349"/>
      <c r="AA30" s="1351"/>
      <c r="AB30" s="1350"/>
      <c r="AC30" s="1350"/>
      <c r="AD30" s="1350"/>
      <c r="AE30" s="1350"/>
      <c r="AF30" s="1350"/>
      <c r="AG30" s="1350"/>
      <c r="AH30" s="1350"/>
      <c r="AI30" s="1350"/>
      <c r="AJ30" s="1350"/>
      <c r="AK30" s="1350"/>
    </row>
    <row r="31">
      <c r="A31" s="1350"/>
      <c r="B31" s="1350"/>
      <c r="C31" s="1350"/>
      <c r="D31" s="1350"/>
      <c r="E31" s="1350"/>
      <c r="F31" s="1350"/>
      <c r="G31" s="1350"/>
      <c r="H31" s="1350"/>
      <c r="I31" s="1350"/>
      <c r="J31" s="1350"/>
      <c r="K31" s="1350"/>
      <c r="L31" s="1350"/>
      <c r="M31" s="1350"/>
      <c r="N31" s="1350"/>
      <c r="O31" s="1350"/>
      <c r="P31" s="1354"/>
      <c r="Q31" s="1355"/>
      <c r="R31" s="1355"/>
      <c r="S31" s="1350"/>
      <c r="T31" s="1349"/>
      <c r="U31" s="1348"/>
      <c r="V31" s="1348"/>
      <c r="W31" s="1349"/>
      <c r="X31" s="1350"/>
      <c r="Y31" s="1350"/>
      <c r="Z31" s="1349"/>
      <c r="AA31" s="1351"/>
      <c r="AB31" s="1350"/>
      <c r="AC31" s="1350"/>
      <c r="AD31" s="1350"/>
      <c r="AE31" s="1350"/>
      <c r="AF31" s="1350"/>
      <c r="AG31" s="1350"/>
      <c r="AH31" s="1350"/>
      <c r="AI31" s="1350"/>
      <c r="AJ31" s="1350"/>
      <c r="AK31" s="1350"/>
    </row>
    <row r="32">
      <c r="A32" s="1350"/>
      <c r="B32" s="1350"/>
      <c r="C32" s="1350"/>
      <c r="D32" s="1350"/>
      <c r="E32" s="1350"/>
      <c r="F32" s="1350"/>
      <c r="G32" s="1350"/>
      <c r="H32" s="1350"/>
      <c r="I32" s="1350"/>
      <c r="J32" s="1350"/>
      <c r="K32" s="1350"/>
      <c r="L32" s="1350"/>
      <c r="M32" s="1350"/>
      <c r="N32" s="1350"/>
      <c r="O32" s="1350"/>
      <c r="P32" s="1354"/>
      <c r="Q32" s="1355"/>
      <c r="R32" s="1355"/>
      <c r="S32" s="1350"/>
      <c r="T32" s="1349"/>
      <c r="U32" s="1348"/>
      <c r="V32" s="1348"/>
      <c r="W32" s="1349"/>
      <c r="X32" s="1350"/>
      <c r="Y32" s="1350"/>
      <c r="Z32" s="1349"/>
      <c r="AA32" s="1351"/>
      <c r="AB32" s="1350"/>
      <c r="AC32" s="1350"/>
      <c r="AD32" s="1350"/>
      <c r="AE32" s="1350"/>
      <c r="AF32" s="1350"/>
      <c r="AG32" s="1350"/>
      <c r="AH32" s="1350"/>
      <c r="AI32" s="1350"/>
      <c r="AJ32" s="1350"/>
      <c r="AK32" s="1350"/>
    </row>
    <row r="33">
      <c r="A33" s="1350"/>
      <c r="B33" s="1350"/>
      <c r="C33" s="1350"/>
      <c r="D33" s="1350"/>
      <c r="E33" s="1350"/>
      <c r="F33" s="1350"/>
      <c r="G33" s="1350"/>
      <c r="H33" s="1350"/>
      <c r="I33" s="1350"/>
      <c r="J33" s="1350"/>
      <c r="K33" s="1350"/>
      <c r="L33" s="1350"/>
      <c r="M33" s="1350"/>
      <c r="N33" s="1350"/>
      <c r="O33" s="1350"/>
      <c r="P33" s="1354"/>
      <c r="Q33" s="1355"/>
      <c r="R33" s="1355"/>
      <c r="S33" s="1350"/>
      <c r="T33" s="1349"/>
      <c r="U33" s="1348"/>
      <c r="V33" s="1348"/>
      <c r="W33" s="1349"/>
      <c r="X33" s="1350"/>
      <c r="Y33" s="1350"/>
      <c r="Z33" s="1349"/>
      <c r="AA33" s="1351"/>
      <c r="AB33" s="1350"/>
      <c r="AC33" s="1350"/>
      <c r="AD33" s="1350"/>
      <c r="AE33" s="1350"/>
      <c r="AF33" s="1350"/>
      <c r="AG33" s="1350"/>
      <c r="AH33" s="1350"/>
      <c r="AI33" s="1350"/>
      <c r="AJ33" s="1350"/>
      <c r="AK33" s="1350"/>
    </row>
    <row r="34">
      <c r="A34" s="1350"/>
      <c r="B34" s="1350"/>
      <c r="C34" s="1350"/>
      <c r="D34" s="1350"/>
      <c r="E34" s="1350"/>
      <c r="F34" s="1350"/>
      <c r="G34" s="1350"/>
      <c r="H34" s="1350"/>
      <c r="I34" s="1350"/>
      <c r="J34" s="1350"/>
      <c r="K34" s="1350"/>
      <c r="L34" s="1350"/>
      <c r="M34" s="1350"/>
      <c r="N34" s="1350"/>
      <c r="O34" s="1350"/>
      <c r="P34" s="1354"/>
      <c r="Q34" s="1355"/>
      <c r="R34" s="1355"/>
      <c r="S34" s="1350"/>
      <c r="T34" s="1349"/>
      <c r="U34" s="1348"/>
      <c r="V34" s="1348"/>
      <c r="W34" s="1349"/>
      <c r="X34" s="1350"/>
      <c r="Y34" s="1350"/>
      <c r="Z34" s="1349"/>
      <c r="AA34" s="1351"/>
      <c r="AB34" s="1350"/>
      <c r="AC34" s="1350"/>
      <c r="AD34" s="1350"/>
      <c r="AE34" s="1350"/>
      <c r="AF34" s="1350"/>
      <c r="AG34" s="1350"/>
      <c r="AH34" s="1350"/>
      <c r="AI34" s="1350"/>
      <c r="AJ34" s="1350"/>
      <c r="AK34" s="1350"/>
    </row>
    <row r="35">
      <c r="A35" s="1350"/>
      <c r="B35" s="1350"/>
      <c r="C35" s="1350"/>
      <c r="D35" s="1350"/>
      <c r="E35" s="1350"/>
      <c r="F35" s="1350"/>
      <c r="G35" s="1350"/>
      <c r="H35" s="1350"/>
      <c r="I35" s="1350"/>
      <c r="J35" s="1350"/>
      <c r="K35" s="1350"/>
      <c r="L35" s="1350"/>
      <c r="M35" s="1350"/>
      <c r="N35" s="1350"/>
      <c r="O35" s="1350"/>
      <c r="P35" s="1354"/>
      <c r="Q35" s="1355"/>
      <c r="R35" s="1355"/>
      <c r="S35" s="1350"/>
      <c r="T35" s="1349"/>
      <c r="U35" s="1348"/>
      <c r="V35" s="1348"/>
      <c r="W35" s="1349"/>
      <c r="X35" s="1350"/>
      <c r="Y35" s="1350"/>
      <c r="Z35" s="1349"/>
      <c r="AA35" s="1351"/>
      <c r="AB35" s="1350"/>
      <c r="AC35" s="1350"/>
      <c r="AD35" s="1350"/>
      <c r="AE35" s="1350"/>
      <c r="AF35" s="1350"/>
      <c r="AG35" s="1350"/>
      <c r="AH35" s="1350"/>
      <c r="AI35" s="1350"/>
      <c r="AJ35" s="1350"/>
      <c r="AK35" s="1350"/>
    </row>
    <row r="36">
      <c r="A36" s="1350"/>
      <c r="B36" s="1350"/>
      <c r="C36" s="1350"/>
      <c r="D36" s="1350"/>
      <c r="E36" s="1350"/>
      <c r="F36" s="1350"/>
      <c r="G36" s="1350"/>
      <c r="H36" s="1350"/>
      <c r="I36" s="1350"/>
      <c r="J36" s="1350"/>
      <c r="K36" s="1350"/>
      <c r="L36" s="1350"/>
      <c r="M36" s="1350"/>
      <c r="N36" s="1350"/>
      <c r="O36" s="1350"/>
      <c r="P36" s="1354"/>
      <c r="Q36" s="1355"/>
      <c r="R36" s="1355"/>
      <c r="S36" s="1350"/>
      <c r="T36" s="1349"/>
      <c r="U36" s="1348"/>
      <c r="V36" s="1348"/>
      <c r="W36" s="1349"/>
      <c r="X36" s="1350"/>
      <c r="Y36" s="1350"/>
      <c r="Z36" s="1349"/>
      <c r="AA36" s="1351"/>
      <c r="AB36" s="1350"/>
      <c r="AC36" s="1350"/>
      <c r="AD36" s="1350"/>
      <c r="AE36" s="1350"/>
      <c r="AF36" s="1350"/>
      <c r="AG36" s="1350"/>
      <c r="AH36" s="1350"/>
      <c r="AI36" s="1350"/>
      <c r="AJ36" s="1350"/>
      <c r="AK36" s="1350"/>
    </row>
    <row r="37">
      <c r="A37" s="1350"/>
      <c r="B37" s="1350"/>
      <c r="C37" s="1350"/>
      <c r="D37" s="1350"/>
      <c r="E37" s="1350"/>
      <c r="F37" s="1350"/>
      <c r="G37" s="1350"/>
      <c r="H37" s="1350"/>
      <c r="I37" s="1350"/>
      <c r="J37" s="1350"/>
      <c r="K37" s="1350"/>
      <c r="L37" s="1350"/>
      <c r="M37" s="1350"/>
      <c r="N37" s="1350"/>
      <c r="O37" s="1350"/>
      <c r="P37" s="1354"/>
      <c r="Q37" s="1355"/>
      <c r="R37" s="1355"/>
      <c r="S37" s="1350"/>
      <c r="T37" s="1349"/>
      <c r="U37" s="1348"/>
      <c r="V37" s="1348"/>
      <c r="W37" s="1349"/>
      <c r="X37" s="1350"/>
      <c r="Y37" s="1350"/>
      <c r="Z37" s="1349"/>
      <c r="AA37" s="1351"/>
      <c r="AB37" s="1350"/>
      <c r="AC37" s="1350"/>
      <c r="AD37" s="1350"/>
      <c r="AE37" s="1350"/>
      <c r="AF37" s="1350"/>
      <c r="AG37" s="1350"/>
      <c r="AH37" s="1350"/>
      <c r="AI37" s="1350"/>
      <c r="AJ37" s="1350"/>
      <c r="AK37" s="1350"/>
    </row>
    <row r="38">
      <c r="A38" s="1350"/>
      <c r="B38" s="1350"/>
      <c r="C38" s="1350"/>
      <c r="D38" s="1350"/>
      <c r="E38" s="1350"/>
      <c r="F38" s="1350"/>
      <c r="G38" s="1350"/>
      <c r="H38" s="1350"/>
      <c r="I38" s="1350"/>
      <c r="J38" s="1350"/>
      <c r="K38" s="1350"/>
      <c r="L38" s="1350"/>
      <c r="M38" s="1350"/>
      <c r="N38" s="1350"/>
      <c r="O38" s="1350"/>
      <c r="P38" s="1354"/>
      <c r="Q38" s="1355"/>
      <c r="R38" s="1355"/>
      <c r="S38" s="1350"/>
      <c r="T38" s="1349"/>
      <c r="U38" s="1348"/>
      <c r="V38" s="1348"/>
      <c r="W38" s="1349"/>
      <c r="X38" s="1350"/>
      <c r="Y38" s="1350"/>
      <c r="Z38" s="1349"/>
      <c r="AA38" s="1351"/>
      <c r="AB38" s="1350"/>
      <c r="AC38" s="1350"/>
      <c r="AD38" s="1350"/>
      <c r="AE38" s="1350"/>
      <c r="AF38" s="1350"/>
      <c r="AG38" s="1350"/>
      <c r="AH38" s="1350"/>
      <c r="AI38" s="1350"/>
      <c r="AJ38" s="1350"/>
      <c r="AK38" s="1350"/>
    </row>
    <row r="39">
      <c r="A39" s="1350"/>
      <c r="B39" s="1350"/>
      <c r="C39" s="1350"/>
      <c r="D39" s="1350"/>
      <c r="E39" s="1350"/>
      <c r="F39" s="1350"/>
      <c r="G39" s="1350"/>
      <c r="H39" s="1350"/>
      <c r="I39" s="1350"/>
      <c r="J39" s="1350"/>
      <c r="K39" s="1350"/>
      <c r="L39" s="1350"/>
      <c r="M39" s="1350"/>
      <c r="N39" s="1350"/>
      <c r="O39" s="1350"/>
      <c r="P39" s="1354"/>
      <c r="Q39" s="1355"/>
      <c r="R39" s="1355"/>
      <c r="S39" s="1350"/>
      <c r="T39" s="1349"/>
      <c r="U39" s="1348"/>
      <c r="V39" s="1348"/>
      <c r="W39" s="1349"/>
      <c r="X39" s="1350"/>
      <c r="Y39" s="1350"/>
      <c r="Z39" s="1349"/>
      <c r="AA39" s="1351"/>
      <c r="AB39" s="1350"/>
      <c r="AC39" s="1350"/>
      <c r="AD39" s="1350"/>
      <c r="AE39" s="1350"/>
      <c r="AF39" s="1350"/>
      <c r="AG39" s="1350"/>
      <c r="AH39" s="1350"/>
      <c r="AI39" s="1350"/>
      <c r="AJ39" s="1350"/>
      <c r="AK39" s="1350"/>
    </row>
    <row r="40">
      <c r="A40" s="1350"/>
      <c r="B40" s="1350"/>
      <c r="C40" s="1350"/>
      <c r="D40" s="1350"/>
      <c r="E40" s="1350"/>
      <c r="F40" s="1350"/>
      <c r="G40" s="1350"/>
      <c r="H40" s="1350"/>
      <c r="I40" s="1350"/>
      <c r="J40" s="1350"/>
      <c r="K40" s="1350"/>
      <c r="L40" s="1350"/>
      <c r="M40" s="1350"/>
      <c r="N40" s="1350"/>
      <c r="O40" s="1350"/>
      <c r="P40" s="1354"/>
      <c r="Q40" s="1355"/>
      <c r="R40" s="1355"/>
      <c r="S40" s="1350"/>
      <c r="T40" s="1349"/>
      <c r="U40" s="1348"/>
      <c r="V40" s="1348"/>
      <c r="W40" s="1349"/>
      <c r="X40" s="1350"/>
      <c r="Y40" s="1350"/>
      <c r="Z40" s="1349"/>
      <c r="AA40" s="1351"/>
      <c r="AB40" s="1350"/>
      <c r="AC40" s="1350"/>
      <c r="AD40" s="1350"/>
      <c r="AE40" s="1350"/>
      <c r="AF40" s="1350"/>
      <c r="AG40" s="1350"/>
      <c r="AH40" s="1350"/>
      <c r="AI40" s="1350"/>
      <c r="AJ40" s="1350"/>
      <c r="AK40" s="1350"/>
    </row>
    <row r="41">
      <c r="A41" s="1350"/>
      <c r="B41" s="1350"/>
      <c r="C41" s="1350"/>
      <c r="D41" s="1350"/>
      <c r="E41" s="1350"/>
      <c r="F41" s="1350"/>
      <c r="G41" s="1350"/>
      <c r="H41" s="1350"/>
      <c r="I41" s="1350"/>
      <c r="J41" s="1350"/>
      <c r="K41" s="1350"/>
      <c r="L41" s="1350"/>
      <c r="M41" s="1350"/>
      <c r="N41" s="1350"/>
      <c r="O41" s="1350"/>
      <c r="P41" s="1354"/>
      <c r="Q41" s="1355"/>
      <c r="R41" s="1355"/>
      <c r="S41" s="1350"/>
      <c r="T41" s="1349"/>
      <c r="U41" s="1348"/>
      <c r="V41" s="1348"/>
      <c r="W41" s="1349"/>
      <c r="X41" s="1350"/>
      <c r="Y41" s="1350"/>
      <c r="Z41" s="1349"/>
      <c r="AA41" s="1351"/>
      <c r="AB41" s="1350"/>
      <c r="AC41" s="1350"/>
      <c r="AD41" s="1350"/>
      <c r="AE41" s="1350"/>
      <c r="AF41" s="1350"/>
      <c r="AG41" s="1350"/>
      <c r="AH41" s="1350"/>
      <c r="AI41" s="1350"/>
      <c r="AJ41" s="1350"/>
      <c r="AK41" s="1350"/>
    </row>
    <row r="42">
      <c r="A42" s="1350"/>
      <c r="B42" s="1350"/>
      <c r="C42" s="1350"/>
      <c r="D42" s="1350"/>
      <c r="E42" s="1350"/>
      <c r="F42" s="1350"/>
      <c r="G42" s="1350"/>
      <c r="H42" s="1350"/>
      <c r="I42" s="1350"/>
      <c r="J42" s="1350"/>
      <c r="K42" s="1350"/>
      <c r="L42" s="1350"/>
      <c r="M42" s="1350"/>
      <c r="N42" s="1350"/>
      <c r="O42" s="1350"/>
      <c r="P42" s="1354"/>
      <c r="Q42" s="1355"/>
      <c r="R42" s="1355"/>
      <c r="S42" s="1350"/>
      <c r="T42" s="1349"/>
      <c r="U42" s="1348"/>
      <c r="V42" s="1348"/>
      <c r="W42" s="1349"/>
      <c r="X42" s="1350"/>
      <c r="Y42" s="1350"/>
      <c r="Z42" s="1349"/>
      <c r="AA42" s="1351"/>
      <c r="AB42" s="1350"/>
      <c r="AC42" s="1350"/>
      <c r="AD42" s="1350"/>
      <c r="AE42" s="1350"/>
      <c r="AF42" s="1350"/>
      <c r="AG42" s="1350"/>
      <c r="AH42" s="1350"/>
      <c r="AI42" s="1350"/>
      <c r="AJ42" s="1350"/>
      <c r="AK42" s="1350"/>
    </row>
    <row r="43">
      <c r="A43" s="1350"/>
      <c r="B43" s="1350"/>
      <c r="C43" s="1350"/>
      <c r="D43" s="1350"/>
      <c r="E43" s="1350"/>
      <c r="F43" s="1350"/>
      <c r="G43" s="1350"/>
      <c r="H43" s="1350"/>
      <c r="I43" s="1350"/>
      <c r="J43" s="1350"/>
      <c r="K43" s="1350"/>
      <c r="L43" s="1350"/>
      <c r="M43" s="1350"/>
      <c r="N43" s="1350"/>
      <c r="O43" s="1350"/>
      <c r="P43" s="1354"/>
      <c r="Q43" s="1355"/>
      <c r="R43" s="1355"/>
      <c r="S43" s="1350"/>
      <c r="T43" s="1349"/>
      <c r="U43" s="1348"/>
      <c r="V43" s="1348"/>
      <c r="W43" s="1349"/>
      <c r="X43" s="1350"/>
      <c r="Y43" s="1350"/>
      <c r="Z43" s="1349"/>
      <c r="AA43" s="1351"/>
      <c r="AB43" s="1350"/>
      <c r="AC43" s="1350"/>
      <c r="AD43" s="1350"/>
      <c r="AE43" s="1350"/>
      <c r="AF43" s="1350"/>
      <c r="AG43" s="1350"/>
      <c r="AH43" s="1350"/>
      <c r="AI43" s="1350"/>
      <c r="AJ43" s="1350"/>
      <c r="AK43" s="1350"/>
    </row>
    <row r="44">
      <c r="A44" s="1350"/>
      <c r="B44" s="1350"/>
      <c r="C44" s="1350"/>
      <c r="D44" s="1350"/>
      <c r="E44" s="1350"/>
      <c r="F44" s="1350"/>
      <c r="G44" s="1350"/>
      <c r="H44" s="1350"/>
      <c r="I44" s="1350"/>
      <c r="J44" s="1350"/>
      <c r="K44" s="1350"/>
      <c r="L44" s="1350"/>
      <c r="M44" s="1350"/>
      <c r="N44" s="1350"/>
      <c r="O44" s="1350"/>
      <c r="P44" s="1354"/>
      <c r="Q44" s="1355"/>
      <c r="R44" s="1355"/>
      <c r="S44" s="1350"/>
      <c r="T44" s="1349"/>
      <c r="U44" s="1348"/>
      <c r="V44" s="1348"/>
      <c r="W44" s="1349"/>
      <c r="X44" s="1350"/>
      <c r="Y44" s="1350"/>
      <c r="Z44" s="1349"/>
      <c r="AA44" s="1351"/>
      <c r="AB44" s="1350"/>
      <c r="AC44" s="1350"/>
      <c r="AD44" s="1350"/>
      <c r="AE44" s="1350"/>
      <c r="AF44" s="1350"/>
      <c r="AG44" s="1350"/>
      <c r="AH44" s="1350"/>
      <c r="AI44" s="1350"/>
      <c r="AJ44" s="1350"/>
      <c r="AK44" s="1350"/>
    </row>
    <row r="45">
      <c r="A45" s="1350"/>
      <c r="B45" s="1350"/>
      <c r="C45" s="1350"/>
      <c r="D45" s="1350"/>
      <c r="E45" s="1350"/>
      <c r="F45" s="1350"/>
      <c r="G45" s="1350"/>
      <c r="H45" s="1350"/>
      <c r="I45" s="1350"/>
      <c r="J45" s="1350"/>
      <c r="K45" s="1350"/>
      <c r="L45" s="1350"/>
      <c r="M45" s="1350"/>
      <c r="N45" s="1350"/>
      <c r="O45" s="1350"/>
      <c r="P45" s="1354"/>
      <c r="Q45" s="1355"/>
      <c r="R45" s="1355"/>
      <c r="S45" s="1350"/>
      <c r="T45" s="1349"/>
      <c r="U45" s="1348"/>
      <c r="V45" s="1348"/>
      <c r="W45" s="1349"/>
      <c r="X45" s="1350"/>
      <c r="Y45" s="1350"/>
      <c r="Z45" s="1349"/>
      <c r="AA45" s="1351"/>
      <c r="AB45" s="1350"/>
      <c r="AC45" s="1350"/>
      <c r="AD45" s="1350"/>
      <c r="AE45" s="1350"/>
      <c r="AF45" s="1350"/>
      <c r="AG45" s="1350"/>
      <c r="AH45" s="1350"/>
      <c r="AI45" s="1350"/>
      <c r="AJ45" s="1350"/>
      <c r="AK45" s="1350"/>
    </row>
    <row r="46">
      <c r="A46" s="1350"/>
      <c r="B46" s="1350"/>
      <c r="C46" s="1350"/>
      <c r="D46" s="1350"/>
      <c r="E46" s="1350"/>
      <c r="F46" s="1350"/>
      <c r="G46" s="1350"/>
      <c r="H46" s="1350"/>
      <c r="I46" s="1350"/>
      <c r="J46" s="1350"/>
      <c r="K46" s="1350"/>
      <c r="L46" s="1350"/>
      <c r="M46" s="1350"/>
      <c r="N46" s="1350"/>
      <c r="O46" s="1350"/>
      <c r="P46" s="1354"/>
      <c r="Q46" s="1355"/>
      <c r="R46" s="1355"/>
      <c r="S46" s="1350"/>
      <c r="T46" s="1349"/>
      <c r="U46" s="1348"/>
      <c r="V46" s="1348"/>
      <c r="W46" s="1349"/>
      <c r="X46" s="1350"/>
      <c r="Y46" s="1350"/>
      <c r="Z46" s="1349"/>
      <c r="AA46" s="1351"/>
      <c r="AB46" s="1350"/>
      <c r="AC46" s="1350"/>
      <c r="AD46" s="1350"/>
      <c r="AE46" s="1350"/>
      <c r="AF46" s="1350"/>
      <c r="AG46" s="1350"/>
      <c r="AH46" s="1350"/>
      <c r="AI46" s="1350"/>
      <c r="AJ46" s="1350"/>
      <c r="AK46" s="1350"/>
    </row>
    <row r="47">
      <c r="A47" s="1350"/>
      <c r="B47" s="1350"/>
      <c r="C47" s="1350"/>
      <c r="D47" s="1350"/>
      <c r="E47" s="1350"/>
      <c r="F47" s="1350"/>
      <c r="G47" s="1350"/>
      <c r="H47" s="1350"/>
      <c r="I47" s="1350"/>
      <c r="J47" s="1350"/>
      <c r="K47" s="1350"/>
      <c r="L47" s="1350"/>
      <c r="M47" s="1350"/>
      <c r="N47" s="1350"/>
      <c r="O47" s="1350"/>
      <c r="P47" s="1354"/>
      <c r="Q47" s="1355"/>
      <c r="R47" s="1355"/>
      <c r="S47" s="1350"/>
      <c r="T47" s="1349"/>
      <c r="U47" s="1348"/>
      <c r="V47" s="1348"/>
      <c r="W47" s="1349"/>
      <c r="X47" s="1350"/>
      <c r="Y47" s="1350"/>
      <c r="Z47" s="1349"/>
      <c r="AA47" s="1351"/>
      <c r="AB47" s="1350"/>
      <c r="AC47" s="1350"/>
      <c r="AD47" s="1350"/>
      <c r="AE47" s="1350"/>
      <c r="AF47" s="1350"/>
      <c r="AG47" s="1350"/>
      <c r="AH47" s="1350"/>
      <c r="AI47" s="1350"/>
      <c r="AJ47" s="1350"/>
      <c r="AK47" s="1350"/>
    </row>
    <row r="48">
      <c r="A48" s="1350"/>
      <c r="B48" s="1350"/>
      <c r="C48" s="1350"/>
      <c r="D48" s="1350"/>
      <c r="E48" s="1350"/>
      <c r="F48" s="1350"/>
      <c r="G48" s="1350"/>
      <c r="H48" s="1350"/>
      <c r="I48" s="1350"/>
      <c r="J48" s="1350"/>
      <c r="K48" s="1350"/>
      <c r="L48" s="1350"/>
      <c r="M48" s="1350"/>
      <c r="N48" s="1350"/>
      <c r="O48" s="1350"/>
      <c r="P48" s="1354"/>
      <c r="Q48" s="1355"/>
      <c r="R48" s="1355"/>
      <c r="S48" s="1350"/>
      <c r="T48" s="1349"/>
      <c r="U48" s="1348"/>
      <c r="V48" s="1348"/>
      <c r="W48" s="1349"/>
      <c r="X48" s="1350"/>
      <c r="Y48" s="1350"/>
      <c r="Z48" s="1349"/>
      <c r="AA48" s="1351"/>
      <c r="AB48" s="1350"/>
      <c r="AC48" s="1350"/>
      <c r="AD48" s="1350"/>
      <c r="AE48" s="1350"/>
      <c r="AF48" s="1350"/>
      <c r="AG48" s="1350"/>
      <c r="AH48" s="1350"/>
      <c r="AI48" s="1350"/>
      <c r="AJ48" s="1350"/>
      <c r="AK48" s="1350"/>
    </row>
    <row r="49">
      <c r="A49" s="1350"/>
      <c r="B49" s="1350"/>
      <c r="C49" s="1350"/>
      <c r="D49" s="1350"/>
      <c r="E49" s="1350"/>
      <c r="F49" s="1350"/>
      <c r="G49" s="1350"/>
      <c r="H49" s="1350"/>
      <c r="I49" s="1350"/>
      <c r="J49" s="1350"/>
      <c r="K49" s="1350"/>
      <c r="L49" s="1350"/>
      <c r="M49" s="1350"/>
      <c r="N49" s="1350"/>
      <c r="O49" s="1350"/>
      <c r="P49" s="1354"/>
      <c r="Q49" s="1355"/>
      <c r="R49" s="1355"/>
      <c r="S49" s="1350"/>
      <c r="T49" s="1349"/>
      <c r="U49" s="1348"/>
      <c r="V49" s="1348"/>
      <c r="W49" s="1349"/>
      <c r="X49" s="1350"/>
      <c r="Y49" s="1350"/>
      <c r="Z49" s="1349"/>
      <c r="AA49" s="1351"/>
      <c r="AB49" s="1350"/>
      <c r="AC49" s="1350"/>
      <c r="AD49" s="1350"/>
      <c r="AE49" s="1350"/>
      <c r="AF49" s="1350"/>
      <c r="AG49" s="1350"/>
      <c r="AH49" s="1350"/>
      <c r="AI49" s="1350"/>
      <c r="AJ49" s="1350"/>
      <c r="AK49" s="1350"/>
    </row>
    <row r="50">
      <c r="A50" s="1350"/>
      <c r="B50" s="1350"/>
      <c r="C50" s="1350"/>
      <c r="D50" s="1350"/>
      <c r="E50" s="1350"/>
      <c r="F50" s="1350"/>
      <c r="G50" s="1350"/>
      <c r="H50" s="1350"/>
      <c r="I50" s="1350"/>
      <c r="J50" s="1350"/>
      <c r="K50" s="1350"/>
      <c r="L50" s="1350"/>
      <c r="M50" s="1350"/>
      <c r="N50" s="1350"/>
      <c r="O50" s="1350"/>
      <c r="P50" s="1354"/>
      <c r="Q50" s="1355"/>
      <c r="R50" s="1355"/>
      <c r="S50" s="1350"/>
      <c r="T50" s="1349"/>
      <c r="U50" s="1348"/>
      <c r="V50" s="1348"/>
      <c r="W50" s="1349"/>
      <c r="X50" s="1350"/>
      <c r="Y50" s="1350"/>
      <c r="Z50" s="1349"/>
      <c r="AA50" s="1351"/>
      <c r="AB50" s="1350"/>
      <c r="AC50" s="1350"/>
      <c r="AD50" s="1350"/>
      <c r="AE50" s="1350"/>
      <c r="AF50" s="1350"/>
      <c r="AG50" s="1350"/>
      <c r="AH50" s="1350"/>
      <c r="AI50" s="1350"/>
      <c r="AJ50" s="1350"/>
      <c r="AK50" s="1350"/>
    </row>
    <row r="51">
      <c r="A51" s="1350"/>
      <c r="B51" s="1350"/>
      <c r="C51" s="1350"/>
      <c r="D51" s="1350"/>
      <c r="E51" s="1350"/>
      <c r="F51" s="1350"/>
      <c r="G51" s="1350"/>
      <c r="H51" s="1350"/>
      <c r="I51" s="1350"/>
      <c r="J51" s="1350"/>
      <c r="K51" s="1350"/>
      <c r="L51" s="1350"/>
      <c r="M51" s="1350"/>
      <c r="N51" s="1350"/>
      <c r="O51" s="1350"/>
      <c r="P51" s="1354"/>
      <c r="Q51" s="1355"/>
      <c r="R51" s="1355"/>
      <c r="S51" s="1350"/>
      <c r="T51" s="1349"/>
      <c r="U51" s="1348"/>
      <c r="V51" s="1348"/>
      <c r="W51" s="1349"/>
      <c r="X51" s="1350"/>
      <c r="Y51" s="1350"/>
      <c r="Z51" s="1349"/>
      <c r="AA51" s="1351"/>
      <c r="AB51" s="1350"/>
      <c r="AC51" s="1350"/>
      <c r="AD51" s="1350"/>
      <c r="AE51" s="1350"/>
      <c r="AF51" s="1350"/>
      <c r="AG51" s="1350"/>
      <c r="AH51" s="1350"/>
      <c r="AI51" s="1350"/>
      <c r="AJ51" s="1350"/>
      <c r="AK51" s="1350"/>
    </row>
    <row r="52">
      <c r="A52" s="1350"/>
      <c r="B52" s="1350"/>
      <c r="C52" s="1350"/>
      <c r="D52" s="1350"/>
      <c r="E52" s="1350"/>
      <c r="F52" s="1350"/>
      <c r="G52" s="1350"/>
      <c r="H52" s="1350"/>
      <c r="I52" s="1350"/>
      <c r="J52" s="1350"/>
      <c r="K52" s="1350"/>
      <c r="L52" s="1350"/>
      <c r="M52" s="1350"/>
      <c r="N52" s="1350"/>
      <c r="O52" s="1350"/>
      <c r="P52" s="1354"/>
      <c r="Q52" s="1355"/>
      <c r="R52" s="1355"/>
      <c r="S52" s="1350"/>
      <c r="T52" s="1349"/>
      <c r="U52" s="1348"/>
      <c r="V52" s="1348"/>
      <c r="W52" s="1349"/>
      <c r="X52" s="1350"/>
      <c r="Y52" s="1350"/>
      <c r="Z52" s="1349"/>
      <c r="AA52" s="1351"/>
      <c r="AB52" s="1350"/>
      <c r="AC52" s="1350"/>
      <c r="AD52" s="1350"/>
      <c r="AE52" s="1350"/>
      <c r="AF52" s="1350"/>
      <c r="AG52" s="1350"/>
      <c r="AH52" s="1350"/>
      <c r="AI52" s="1350"/>
      <c r="AJ52" s="1350"/>
      <c r="AK52" s="1350"/>
    </row>
    <row r="53">
      <c r="A53" s="1350"/>
      <c r="B53" s="1350"/>
      <c r="C53" s="1350"/>
      <c r="D53" s="1350"/>
      <c r="E53" s="1350"/>
      <c r="F53" s="1350"/>
      <c r="G53" s="1350"/>
      <c r="H53" s="1350"/>
      <c r="I53" s="1350"/>
      <c r="J53" s="1350"/>
      <c r="K53" s="1350"/>
      <c r="L53" s="1350"/>
      <c r="M53" s="1350"/>
      <c r="N53" s="1350"/>
      <c r="O53" s="1350"/>
      <c r="P53" s="1354"/>
      <c r="Q53" s="1355"/>
      <c r="R53" s="1355"/>
      <c r="S53" s="1350"/>
      <c r="T53" s="1349"/>
      <c r="U53" s="1348"/>
      <c r="V53" s="1348"/>
      <c r="W53" s="1349"/>
      <c r="X53" s="1350"/>
      <c r="Y53" s="1350"/>
      <c r="Z53" s="1349"/>
      <c r="AA53" s="1351"/>
      <c r="AB53" s="1350"/>
      <c r="AC53" s="1350"/>
      <c r="AD53" s="1350"/>
      <c r="AE53" s="1350"/>
      <c r="AF53" s="1350"/>
      <c r="AG53" s="1350"/>
      <c r="AH53" s="1350"/>
      <c r="AI53" s="1350"/>
      <c r="AJ53" s="1350"/>
      <c r="AK53" s="1350"/>
    </row>
    <row r="54">
      <c r="A54" s="1350"/>
      <c r="B54" s="1350"/>
      <c r="C54" s="1350"/>
      <c r="D54" s="1350"/>
      <c r="E54" s="1350"/>
      <c r="F54" s="1350"/>
      <c r="G54" s="1350"/>
      <c r="H54" s="1350"/>
      <c r="I54" s="1350"/>
      <c r="J54" s="1350"/>
      <c r="K54" s="1350"/>
      <c r="L54" s="1350"/>
      <c r="M54" s="1350"/>
      <c r="N54" s="1350"/>
      <c r="O54" s="1350"/>
      <c r="P54" s="1354"/>
      <c r="Q54" s="1355"/>
      <c r="R54" s="1355"/>
      <c r="S54" s="1350"/>
      <c r="T54" s="1349"/>
      <c r="U54" s="1348"/>
      <c r="V54" s="1348"/>
      <c r="W54" s="1349"/>
      <c r="X54" s="1350"/>
      <c r="Y54" s="1350"/>
      <c r="Z54" s="1349"/>
      <c r="AA54" s="1351"/>
      <c r="AB54" s="1350"/>
      <c r="AC54" s="1350"/>
      <c r="AD54" s="1350"/>
      <c r="AE54" s="1350"/>
      <c r="AF54" s="1350"/>
      <c r="AG54" s="1350"/>
      <c r="AH54" s="1350"/>
      <c r="AI54" s="1350"/>
      <c r="AJ54" s="1350"/>
      <c r="AK54" s="1350"/>
    </row>
    <row r="55">
      <c r="A55" s="1350"/>
      <c r="B55" s="1350"/>
      <c r="C55" s="1350"/>
      <c r="D55" s="1350"/>
      <c r="E55" s="1350"/>
      <c r="F55" s="1350"/>
      <c r="G55" s="1350"/>
      <c r="H55" s="1350"/>
      <c r="I55" s="1350"/>
      <c r="J55" s="1350"/>
      <c r="K55" s="1350"/>
      <c r="L55" s="1350"/>
      <c r="M55" s="1350"/>
      <c r="N55" s="1350"/>
      <c r="O55" s="1350"/>
      <c r="P55" s="1354"/>
      <c r="Q55" s="1355"/>
      <c r="R55" s="1355"/>
      <c r="S55" s="1350"/>
      <c r="T55" s="1349"/>
      <c r="U55" s="1348"/>
      <c r="V55" s="1348"/>
      <c r="W55" s="1349"/>
      <c r="X55" s="1350"/>
      <c r="Y55" s="1350"/>
      <c r="Z55" s="1349"/>
      <c r="AA55" s="1351"/>
      <c r="AB55" s="1350"/>
      <c r="AC55" s="1350"/>
      <c r="AD55" s="1350"/>
      <c r="AE55" s="1350"/>
      <c r="AF55" s="1350"/>
      <c r="AG55" s="1350"/>
      <c r="AH55" s="1350"/>
      <c r="AI55" s="1350"/>
      <c r="AJ55" s="1350"/>
      <c r="AK55" s="1350"/>
    </row>
    <row r="56">
      <c r="A56" s="1350"/>
      <c r="B56" s="1350"/>
      <c r="C56" s="1350"/>
      <c r="D56" s="1350"/>
      <c r="E56" s="1350"/>
      <c r="F56" s="1350"/>
      <c r="G56" s="1350"/>
      <c r="H56" s="1350"/>
      <c r="I56" s="1350"/>
      <c r="J56" s="1350"/>
      <c r="K56" s="1350"/>
      <c r="L56" s="1350"/>
      <c r="M56" s="1350"/>
      <c r="N56" s="1350"/>
      <c r="O56" s="1350"/>
      <c r="P56" s="1354"/>
      <c r="Q56" s="1355"/>
      <c r="R56" s="1355"/>
      <c r="S56" s="1350"/>
      <c r="T56" s="1349"/>
      <c r="U56" s="1348"/>
      <c r="V56" s="1348"/>
      <c r="W56" s="1349"/>
      <c r="X56" s="1350"/>
      <c r="Y56" s="1350"/>
      <c r="Z56" s="1349"/>
      <c r="AA56" s="1351"/>
      <c r="AB56" s="1350"/>
      <c r="AC56" s="1350"/>
      <c r="AD56" s="1350"/>
      <c r="AE56" s="1350"/>
      <c r="AF56" s="1350"/>
      <c r="AG56" s="1350"/>
      <c r="AH56" s="1350"/>
      <c r="AI56" s="1350"/>
      <c r="AJ56" s="1350"/>
      <c r="AK56" s="1350"/>
    </row>
    <row r="57">
      <c r="A57" s="1350"/>
      <c r="B57" s="1350"/>
      <c r="C57" s="1350"/>
      <c r="D57" s="1350"/>
      <c r="E57" s="1350"/>
      <c r="F57" s="1350"/>
      <c r="G57" s="1350"/>
      <c r="H57" s="1350"/>
      <c r="I57" s="1350"/>
      <c r="J57" s="1350"/>
      <c r="K57" s="1350"/>
      <c r="L57" s="1350"/>
      <c r="M57" s="1350"/>
      <c r="N57" s="1350"/>
      <c r="O57" s="1350"/>
      <c r="P57" s="1354"/>
      <c r="Q57" s="1355"/>
      <c r="R57" s="1355"/>
      <c r="S57" s="1350"/>
      <c r="T57" s="1349"/>
      <c r="U57" s="1348"/>
      <c r="V57" s="1348"/>
      <c r="W57" s="1349"/>
      <c r="X57" s="1350"/>
      <c r="Y57" s="1350"/>
      <c r="Z57" s="1349"/>
      <c r="AA57" s="1351"/>
      <c r="AB57" s="1350"/>
      <c r="AC57" s="1350"/>
      <c r="AD57" s="1350"/>
      <c r="AE57" s="1350"/>
      <c r="AF57" s="1350"/>
      <c r="AG57" s="1350"/>
      <c r="AH57" s="1350"/>
      <c r="AI57" s="1350"/>
      <c r="AJ57" s="1350"/>
      <c r="AK57" s="1350"/>
    </row>
    <row r="58">
      <c r="A58" s="1350"/>
      <c r="B58" s="1350"/>
      <c r="C58" s="1350"/>
      <c r="D58" s="1350"/>
      <c r="E58" s="1350"/>
      <c r="F58" s="1350"/>
      <c r="G58" s="1350"/>
      <c r="H58" s="1350"/>
      <c r="I58" s="1350"/>
      <c r="J58" s="1350"/>
      <c r="K58" s="1350"/>
      <c r="L58" s="1350"/>
      <c r="M58" s="1350"/>
      <c r="N58" s="1350"/>
      <c r="O58" s="1350"/>
      <c r="P58" s="1354"/>
      <c r="Q58" s="1355"/>
      <c r="R58" s="1355"/>
      <c r="S58" s="1350"/>
      <c r="T58" s="1349"/>
      <c r="U58" s="1348"/>
      <c r="V58" s="1348"/>
      <c r="W58" s="1349"/>
      <c r="X58" s="1350"/>
      <c r="Y58" s="1350"/>
      <c r="Z58" s="1349"/>
      <c r="AA58" s="1351"/>
      <c r="AB58" s="1350"/>
      <c r="AC58" s="1350"/>
      <c r="AD58" s="1350"/>
      <c r="AE58" s="1350"/>
      <c r="AF58" s="1350"/>
      <c r="AG58" s="1350"/>
      <c r="AH58" s="1350"/>
      <c r="AI58" s="1350"/>
      <c r="AJ58" s="1350"/>
      <c r="AK58" s="1350"/>
    </row>
    <row r="59">
      <c r="A59" s="1350"/>
      <c r="B59" s="1350"/>
      <c r="C59" s="1350"/>
      <c r="D59" s="1350"/>
      <c r="E59" s="1350"/>
      <c r="F59" s="1350"/>
      <c r="G59" s="1350"/>
      <c r="H59" s="1350"/>
      <c r="I59" s="1350"/>
      <c r="J59" s="1350"/>
      <c r="K59" s="1350"/>
      <c r="L59" s="1350"/>
      <c r="M59" s="1350"/>
      <c r="N59" s="1350"/>
      <c r="O59" s="1350"/>
      <c r="P59" s="1354"/>
      <c r="Q59" s="1355"/>
      <c r="R59" s="1355"/>
      <c r="S59" s="1350"/>
      <c r="T59" s="1349"/>
      <c r="U59" s="1348"/>
      <c r="V59" s="1348"/>
      <c r="W59" s="1349"/>
      <c r="X59" s="1350"/>
      <c r="Y59" s="1350"/>
      <c r="Z59" s="1349"/>
      <c r="AA59" s="1351"/>
      <c r="AB59" s="1350"/>
      <c r="AC59" s="1350"/>
      <c r="AD59" s="1350"/>
      <c r="AE59" s="1350"/>
      <c r="AF59" s="1350"/>
      <c r="AG59" s="1350"/>
      <c r="AH59" s="1350"/>
      <c r="AI59" s="1350"/>
      <c r="AJ59" s="1350"/>
      <c r="AK59" s="1350"/>
    </row>
    <row r="60">
      <c r="A60" s="1350"/>
      <c r="B60" s="1350"/>
      <c r="C60" s="1350"/>
      <c r="D60" s="1350"/>
      <c r="E60" s="1350"/>
      <c r="F60" s="1350"/>
      <c r="G60" s="1350"/>
      <c r="H60" s="1350"/>
      <c r="I60" s="1350"/>
      <c r="J60" s="1350"/>
      <c r="K60" s="1350"/>
      <c r="L60" s="1350"/>
      <c r="M60" s="1350"/>
      <c r="N60" s="1350"/>
      <c r="O60" s="1350"/>
      <c r="P60" s="1354"/>
      <c r="Q60" s="1355"/>
      <c r="R60" s="1355"/>
      <c r="S60" s="1350"/>
      <c r="T60" s="1349"/>
      <c r="U60" s="1348"/>
      <c r="V60" s="1348"/>
      <c r="W60" s="1349"/>
      <c r="X60" s="1350"/>
      <c r="Y60" s="1350"/>
      <c r="Z60" s="1349"/>
      <c r="AA60" s="1351"/>
      <c r="AB60" s="1350"/>
      <c r="AC60" s="1350"/>
      <c r="AD60" s="1350"/>
      <c r="AE60" s="1350"/>
      <c r="AF60" s="1350"/>
      <c r="AG60" s="1350"/>
      <c r="AH60" s="1350"/>
      <c r="AI60" s="1350"/>
      <c r="AJ60" s="1350"/>
      <c r="AK60" s="1350"/>
    </row>
    <row r="61">
      <c r="A61" s="1350"/>
      <c r="B61" s="1350"/>
      <c r="C61" s="1350"/>
      <c r="D61" s="1350"/>
      <c r="E61" s="1350"/>
      <c r="F61" s="1350"/>
      <c r="G61" s="1350"/>
      <c r="H61" s="1350"/>
      <c r="I61" s="1350"/>
      <c r="J61" s="1350"/>
      <c r="K61" s="1350"/>
      <c r="L61" s="1350"/>
      <c r="M61" s="1350"/>
      <c r="N61" s="1350"/>
      <c r="O61" s="1350"/>
      <c r="P61" s="1354"/>
      <c r="Q61" s="1355"/>
      <c r="R61" s="1355"/>
      <c r="S61" s="1350"/>
      <c r="T61" s="1349"/>
      <c r="U61" s="1348"/>
      <c r="V61" s="1348"/>
      <c r="W61" s="1349"/>
      <c r="X61" s="1350"/>
      <c r="Y61" s="1350"/>
      <c r="Z61" s="1349"/>
      <c r="AA61" s="1351"/>
      <c r="AB61" s="1350"/>
      <c r="AC61" s="1350"/>
      <c r="AD61" s="1350"/>
      <c r="AE61" s="1350"/>
      <c r="AF61" s="1350"/>
      <c r="AG61" s="1350"/>
      <c r="AH61" s="1350"/>
      <c r="AI61" s="1350"/>
      <c r="AJ61" s="1350"/>
      <c r="AK61" s="1350"/>
    </row>
    <row r="62">
      <c r="A62" s="1350"/>
      <c r="B62" s="1350"/>
      <c r="C62" s="1350"/>
      <c r="D62" s="1350"/>
      <c r="E62" s="1350"/>
      <c r="F62" s="1350"/>
      <c r="G62" s="1350"/>
      <c r="H62" s="1350"/>
      <c r="I62" s="1350"/>
      <c r="J62" s="1350"/>
      <c r="K62" s="1350"/>
      <c r="L62" s="1350"/>
      <c r="M62" s="1350"/>
      <c r="N62" s="1350"/>
      <c r="O62" s="1350"/>
      <c r="P62" s="1354"/>
      <c r="Q62" s="1355"/>
      <c r="R62" s="1355"/>
      <c r="S62" s="1350"/>
      <c r="T62" s="1349"/>
      <c r="U62" s="1348"/>
      <c r="V62" s="1348"/>
      <c r="W62" s="1349"/>
      <c r="X62" s="1350"/>
      <c r="Y62" s="1350"/>
      <c r="Z62" s="1349"/>
      <c r="AA62" s="1351"/>
      <c r="AB62" s="1350"/>
      <c r="AC62" s="1350"/>
      <c r="AD62" s="1350"/>
      <c r="AE62" s="1350"/>
      <c r="AF62" s="1350"/>
      <c r="AG62" s="1350"/>
      <c r="AH62" s="1350"/>
      <c r="AI62" s="1350"/>
      <c r="AJ62" s="1350"/>
      <c r="AK62" s="1350"/>
    </row>
    <row r="63">
      <c r="A63" s="1350"/>
      <c r="B63" s="1350"/>
      <c r="C63" s="1350"/>
      <c r="D63" s="1350"/>
      <c r="E63" s="1350"/>
      <c r="F63" s="1350"/>
      <c r="G63" s="1350"/>
      <c r="H63" s="1350"/>
      <c r="I63" s="1350"/>
      <c r="J63" s="1350"/>
      <c r="K63" s="1350"/>
      <c r="L63" s="1350"/>
      <c r="M63" s="1350"/>
      <c r="N63" s="1350"/>
      <c r="O63" s="1350"/>
      <c r="P63" s="1354"/>
      <c r="Q63" s="1355"/>
      <c r="R63" s="1355"/>
      <c r="S63" s="1350"/>
      <c r="T63" s="1349"/>
      <c r="U63" s="1348"/>
      <c r="V63" s="1348"/>
      <c r="W63" s="1349"/>
      <c r="X63" s="1350"/>
      <c r="Y63" s="1350"/>
      <c r="Z63" s="1349"/>
      <c r="AA63" s="1351"/>
      <c r="AB63" s="1350"/>
      <c r="AC63" s="1350"/>
      <c r="AD63" s="1350"/>
      <c r="AE63" s="1350"/>
      <c r="AF63" s="1350"/>
      <c r="AG63" s="1350"/>
      <c r="AH63" s="1350"/>
      <c r="AI63" s="1350"/>
      <c r="AJ63" s="1350"/>
      <c r="AK63" s="1350"/>
    </row>
    <row r="64">
      <c r="A64" s="1350"/>
      <c r="B64" s="1350"/>
      <c r="C64" s="1350"/>
      <c r="D64" s="1350"/>
      <c r="E64" s="1350"/>
      <c r="F64" s="1350"/>
      <c r="G64" s="1350"/>
      <c r="H64" s="1350"/>
      <c r="I64" s="1350"/>
      <c r="J64" s="1350"/>
      <c r="K64" s="1350"/>
      <c r="L64" s="1350"/>
      <c r="M64" s="1350"/>
      <c r="N64" s="1350"/>
      <c r="O64" s="1350"/>
      <c r="P64" s="1354"/>
      <c r="Q64" s="1355"/>
      <c r="R64" s="1355"/>
      <c r="S64" s="1350"/>
      <c r="T64" s="1349"/>
      <c r="U64" s="1348"/>
      <c r="V64" s="1348"/>
      <c r="W64" s="1349"/>
      <c r="X64" s="1350"/>
      <c r="Y64" s="1350"/>
      <c r="Z64" s="1349"/>
      <c r="AA64" s="1351"/>
      <c r="AB64" s="1350"/>
      <c r="AC64" s="1350"/>
      <c r="AD64" s="1350"/>
      <c r="AE64" s="1350"/>
      <c r="AF64" s="1350"/>
      <c r="AG64" s="1350"/>
      <c r="AH64" s="1350"/>
      <c r="AI64" s="1350"/>
      <c r="AJ64" s="1350"/>
      <c r="AK64" s="1350"/>
    </row>
    <row r="65">
      <c r="A65" s="1350"/>
      <c r="B65" s="1350"/>
      <c r="C65" s="1350"/>
      <c r="D65" s="1350"/>
      <c r="E65" s="1350"/>
      <c r="F65" s="1350"/>
      <c r="G65" s="1350"/>
      <c r="H65" s="1350"/>
      <c r="I65" s="1350"/>
      <c r="J65" s="1350"/>
      <c r="K65" s="1350"/>
      <c r="L65" s="1350"/>
      <c r="M65" s="1350"/>
      <c r="N65" s="1350"/>
      <c r="O65" s="1350"/>
      <c r="P65" s="1354"/>
      <c r="Q65" s="1355"/>
      <c r="R65" s="1355"/>
      <c r="S65" s="1350"/>
      <c r="T65" s="1349"/>
      <c r="U65" s="1348"/>
      <c r="V65" s="1348"/>
      <c r="W65" s="1349"/>
      <c r="X65" s="1350"/>
      <c r="Y65" s="1350"/>
      <c r="Z65" s="1349"/>
      <c r="AA65" s="1351"/>
      <c r="AB65" s="1350"/>
      <c r="AC65" s="1350"/>
      <c r="AD65" s="1350"/>
      <c r="AE65" s="1350"/>
      <c r="AF65" s="1350"/>
      <c r="AG65" s="1350"/>
      <c r="AH65" s="1350"/>
      <c r="AI65" s="1350"/>
      <c r="AJ65" s="1350"/>
      <c r="AK65" s="1350"/>
    </row>
    <row r="66">
      <c r="A66" s="1350"/>
      <c r="B66" s="1350"/>
      <c r="C66" s="1350"/>
      <c r="D66" s="1350"/>
      <c r="E66" s="1350"/>
      <c r="F66" s="1350"/>
      <c r="G66" s="1350"/>
      <c r="H66" s="1350"/>
      <c r="I66" s="1350"/>
      <c r="J66" s="1350"/>
      <c r="K66" s="1350"/>
      <c r="L66" s="1350"/>
      <c r="M66" s="1350"/>
      <c r="N66" s="1350"/>
      <c r="O66" s="1350"/>
      <c r="P66" s="1354"/>
      <c r="Q66" s="1355"/>
      <c r="R66" s="1355"/>
      <c r="S66" s="1350"/>
      <c r="T66" s="1349"/>
      <c r="U66" s="1348"/>
      <c r="V66" s="1348"/>
      <c r="W66" s="1349"/>
      <c r="X66" s="1350"/>
      <c r="Y66" s="1350"/>
      <c r="Z66" s="1349"/>
      <c r="AA66" s="1351"/>
      <c r="AB66" s="1350"/>
      <c r="AC66" s="1350"/>
      <c r="AD66" s="1350"/>
      <c r="AE66" s="1350"/>
      <c r="AF66" s="1350"/>
      <c r="AG66" s="1350"/>
      <c r="AH66" s="1350"/>
      <c r="AI66" s="1350"/>
      <c r="AJ66" s="1350"/>
      <c r="AK66" s="1350"/>
    </row>
    <row r="67">
      <c r="A67" s="1350"/>
      <c r="B67" s="1350"/>
      <c r="C67" s="1350"/>
      <c r="D67" s="1350"/>
      <c r="E67" s="1350"/>
      <c r="F67" s="1350"/>
      <c r="G67" s="1350"/>
      <c r="H67" s="1350"/>
      <c r="I67" s="1350"/>
      <c r="J67" s="1350"/>
      <c r="K67" s="1350"/>
      <c r="L67" s="1350"/>
      <c r="M67" s="1350"/>
      <c r="N67" s="1350"/>
      <c r="O67" s="1350"/>
      <c r="P67" s="1354"/>
      <c r="Q67" s="1355"/>
      <c r="R67" s="1355"/>
      <c r="S67" s="1350"/>
      <c r="T67" s="1349"/>
      <c r="U67" s="1348"/>
      <c r="V67" s="1348"/>
      <c r="W67" s="1349"/>
      <c r="X67" s="1350"/>
      <c r="Y67" s="1350"/>
      <c r="Z67" s="1349"/>
      <c r="AA67" s="1351"/>
      <c r="AB67" s="1350"/>
      <c r="AC67" s="1350"/>
      <c r="AD67" s="1350"/>
      <c r="AE67" s="1350"/>
      <c r="AF67" s="1350"/>
      <c r="AG67" s="1350"/>
      <c r="AH67" s="1350"/>
      <c r="AI67" s="1350"/>
      <c r="AJ67" s="1350"/>
      <c r="AK67" s="1350"/>
    </row>
    <row r="68">
      <c r="A68" s="1350"/>
      <c r="B68" s="1350"/>
      <c r="C68" s="1350"/>
      <c r="D68" s="1350"/>
      <c r="E68" s="1350"/>
      <c r="F68" s="1350"/>
      <c r="G68" s="1350"/>
      <c r="H68" s="1350"/>
      <c r="I68" s="1350"/>
      <c r="J68" s="1350"/>
      <c r="K68" s="1350"/>
      <c r="L68" s="1350"/>
      <c r="M68" s="1350"/>
      <c r="N68" s="1350"/>
      <c r="O68" s="1350"/>
      <c r="P68" s="1354"/>
      <c r="Q68" s="1355"/>
      <c r="R68" s="1355"/>
      <c r="S68" s="1350"/>
      <c r="T68" s="1349"/>
      <c r="U68" s="1348"/>
      <c r="V68" s="1348"/>
      <c r="W68" s="1349"/>
      <c r="X68" s="1350"/>
      <c r="Y68" s="1350"/>
      <c r="Z68" s="1349"/>
      <c r="AA68" s="1351"/>
      <c r="AB68" s="1350"/>
      <c r="AC68" s="1350"/>
      <c r="AD68" s="1350"/>
      <c r="AE68" s="1350"/>
      <c r="AF68" s="1350"/>
      <c r="AG68" s="1350"/>
      <c r="AH68" s="1350"/>
      <c r="AI68" s="1350"/>
      <c r="AJ68" s="1350"/>
      <c r="AK68" s="1350"/>
    </row>
    <row r="69">
      <c r="A69" s="1350"/>
      <c r="B69" s="1350"/>
      <c r="C69" s="1350"/>
      <c r="D69" s="1350"/>
      <c r="E69" s="1350"/>
      <c r="F69" s="1350"/>
      <c r="G69" s="1350"/>
      <c r="H69" s="1350"/>
      <c r="I69" s="1350"/>
      <c r="J69" s="1350"/>
      <c r="K69" s="1350"/>
      <c r="L69" s="1350"/>
      <c r="M69" s="1350"/>
      <c r="N69" s="1350"/>
      <c r="O69" s="1350"/>
      <c r="P69" s="1354"/>
      <c r="Q69" s="1355"/>
      <c r="R69" s="1355"/>
      <c r="S69" s="1350"/>
      <c r="T69" s="1349"/>
      <c r="U69" s="1348"/>
      <c r="V69" s="1348"/>
      <c r="W69" s="1349"/>
      <c r="X69" s="1350"/>
      <c r="Y69" s="1350"/>
      <c r="Z69" s="1349"/>
      <c r="AA69" s="1351"/>
      <c r="AB69" s="1350"/>
      <c r="AC69" s="1350"/>
      <c r="AD69" s="1350"/>
      <c r="AE69" s="1350"/>
      <c r="AF69" s="1350"/>
      <c r="AG69" s="1350"/>
      <c r="AH69" s="1350"/>
      <c r="AI69" s="1350"/>
      <c r="AJ69" s="1350"/>
      <c r="AK69" s="1350"/>
    </row>
    <row r="70">
      <c r="A70" s="1350"/>
      <c r="B70" s="1350"/>
      <c r="C70" s="1350"/>
      <c r="D70" s="1350"/>
      <c r="E70" s="1350"/>
      <c r="F70" s="1350"/>
      <c r="G70" s="1350"/>
      <c r="H70" s="1350"/>
      <c r="I70" s="1350"/>
      <c r="J70" s="1350"/>
      <c r="K70" s="1350"/>
      <c r="L70" s="1350"/>
      <c r="M70" s="1350"/>
      <c r="N70" s="1350"/>
      <c r="O70" s="1350"/>
      <c r="P70" s="1354"/>
      <c r="Q70" s="1355"/>
      <c r="R70" s="1355"/>
      <c r="S70" s="1350"/>
      <c r="T70" s="1349"/>
      <c r="U70" s="1348"/>
      <c r="V70" s="1348"/>
      <c r="W70" s="1349"/>
      <c r="X70" s="1350"/>
      <c r="Y70" s="1350"/>
      <c r="Z70" s="1349"/>
      <c r="AA70" s="1351"/>
      <c r="AB70" s="1350"/>
      <c r="AC70" s="1350"/>
      <c r="AD70" s="1350"/>
      <c r="AE70" s="1350"/>
      <c r="AF70" s="1350"/>
      <c r="AG70" s="1350"/>
      <c r="AH70" s="1350"/>
      <c r="AI70" s="1350"/>
      <c r="AJ70" s="1350"/>
      <c r="AK70" s="1350"/>
    </row>
    <row r="71">
      <c r="A71" s="1350"/>
      <c r="B71" s="1350"/>
      <c r="C71" s="1350"/>
      <c r="D71" s="1350"/>
      <c r="E71" s="1350"/>
      <c r="F71" s="1350"/>
      <c r="G71" s="1350"/>
      <c r="H71" s="1350"/>
      <c r="I71" s="1350"/>
      <c r="J71" s="1350"/>
      <c r="K71" s="1350"/>
      <c r="L71" s="1350"/>
      <c r="M71" s="1350"/>
      <c r="N71" s="1350"/>
      <c r="O71" s="1350"/>
      <c r="P71" s="1354"/>
      <c r="Q71" s="1355"/>
      <c r="R71" s="1355"/>
      <c r="S71" s="1350"/>
      <c r="T71" s="1349"/>
      <c r="U71" s="1348"/>
      <c r="V71" s="1348"/>
      <c r="W71" s="1349"/>
      <c r="X71" s="1350"/>
      <c r="Y71" s="1350"/>
      <c r="Z71" s="1349"/>
      <c r="AA71" s="1351"/>
      <c r="AB71" s="1350"/>
      <c r="AC71" s="1350"/>
      <c r="AD71" s="1350"/>
      <c r="AE71" s="1350"/>
      <c r="AF71" s="1350"/>
      <c r="AG71" s="1350"/>
      <c r="AH71" s="1350"/>
      <c r="AI71" s="1350"/>
      <c r="AJ71" s="1350"/>
      <c r="AK71" s="1350"/>
    </row>
    <row r="72">
      <c r="A72" s="1350"/>
      <c r="B72" s="1350"/>
      <c r="C72" s="1350"/>
      <c r="D72" s="1350"/>
      <c r="E72" s="1350"/>
      <c r="F72" s="1350"/>
      <c r="G72" s="1350"/>
      <c r="H72" s="1350"/>
      <c r="I72" s="1350"/>
      <c r="J72" s="1350"/>
      <c r="K72" s="1350"/>
      <c r="L72" s="1350"/>
      <c r="M72" s="1350"/>
      <c r="N72" s="1350"/>
      <c r="O72" s="1350"/>
      <c r="P72" s="1354"/>
      <c r="Q72" s="1355"/>
      <c r="R72" s="1355"/>
      <c r="S72" s="1350"/>
      <c r="T72" s="1349"/>
      <c r="U72" s="1348"/>
      <c r="V72" s="1348"/>
      <c r="W72" s="1349"/>
      <c r="X72" s="1350"/>
      <c r="Y72" s="1350"/>
      <c r="Z72" s="1349"/>
      <c r="AA72" s="1351"/>
      <c r="AB72" s="1350"/>
      <c r="AC72" s="1350"/>
      <c r="AD72" s="1350"/>
      <c r="AE72" s="1350"/>
      <c r="AF72" s="1350"/>
      <c r="AG72" s="1350"/>
      <c r="AH72" s="1350"/>
      <c r="AI72" s="1350"/>
      <c r="AJ72" s="1350"/>
      <c r="AK72" s="1350"/>
    </row>
    <row r="73">
      <c r="A73" s="1350"/>
      <c r="B73" s="1350"/>
      <c r="C73" s="1350"/>
      <c r="D73" s="1350"/>
      <c r="E73" s="1350"/>
      <c r="F73" s="1350"/>
      <c r="G73" s="1350"/>
      <c r="H73" s="1350"/>
      <c r="I73" s="1350"/>
      <c r="J73" s="1350"/>
      <c r="K73" s="1350"/>
      <c r="L73" s="1350"/>
      <c r="M73" s="1350"/>
      <c r="N73" s="1350"/>
      <c r="O73" s="1350"/>
      <c r="P73" s="1354"/>
      <c r="Q73" s="1355"/>
      <c r="R73" s="1355"/>
      <c r="S73" s="1350"/>
      <c r="T73" s="1349"/>
      <c r="U73" s="1348"/>
      <c r="V73" s="1348"/>
      <c r="W73" s="1349"/>
      <c r="X73" s="1350"/>
      <c r="Y73" s="1350"/>
      <c r="Z73" s="1349"/>
      <c r="AA73" s="1351"/>
      <c r="AB73" s="1350"/>
      <c r="AC73" s="1350"/>
      <c r="AD73" s="1350"/>
      <c r="AE73" s="1350"/>
      <c r="AF73" s="1350"/>
      <c r="AG73" s="1350"/>
      <c r="AH73" s="1350"/>
      <c r="AI73" s="1350"/>
      <c r="AJ73" s="1350"/>
      <c r="AK73" s="1350"/>
    </row>
    <row r="74">
      <c r="A74" s="1350"/>
      <c r="B74" s="1350"/>
      <c r="C74" s="1350"/>
      <c r="D74" s="1350"/>
      <c r="E74" s="1350"/>
      <c r="F74" s="1350"/>
      <c r="G74" s="1350"/>
      <c r="H74" s="1350"/>
      <c r="I74" s="1350"/>
      <c r="J74" s="1350"/>
      <c r="K74" s="1350"/>
      <c r="L74" s="1350"/>
      <c r="M74" s="1350"/>
      <c r="N74" s="1350"/>
      <c r="O74" s="1350"/>
      <c r="P74" s="1354"/>
      <c r="Q74" s="1355"/>
      <c r="R74" s="1355"/>
      <c r="S74" s="1350"/>
      <c r="T74" s="1349"/>
      <c r="U74" s="1348"/>
      <c r="V74" s="1348"/>
      <c r="W74" s="1349"/>
      <c r="X74" s="1350"/>
      <c r="Y74" s="1350"/>
      <c r="Z74" s="1349"/>
      <c r="AA74" s="1351"/>
      <c r="AB74" s="1350"/>
      <c r="AC74" s="1350"/>
      <c r="AD74" s="1350"/>
      <c r="AE74" s="1350"/>
      <c r="AF74" s="1350"/>
      <c r="AG74" s="1350"/>
      <c r="AH74" s="1350"/>
      <c r="AI74" s="1350"/>
      <c r="AJ74" s="1350"/>
      <c r="AK74" s="1350"/>
    </row>
    <row r="75">
      <c r="A75" s="1350"/>
      <c r="B75" s="1350"/>
      <c r="C75" s="1350"/>
      <c r="D75" s="1350"/>
      <c r="E75" s="1350"/>
      <c r="F75" s="1350"/>
      <c r="G75" s="1350"/>
      <c r="H75" s="1350"/>
      <c r="I75" s="1350"/>
      <c r="J75" s="1350"/>
      <c r="K75" s="1350"/>
      <c r="L75" s="1350"/>
      <c r="M75" s="1350"/>
      <c r="N75" s="1350"/>
      <c r="O75" s="1350"/>
      <c r="P75" s="1354"/>
      <c r="Q75" s="1355"/>
      <c r="R75" s="1355"/>
      <c r="S75" s="1350"/>
      <c r="T75" s="1349"/>
      <c r="U75" s="1348"/>
      <c r="V75" s="1348"/>
      <c r="W75" s="1349"/>
      <c r="X75" s="1350"/>
      <c r="Y75" s="1350"/>
      <c r="Z75" s="1349"/>
      <c r="AA75" s="1351"/>
      <c r="AB75" s="1350"/>
      <c r="AC75" s="1350"/>
      <c r="AD75" s="1350"/>
      <c r="AE75" s="1350"/>
      <c r="AF75" s="1350"/>
      <c r="AG75" s="1350"/>
      <c r="AH75" s="1350"/>
      <c r="AI75" s="1350"/>
      <c r="AJ75" s="1350"/>
      <c r="AK75" s="1350"/>
    </row>
    <row r="76">
      <c r="A76" s="1350"/>
      <c r="B76" s="1350"/>
      <c r="C76" s="1350"/>
      <c r="D76" s="1350"/>
      <c r="E76" s="1350"/>
      <c r="F76" s="1350"/>
      <c r="G76" s="1350"/>
      <c r="H76" s="1350"/>
      <c r="I76" s="1350"/>
      <c r="J76" s="1350"/>
      <c r="K76" s="1350"/>
      <c r="L76" s="1350"/>
      <c r="M76" s="1350"/>
      <c r="N76" s="1350"/>
      <c r="O76" s="1350"/>
      <c r="P76" s="1354"/>
      <c r="Q76" s="1355"/>
      <c r="R76" s="1355"/>
      <c r="S76" s="1350"/>
      <c r="T76" s="1349"/>
      <c r="U76" s="1348"/>
      <c r="V76" s="1348"/>
      <c r="W76" s="1349"/>
      <c r="X76" s="1350"/>
      <c r="Y76" s="1350"/>
      <c r="Z76" s="1349"/>
      <c r="AA76" s="1351"/>
      <c r="AB76" s="1350"/>
      <c r="AC76" s="1350"/>
      <c r="AD76" s="1350"/>
      <c r="AE76" s="1350"/>
      <c r="AF76" s="1350"/>
      <c r="AG76" s="1350"/>
      <c r="AH76" s="1350"/>
      <c r="AI76" s="1350"/>
      <c r="AJ76" s="1350"/>
      <c r="AK76" s="1350"/>
    </row>
    <row r="77">
      <c r="A77" s="1350"/>
      <c r="B77" s="1350"/>
      <c r="C77" s="1350"/>
      <c r="D77" s="1350"/>
      <c r="E77" s="1350"/>
      <c r="F77" s="1350"/>
      <c r="G77" s="1350"/>
      <c r="H77" s="1350"/>
      <c r="I77" s="1350"/>
      <c r="J77" s="1350"/>
      <c r="K77" s="1350"/>
      <c r="L77" s="1350"/>
      <c r="M77" s="1350"/>
      <c r="N77" s="1350"/>
      <c r="O77" s="1350"/>
      <c r="P77" s="1354"/>
      <c r="Q77" s="1355"/>
      <c r="R77" s="1355"/>
      <c r="S77" s="1350"/>
      <c r="T77" s="1349"/>
      <c r="U77" s="1348"/>
      <c r="V77" s="1348"/>
      <c r="W77" s="1349"/>
      <c r="X77" s="1350"/>
      <c r="Y77" s="1350"/>
      <c r="Z77" s="1349"/>
      <c r="AA77" s="1351"/>
      <c r="AB77" s="1350"/>
      <c r="AC77" s="1350"/>
      <c r="AD77" s="1350"/>
      <c r="AE77" s="1350"/>
      <c r="AF77" s="1350"/>
      <c r="AG77" s="1350"/>
      <c r="AH77" s="1350"/>
      <c r="AI77" s="1350"/>
      <c r="AJ77" s="1350"/>
      <c r="AK77" s="1350"/>
    </row>
    <row r="78">
      <c r="A78" s="1350"/>
      <c r="B78" s="1350"/>
      <c r="C78" s="1350"/>
      <c r="D78" s="1350"/>
      <c r="E78" s="1350"/>
      <c r="F78" s="1350"/>
      <c r="G78" s="1350"/>
      <c r="H78" s="1350"/>
      <c r="I78" s="1350"/>
      <c r="J78" s="1350"/>
      <c r="K78" s="1350"/>
      <c r="L78" s="1350"/>
      <c r="M78" s="1350"/>
      <c r="N78" s="1350"/>
      <c r="O78" s="1350"/>
      <c r="P78" s="1354"/>
      <c r="Q78" s="1355"/>
      <c r="R78" s="1355"/>
      <c r="S78" s="1350"/>
      <c r="T78" s="1349"/>
      <c r="U78" s="1348"/>
      <c r="V78" s="1348"/>
      <c r="W78" s="1349"/>
      <c r="X78" s="1350"/>
      <c r="Y78" s="1350"/>
      <c r="Z78" s="1349"/>
      <c r="AA78" s="1351"/>
      <c r="AB78" s="1350"/>
      <c r="AC78" s="1350"/>
      <c r="AD78" s="1350"/>
      <c r="AE78" s="1350"/>
      <c r="AF78" s="1350"/>
      <c r="AG78" s="1350"/>
      <c r="AH78" s="1350"/>
      <c r="AI78" s="1350"/>
      <c r="AJ78" s="1350"/>
      <c r="AK78" s="1350"/>
    </row>
    <row r="79">
      <c r="A79" s="1350"/>
      <c r="B79" s="1350"/>
      <c r="C79" s="1350"/>
      <c r="D79" s="1350"/>
      <c r="E79" s="1350"/>
      <c r="F79" s="1350"/>
      <c r="G79" s="1350"/>
      <c r="H79" s="1350"/>
      <c r="I79" s="1350"/>
      <c r="J79" s="1350"/>
      <c r="K79" s="1350"/>
      <c r="L79" s="1350"/>
      <c r="M79" s="1350"/>
      <c r="N79" s="1350"/>
      <c r="O79" s="1350"/>
      <c r="P79" s="1354"/>
      <c r="Q79" s="1355"/>
      <c r="R79" s="1355"/>
      <c r="S79" s="1350"/>
      <c r="T79" s="1349"/>
      <c r="U79" s="1348"/>
      <c r="V79" s="1348"/>
      <c r="W79" s="1349"/>
      <c r="X79" s="1350"/>
      <c r="Y79" s="1350"/>
      <c r="Z79" s="1349"/>
      <c r="AA79" s="1351"/>
      <c r="AB79" s="1350"/>
      <c r="AC79" s="1350"/>
      <c r="AD79" s="1350"/>
      <c r="AE79" s="1350"/>
      <c r="AF79" s="1350"/>
      <c r="AG79" s="1350"/>
      <c r="AH79" s="1350"/>
      <c r="AI79" s="1350"/>
      <c r="AJ79" s="1350"/>
      <c r="AK79" s="1350"/>
    </row>
    <row r="80">
      <c r="A80" s="1350"/>
      <c r="B80" s="1350"/>
      <c r="C80" s="1350"/>
      <c r="D80" s="1350"/>
      <c r="E80" s="1350"/>
      <c r="F80" s="1350"/>
      <c r="G80" s="1350"/>
      <c r="H80" s="1350"/>
      <c r="I80" s="1350"/>
      <c r="J80" s="1350"/>
      <c r="K80" s="1350"/>
      <c r="L80" s="1350"/>
      <c r="M80" s="1350"/>
      <c r="N80" s="1350"/>
      <c r="O80" s="1350"/>
      <c r="P80" s="1354"/>
      <c r="Q80" s="1355"/>
      <c r="R80" s="1355"/>
      <c r="S80" s="1350"/>
      <c r="T80" s="1349"/>
      <c r="U80" s="1348"/>
      <c r="V80" s="1348"/>
      <c r="W80" s="1349"/>
      <c r="X80" s="1350"/>
      <c r="Y80" s="1350"/>
      <c r="Z80" s="1349"/>
      <c r="AA80" s="1351"/>
      <c r="AB80" s="1350"/>
      <c r="AC80" s="1350"/>
      <c r="AD80" s="1350"/>
      <c r="AE80" s="1350"/>
      <c r="AF80" s="1350"/>
      <c r="AG80" s="1350"/>
      <c r="AH80" s="1350"/>
      <c r="AI80" s="1350"/>
      <c r="AJ80" s="1350"/>
      <c r="AK80" s="1350"/>
    </row>
    <row r="81">
      <c r="A81" s="1350"/>
      <c r="B81" s="1350"/>
      <c r="C81" s="1350"/>
      <c r="D81" s="1350"/>
      <c r="E81" s="1350"/>
      <c r="F81" s="1350"/>
      <c r="G81" s="1350"/>
      <c r="H81" s="1350"/>
      <c r="I81" s="1350"/>
      <c r="J81" s="1350"/>
      <c r="K81" s="1350"/>
      <c r="L81" s="1350"/>
      <c r="M81" s="1350"/>
      <c r="N81" s="1350"/>
      <c r="O81" s="1350"/>
      <c r="P81" s="1354"/>
      <c r="Q81" s="1355"/>
      <c r="R81" s="1355"/>
      <c r="S81" s="1350"/>
      <c r="T81" s="1349"/>
      <c r="U81" s="1348"/>
      <c r="V81" s="1348"/>
      <c r="W81" s="1349"/>
      <c r="X81" s="1350"/>
      <c r="Y81" s="1350"/>
      <c r="Z81" s="1349"/>
      <c r="AA81" s="1351"/>
      <c r="AB81" s="1350"/>
      <c r="AC81" s="1350"/>
      <c r="AD81" s="1350"/>
      <c r="AE81" s="1350"/>
      <c r="AF81" s="1350"/>
      <c r="AG81" s="1350"/>
      <c r="AH81" s="1350"/>
      <c r="AI81" s="1350"/>
      <c r="AJ81" s="1350"/>
      <c r="AK81" s="1350"/>
    </row>
    <row r="82">
      <c r="A82" s="1350"/>
      <c r="B82" s="1350"/>
      <c r="C82" s="1350"/>
      <c r="D82" s="1350"/>
      <c r="E82" s="1350"/>
      <c r="F82" s="1350"/>
      <c r="G82" s="1350"/>
      <c r="H82" s="1350"/>
      <c r="I82" s="1350"/>
      <c r="J82" s="1350"/>
      <c r="K82" s="1350"/>
      <c r="L82" s="1350"/>
      <c r="M82" s="1350"/>
      <c r="N82" s="1350"/>
      <c r="O82" s="1350"/>
      <c r="P82" s="1354"/>
      <c r="Q82" s="1355"/>
      <c r="R82" s="1355"/>
      <c r="S82" s="1350"/>
      <c r="T82" s="1349"/>
      <c r="U82" s="1348"/>
      <c r="V82" s="1348"/>
      <c r="W82" s="1349"/>
      <c r="X82" s="1350"/>
      <c r="Y82" s="1350"/>
      <c r="Z82" s="1349"/>
      <c r="AA82" s="1351"/>
      <c r="AB82" s="1350"/>
      <c r="AC82" s="1350"/>
      <c r="AD82" s="1350"/>
      <c r="AE82" s="1350"/>
      <c r="AF82" s="1350"/>
      <c r="AG82" s="1350"/>
      <c r="AH82" s="1350"/>
      <c r="AI82" s="1350"/>
      <c r="AJ82" s="1350"/>
      <c r="AK82" s="1350"/>
    </row>
    <row r="83">
      <c r="A83" s="1350"/>
      <c r="B83" s="1350"/>
      <c r="C83" s="1350"/>
      <c r="D83" s="1350"/>
      <c r="E83" s="1350"/>
      <c r="F83" s="1350"/>
      <c r="G83" s="1350"/>
      <c r="H83" s="1350"/>
      <c r="I83" s="1350"/>
      <c r="J83" s="1350"/>
      <c r="K83" s="1350"/>
      <c r="L83" s="1350"/>
      <c r="M83" s="1350"/>
      <c r="N83" s="1350"/>
      <c r="O83" s="1350"/>
      <c r="P83" s="1354"/>
      <c r="Q83" s="1355"/>
      <c r="R83" s="1355"/>
      <c r="S83" s="1350"/>
      <c r="T83" s="1349"/>
      <c r="U83" s="1348"/>
      <c r="V83" s="1348"/>
      <c r="W83" s="1349"/>
      <c r="X83" s="1350"/>
      <c r="Y83" s="1350"/>
      <c r="Z83" s="1349"/>
      <c r="AA83" s="1351"/>
      <c r="AB83" s="1350"/>
      <c r="AC83" s="1350"/>
      <c r="AD83" s="1350"/>
      <c r="AE83" s="1350"/>
      <c r="AF83" s="1350"/>
      <c r="AG83" s="1350"/>
      <c r="AH83" s="1350"/>
      <c r="AI83" s="1350"/>
      <c r="AJ83" s="1350"/>
      <c r="AK83" s="1350"/>
    </row>
    <row r="84">
      <c r="A84" s="1350"/>
      <c r="B84" s="1350"/>
      <c r="C84" s="1350"/>
      <c r="D84" s="1350"/>
      <c r="E84" s="1350"/>
      <c r="F84" s="1350"/>
      <c r="G84" s="1350"/>
      <c r="H84" s="1350"/>
      <c r="I84" s="1350"/>
      <c r="J84" s="1350"/>
      <c r="K84" s="1350"/>
      <c r="L84" s="1350"/>
      <c r="M84" s="1350"/>
      <c r="N84" s="1350"/>
      <c r="O84" s="1350"/>
      <c r="P84" s="1354"/>
      <c r="Q84" s="1355"/>
      <c r="R84" s="1355"/>
      <c r="S84" s="1350"/>
      <c r="T84" s="1349"/>
      <c r="U84" s="1348"/>
      <c r="V84" s="1348"/>
      <c r="W84" s="1349"/>
      <c r="X84" s="1350"/>
      <c r="Y84" s="1350"/>
      <c r="Z84" s="1349"/>
      <c r="AA84" s="1351"/>
      <c r="AB84" s="1350"/>
      <c r="AC84" s="1350"/>
      <c r="AD84" s="1350"/>
      <c r="AE84" s="1350"/>
      <c r="AF84" s="1350"/>
      <c r="AG84" s="1350"/>
      <c r="AH84" s="1350"/>
      <c r="AI84" s="1350"/>
      <c r="AJ84" s="1350"/>
      <c r="AK84" s="1350"/>
    </row>
    <row r="85">
      <c r="A85" s="1350"/>
      <c r="B85" s="1350"/>
      <c r="C85" s="1350"/>
      <c r="D85" s="1350"/>
      <c r="E85" s="1350"/>
      <c r="F85" s="1350"/>
      <c r="G85" s="1350"/>
      <c r="H85" s="1350"/>
      <c r="I85" s="1350"/>
      <c r="J85" s="1350"/>
      <c r="K85" s="1350"/>
      <c r="L85" s="1350"/>
      <c r="M85" s="1350"/>
      <c r="N85" s="1350"/>
      <c r="O85" s="1350"/>
      <c r="P85" s="1354"/>
      <c r="Q85" s="1355"/>
      <c r="R85" s="1355"/>
      <c r="S85" s="1350"/>
      <c r="T85" s="1349"/>
      <c r="U85" s="1348"/>
      <c r="V85" s="1348"/>
      <c r="W85" s="1349"/>
      <c r="X85" s="1350"/>
      <c r="Y85" s="1350"/>
      <c r="Z85" s="1349"/>
      <c r="AA85" s="1351"/>
      <c r="AB85" s="1350"/>
      <c r="AC85" s="1350"/>
      <c r="AD85" s="1350"/>
      <c r="AE85" s="1350"/>
      <c r="AF85" s="1350"/>
      <c r="AG85" s="1350"/>
      <c r="AH85" s="1350"/>
      <c r="AI85" s="1350"/>
      <c r="AJ85" s="1350"/>
      <c r="AK85" s="1350"/>
    </row>
    <row r="86">
      <c r="A86" s="1350"/>
      <c r="B86" s="1350"/>
      <c r="C86" s="1350"/>
      <c r="D86" s="1350"/>
      <c r="E86" s="1350"/>
      <c r="F86" s="1350"/>
      <c r="G86" s="1350"/>
      <c r="H86" s="1350"/>
      <c r="I86" s="1350"/>
      <c r="J86" s="1350"/>
      <c r="K86" s="1350"/>
      <c r="L86" s="1350"/>
      <c r="M86" s="1350"/>
      <c r="N86" s="1350"/>
      <c r="O86" s="1350"/>
      <c r="P86" s="1354"/>
      <c r="Q86" s="1355"/>
      <c r="R86" s="1355"/>
      <c r="S86" s="1350"/>
      <c r="T86" s="1349"/>
      <c r="U86" s="1348"/>
      <c r="V86" s="1348"/>
      <c r="W86" s="1349"/>
      <c r="X86" s="1350"/>
      <c r="Y86" s="1350"/>
      <c r="Z86" s="1349"/>
      <c r="AA86" s="1351"/>
      <c r="AB86" s="1350"/>
      <c r="AC86" s="1350"/>
      <c r="AD86" s="1350"/>
      <c r="AE86" s="1350"/>
      <c r="AF86" s="1350"/>
      <c r="AG86" s="1350"/>
      <c r="AH86" s="1350"/>
      <c r="AI86" s="1350"/>
      <c r="AJ86" s="1350"/>
      <c r="AK86" s="1350"/>
    </row>
    <row r="87">
      <c r="A87" s="1350"/>
      <c r="B87" s="1350"/>
      <c r="C87" s="1350"/>
      <c r="D87" s="1350"/>
      <c r="E87" s="1350"/>
      <c r="F87" s="1350"/>
      <c r="G87" s="1350"/>
      <c r="H87" s="1350"/>
      <c r="I87" s="1350"/>
      <c r="J87" s="1350"/>
      <c r="K87" s="1350"/>
      <c r="L87" s="1350"/>
      <c r="M87" s="1350"/>
      <c r="N87" s="1350"/>
      <c r="O87" s="1350"/>
      <c r="P87" s="1354"/>
      <c r="Q87" s="1355"/>
      <c r="R87" s="1355"/>
      <c r="S87" s="1350"/>
      <c r="T87" s="1349"/>
      <c r="U87" s="1348"/>
      <c r="V87" s="1348"/>
      <c r="W87" s="1349"/>
      <c r="X87" s="1350"/>
      <c r="Y87" s="1350"/>
      <c r="Z87" s="1349"/>
      <c r="AA87" s="1351"/>
      <c r="AB87" s="1350"/>
      <c r="AC87" s="1350"/>
      <c r="AD87" s="1350"/>
      <c r="AE87" s="1350"/>
      <c r="AF87" s="1350"/>
      <c r="AG87" s="1350"/>
      <c r="AH87" s="1350"/>
      <c r="AI87" s="1350"/>
      <c r="AJ87" s="1350"/>
      <c r="AK87" s="1350"/>
    </row>
    <row r="88">
      <c r="A88" s="1350"/>
      <c r="B88" s="1350"/>
      <c r="C88" s="1350"/>
      <c r="D88" s="1350"/>
      <c r="E88" s="1350"/>
      <c r="F88" s="1350"/>
      <c r="G88" s="1350"/>
      <c r="H88" s="1350"/>
      <c r="I88" s="1350"/>
      <c r="J88" s="1350"/>
      <c r="K88" s="1350"/>
      <c r="L88" s="1350"/>
      <c r="M88" s="1350"/>
      <c r="N88" s="1350"/>
      <c r="O88" s="1350"/>
      <c r="P88" s="1354"/>
      <c r="Q88" s="1355"/>
      <c r="R88" s="1355"/>
      <c r="S88" s="1350"/>
      <c r="T88" s="1349"/>
      <c r="U88" s="1348"/>
      <c r="V88" s="1348"/>
      <c r="W88" s="1349"/>
      <c r="X88" s="1350"/>
      <c r="Y88" s="1350"/>
      <c r="Z88" s="1349"/>
      <c r="AA88" s="1351"/>
      <c r="AB88" s="1350"/>
      <c r="AC88" s="1350"/>
      <c r="AD88" s="1350"/>
      <c r="AE88" s="1350"/>
      <c r="AF88" s="1350"/>
      <c r="AG88" s="1350"/>
      <c r="AH88" s="1350"/>
      <c r="AI88" s="1350"/>
      <c r="AJ88" s="1350"/>
      <c r="AK88" s="1350"/>
    </row>
    <row r="89">
      <c r="A89" s="1350"/>
      <c r="B89" s="1350"/>
      <c r="C89" s="1350"/>
      <c r="D89" s="1350"/>
      <c r="E89" s="1350"/>
      <c r="F89" s="1350"/>
      <c r="G89" s="1350"/>
      <c r="H89" s="1350"/>
      <c r="I89" s="1350"/>
      <c r="J89" s="1350"/>
      <c r="K89" s="1350"/>
      <c r="L89" s="1350"/>
      <c r="M89" s="1350"/>
      <c r="N89" s="1350"/>
      <c r="O89" s="1350"/>
      <c r="P89" s="1354"/>
      <c r="Q89" s="1355"/>
      <c r="R89" s="1355"/>
      <c r="S89" s="1350"/>
      <c r="T89" s="1349"/>
      <c r="U89" s="1348"/>
      <c r="V89" s="1348"/>
      <c r="W89" s="1349"/>
      <c r="X89" s="1350"/>
      <c r="Y89" s="1350"/>
      <c r="Z89" s="1349"/>
      <c r="AA89" s="1351"/>
      <c r="AB89" s="1350"/>
      <c r="AC89" s="1350"/>
      <c r="AD89" s="1350"/>
      <c r="AE89" s="1350"/>
      <c r="AF89" s="1350"/>
      <c r="AG89" s="1350"/>
      <c r="AH89" s="1350"/>
      <c r="AI89" s="1350"/>
      <c r="AJ89" s="1350"/>
      <c r="AK89" s="1350"/>
    </row>
    <row r="90">
      <c r="A90" s="1350"/>
      <c r="B90" s="1350"/>
      <c r="C90" s="1350"/>
      <c r="D90" s="1350"/>
      <c r="E90" s="1350"/>
      <c r="F90" s="1350"/>
      <c r="G90" s="1350"/>
      <c r="H90" s="1350"/>
      <c r="I90" s="1350"/>
      <c r="J90" s="1350"/>
      <c r="K90" s="1350"/>
      <c r="L90" s="1350"/>
      <c r="M90" s="1350"/>
      <c r="N90" s="1350"/>
      <c r="O90" s="1350"/>
      <c r="P90" s="1354"/>
      <c r="Q90" s="1355"/>
      <c r="R90" s="1355"/>
      <c r="S90" s="1350"/>
      <c r="T90" s="1349"/>
      <c r="U90" s="1348"/>
      <c r="V90" s="1348"/>
      <c r="W90" s="1349"/>
      <c r="X90" s="1350"/>
      <c r="Y90" s="1350"/>
      <c r="Z90" s="1349"/>
      <c r="AA90" s="1351"/>
      <c r="AB90" s="1350"/>
      <c r="AC90" s="1350"/>
      <c r="AD90" s="1350"/>
      <c r="AE90" s="1350"/>
      <c r="AF90" s="1350"/>
      <c r="AG90" s="1350"/>
      <c r="AH90" s="1350"/>
      <c r="AI90" s="1350"/>
      <c r="AJ90" s="1350"/>
      <c r="AK90" s="1350"/>
    </row>
    <row r="91">
      <c r="A91" s="1350"/>
      <c r="B91" s="1350"/>
      <c r="C91" s="1350"/>
      <c r="D91" s="1350"/>
      <c r="E91" s="1350"/>
      <c r="F91" s="1350"/>
      <c r="G91" s="1350"/>
      <c r="H91" s="1350"/>
      <c r="I91" s="1350"/>
      <c r="J91" s="1350"/>
      <c r="K91" s="1350"/>
      <c r="L91" s="1350"/>
      <c r="M91" s="1350"/>
      <c r="N91" s="1350"/>
      <c r="O91" s="1350"/>
      <c r="P91" s="1354"/>
      <c r="Q91" s="1355"/>
      <c r="R91" s="1355"/>
      <c r="S91" s="1350"/>
      <c r="T91" s="1349"/>
      <c r="U91" s="1348"/>
      <c r="V91" s="1348"/>
      <c r="W91" s="1349"/>
      <c r="X91" s="1350"/>
      <c r="Y91" s="1350"/>
      <c r="Z91" s="1349"/>
      <c r="AA91" s="1351"/>
      <c r="AB91" s="1350"/>
      <c r="AC91" s="1350"/>
      <c r="AD91" s="1350"/>
      <c r="AE91" s="1350"/>
      <c r="AF91" s="1350"/>
      <c r="AG91" s="1350"/>
      <c r="AH91" s="1350"/>
      <c r="AI91" s="1350"/>
      <c r="AJ91" s="1350"/>
      <c r="AK91" s="1350"/>
    </row>
    <row r="92">
      <c r="A92" s="1350"/>
      <c r="B92" s="1350"/>
      <c r="C92" s="1350"/>
      <c r="D92" s="1350"/>
      <c r="E92" s="1350"/>
      <c r="F92" s="1350"/>
      <c r="G92" s="1350"/>
      <c r="H92" s="1350"/>
      <c r="I92" s="1350"/>
      <c r="J92" s="1350"/>
      <c r="K92" s="1350"/>
      <c r="L92" s="1350"/>
      <c r="M92" s="1350"/>
      <c r="N92" s="1350"/>
      <c r="O92" s="1350"/>
      <c r="P92" s="1354"/>
      <c r="Q92" s="1355"/>
      <c r="R92" s="1355"/>
      <c r="S92" s="1350"/>
      <c r="T92" s="1349"/>
      <c r="U92" s="1348"/>
      <c r="V92" s="1348"/>
      <c r="W92" s="1349"/>
      <c r="X92" s="1350"/>
      <c r="Y92" s="1350"/>
      <c r="Z92" s="1349"/>
      <c r="AA92" s="1351"/>
      <c r="AB92" s="1350"/>
      <c r="AC92" s="1350"/>
      <c r="AD92" s="1350"/>
      <c r="AE92" s="1350"/>
      <c r="AF92" s="1350"/>
      <c r="AG92" s="1350"/>
      <c r="AH92" s="1350"/>
      <c r="AI92" s="1350"/>
      <c r="AJ92" s="1350"/>
      <c r="AK92" s="1350"/>
    </row>
    <row r="93">
      <c r="A93" s="1350"/>
      <c r="B93" s="1350"/>
      <c r="C93" s="1350"/>
      <c r="D93" s="1350"/>
      <c r="E93" s="1350"/>
      <c r="F93" s="1350"/>
      <c r="G93" s="1350"/>
      <c r="H93" s="1350"/>
      <c r="I93" s="1350"/>
      <c r="J93" s="1350"/>
      <c r="K93" s="1350"/>
      <c r="L93" s="1350"/>
      <c r="M93" s="1350"/>
      <c r="N93" s="1350"/>
      <c r="O93" s="1350"/>
      <c r="P93" s="1354"/>
      <c r="Q93" s="1355"/>
      <c r="R93" s="1355"/>
      <c r="S93" s="1350"/>
      <c r="T93" s="1349"/>
      <c r="U93" s="1348"/>
      <c r="V93" s="1348"/>
      <c r="W93" s="1349"/>
      <c r="X93" s="1350"/>
      <c r="Y93" s="1350"/>
      <c r="Z93" s="1349"/>
      <c r="AA93" s="1351"/>
      <c r="AB93" s="1350"/>
      <c r="AC93" s="1350"/>
      <c r="AD93" s="1350"/>
      <c r="AE93" s="1350"/>
      <c r="AF93" s="1350"/>
      <c r="AG93" s="1350"/>
      <c r="AH93" s="1350"/>
      <c r="AI93" s="1350"/>
      <c r="AJ93" s="1350"/>
      <c r="AK93" s="1350"/>
    </row>
    <row r="94">
      <c r="A94" s="1350"/>
      <c r="B94" s="1350"/>
      <c r="C94" s="1350"/>
      <c r="D94" s="1350"/>
      <c r="E94" s="1350"/>
      <c r="F94" s="1350"/>
      <c r="G94" s="1350"/>
      <c r="H94" s="1350"/>
      <c r="I94" s="1350"/>
      <c r="J94" s="1350"/>
      <c r="K94" s="1350"/>
      <c r="L94" s="1350"/>
      <c r="M94" s="1350"/>
      <c r="N94" s="1350"/>
      <c r="O94" s="1350"/>
      <c r="P94" s="1354"/>
      <c r="Q94" s="1355"/>
      <c r="R94" s="1355"/>
      <c r="S94" s="1350"/>
      <c r="T94" s="1349"/>
      <c r="U94" s="1348"/>
      <c r="V94" s="1348"/>
      <c r="W94" s="1349"/>
      <c r="X94" s="1350"/>
      <c r="Y94" s="1350"/>
      <c r="Z94" s="1349"/>
      <c r="AA94" s="1351"/>
      <c r="AB94" s="1350"/>
      <c r="AC94" s="1350"/>
      <c r="AD94" s="1350"/>
      <c r="AE94" s="1350"/>
      <c r="AF94" s="1350"/>
      <c r="AG94" s="1350"/>
      <c r="AH94" s="1350"/>
      <c r="AI94" s="1350"/>
      <c r="AJ94" s="1350"/>
      <c r="AK94" s="1350"/>
    </row>
    <row r="95">
      <c r="A95" s="1350"/>
      <c r="B95" s="1350"/>
      <c r="C95" s="1350"/>
      <c r="D95" s="1350"/>
      <c r="E95" s="1350"/>
      <c r="F95" s="1350"/>
      <c r="G95" s="1350"/>
      <c r="H95" s="1350"/>
      <c r="I95" s="1350"/>
      <c r="J95" s="1350"/>
      <c r="K95" s="1350"/>
      <c r="L95" s="1350"/>
      <c r="M95" s="1350"/>
      <c r="N95" s="1350"/>
      <c r="O95" s="1350"/>
      <c r="P95" s="1354"/>
      <c r="Q95" s="1355"/>
      <c r="R95" s="1355"/>
      <c r="S95" s="1350"/>
      <c r="T95" s="1349"/>
      <c r="U95" s="1348"/>
      <c r="V95" s="1348"/>
      <c r="W95" s="1349"/>
      <c r="X95" s="1350"/>
      <c r="Y95" s="1350"/>
      <c r="Z95" s="1349"/>
      <c r="AA95" s="1351"/>
      <c r="AB95" s="1350"/>
      <c r="AC95" s="1350"/>
      <c r="AD95" s="1350"/>
      <c r="AE95" s="1350"/>
      <c r="AF95" s="1350"/>
      <c r="AG95" s="1350"/>
      <c r="AH95" s="1350"/>
      <c r="AI95" s="1350"/>
      <c r="AJ95" s="1350"/>
      <c r="AK95" s="1350"/>
    </row>
    <row r="96">
      <c r="A96" s="1350"/>
      <c r="B96" s="1350"/>
      <c r="C96" s="1350"/>
      <c r="D96" s="1350"/>
      <c r="E96" s="1350"/>
      <c r="F96" s="1350"/>
      <c r="G96" s="1350"/>
      <c r="H96" s="1350"/>
      <c r="I96" s="1350"/>
      <c r="J96" s="1350"/>
      <c r="K96" s="1350"/>
      <c r="L96" s="1350"/>
      <c r="M96" s="1350"/>
      <c r="N96" s="1350"/>
      <c r="O96" s="1350"/>
      <c r="P96" s="1354"/>
      <c r="Q96" s="1355"/>
      <c r="R96" s="1355"/>
      <c r="S96" s="1350"/>
      <c r="T96" s="1349"/>
      <c r="U96" s="1348"/>
      <c r="V96" s="1348"/>
      <c r="W96" s="1349"/>
      <c r="X96" s="1350"/>
      <c r="Y96" s="1350"/>
      <c r="Z96" s="1349"/>
      <c r="AA96" s="1351"/>
      <c r="AB96" s="1350"/>
      <c r="AC96" s="1350"/>
      <c r="AD96" s="1350"/>
      <c r="AE96" s="1350"/>
      <c r="AF96" s="1350"/>
      <c r="AG96" s="1350"/>
      <c r="AH96" s="1350"/>
      <c r="AI96" s="1350"/>
      <c r="AJ96" s="1350"/>
      <c r="AK96" s="1350"/>
    </row>
    <row r="97">
      <c r="A97" s="1350"/>
      <c r="B97" s="1350"/>
      <c r="C97" s="1350"/>
      <c r="D97" s="1350"/>
      <c r="E97" s="1350"/>
      <c r="F97" s="1350"/>
      <c r="G97" s="1350"/>
      <c r="H97" s="1350"/>
      <c r="I97" s="1350"/>
      <c r="J97" s="1350"/>
      <c r="K97" s="1350"/>
      <c r="L97" s="1350"/>
      <c r="M97" s="1350"/>
      <c r="N97" s="1350"/>
      <c r="O97" s="1350"/>
      <c r="P97" s="1354"/>
      <c r="Q97" s="1355"/>
      <c r="R97" s="1355"/>
      <c r="S97" s="1350"/>
      <c r="T97" s="1349"/>
      <c r="U97" s="1348"/>
      <c r="V97" s="1348"/>
      <c r="W97" s="1349"/>
      <c r="X97" s="1350"/>
      <c r="Y97" s="1350"/>
      <c r="Z97" s="1349"/>
      <c r="AA97" s="1351"/>
      <c r="AB97" s="1350"/>
      <c r="AC97" s="1350"/>
      <c r="AD97" s="1350"/>
      <c r="AE97" s="1350"/>
      <c r="AF97" s="1350"/>
      <c r="AG97" s="1350"/>
      <c r="AH97" s="1350"/>
      <c r="AI97" s="1350"/>
      <c r="AJ97" s="1350"/>
      <c r="AK97" s="1350"/>
    </row>
    <row r="98">
      <c r="A98" s="1350"/>
      <c r="B98" s="1350"/>
      <c r="C98" s="1350"/>
      <c r="D98" s="1350"/>
      <c r="E98" s="1350"/>
      <c r="F98" s="1350"/>
      <c r="G98" s="1350"/>
      <c r="H98" s="1350"/>
      <c r="I98" s="1350"/>
      <c r="J98" s="1350"/>
      <c r="K98" s="1350"/>
      <c r="L98" s="1350"/>
      <c r="M98" s="1350"/>
      <c r="N98" s="1350"/>
      <c r="O98" s="1350"/>
      <c r="P98" s="1354"/>
      <c r="Q98" s="1355"/>
      <c r="R98" s="1355"/>
      <c r="S98" s="1350"/>
      <c r="T98" s="1349"/>
      <c r="U98" s="1348"/>
      <c r="V98" s="1348"/>
      <c r="W98" s="1349"/>
      <c r="X98" s="1350"/>
      <c r="Y98" s="1350"/>
      <c r="Z98" s="1349"/>
      <c r="AA98" s="1351"/>
      <c r="AB98" s="1350"/>
      <c r="AC98" s="1350"/>
      <c r="AD98" s="1350"/>
      <c r="AE98" s="1350"/>
      <c r="AF98" s="1350"/>
      <c r="AG98" s="1350"/>
      <c r="AH98" s="1350"/>
      <c r="AI98" s="1350"/>
      <c r="AJ98" s="1350"/>
      <c r="AK98" s="1350"/>
    </row>
    <row r="99">
      <c r="A99" s="1350"/>
      <c r="B99" s="1350"/>
      <c r="C99" s="1350"/>
      <c r="D99" s="1350"/>
      <c r="E99" s="1350"/>
      <c r="F99" s="1350"/>
      <c r="G99" s="1350"/>
      <c r="H99" s="1350"/>
      <c r="I99" s="1350"/>
      <c r="J99" s="1350"/>
      <c r="K99" s="1350"/>
      <c r="L99" s="1350"/>
      <c r="M99" s="1350"/>
      <c r="N99" s="1350"/>
      <c r="O99" s="1350"/>
      <c r="P99" s="1354"/>
      <c r="Q99" s="1355"/>
      <c r="R99" s="1355"/>
      <c r="S99" s="1350"/>
      <c r="T99" s="1349"/>
      <c r="U99" s="1348"/>
      <c r="V99" s="1348"/>
      <c r="W99" s="1349"/>
      <c r="X99" s="1350"/>
      <c r="Y99" s="1350"/>
      <c r="Z99" s="1349"/>
      <c r="AA99" s="1351"/>
      <c r="AB99" s="1350"/>
      <c r="AC99" s="1350"/>
      <c r="AD99" s="1350"/>
      <c r="AE99" s="1350"/>
      <c r="AF99" s="1350"/>
      <c r="AG99" s="1350"/>
      <c r="AH99" s="1350"/>
      <c r="AI99" s="1350"/>
      <c r="AJ99" s="1350"/>
      <c r="AK99" s="1350"/>
    </row>
    <row r="100">
      <c r="A100" s="1350"/>
      <c r="B100" s="1350"/>
      <c r="C100" s="1350"/>
      <c r="D100" s="1350"/>
      <c r="E100" s="1350"/>
      <c r="F100" s="1350"/>
      <c r="G100" s="1350"/>
      <c r="H100" s="1350"/>
      <c r="I100" s="1350"/>
      <c r="J100" s="1350"/>
      <c r="K100" s="1350"/>
      <c r="L100" s="1350"/>
      <c r="M100" s="1350"/>
      <c r="N100" s="1350"/>
      <c r="O100" s="1350"/>
      <c r="P100" s="1354"/>
      <c r="Q100" s="1355"/>
      <c r="R100" s="1355"/>
      <c r="S100" s="1350"/>
      <c r="T100" s="1349"/>
      <c r="U100" s="1348"/>
      <c r="V100" s="1348"/>
      <c r="W100" s="1349"/>
      <c r="X100" s="1350"/>
      <c r="Y100" s="1350"/>
      <c r="Z100" s="1349"/>
      <c r="AA100" s="1351"/>
      <c r="AB100" s="1350"/>
      <c r="AC100" s="1350"/>
      <c r="AD100" s="1350"/>
      <c r="AE100" s="1350"/>
      <c r="AF100" s="1350"/>
      <c r="AG100" s="1350"/>
      <c r="AH100" s="1350"/>
      <c r="AI100" s="1350"/>
      <c r="AJ100" s="1350"/>
      <c r="AK100" s="1350"/>
    </row>
    <row r="101">
      <c r="A101" s="1350"/>
      <c r="B101" s="1350"/>
      <c r="C101" s="1350"/>
      <c r="D101" s="1350"/>
      <c r="E101" s="1350"/>
      <c r="F101" s="1350"/>
      <c r="G101" s="1350"/>
      <c r="H101" s="1350"/>
      <c r="I101" s="1350"/>
      <c r="J101" s="1350"/>
      <c r="K101" s="1350"/>
      <c r="L101" s="1350"/>
      <c r="M101" s="1350"/>
      <c r="N101" s="1350"/>
      <c r="O101" s="1350"/>
      <c r="P101" s="1354"/>
      <c r="Q101" s="1355"/>
      <c r="R101" s="1355"/>
      <c r="S101" s="1350"/>
      <c r="T101" s="1349"/>
      <c r="U101" s="1348"/>
      <c r="V101" s="1348"/>
      <c r="W101" s="1349"/>
      <c r="X101" s="1350"/>
      <c r="Y101" s="1350"/>
      <c r="Z101" s="1349"/>
      <c r="AA101" s="1351"/>
      <c r="AB101" s="1350"/>
      <c r="AC101" s="1350"/>
      <c r="AD101" s="1350"/>
      <c r="AE101" s="1350"/>
      <c r="AF101" s="1350"/>
      <c r="AG101" s="1350"/>
      <c r="AH101" s="1350"/>
      <c r="AI101" s="1350"/>
      <c r="AJ101" s="1350"/>
      <c r="AK101" s="1350"/>
    </row>
    <row r="102">
      <c r="A102" s="1350"/>
      <c r="B102" s="1350"/>
      <c r="C102" s="1350"/>
      <c r="D102" s="1350"/>
      <c r="E102" s="1350"/>
      <c r="F102" s="1350"/>
      <c r="G102" s="1350"/>
      <c r="H102" s="1350"/>
      <c r="I102" s="1350"/>
      <c r="J102" s="1350"/>
      <c r="K102" s="1350"/>
      <c r="L102" s="1350"/>
      <c r="M102" s="1350"/>
      <c r="N102" s="1350"/>
      <c r="O102" s="1350"/>
      <c r="P102" s="1354"/>
      <c r="Q102" s="1355"/>
      <c r="R102" s="1355"/>
      <c r="S102" s="1350"/>
      <c r="T102" s="1349"/>
      <c r="U102" s="1348"/>
      <c r="V102" s="1348"/>
      <c r="W102" s="1349"/>
      <c r="X102" s="1350"/>
      <c r="Y102" s="1350"/>
      <c r="Z102" s="1349"/>
      <c r="AA102" s="1351"/>
      <c r="AB102" s="1350"/>
      <c r="AC102" s="1350"/>
      <c r="AD102" s="1350"/>
      <c r="AE102" s="1350"/>
      <c r="AF102" s="1350"/>
      <c r="AG102" s="1350"/>
      <c r="AH102" s="1350"/>
      <c r="AI102" s="1350"/>
      <c r="AJ102" s="1350"/>
      <c r="AK102" s="1350"/>
    </row>
    <row r="103">
      <c r="A103" s="1350"/>
      <c r="B103" s="1350"/>
      <c r="C103" s="1350"/>
      <c r="D103" s="1350"/>
      <c r="E103" s="1350"/>
      <c r="F103" s="1350"/>
      <c r="G103" s="1350"/>
      <c r="H103" s="1350"/>
      <c r="I103" s="1350"/>
      <c r="J103" s="1350"/>
      <c r="K103" s="1350"/>
      <c r="L103" s="1350"/>
      <c r="M103" s="1350"/>
      <c r="N103" s="1350"/>
      <c r="O103" s="1350"/>
      <c r="P103" s="1354"/>
      <c r="Q103" s="1355"/>
      <c r="R103" s="1355"/>
      <c r="S103" s="1350"/>
      <c r="T103" s="1349"/>
      <c r="U103" s="1348"/>
      <c r="V103" s="1348"/>
      <c r="W103" s="1349"/>
      <c r="X103" s="1350"/>
      <c r="Y103" s="1350"/>
      <c r="Z103" s="1349"/>
      <c r="AA103" s="1351"/>
      <c r="AB103" s="1350"/>
      <c r="AC103" s="1350"/>
      <c r="AD103" s="1350"/>
      <c r="AE103" s="1350"/>
      <c r="AF103" s="1350"/>
      <c r="AG103" s="1350"/>
      <c r="AH103" s="1350"/>
      <c r="AI103" s="1350"/>
      <c r="AJ103" s="1350"/>
      <c r="AK103" s="1350"/>
    </row>
    <row r="104">
      <c r="A104" s="1350"/>
      <c r="B104" s="1350"/>
      <c r="C104" s="1350"/>
      <c r="D104" s="1350"/>
      <c r="E104" s="1350"/>
      <c r="F104" s="1350"/>
      <c r="G104" s="1350"/>
      <c r="H104" s="1350"/>
      <c r="I104" s="1350"/>
      <c r="J104" s="1350"/>
      <c r="K104" s="1350"/>
      <c r="L104" s="1350"/>
      <c r="M104" s="1350"/>
      <c r="N104" s="1350"/>
      <c r="O104" s="1350"/>
      <c r="P104" s="1354"/>
      <c r="Q104" s="1355"/>
      <c r="R104" s="1355"/>
      <c r="S104" s="1350"/>
      <c r="T104" s="1349"/>
      <c r="U104" s="1348"/>
      <c r="V104" s="1348"/>
      <c r="W104" s="1349"/>
      <c r="X104" s="1350"/>
      <c r="Y104" s="1350"/>
      <c r="Z104" s="1349"/>
      <c r="AA104" s="1351"/>
      <c r="AB104" s="1350"/>
      <c r="AC104" s="1350"/>
      <c r="AD104" s="1350"/>
      <c r="AE104" s="1350"/>
      <c r="AF104" s="1350"/>
      <c r="AG104" s="1350"/>
      <c r="AH104" s="1350"/>
      <c r="AI104" s="1350"/>
      <c r="AJ104" s="1350"/>
      <c r="AK104" s="1350"/>
    </row>
    <row r="105">
      <c r="A105" s="1350"/>
      <c r="B105" s="1350"/>
      <c r="C105" s="1350"/>
      <c r="D105" s="1350"/>
      <c r="E105" s="1350"/>
      <c r="F105" s="1350"/>
      <c r="G105" s="1350"/>
      <c r="H105" s="1350"/>
      <c r="I105" s="1350"/>
      <c r="J105" s="1350"/>
      <c r="K105" s="1350"/>
      <c r="L105" s="1350"/>
      <c r="M105" s="1350"/>
      <c r="N105" s="1350"/>
      <c r="O105" s="1350"/>
      <c r="P105" s="1354"/>
      <c r="Q105" s="1355"/>
      <c r="R105" s="1355"/>
      <c r="S105" s="1350"/>
      <c r="T105" s="1349"/>
      <c r="U105" s="1348"/>
      <c r="V105" s="1348"/>
      <c r="W105" s="1349"/>
      <c r="X105" s="1350"/>
      <c r="Y105" s="1350"/>
      <c r="Z105" s="1349"/>
      <c r="AA105" s="1351"/>
      <c r="AB105" s="1350"/>
      <c r="AC105" s="1350"/>
      <c r="AD105" s="1350"/>
      <c r="AE105" s="1350"/>
      <c r="AF105" s="1350"/>
      <c r="AG105" s="1350"/>
      <c r="AH105" s="1350"/>
      <c r="AI105" s="1350"/>
      <c r="AJ105" s="1350"/>
      <c r="AK105" s="1350"/>
    </row>
    <row r="106">
      <c r="A106" s="1350"/>
      <c r="B106" s="1350"/>
      <c r="C106" s="1350"/>
      <c r="D106" s="1350"/>
      <c r="E106" s="1350"/>
      <c r="F106" s="1350"/>
      <c r="G106" s="1350"/>
      <c r="H106" s="1350"/>
      <c r="I106" s="1350"/>
      <c r="J106" s="1350"/>
      <c r="K106" s="1350"/>
      <c r="L106" s="1350"/>
      <c r="M106" s="1350"/>
      <c r="N106" s="1350"/>
      <c r="O106" s="1350"/>
      <c r="P106" s="1354"/>
      <c r="Q106" s="1355"/>
      <c r="R106" s="1355"/>
      <c r="S106" s="1350"/>
      <c r="T106" s="1349"/>
      <c r="U106" s="1348"/>
      <c r="V106" s="1348"/>
      <c r="W106" s="1349"/>
      <c r="X106" s="1350"/>
      <c r="Y106" s="1350"/>
      <c r="Z106" s="1349"/>
      <c r="AA106" s="1351"/>
      <c r="AB106" s="1350"/>
      <c r="AC106" s="1350"/>
      <c r="AD106" s="1350"/>
      <c r="AE106" s="1350"/>
      <c r="AF106" s="1350"/>
      <c r="AG106" s="1350"/>
      <c r="AH106" s="1350"/>
      <c r="AI106" s="1350"/>
      <c r="AJ106" s="1350"/>
      <c r="AK106" s="1350"/>
    </row>
    <row r="107">
      <c r="A107" s="1350"/>
      <c r="B107" s="1350"/>
      <c r="C107" s="1350"/>
      <c r="D107" s="1350"/>
      <c r="E107" s="1350"/>
      <c r="F107" s="1350"/>
      <c r="G107" s="1350"/>
      <c r="H107" s="1350"/>
      <c r="I107" s="1350"/>
      <c r="J107" s="1350"/>
      <c r="K107" s="1350"/>
      <c r="L107" s="1350"/>
      <c r="M107" s="1350"/>
      <c r="N107" s="1350"/>
      <c r="O107" s="1350"/>
      <c r="P107" s="1354"/>
      <c r="Q107" s="1355"/>
      <c r="R107" s="1355"/>
      <c r="S107" s="1350"/>
      <c r="T107" s="1349"/>
      <c r="U107" s="1348"/>
      <c r="V107" s="1348"/>
      <c r="W107" s="1349"/>
      <c r="X107" s="1350"/>
      <c r="Y107" s="1350"/>
      <c r="Z107" s="1349"/>
      <c r="AA107" s="1351"/>
      <c r="AB107" s="1350"/>
      <c r="AC107" s="1350"/>
      <c r="AD107" s="1350"/>
      <c r="AE107" s="1350"/>
      <c r="AF107" s="1350"/>
      <c r="AG107" s="1350"/>
      <c r="AH107" s="1350"/>
      <c r="AI107" s="1350"/>
      <c r="AJ107" s="1350"/>
      <c r="AK107" s="1350"/>
    </row>
    <row r="108">
      <c r="A108" s="1350"/>
      <c r="B108" s="1350"/>
      <c r="C108" s="1350"/>
      <c r="D108" s="1350"/>
      <c r="E108" s="1350"/>
      <c r="F108" s="1350"/>
      <c r="G108" s="1350"/>
      <c r="H108" s="1350"/>
      <c r="I108" s="1350"/>
      <c r="J108" s="1350"/>
      <c r="K108" s="1350"/>
      <c r="L108" s="1350"/>
      <c r="M108" s="1350"/>
      <c r="N108" s="1350"/>
      <c r="O108" s="1350"/>
      <c r="P108" s="1354"/>
      <c r="Q108" s="1355"/>
      <c r="R108" s="1355"/>
      <c r="S108" s="1350"/>
      <c r="T108" s="1349"/>
      <c r="U108" s="1348"/>
      <c r="V108" s="1348"/>
      <c r="W108" s="1349"/>
      <c r="X108" s="1350"/>
      <c r="Y108" s="1350"/>
      <c r="Z108" s="1349"/>
      <c r="AA108" s="1351"/>
      <c r="AB108" s="1350"/>
      <c r="AC108" s="1350"/>
      <c r="AD108" s="1350"/>
      <c r="AE108" s="1350"/>
      <c r="AF108" s="1350"/>
      <c r="AG108" s="1350"/>
      <c r="AH108" s="1350"/>
      <c r="AI108" s="1350"/>
      <c r="AJ108" s="1350"/>
      <c r="AK108" s="1350"/>
    </row>
    <row r="109">
      <c r="A109" s="1350"/>
      <c r="B109" s="1350"/>
      <c r="C109" s="1350"/>
      <c r="D109" s="1350"/>
      <c r="E109" s="1350"/>
      <c r="F109" s="1350"/>
      <c r="G109" s="1350"/>
      <c r="H109" s="1350"/>
      <c r="I109" s="1350"/>
      <c r="J109" s="1350"/>
      <c r="K109" s="1350"/>
      <c r="L109" s="1350"/>
      <c r="M109" s="1350"/>
      <c r="N109" s="1350"/>
      <c r="O109" s="1350"/>
      <c r="P109" s="1354"/>
      <c r="Q109" s="1355"/>
      <c r="R109" s="1355"/>
      <c r="S109" s="1350"/>
      <c r="T109" s="1349"/>
      <c r="U109" s="1348"/>
      <c r="V109" s="1348"/>
      <c r="W109" s="1349"/>
      <c r="X109" s="1350"/>
      <c r="Y109" s="1350"/>
      <c r="Z109" s="1349"/>
      <c r="AA109" s="1351"/>
      <c r="AB109" s="1350"/>
      <c r="AC109" s="1350"/>
      <c r="AD109" s="1350"/>
      <c r="AE109" s="1350"/>
      <c r="AF109" s="1350"/>
      <c r="AG109" s="1350"/>
      <c r="AH109" s="1350"/>
      <c r="AI109" s="1350"/>
      <c r="AJ109" s="1350"/>
      <c r="AK109" s="1350"/>
    </row>
    <row r="110">
      <c r="A110" s="1350"/>
      <c r="B110" s="1350"/>
      <c r="C110" s="1350"/>
      <c r="D110" s="1350"/>
      <c r="E110" s="1350"/>
      <c r="F110" s="1350"/>
      <c r="G110" s="1350"/>
      <c r="H110" s="1350"/>
      <c r="I110" s="1350"/>
      <c r="J110" s="1350"/>
      <c r="K110" s="1350"/>
      <c r="L110" s="1350"/>
      <c r="M110" s="1350"/>
      <c r="N110" s="1350"/>
      <c r="O110" s="1350"/>
      <c r="P110" s="1354"/>
      <c r="Q110" s="1355"/>
      <c r="R110" s="1355"/>
      <c r="S110" s="1350"/>
      <c r="T110" s="1349"/>
      <c r="U110" s="1348"/>
      <c r="V110" s="1348"/>
      <c r="W110" s="1349"/>
      <c r="X110" s="1350"/>
      <c r="Y110" s="1350"/>
      <c r="Z110" s="1349"/>
      <c r="AA110" s="1351"/>
      <c r="AB110" s="1350"/>
      <c r="AC110" s="1350"/>
      <c r="AD110" s="1350"/>
      <c r="AE110" s="1350"/>
      <c r="AF110" s="1350"/>
      <c r="AG110" s="1350"/>
      <c r="AH110" s="1350"/>
      <c r="AI110" s="1350"/>
      <c r="AJ110" s="1350"/>
      <c r="AK110" s="1350"/>
    </row>
    <row r="111">
      <c r="A111" s="1350"/>
      <c r="B111" s="1350"/>
      <c r="C111" s="1350"/>
      <c r="D111" s="1350"/>
      <c r="E111" s="1350"/>
      <c r="F111" s="1350"/>
      <c r="G111" s="1350"/>
      <c r="H111" s="1350"/>
      <c r="I111" s="1350"/>
      <c r="J111" s="1350"/>
      <c r="K111" s="1350"/>
      <c r="L111" s="1350"/>
      <c r="M111" s="1350"/>
      <c r="N111" s="1350"/>
      <c r="O111" s="1350"/>
      <c r="P111" s="1354"/>
      <c r="Q111" s="1355"/>
      <c r="R111" s="1355"/>
      <c r="S111" s="1350"/>
      <c r="T111" s="1349"/>
      <c r="U111" s="1348"/>
      <c r="V111" s="1348"/>
      <c r="W111" s="1349"/>
      <c r="X111" s="1350"/>
      <c r="Y111" s="1350"/>
      <c r="Z111" s="1349"/>
      <c r="AA111" s="1351"/>
      <c r="AB111" s="1350"/>
      <c r="AC111" s="1350"/>
      <c r="AD111" s="1350"/>
      <c r="AE111" s="1350"/>
      <c r="AF111" s="1350"/>
      <c r="AG111" s="1350"/>
      <c r="AH111" s="1350"/>
      <c r="AI111" s="1350"/>
      <c r="AJ111" s="1350"/>
      <c r="AK111" s="1350"/>
    </row>
    <row r="112">
      <c r="A112" s="1350"/>
      <c r="B112" s="1350"/>
      <c r="C112" s="1350"/>
      <c r="D112" s="1350"/>
      <c r="E112" s="1350"/>
      <c r="F112" s="1350"/>
      <c r="G112" s="1350"/>
      <c r="H112" s="1350"/>
      <c r="I112" s="1350"/>
      <c r="J112" s="1350"/>
      <c r="K112" s="1350"/>
      <c r="L112" s="1350"/>
      <c r="M112" s="1350"/>
      <c r="N112" s="1350"/>
      <c r="O112" s="1350"/>
      <c r="P112" s="1354"/>
      <c r="Q112" s="1355"/>
      <c r="R112" s="1355"/>
      <c r="S112" s="1350"/>
      <c r="T112" s="1349"/>
      <c r="U112" s="1348"/>
      <c r="V112" s="1348"/>
      <c r="W112" s="1349"/>
      <c r="X112" s="1350"/>
      <c r="Y112" s="1350"/>
      <c r="Z112" s="1349"/>
      <c r="AA112" s="1351"/>
      <c r="AB112" s="1350"/>
      <c r="AC112" s="1350"/>
      <c r="AD112" s="1350"/>
      <c r="AE112" s="1350"/>
      <c r="AF112" s="1350"/>
      <c r="AG112" s="1350"/>
      <c r="AH112" s="1350"/>
      <c r="AI112" s="1350"/>
      <c r="AJ112" s="1350"/>
      <c r="AK112" s="1350"/>
    </row>
    <row r="113">
      <c r="A113" s="1350"/>
      <c r="B113" s="1350"/>
      <c r="C113" s="1350"/>
      <c r="D113" s="1350"/>
      <c r="E113" s="1350"/>
      <c r="F113" s="1350"/>
      <c r="G113" s="1350"/>
      <c r="H113" s="1350"/>
      <c r="I113" s="1350"/>
      <c r="J113" s="1350"/>
      <c r="K113" s="1350"/>
      <c r="L113" s="1350"/>
      <c r="M113" s="1350"/>
      <c r="N113" s="1350"/>
      <c r="O113" s="1350"/>
      <c r="P113" s="1354"/>
      <c r="Q113" s="1355"/>
      <c r="R113" s="1355"/>
      <c r="S113" s="1350"/>
      <c r="T113" s="1349"/>
      <c r="U113" s="1348"/>
      <c r="V113" s="1348"/>
      <c r="W113" s="1349"/>
      <c r="X113" s="1350"/>
      <c r="Y113" s="1350"/>
      <c r="Z113" s="1349"/>
      <c r="AA113" s="1351"/>
      <c r="AB113" s="1350"/>
      <c r="AC113" s="1350"/>
      <c r="AD113" s="1350"/>
      <c r="AE113" s="1350"/>
      <c r="AF113" s="1350"/>
      <c r="AG113" s="1350"/>
      <c r="AH113" s="1350"/>
      <c r="AI113" s="1350"/>
      <c r="AJ113" s="1350"/>
      <c r="AK113" s="1350"/>
    </row>
    <row r="114">
      <c r="A114" s="1350"/>
      <c r="B114" s="1350"/>
      <c r="C114" s="1350"/>
      <c r="D114" s="1350"/>
      <c r="E114" s="1350"/>
      <c r="F114" s="1350"/>
      <c r="G114" s="1350"/>
      <c r="H114" s="1350"/>
      <c r="I114" s="1350"/>
      <c r="J114" s="1350"/>
      <c r="K114" s="1350"/>
      <c r="L114" s="1350"/>
      <c r="M114" s="1350"/>
      <c r="N114" s="1350"/>
      <c r="O114" s="1350"/>
      <c r="P114" s="1354"/>
      <c r="Q114" s="1355"/>
      <c r="R114" s="1355"/>
      <c r="S114" s="1350"/>
      <c r="T114" s="1349"/>
      <c r="U114" s="1348"/>
      <c r="V114" s="1348"/>
      <c r="W114" s="1349"/>
      <c r="X114" s="1350"/>
      <c r="Y114" s="1350"/>
      <c r="Z114" s="1349"/>
      <c r="AA114" s="1351"/>
      <c r="AB114" s="1350"/>
      <c r="AC114" s="1350"/>
      <c r="AD114" s="1350"/>
      <c r="AE114" s="1350"/>
      <c r="AF114" s="1350"/>
      <c r="AG114" s="1350"/>
      <c r="AH114" s="1350"/>
      <c r="AI114" s="1350"/>
      <c r="AJ114" s="1350"/>
      <c r="AK114" s="1350"/>
    </row>
    <row r="115">
      <c r="A115" s="1350"/>
      <c r="B115" s="1350"/>
      <c r="C115" s="1350"/>
      <c r="D115" s="1350"/>
      <c r="E115" s="1350"/>
      <c r="F115" s="1350"/>
      <c r="G115" s="1350"/>
      <c r="H115" s="1350"/>
      <c r="I115" s="1350"/>
      <c r="J115" s="1350"/>
      <c r="K115" s="1350"/>
      <c r="L115" s="1350"/>
      <c r="M115" s="1350"/>
      <c r="N115" s="1350"/>
      <c r="O115" s="1350"/>
      <c r="P115" s="1354"/>
      <c r="Q115" s="1355"/>
      <c r="R115" s="1355"/>
      <c r="S115" s="1350"/>
      <c r="T115" s="1349"/>
      <c r="U115" s="1348"/>
      <c r="V115" s="1348"/>
      <c r="W115" s="1349"/>
      <c r="X115" s="1350"/>
      <c r="Y115" s="1350"/>
      <c r="Z115" s="1349"/>
      <c r="AA115" s="1351"/>
      <c r="AB115" s="1350"/>
      <c r="AC115" s="1350"/>
      <c r="AD115" s="1350"/>
      <c r="AE115" s="1350"/>
      <c r="AF115" s="1350"/>
      <c r="AG115" s="1350"/>
      <c r="AH115" s="1350"/>
      <c r="AI115" s="1350"/>
      <c r="AJ115" s="1350"/>
      <c r="AK115" s="1350"/>
    </row>
    <row r="116">
      <c r="A116" s="1350"/>
      <c r="B116" s="1350"/>
      <c r="C116" s="1350"/>
      <c r="D116" s="1350"/>
      <c r="E116" s="1350"/>
      <c r="F116" s="1350"/>
      <c r="G116" s="1350"/>
      <c r="H116" s="1350"/>
      <c r="I116" s="1350"/>
      <c r="J116" s="1350"/>
      <c r="K116" s="1350"/>
      <c r="L116" s="1350"/>
      <c r="M116" s="1350"/>
      <c r="N116" s="1350"/>
      <c r="O116" s="1350"/>
      <c r="P116" s="1354"/>
      <c r="Q116" s="1355"/>
      <c r="R116" s="1355"/>
      <c r="S116" s="1350"/>
      <c r="T116" s="1349"/>
      <c r="U116" s="1348"/>
      <c r="V116" s="1348"/>
      <c r="W116" s="1349"/>
      <c r="X116" s="1350"/>
      <c r="Y116" s="1350"/>
      <c r="Z116" s="1349"/>
      <c r="AA116" s="1351"/>
      <c r="AB116" s="1350"/>
      <c r="AC116" s="1350"/>
      <c r="AD116" s="1350"/>
      <c r="AE116" s="1350"/>
      <c r="AF116" s="1350"/>
      <c r="AG116" s="1350"/>
      <c r="AH116" s="1350"/>
      <c r="AI116" s="1350"/>
      <c r="AJ116" s="1350"/>
      <c r="AK116" s="1350"/>
    </row>
    <row r="117">
      <c r="A117" s="1350"/>
      <c r="B117" s="1350"/>
      <c r="C117" s="1350"/>
      <c r="D117" s="1350"/>
      <c r="E117" s="1350"/>
      <c r="F117" s="1350"/>
      <c r="G117" s="1350"/>
      <c r="H117" s="1350"/>
      <c r="I117" s="1350"/>
      <c r="J117" s="1350"/>
      <c r="K117" s="1350"/>
      <c r="L117" s="1350"/>
      <c r="M117" s="1350"/>
      <c r="N117" s="1350"/>
      <c r="O117" s="1350"/>
      <c r="P117" s="1354"/>
      <c r="Q117" s="1355"/>
      <c r="R117" s="1355"/>
      <c r="S117" s="1350"/>
      <c r="T117" s="1349"/>
      <c r="U117" s="1348"/>
      <c r="V117" s="1348"/>
      <c r="W117" s="1349"/>
      <c r="X117" s="1350"/>
      <c r="Y117" s="1350"/>
      <c r="Z117" s="1349"/>
      <c r="AA117" s="1351"/>
      <c r="AB117" s="1350"/>
      <c r="AC117" s="1350"/>
      <c r="AD117" s="1350"/>
      <c r="AE117" s="1350"/>
      <c r="AF117" s="1350"/>
      <c r="AG117" s="1350"/>
      <c r="AH117" s="1350"/>
      <c r="AI117" s="1350"/>
      <c r="AJ117" s="1350"/>
      <c r="AK117" s="1350"/>
    </row>
    <row r="118">
      <c r="A118" s="1350"/>
      <c r="B118" s="1350"/>
      <c r="C118" s="1350"/>
      <c r="D118" s="1350"/>
      <c r="E118" s="1350"/>
      <c r="F118" s="1350"/>
      <c r="G118" s="1350"/>
      <c r="H118" s="1350"/>
      <c r="I118" s="1350"/>
      <c r="J118" s="1350"/>
      <c r="K118" s="1350"/>
      <c r="L118" s="1350"/>
      <c r="M118" s="1350"/>
      <c r="N118" s="1350"/>
      <c r="O118" s="1350"/>
      <c r="P118" s="1354"/>
      <c r="Q118" s="1355"/>
      <c r="R118" s="1355"/>
      <c r="S118" s="1350"/>
      <c r="T118" s="1349"/>
      <c r="U118" s="1348"/>
      <c r="V118" s="1348"/>
      <c r="W118" s="1349"/>
      <c r="X118" s="1350"/>
      <c r="Y118" s="1350"/>
      <c r="Z118" s="1349"/>
      <c r="AA118" s="1351"/>
      <c r="AB118" s="1350"/>
      <c r="AC118" s="1350"/>
      <c r="AD118" s="1350"/>
      <c r="AE118" s="1350"/>
      <c r="AF118" s="1350"/>
      <c r="AG118" s="1350"/>
      <c r="AH118" s="1350"/>
      <c r="AI118" s="1350"/>
      <c r="AJ118" s="1350"/>
      <c r="AK118" s="1350"/>
    </row>
    <row r="119">
      <c r="A119" s="1350"/>
      <c r="B119" s="1350"/>
      <c r="C119" s="1350"/>
      <c r="D119" s="1350"/>
      <c r="E119" s="1350"/>
      <c r="F119" s="1350"/>
      <c r="G119" s="1350"/>
      <c r="H119" s="1350"/>
      <c r="I119" s="1350"/>
      <c r="J119" s="1350"/>
      <c r="K119" s="1350"/>
      <c r="L119" s="1350"/>
      <c r="M119" s="1350"/>
      <c r="N119" s="1350"/>
      <c r="O119" s="1350"/>
      <c r="P119" s="1354"/>
      <c r="Q119" s="1355"/>
      <c r="R119" s="1355"/>
      <c r="S119" s="1350"/>
      <c r="T119" s="1349"/>
      <c r="U119" s="1348"/>
      <c r="V119" s="1348"/>
      <c r="W119" s="1349"/>
      <c r="X119" s="1350"/>
      <c r="Y119" s="1350"/>
      <c r="Z119" s="1349"/>
      <c r="AA119" s="1351"/>
      <c r="AB119" s="1350"/>
      <c r="AC119" s="1350"/>
      <c r="AD119" s="1350"/>
      <c r="AE119" s="1350"/>
      <c r="AF119" s="1350"/>
      <c r="AG119" s="1350"/>
      <c r="AH119" s="1350"/>
      <c r="AI119" s="1350"/>
      <c r="AJ119" s="1350"/>
      <c r="AK119" s="1350"/>
    </row>
    <row r="120">
      <c r="A120" s="1350"/>
      <c r="B120" s="1350"/>
      <c r="C120" s="1350"/>
      <c r="D120" s="1350"/>
      <c r="E120" s="1350"/>
      <c r="F120" s="1350"/>
      <c r="G120" s="1350"/>
      <c r="H120" s="1350"/>
      <c r="I120" s="1350"/>
      <c r="J120" s="1350"/>
      <c r="K120" s="1350"/>
      <c r="L120" s="1350"/>
      <c r="M120" s="1350"/>
      <c r="N120" s="1350"/>
      <c r="O120" s="1350"/>
      <c r="P120" s="1354"/>
      <c r="Q120" s="1355"/>
      <c r="R120" s="1355"/>
      <c r="S120" s="1350"/>
      <c r="T120" s="1349"/>
      <c r="U120" s="1348"/>
      <c r="V120" s="1348"/>
      <c r="W120" s="1349"/>
      <c r="X120" s="1350"/>
      <c r="Y120" s="1350"/>
      <c r="Z120" s="1349"/>
      <c r="AA120" s="1351"/>
      <c r="AB120" s="1350"/>
      <c r="AC120" s="1350"/>
      <c r="AD120" s="1350"/>
      <c r="AE120" s="1350"/>
      <c r="AF120" s="1350"/>
      <c r="AG120" s="1350"/>
      <c r="AH120" s="1350"/>
      <c r="AI120" s="1350"/>
      <c r="AJ120" s="1350"/>
      <c r="AK120" s="1350"/>
    </row>
    <row r="121">
      <c r="A121" s="1350"/>
      <c r="B121" s="1350"/>
      <c r="C121" s="1350"/>
      <c r="D121" s="1350"/>
      <c r="E121" s="1350"/>
      <c r="F121" s="1350"/>
      <c r="G121" s="1350"/>
      <c r="H121" s="1350"/>
      <c r="I121" s="1350"/>
      <c r="J121" s="1350"/>
      <c r="K121" s="1350"/>
      <c r="L121" s="1350"/>
      <c r="M121" s="1350"/>
      <c r="N121" s="1350"/>
      <c r="O121" s="1350"/>
      <c r="P121" s="1354"/>
      <c r="Q121" s="1355"/>
      <c r="R121" s="1355"/>
      <c r="S121" s="1350"/>
      <c r="T121" s="1349"/>
      <c r="U121" s="1348"/>
      <c r="V121" s="1348"/>
      <c r="W121" s="1349"/>
      <c r="X121" s="1350"/>
      <c r="Y121" s="1350"/>
      <c r="Z121" s="1349"/>
      <c r="AA121" s="1351"/>
      <c r="AB121" s="1350"/>
      <c r="AC121" s="1350"/>
      <c r="AD121" s="1350"/>
      <c r="AE121" s="1350"/>
      <c r="AF121" s="1350"/>
      <c r="AG121" s="1350"/>
      <c r="AH121" s="1350"/>
      <c r="AI121" s="1350"/>
      <c r="AJ121" s="1350"/>
      <c r="AK121" s="1350"/>
    </row>
    <row r="122">
      <c r="A122" s="1350"/>
      <c r="B122" s="1350"/>
      <c r="C122" s="1350"/>
      <c r="D122" s="1350"/>
      <c r="E122" s="1350"/>
      <c r="F122" s="1350"/>
      <c r="G122" s="1350"/>
      <c r="H122" s="1350"/>
      <c r="I122" s="1350"/>
      <c r="J122" s="1350"/>
      <c r="K122" s="1350"/>
      <c r="L122" s="1350"/>
      <c r="M122" s="1350"/>
      <c r="N122" s="1350"/>
      <c r="O122" s="1350"/>
      <c r="P122" s="1354"/>
      <c r="Q122" s="1355"/>
      <c r="R122" s="1355"/>
      <c r="S122" s="1350"/>
      <c r="T122" s="1349"/>
      <c r="U122" s="1348"/>
      <c r="V122" s="1348"/>
      <c r="W122" s="1349"/>
      <c r="X122" s="1350"/>
      <c r="Y122" s="1350"/>
      <c r="Z122" s="1349"/>
      <c r="AA122" s="1351"/>
      <c r="AB122" s="1350"/>
      <c r="AC122" s="1350"/>
      <c r="AD122" s="1350"/>
      <c r="AE122" s="1350"/>
      <c r="AF122" s="1350"/>
      <c r="AG122" s="1350"/>
      <c r="AH122" s="1350"/>
      <c r="AI122" s="1350"/>
      <c r="AJ122" s="1350"/>
      <c r="AK122" s="1350"/>
    </row>
    <row r="123">
      <c r="A123" s="1350"/>
      <c r="B123" s="1350"/>
      <c r="C123" s="1350"/>
      <c r="D123" s="1350"/>
      <c r="E123" s="1350"/>
      <c r="F123" s="1350"/>
      <c r="G123" s="1350"/>
      <c r="H123" s="1350"/>
      <c r="I123" s="1350"/>
      <c r="J123" s="1350"/>
      <c r="K123" s="1350"/>
      <c r="L123" s="1350"/>
      <c r="M123" s="1350"/>
      <c r="N123" s="1350"/>
      <c r="O123" s="1350"/>
      <c r="P123" s="1354"/>
      <c r="Q123" s="1355"/>
      <c r="R123" s="1355"/>
      <c r="S123" s="1350"/>
      <c r="T123" s="1349"/>
      <c r="U123" s="1348"/>
      <c r="V123" s="1348"/>
      <c r="W123" s="1349"/>
      <c r="X123" s="1350"/>
      <c r="Y123" s="1350"/>
      <c r="Z123" s="1349"/>
      <c r="AA123" s="1351"/>
      <c r="AB123" s="1350"/>
      <c r="AC123" s="1350"/>
      <c r="AD123" s="1350"/>
      <c r="AE123" s="1350"/>
      <c r="AF123" s="1350"/>
      <c r="AG123" s="1350"/>
      <c r="AH123" s="1350"/>
      <c r="AI123" s="1350"/>
      <c r="AJ123" s="1350"/>
      <c r="AK123" s="1350"/>
    </row>
    <row r="124">
      <c r="A124" s="1350"/>
      <c r="B124" s="1350"/>
      <c r="C124" s="1350"/>
      <c r="D124" s="1350"/>
      <c r="E124" s="1350"/>
      <c r="F124" s="1350"/>
      <c r="G124" s="1350"/>
      <c r="H124" s="1350"/>
      <c r="I124" s="1350"/>
      <c r="J124" s="1350"/>
      <c r="K124" s="1350"/>
      <c r="L124" s="1350"/>
      <c r="M124" s="1350"/>
      <c r="N124" s="1350"/>
      <c r="O124" s="1350"/>
      <c r="P124" s="1354"/>
      <c r="Q124" s="1355"/>
      <c r="R124" s="1355"/>
      <c r="S124" s="1350"/>
      <c r="T124" s="1349"/>
      <c r="U124" s="1348"/>
      <c r="V124" s="1348"/>
      <c r="W124" s="1349"/>
      <c r="X124" s="1350"/>
      <c r="Y124" s="1350"/>
      <c r="Z124" s="1349"/>
      <c r="AA124" s="1351"/>
      <c r="AB124" s="1350"/>
      <c r="AC124" s="1350"/>
      <c r="AD124" s="1350"/>
      <c r="AE124" s="1350"/>
      <c r="AF124" s="1350"/>
      <c r="AG124" s="1350"/>
      <c r="AH124" s="1350"/>
      <c r="AI124" s="1350"/>
      <c r="AJ124" s="1350"/>
      <c r="AK124" s="1350"/>
    </row>
    <row r="125">
      <c r="A125" s="1350"/>
      <c r="B125" s="1350"/>
      <c r="C125" s="1350"/>
      <c r="D125" s="1350"/>
      <c r="E125" s="1350"/>
      <c r="F125" s="1350"/>
      <c r="G125" s="1350"/>
      <c r="H125" s="1350"/>
      <c r="I125" s="1350"/>
      <c r="J125" s="1350"/>
      <c r="K125" s="1350"/>
      <c r="L125" s="1350"/>
      <c r="M125" s="1350"/>
      <c r="N125" s="1350"/>
      <c r="O125" s="1350"/>
      <c r="P125" s="1354"/>
      <c r="Q125" s="1355"/>
      <c r="R125" s="1355"/>
      <c r="S125" s="1350"/>
      <c r="T125" s="1349"/>
      <c r="U125" s="1348"/>
      <c r="V125" s="1348"/>
      <c r="W125" s="1349"/>
      <c r="X125" s="1350"/>
      <c r="Y125" s="1350"/>
      <c r="Z125" s="1349"/>
      <c r="AA125" s="1351"/>
      <c r="AB125" s="1350"/>
      <c r="AC125" s="1350"/>
      <c r="AD125" s="1350"/>
      <c r="AE125" s="1350"/>
      <c r="AF125" s="1350"/>
      <c r="AG125" s="1350"/>
      <c r="AH125" s="1350"/>
      <c r="AI125" s="1350"/>
      <c r="AJ125" s="1350"/>
      <c r="AK125" s="1350"/>
    </row>
    <row r="126">
      <c r="A126" s="1350"/>
      <c r="B126" s="1350"/>
      <c r="C126" s="1350"/>
      <c r="D126" s="1350"/>
      <c r="E126" s="1350"/>
      <c r="F126" s="1350"/>
      <c r="G126" s="1350"/>
      <c r="H126" s="1350"/>
      <c r="I126" s="1350"/>
      <c r="J126" s="1350"/>
      <c r="K126" s="1350"/>
      <c r="L126" s="1350"/>
      <c r="M126" s="1350"/>
      <c r="N126" s="1350"/>
      <c r="O126" s="1350"/>
      <c r="P126" s="1354"/>
      <c r="Q126" s="1355"/>
      <c r="R126" s="1355"/>
      <c r="S126" s="1350"/>
      <c r="T126" s="1349"/>
      <c r="U126" s="1348"/>
      <c r="V126" s="1348"/>
      <c r="W126" s="1349"/>
      <c r="X126" s="1350"/>
      <c r="Y126" s="1350"/>
      <c r="Z126" s="1349"/>
      <c r="AA126" s="1351"/>
      <c r="AB126" s="1350"/>
      <c r="AC126" s="1350"/>
      <c r="AD126" s="1350"/>
      <c r="AE126" s="1350"/>
      <c r="AF126" s="1350"/>
      <c r="AG126" s="1350"/>
      <c r="AH126" s="1350"/>
      <c r="AI126" s="1350"/>
      <c r="AJ126" s="1350"/>
      <c r="AK126" s="1350"/>
    </row>
    <row r="127">
      <c r="A127" s="1350"/>
      <c r="B127" s="1350"/>
      <c r="C127" s="1350"/>
      <c r="D127" s="1350"/>
      <c r="E127" s="1350"/>
      <c r="F127" s="1350"/>
      <c r="G127" s="1350"/>
      <c r="H127" s="1350"/>
      <c r="I127" s="1350"/>
      <c r="J127" s="1350"/>
      <c r="K127" s="1350"/>
      <c r="L127" s="1350"/>
      <c r="M127" s="1350"/>
      <c r="N127" s="1350"/>
      <c r="O127" s="1350"/>
      <c r="P127" s="1354"/>
      <c r="Q127" s="1355"/>
      <c r="R127" s="1355"/>
      <c r="S127" s="1350"/>
      <c r="T127" s="1349"/>
      <c r="U127" s="1348"/>
      <c r="V127" s="1348"/>
      <c r="W127" s="1349"/>
      <c r="X127" s="1350"/>
      <c r="Y127" s="1350"/>
      <c r="Z127" s="1349"/>
      <c r="AA127" s="1351"/>
      <c r="AB127" s="1350"/>
      <c r="AC127" s="1350"/>
      <c r="AD127" s="1350"/>
      <c r="AE127" s="1350"/>
      <c r="AF127" s="1350"/>
      <c r="AG127" s="1350"/>
      <c r="AH127" s="1350"/>
      <c r="AI127" s="1350"/>
      <c r="AJ127" s="1350"/>
      <c r="AK127" s="1350"/>
    </row>
    <row r="128">
      <c r="A128" s="1350"/>
      <c r="B128" s="1350"/>
      <c r="C128" s="1350"/>
      <c r="D128" s="1350"/>
      <c r="E128" s="1350"/>
      <c r="F128" s="1350"/>
      <c r="G128" s="1350"/>
      <c r="H128" s="1350"/>
      <c r="I128" s="1350"/>
      <c r="J128" s="1350"/>
      <c r="K128" s="1350"/>
      <c r="L128" s="1350"/>
      <c r="M128" s="1350"/>
      <c r="N128" s="1350"/>
      <c r="O128" s="1350"/>
      <c r="P128" s="1354"/>
      <c r="Q128" s="1355"/>
      <c r="R128" s="1355"/>
      <c r="S128" s="1350"/>
      <c r="T128" s="1349"/>
      <c r="U128" s="1348"/>
      <c r="V128" s="1348"/>
      <c r="W128" s="1349"/>
      <c r="X128" s="1350"/>
      <c r="Y128" s="1350"/>
      <c r="Z128" s="1349"/>
      <c r="AA128" s="1351"/>
      <c r="AB128" s="1350"/>
      <c r="AC128" s="1350"/>
      <c r="AD128" s="1350"/>
      <c r="AE128" s="1350"/>
      <c r="AF128" s="1350"/>
      <c r="AG128" s="1350"/>
      <c r="AH128" s="1350"/>
      <c r="AI128" s="1350"/>
      <c r="AJ128" s="1350"/>
      <c r="AK128" s="1350"/>
    </row>
    <row r="129">
      <c r="A129" s="1350"/>
      <c r="B129" s="1350"/>
      <c r="C129" s="1350"/>
      <c r="D129" s="1350"/>
      <c r="E129" s="1350"/>
      <c r="F129" s="1350"/>
      <c r="G129" s="1350"/>
      <c r="H129" s="1350"/>
      <c r="I129" s="1350"/>
      <c r="J129" s="1350"/>
      <c r="K129" s="1350"/>
      <c r="L129" s="1350"/>
      <c r="M129" s="1350"/>
      <c r="N129" s="1350"/>
      <c r="O129" s="1350"/>
      <c r="P129" s="1354"/>
      <c r="Q129" s="1355"/>
      <c r="R129" s="1355"/>
      <c r="S129" s="1350"/>
      <c r="T129" s="1349"/>
      <c r="U129" s="1348"/>
      <c r="V129" s="1348"/>
      <c r="W129" s="1349"/>
      <c r="X129" s="1350"/>
      <c r="Y129" s="1350"/>
      <c r="Z129" s="1349"/>
      <c r="AA129" s="1351"/>
      <c r="AB129" s="1350"/>
      <c r="AC129" s="1350"/>
      <c r="AD129" s="1350"/>
      <c r="AE129" s="1350"/>
      <c r="AF129" s="1350"/>
      <c r="AG129" s="1350"/>
      <c r="AH129" s="1350"/>
      <c r="AI129" s="1350"/>
      <c r="AJ129" s="1350"/>
      <c r="AK129" s="1350"/>
    </row>
    <row r="130">
      <c r="A130" s="1350"/>
      <c r="B130" s="1350"/>
      <c r="C130" s="1350"/>
      <c r="D130" s="1350"/>
      <c r="E130" s="1350"/>
      <c r="F130" s="1350"/>
      <c r="G130" s="1350"/>
      <c r="H130" s="1350"/>
      <c r="I130" s="1350"/>
      <c r="J130" s="1350"/>
      <c r="K130" s="1350"/>
      <c r="L130" s="1350"/>
      <c r="M130" s="1350"/>
      <c r="N130" s="1350"/>
      <c r="O130" s="1350"/>
      <c r="P130" s="1354"/>
      <c r="Q130" s="1355"/>
      <c r="R130" s="1355"/>
      <c r="S130" s="1350"/>
      <c r="T130" s="1349"/>
      <c r="U130" s="1348"/>
      <c r="V130" s="1348"/>
      <c r="W130" s="1349"/>
      <c r="X130" s="1350"/>
      <c r="Y130" s="1350"/>
      <c r="Z130" s="1349"/>
      <c r="AA130" s="1351"/>
      <c r="AB130" s="1350"/>
      <c r="AC130" s="1350"/>
      <c r="AD130" s="1350"/>
      <c r="AE130" s="1350"/>
      <c r="AF130" s="1350"/>
      <c r="AG130" s="1350"/>
      <c r="AH130" s="1350"/>
      <c r="AI130" s="1350"/>
      <c r="AJ130" s="1350"/>
      <c r="AK130" s="1350"/>
    </row>
    <row r="131">
      <c r="A131" s="1350"/>
      <c r="B131" s="1350"/>
      <c r="C131" s="1350"/>
      <c r="D131" s="1350"/>
      <c r="E131" s="1350"/>
      <c r="F131" s="1350"/>
      <c r="G131" s="1350"/>
      <c r="H131" s="1350"/>
      <c r="I131" s="1350"/>
      <c r="J131" s="1350"/>
      <c r="K131" s="1350"/>
      <c r="L131" s="1350"/>
      <c r="M131" s="1350"/>
      <c r="N131" s="1350"/>
      <c r="O131" s="1350"/>
      <c r="P131" s="1354"/>
      <c r="Q131" s="1355"/>
      <c r="R131" s="1355"/>
      <c r="S131" s="1350"/>
      <c r="T131" s="1349"/>
      <c r="U131" s="1348"/>
      <c r="V131" s="1348"/>
      <c r="W131" s="1349"/>
      <c r="X131" s="1350"/>
      <c r="Y131" s="1350"/>
      <c r="Z131" s="1349"/>
      <c r="AA131" s="1351"/>
      <c r="AB131" s="1350"/>
      <c r="AC131" s="1350"/>
      <c r="AD131" s="1350"/>
      <c r="AE131" s="1350"/>
      <c r="AF131" s="1350"/>
      <c r="AG131" s="1350"/>
      <c r="AH131" s="1350"/>
      <c r="AI131" s="1350"/>
      <c r="AJ131" s="1350"/>
      <c r="AK131" s="1350"/>
    </row>
    <row r="132">
      <c r="A132" s="1350"/>
      <c r="B132" s="1350"/>
      <c r="C132" s="1350"/>
      <c r="D132" s="1350"/>
      <c r="E132" s="1350"/>
      <c r="F132" s="1350"/>
      <c r="G132" s="1350"/>
      <c r="H132" s="1350"/>
      <c r="I132" s="1350"/>
      <c r="J132" s="1350"/>
      <c r="K132" s="1350"/>
      <c r="L132" s="1350"/>
      <c r="M132" s="1350"/>
      <c r="N132" s="1350"/>
      <c r="O132" s="1350"/>
      <c r="P132" s="1354"/>
      <c r="Q132" s="1355"/>
      <c r="R132" s="1355"/>
      <c r="S132" s="1350"/>
      <c r="T132" s="1349"/>
      <c r="U132" s="1348"/>
      <c r="V132" s="1348"/>
      <c r="W132" s="1349"/>
      <c r="X132" s="1350"/>
      <c r="Y132" s="1350"/>
      <c r="Z132" s="1349"/>
      <c r="AA132" s="1351"/>
      <c r="AB132" s="1350"/>
      <c r="AC132" s="1350"/>
      <c r="AD132" s="1350"/>
      <c r="AE132" s="1350"/>
      <c r="AF132" s="1350"/>
      <c r="AG132" s="1350"/>
      <c r="AH132" s="1350"/>
      <c r="AI132" s="1350"/>
      <c r="AJ132" s="1350"/>
      <c r="AK132" s="1350"/>
    </row>
    <row r="133">
      <c r="A133" s="1350"/>
      <c r="B133" s="1350"/>
      <c r="C133" s="1350"/>
      <c r="D133" s="1350"/>
      <c r="E133" s="1350"/>
      <c r="F133" s="1350"/>
      <c r="G133" s="1350"/>
      <c r="H133" s="1350"/>
      <c r="I133" s="1350"/>
      <c r="J133" s="1350"/>
      <c r="K133" s="1350"/>
      <c r="L133" s="1350"/>
      <c r="M133" s="1350"/>
      <c r="N133" s="1350"/>
      <c r="O133" s="1350"/>
      <c r="P133" s="1354"/>
      <c r="Q133" s="1355"/>
      <c r="R133" s="1355"/>
      <c r="S133" s="1350"/>
      <c r="T133" s="1349"/>
      <c r="U133" s="1348"/>
      <c r="V133" s="1348"/>
      <c r="W133" s="1349"/>
      <c r="X133" s="1350"/>
      <c r="Y133" s="1350"/>
      <c r="Z133" s="1349"/>
      <c r="AA133" s="1351"/>
      <c r="AB133" s="1350"/>
      <c r="AC133" s="1350"/>
      <c r="AD133" s="1350"/>
      <c r="AE133" s="1350"/>
      <c r="AF133" s="1350"/>
      <c r="AG133" s="1350"/>
      <c r="AH133" s="1350"/>
      <c r="AI133" s="1350"/>
      <c r="AJ133" s="1350"/>
      <c r="AK133" s="1350"/>
    </row>
    <row r="134">
      <c r="A134" s="1350"/>
      <c r="B134" s="1350"/>
      <c r="C134" s="1350"/>
      <c r="D134" s="1350"/>
      <c r="E134" s="1350"/>
      <c r="F134" s="1350"/>
      <c r="G134" s="1350"/>
      <c r="H134" s="1350"/>
      <c r="I134" s="1350"/>
      <c r="J134" s="1350"/>
      <c r="K134" s="1350"/>
      <c r="L134" s="1350"/>
      <c r="M134" s="1350"/>
      <c r="N134" s="1350"/>
      <c r="O134" s="1350"/>
      <c r="P134" s="1354"/>
      <c r="Q134" s="1355"/>
      <c r="R134" s="1355"/>
      <c r="S134" s="1350"/>
      <c r="T134" s="1349"/>
      <c r="U134" s="1348"/>
      <c r="V134" s="1348"/>
      <c r="W134" s="1349"/>
      <c r="X134" s="1350"/>
      <c r="Y134" s="1350"/>
      <c r="Z134" s="1349"/>
      <c r="AA134" s="1351"/>
      <c r="AB134" s="1350"/>
      <c r="AC134" s="1350"/>
      <c r="AD134" s="1350"/>
      <c r="AE134" s="1350"/>
      <c r="AF134" s="1350"/>
      <c r="AG134" s="1350"/>
      <c r="AH134" s="1350"/>
      <c r="AI134" s="1350"/>
      <c r="AJ134" s="1350"/>
      <c r="AK134" s="1350"/>
    </row>
    <row r="135">
      <c r="A135" s="1350"/>
      <c r="B135" s="1350"/>
      <c r="C135" s="1350"/>
      <c r="D135" s="1350"/>
      <c r="E135" s="1350"/>
      <c r="F135" s="1350"/>
      <c r="G135" s="1350"/>
      <c r="H135" s="1350"/>
      <c r="I135" s="1350"/>
      <c r="J135" s="1350"/>
      <c r="K135" s="1350"/>
      <c r="L135" s="1350"/>
      <c r="M135" s="1350"/>
      <c r="N135" s="1350"/>
      <c r="O135" s="1350"/>
      <c r="P135" s="1354"/>
      <c r="Q135" s="1355"/>
      <c r="R135" s="1355"/>
      <c r="S135" s="1350"/>
      <c r="T135" s="1349"/>
      <c r="U135" s="1348"/>
      <c r="V135" s="1348"/>
      <c r="W135" s="1349"/>
      <c r="X135" s="1350"/>
      <c r="Y135" s="1350"/>
      <c r="Z135" s="1349"/>
      <c r="AA135" s="1351"/>
      <c r="AB135" s="1350"/>
      <c r="AC135" s="1350"/>
      <c r="AD135" s="1350"/>
      <c r="AE135" s="1350"/>
      <c r="AF135" s="1350"/>
      <c r="AG135" s="1350"/>
      <c r="AH135" s="1350"/>
      <c r="AI135" s="1350"/>
      <c r="AJ135" s="1350"/>
      <c r="AK135" s="1350"/>
    </row>
    <row r="136">
      <c r="A136" s="1350"/>
      <c r="B136" s="1350"/>
      <c r="C136" s="1350"/>
      <c r="D136" s="1350"/>
      <c r="E136" s="1350"/>
      <c r="F136" s="1350"/>
      <c r="G136" s="1350"/>
      <c r="H136" s="1350"/>
      <c r="I136" s="1350"/>
      <c r="J136" s="1350"/>
      <c r="K136" s="1350"/>
      <c r="L136" s="1350"/>
      <c r="M136" s="1350"/>
      <c r="N136" s="1350"/>
      <c r="O136" s="1350"/>
      <c r="P136" s="1354"/>
      <c r="Q136" s="1355"/>
      <c r="R136" s="1355"/>
      <c r="S136" s="1350"/>
      <c r="T136" s="1349"/>
      <c r="U136" s="1348"/>
      <c r="V136" s="1348"/>
      <c r="W136" s="1349"/>
      <c r="X136" s="1350"/>
      <c r="Y136" s="1350"/>
      <c r="Z136" s="1349"/>
      <c r="AA136" s="1351"/>
      <c r="AB136" s="1350"/>
      <c r="AC136" s="1350"/>
      <c r="AD136" s="1350"/>
      <c r="AE136" s="1350"/>
      <c r="AF136" s="1350"/>
      <c r="AG136" s="1350"/>
      <c r="AH136" s="1350"/>
      <c r="AI136" s="1350"/>
      <c r="AJ136" s="1350"/>
      <c r="AK136" s="1350"/>
    </row>
    <row r="137">
      <c r="A137" s="1350"/>
      <c r="B137" s="1350"/>
      <c r="C137" s="1350"/>
      <c r="D137" s="1350"/>
      <c r="E137" s="1350"/>
      <c r="F137" s="1350"/>
      <c r="G137" s="1350"/>
      <c r="H137" s="1350"/>
      <c r="I137" s="1350"/>
      <c r="J137" s="1350"/>
      <c r="K137" s="1350"/>
      <c r="L137" s="1350"/>
      <c r="M137" s="1350"/>
      <c r="N137" s="1350"/>
      <c r="O137" s="1350"/>
      <c r="P137" s="1354"/>
      <c r="Q137" s="1355"/>
      <c r="R137" s="1355"/>
      <c r="S137" s="1350"/>
      <c r="T137" s="1349"/>
      <c r="U137" s="1348"/>
      <c r="V137" s="1348"/>
      <c r="W137" s="1349"/>
      <c r="X137" s="1350"/>
      <c r="Y137" s="1350"/>
      <c r="Z137" s="1349"/>
      <c r="AA137" s="1351"/>
      <c r="AB137" s="1350"/>
      <c r="AC137" s="1350"/>
      <c r="AD137" s="1350"/>
      <c r="AE137" s="1350"/>
      <c r="AF137" s="1350"/>
      <c r="AG137" s="1350"/>
      <c r="AH137" s="1350"/>
      <c r="AI137" s="1350"/>
      <c r="AJ137" s="1350"/>
      <c r="AK137" s="1350"/>
    </row>
    <row r="138">
      <c r="A138" s="1350"/>
      <c r="B138" s="1350"/>
      <c r="C138" s="1350"/>
      <c r="D138" s="1350"/>
      <c r="E138" s="1350"/>
      <c r="F138" s="1350"/>
      <c r="G138" s="1350"/>
      <c r="H138" s="1350"/>
      <c r="I138" s="1350"/>
      <c r="J138" s="1350"/>
      <c r="K138" s="1350"/>
      <c r="L138" s="1350"/>
      <c r="M138" s="1350"/>
      <c r="N138" s="1350"/>
      <c r="O138" s="1350"/>
      <c r="P138" s="1354"/>
      <c r="Q138" s="1355"/>
      <c r="R138" s="1355"/>
      <c r="S138" s="1350"/>
      <c r="T138" s="1349"/>
      <c r="U138" s="1348"/>
      <c r="V138" s="1348"/>
      <c r="W138" s="1349"/>
      <c r="X138" s="1350"/>
      <c r="Y138" s="1350"/>
      <c r="Z138" s="1349"/>
      <c r="AA138" s="1351"/>
      <c r="AB138" s="1350"/>
      <c r="AC138" s="1350"/>
      <c r="AD138" s="1350"/>
      <c r="AE138" s="1350"/>
      <c r="AF138" s="1350"/>
      <c r="AG138" s="1350"/>
      <c r="AH138" s="1350"/>
      <c r="AI138" s="1350"/>
      <c r="AJ138" s="1350"/>
      <c r="AK138" s="1350"/>
    </row>
    <row r="139">
      <c r="A139" s="1350"/>
      <c r="B139" s="1350"/>
      <c r="C139" s="1350"/>
      <c r="D139" s="1350"/>
      <c r="E139" s="1350"/>
      <c r="F139" s="1350"/>
      <c r="G139" s="1350"/>
      <c r="H139" s="1350"/>
      <c r="I139" s="1350"/>
      <c r="J139" s="1350"/>
      <c r="K139" s="1350"/>
      <c r="L139" s="1350"/>
      <c r="M139" s="1350"/>
      <c r="N139" s="1350"/>
      <c r="O139" s="1350"/>
      <c r="P139" s="1354"/>
      <c r="Q139" s="1355"/>
      <c r="R139" s="1355"/>
      <c r="S139" s="1350"/>
      <c r="T139" s="1349"/>
      <c r="U139" s="1348"/>
      <c r="V139" s="1348"/>
      <c r="W139" s="1349"/>
      <c r="X139" s="1350"/>
      <c r="Y139" s="1350"/>
      <c r="Z139" s="1349"/>
      <c r="AA139" s="1351"/>
      <c r="AB139" s="1350"/>
      <c r="AC139" s="1350"/>
      <c r="AD139" s="1350"/>
      <c r="AE139" s="1350"/>
      <c r="AF139" s="1350"/>
      <c r="AG139" s="1350"/>
      <c r="AH139" s="1350"/>
      <c r="AI139" s="1350"/>
      <c r="AJ139" s="1350"/>
      <c r="AK139" s="1350"/>
    </row>
    <row r="140">
      <c r="A140" s="1350"/>
      <c r="B140" s="1350"/>
      <c r="C140" s="1350"/>
      <c r="D140" s="1350"/>
      <c r="E140" s="1350"/>
      <c r="F140" s="1350"/>
      <c r="G140" s="1350"/>
      <c r="H140" s="1350"/>
      <c r="I140" s="1350"/>
      <c r="J140" s="1350"/>
      <c r="K140" s="1350"/>
      <c r="L140" s="1350"/>
      <c r="M140" s="1350"/>
      <c r="N140" s="1350"/>
      <c r="O140" s="1350"/>
      <c r="P140" s="1354"/>
      <c r="Q140" s="1355"/>
      <c r="R140" s="1355"/>
      <c r="S140" s="1350"/>
      <c r="T140" s="1349"/>
      <c r="U140" s="1348"/>
      <c r="V140" s="1348"/>
      <c r="W140" s="1349"/>
      <c r="X140" s="1350"/>
      <c r="Y140" s="1350"/>
      <c r="Z140" s="1349"/>
      <c r="AA140" s="1351"/>
      <c r="AB140" s="1350"/>
      <c r="AC140" s="1350"/>
      <c r="AD140" s="1350"/>
      <c r="AE140" s="1350"/>
      <c r="AF140" s="1350"/>
      <c r="AG140" s="1350"/>
      <c r="AH140" s="1350"/>
      <c r="AI140" s="1350"/>
      <c r="AJ140" s="1350"/>
      <c r="AK140" s="1350"/>
    </row>
    <row r="141">
      <c r="A141" s="1350"/>
      <c r="B141" s="1350"/>
      <c r="C141" s="1350"/>
      <c r="D141" s="1350"/>
      <c r="E141" s="1350"/>
      <c r="F141" s="1350"/>
      <c r="G141" s="1350"/>
      <c r="H141" s="1350"/>
      <c r="I141" s="1350"/>
      <c r="J141" s="1350"/>
      <c r="K141" s="1350"/>
      <c r="L141" s="1350"/>
      <c r="M141" s="1350"/>
      <c r="N141" s="1350"/>
      <c r="O141" s="1350"/>
      <c r="P141" s="1354"/>
      <c r="Q141" s="1355"/>
      <c r="R141" s="1355"/>
      <c r="S141" s="1350"/>
      <c r="T141" s="1349"/>
      <c r="U141" s="1348"/>
      <c r="V141" s="1348"/>
      <c r="W141" s="1349"/>
      <c r="X141" s="1350"/>
      <c r="Y141" s="1350"/>
      <c r="Z141" s="1349"/>
      <c r="AA141" s="1351"/>
      <c r="AB141" s="1350"/>
      <c r="AC141" s="1350"/>
      <c r="AD141" s="1350"/>
      <c r="AE141" s="1350"/>
      <c r="AF141" s="1350"/>
      <c r="AG141" s="1350"/>
      <c r="AH141" s="1350"/>
      <c r="AI141" s="1350"/>
      <c r="AJ141" s="1350"/>
      <c r="AK141" s="1350"/>
    </row>
    <row r="142">
      <c r="A142" s="1350"/>
      <c r="B142" s="1350"/>
      <c r="C142" s="1350"/>
      <c r="D142" s="1350"/>
      <c r="E142" s="1350"/>
      <c r="F142" s="1350"/>
      <c r="G142" s="1350"/>
      <c r="H142" s="1350"/>
      <c r="I142" s="1350"/>
      <c r="J142" s="1350"/>
      <c r="K142" s="1350"/>
      <c r="L142" s="1350"/>
      <c r="M142" s="1350"/>
      <c r="N142" s="1350"/>
      <c r="O142" s="1350"/>
      <c r="P142" s="1354"/>
      <c r="Q142" s="1355"/>
      <c r="R142" s="1355"/>
      <c r="S142" s="1350"/>
      <c r="T142" s="1349"/>
      <c r="U142" s="1348"/>
      <c r="V142" s="1348"/>
      <c r="W142" s="1349"/>
      <c r="X142" s="1350"/>
      <c r="Y142" s="1350"/>
      <c r="Z142" s="1349"/>
      <c r="AA142" s="1351"/>
      <c r="AB142" s="1350"/>
      <c r="AC142" s="1350"/>
      <c r="AD142" s="1350"/>
      <c r="AE142" s="1350"/>
      <c r="AF142" s="1350"/>
      <c r="AG142" s="1350"/>
      <c r="AH142" s="1350"/>
      <c r="AI142" s="1350"/>
      <c r="AJ142" s="1350"/>
      <c r="AK142" s="1350"/>
    </row>
    <row r="143">
      <c r="A143" s="1350"/>
      <c r="B143" s="1350"/>
      <c r="C143" s="1350"/>
      <c r="D143" s="1350"/>
      <c r="E143" s="1350"/>
      <c r="F143" s="1350"/>
      <c r="G143" s="1350"/>
      <c r="H143" s="1350"/>
      <c r="I143" s="1350"/>
      <c r="J143" s="1350"/>
      <c r="K143" s="1350"/>
      <c r="L143" s="1350"/>
      <c r="M143" s="1350"/>
      <c r="N143" s="1350"/>
      <c r="O143" s="1350"/>
      <c r="P143" s="1354"/>
      <c r="Q143" s="1355"/>
      <c r="R143" s="1355"/>
      <c r="S143" s="1350"/>
      <c r="T143" s="1349"/>
      <c r="U143" s="1348"/>
      <c r="V143" s="1348"/>
      <c r="W143" s="1349"/>
      <c r="X143" s="1350"/>
      <c r="Y143" s="1350"/>
      <c r="Z143" s="1349"/>
      <c r="AA143" s="1351"/>
      <c r="AB143" s="1350"/>
      <c r="AC143" s="1350"/>
      <c r="AD143" s="1350"/>
      <c r="AE143" s="1350"/>
      <c r="AF143" s="1350"/>
      <c r="AG143" s="1350"/>
      <c r="AH143" s="1350"/>
      <c r="AI143" s="1350"/>
      <c r="AJ143" s="1350"/>
      <c r="AK143" s="1350"/>
    </row>
    <row r="144">
      <c r="A144" s="1350"/>
      <c r="B144" s="1350"/>
      <c r="C144" s="1350"/>
      <c r="D144" s="1350"/>
      <c r="E144" s="1350"/>
      <c r="F144" s="1350"/>
      <c r="G144" s="1350"/>
      <c r="H144" s="1350"/>
      <c r="I144" s="1350"/>
      <c r="J144" s="1350"/>
      <c r="K144" s="1350"/>
      <c r="L144" s="1350"/>
      <c r="M144" s="1350"/>
      <c r="N144" s="1350"/>
      <c r="O144" s="1350"/>
      <c r="P144" s="1354"/>
      <c r="Q144" s="1355"/>
      <c r="R144" s="1355"/>
      <c r="S144" s="1350"/>
      <c r="T144" s="1349"/>
      <c r="U144" s="1348"/>
      <c r="V144" s="1348"/>
      <c r="W144" s="1349"/>
      <c r="X144" s="1350"/>
      <c r="Y144" s="1350"/>
      <c r="Z144" s="1349"/>
      <c r="AA144" s="1351"/>
      <c r="AB144" s="1350"/>
      <c r="AC144" s="1350"/>
      <c r="AD144" s="1350"/>
      <c r="AE144" s="1350"/>
      <c r="AF144" s="1350"/>
      <c r="AG144" s="1350"/>
      <c r="AH144" s="1350"/>
      <c r="AI144" s="1350"/>
      <c r="AJ144" s="1350"/>
      <c r="AK144" s="1350"/>
    </row>
    <row r="145">
      <c r="A145" s="1350"/>
      <c r="B145" s="1350"/>
      <c r="C145" s="1350"/>
      <c r="D145" s="1350"/>
      <c r="E145" s="1350"/>
      <c r="F145" s="1350"/>
      <c r="G145" s="1350"/>
      <c r="H145" s="1350"/>
      <c r="I145" s="1350"/>
      <c r="J145" s="1350"/>
      <c r="K145" s="1350"/>
      <c r="L145" s="1350"/>
      <c r="M145" s="1350"/>
      <c r="N145" s="1350"/>
      <c r="O145" s="1350"/>
      <c r="P145" s="1354"/>
      <c r="Q145" s="1355"/>
      <c r="R145" s="1355"/>
      <c r="S145" s="1350"/>
      <c r="T145" s="1349"/>
      <c r="U145" s="1348"/>
      <c r="V145" s="1348"/>
      <c r="W145" s="1349"/>
      <c r="X145" s="1350"/>
      <c r="Y145" s="1350"/>
      <c r="Z145" s="1349"/>
      <c r="AA145" s="1351"/>
      <c r="AB145" s="1350"/>
      <c r="AC145" s="1350"/>
      <c r="AD145" s="1350"/>
      <c r="AE145" s="1350"/>
      <c r="AF145" s="1350"/>
      <c r="AG145" s="1350"/>
      <c r="AH145" s="1350"/>
      <c r="AI145" s="1350"/>
      <c r="AJ145" s="1350"/>
      <c r="AK145" s="1350"/>
    </row>
    <row r="146">
      <c r="A146" s="1350"/>
      <c r="B146" s="1350"/>
      <c r="C146" s="1350"/>
      <c r="D146" s="1350"/>
      <c r="E146" s="1350"/>
      <c r="F146" s="1350"/>
      <c r="G146" s="1350"/>
      <c r="H146" s="1350"/>
      <c r="I146" s="1350"/>
      <c r="J146" s="1350"/>
      <c r="K146" s="1350"/>
      <c r="L146" s="1350"/>
      <c r="M146" s="1350"/>
      <c r="N146" s="1350"/>
      <c r="O146" s="1350"/>
      <c r="P146" s="1354"/>
      <c r="Q146" s="1355"/>
      <c r="R146" s="1355"/>
      <c r="S146" s="1350"/>
      <c r="T146" s="1349"/>
      <c r="U146" s="1348"/>
      <c r="V146" s="1348"/>
      <c r="W146" s="1349"/>
      <c r="X146" s="1350"/>
      <c r="Y146" s="1350"/>
      <c r="Z146" s="1349"/>
      <c r="AA146" s="1351"/>
      <c r="AB146" s="1350"/>
      <c r="AC146" s="1350"/>
      <c r="AD146" s="1350"/>
      <c r="AE146" s="1350"/>
      <c r="AF146" s="1350"/>
      <c r="AG146" s="1350"/>
      <c r="AH146" s="1350"/>
      <c r="AI146" s="1350"/>
      <c r="AJ146" s="1350"/>
      <c r="AK146" s="1350"/>
    </row>
    <row r="147">
      <c r="A147" s="1350"/>
      <c r="B147" s="1350"/>
      <c r="C147" s="1350"/>
      <c r="D147" s="1350"/>
      <c r="E147" s="1350"/>
      <c r="F147" s="1350"/>
      <c r="G147" s="1350"/>
      <c r="H147" s="1350"/>
      <c r="I147" s="1350"/>
      <c r="J147" s="1350"/>
      <c r="K147" s="1350"/>
      <c r="L147" s="1350"/>
      <c r="M147" s="1350"/>
      <c r="N147" s="1350"/>
      <c r="O147" s="1350"/>
      <c r="P147" s="1354"/>
      <c r="Q147" s="1355"/>
      <c r="R147" s="1355"/>
      <c r="S147" s="1350"/>
      <c r="T147" s="1349"/>
      <c r="U147" s="1348"/>
      <c r="V147" s="1348"/>
      <c r="W147" s="1349"/>
      <c r="X147" s="1350"/>
      <c r="Y147" s="1350"/>
      <c r="Z147" s="1349"/>
      <c r="AA147" s="1351"/>
      <c r="AB147" s="1350"/>
      <c r="AC147" s="1350"/>
      <c r="AD147" s="1350"/>
      <c r="AE147" s="1350"/>
      <c r="AF147" s="1350"/>
      <c r="AG147" s="1350"/>
      <c r="AH147" s="1350"/>
      <c r="AI147" s="1350"/>
      <c r="AJ147" s="1350"/>
      <c r="AK147" s="1350"/>
    </row>
    <row r="148">
      <c r="A148" s="1350"/>
      <c r="B148" s="1350"/>
      <c r="C148" s="1350"/>
      <c r="D148" s="1350"/>
      <c r="E148" s="1350"/>
      <c r="F148" s="1350"/>
      <c r="G148" s="1350"/>
      <c r="H148" s="1350"/>
      <c r="I148" s="1350"/>
      <c r="J148" s="1350"/>
      <c r="K148" s="1350"/>
      <c r="L148" s="1350"/>
      <c r="M148" s="1350"/>
      <c r="N148" s="1350"/>
      <c r="O148" s="1350"/>
      <c r="P148" s="1354"/>
      <c r="Q148" s="1355"/>
      <c r="R148" s="1355"/>
      <c r="S148" s="1350"/>
      <c r="T148" s="1349"/>
      <c r="U148" s="1348"/>
      <c r="V148" s="1348"/>
      <c r="W148" s="1349"/>
      <c r="X148" s="1350"/>
      <c r="Y148" s="1350"/>
      <c r="Z148" s="1349"/>
      <c r="AA148" s="1351"/>
      <c r="AB148" s="1350"/>
      <c r="AC148" s="1350"/>
      <c r="AD148" s="1350"/>
      <c r="AE148" s="1350"/>
      <c r="AF148" s="1350"/>
      <c r="AG148" s="1350"/>
      <c r="AH148" s="1350"/>
      <c r="AI148" s="1350"/>
      <c r="AJ148" s="1350"/>
      <c r="AK148" s="1350"/>
    </row>
    <row r="149">
      <c r="A149" s="1350"/>
      <c r="B149" s="1350"/>
      <c r="C149" s="1350"/>
      <c r="D149" s="1350"/>
      <c r="E149" s="1350"/>
      <c r="F149" s="1350"/>
      <c r="G149" s="1350"/>
      <c r="H149" s="1350"/>
      <c r="I149" s="1350"/>
      <c r="J149" s="1350"/>
      <c r="K149" s="1350"/>
      <c r="L149" s="1350"/>
      <c r="M149" s="1350"/>
      <c r="N149" s="1350"/>
      <c r="O149" s="1350"/>
      <c r="P149" s="1354"/>
      <c r="Q149" s="1355"/>
      <c r="R149" s="1355"/>
      <c r="S149" s="1350"/>
      <c r="T149" s="1349"/>
      <c r="U149" s="1348"/>
      <c r="V149" s="1348"/>
      <c r="W149" s="1349"/>
      <c r="X149" s="1350"/>
      <c r="Y149" s="1350"/>
      <c r="Z149" s="1349"/>
      <c r="AA149" s="1351"/>
      <c r="AB149" s="1350"/>
      <c r="AC149" s="1350"/>
      <c r="AD149" s="1350"/>
      <c r="AE149" s="1350"/>
      <c r="AF149" s="1350"/>
      <c r="AG149" s="1350"/>
      <c r="AH149" s="1350"/>
      <c r="AI149" s="1350"/>
      <c r="AJ149" s="1350"/>
      <c r="AK149" s="1350"/>
    </row>
    <row r="150">
      <c r="A150" s="1350"/>
      <c r="B150" s="1350"/>
      <c r="C150" s="1350"/>
      <c r="D150" s="1350"/>
      <c r="E150" s="1350"/>
      <c r="F150" s="1350"/>
      <c r="G150" s="1350"/>
      <c r="H150" s="1350"/>
      <c r="I150" s="1350"/>
      <c r="J150" s="1350"/>
      <c r="K150" s="1350"/>
      <c r="L150" s="1350"/>
      <c r="M150" s="1350"/>
      <c r="N150" s="1350"/>
      <c r="O150" s="1350"/>
      <c r="P150" s="1354"/>
      <c r="Q150" s="1355"/>
      <c r="R150" s="1355"/>
      <c r="S150" s="1350"/>
      <c r="T150" s="1349"/>
      <c r="U150" s="1348"/>
      <c r="V150" s="1348"/>
      <c r="W150" s="1349"/>
      <c r="X150" s="1350"/>
      <c r="Y150" s="1350"/>
      <c r="Z150" s="1349"/>
      <c r="AA150" s="1351"/>
      <c r="AB150" s="1350"/>
      <c r="AC150" s="1350"/>
      <c r="AD150" s="1350"/>
      <c r="AE150" s="1350"/>
      <c r="AF150" s="1350"/>
      <c r="AG150" s="1350"/>
      <c r="AH150" s="1350"/>
      <c r="AI150" s="1350"/>
      <c r="AJ150" s="1350"/>
      <c r="AK150" s="1350"/>
    </row>
    <row r="151">
      <c r="A151" s="1350"/>
      <c r="B151" s="1350"/>
      <c r="C151" s="1350"/>
      <c r="D151" s="1350"/>
      <c r="E151" s="1350"/>
      <c r="F151" s="1350"/>
      <c r="G151" s="1350"/>
      <c r="H151" s="1350"/>
      <c r="I151" s="1350"/>
      <c r="J151" s="1350"/>
      <c r="K151" s="1350"/>
      <c r="L151" s="1350"/>
      <c r="M151" s="1350"/>
      <c r="N151" s="1350"/>
      <c r="O151" s="1350"/>
      <c r="P151" s="1354"/>
      <c r="Q151" s="1355"/>
      <c r="R151" s="1355"/>
      <c r="S151" s="1350"/>
      <c r="T151" s="1349"/>
      <c r="U151" s="1348"/>
      <c r="V151" s="1348"/>
      <c r="W151" s="1349"/>
      <c r="X151" s="1350"/>
      <c r="Y151" s="1350"/>
      <c r="Z151" s="1349"/>
      <c r="AA151" s="1351"/>
      <c r="AB151" s="1350"/>
      <c r="AC151" s="1350"/>
      <c r="AD151" s="1350"/>
      <c r="AE151" s="1350"/>
      <c r="AF151" s="1350"/>
      <c r="AG151" s="1350"/>
      <c r="AH151" s="1350"/>
      <c r="AI151" s="1350"/>
      <c r="AJ151" s="1350"/>
      <c r="AK151" s="1350"/>
    </row>
    <row r="152">
      <c r="A152" s="1350"/>
      <c r="B152" s="1350"/>
      <c r="C152" s="1350"/>
      <c r="D152" s="1350"/>
      <c r="E152" s="1350"/>
      <c r="F152" s="1350"/>
      <c r="G152" s="1350"/>
      <c r="H152" s="1350"/>
      <c r="I152" s="1350"/>
      <c r="J152" s="1350"/>
      <c r="K152" s="1350"/>
      <c r="L152" s="1350"/>
      <c r="M152" s="1350"/>
      <c r="N152" s="1350"/>
      <c r="O152" s="1350"/>
      <c r="P152" s="1354"/>
      <c r="Q152" s="1355"/>
      <c r="R152" s="1355"/>
      <c r="S152" s="1350"/>
      <c r="T152" s="1349"/>
      <c r="U152" s="1348"/>
      <c r="V152" s="1348"/>
      <c r="W152" s="1349"/>
      <c r="X152" s="1350"/>
      <c r="Y152" s="1350"/>
      <c r="Z152" s="1349"/>
      <c r="AA152" s="1351"/>
      <c r="AB152" s="1350"/>
      <c r="AC152" s="1350"/>
      <c r="AD152" s="1350"/>
      <c r="AE152" s="1350"/>
      <c r="AF152" s="1350"/>
      <c r="AG152" s="1350"/>
      <c r="AH152" s="1350"/>
      <c r="AI152" s="1350"/>
      <c r="AJ152" s="1350"/>
      <c r="AK152" s="1350"/>
    </row>
    <row r="153">
      <c r="A153" s="1350"/>
      <c r="B153" s="1350"/>
      <c r="C153" s="1350"/>
      <c r="D153" s="1350"/>
      <c r="E153" s="1350"/>
      <c r="F153" s="1350"/>
      <c r="G153" s="1350"/>
      <c r="H153" s="1350"/>
      <c r="I153" s="1350"/>
      <c r="J153" s="1350"/>
      <c r="K153" s="1350"/>
      <c r="L153" s="1350"/>
      <c r="M153" s="1350"/>
      <c r="N153" s="1350"/>
      <c r="O153" s="1350"/>
      <c r="P153" s="1354"/>
      <c r="Q153" s="1355"/>
      <c r="R153" s="1355"/>
      <c r="S153" s="1350"/>
      <c r="T153" s="1349"/>
      <c r="U153" s="1348"/>
      <c r="V153" s="1348"/>
      <c r="W153" s="1349"/>
      <c r="X153" s="1350"/>
      <c r="Y153" s="1350"/>
      <c r="Z153" s="1349"/>
      <c r="AA153" s="1351"/>
      <c r="AB153" s="1350"/>
      <c r="AC153" s="1350"/>
      <c r="AD153" s="1350"/>
      <c r="AE153" s="1350"/>
      <c r="AF153" s="1350"/>
      <c r="AG153" s="1350"/>
      <c r="AH153" s="1350"/>
      <c r="AI153" s="1350"/>
      <c r="AJ153" s="1350"/>
      <c r="AK153" s="1350"/>
    </row>
    <row r="154">
      <c r="A154" s="1350"/>
      <c r="B154" s="1350"/>
      <c r="C154" s="1350"/>
      <c r="D154" s="1350"/>
      <c r="E154" s="1350"/>
      <c r="F154" s="1350"/>
      <c r="G154" s="1350"/>
      <c r="H154" s="1350"/>
      <c r="I154" s="1350"/>
      <c r="J154" s="1350"/>
      <c r="K154" s="1350"/>
      <c r="L154" s="1350"/>
      <c r="M154" s="1350"/>
      <c r="N154" s="1350"/>
      <c r="O154" s="1350"/>
      <c r="P154" s="1354"/>
      <c r="Q154" s="1355"/>
      <c r="R154" s="1355"/>
      <c r="S154" s="1350"/>
      <c r="T154" s="1349"/>
      <c r="U154" s="1348"/>
      <c r="V154" s="1348"/>
      <c r="W154" s="1349"/>
      <c r="X154" s="1350"/>
      <c r="Y154" s="1350"/>
      <c r="Z154" s="1349"/>
      <c r="AA154" s="1351"/>
      <c r="AB154" s="1350"/>
      <c r="AC154" s="1350"/>
      <c r="AD154" s="1350"/>
      <c r="AE154" s="1350"/>
      <c r="AF154" s="1350"/>
      <c r="AG154" s="1350"/>
      <c r="AH154" s="1350"/>
      <c r="AI154" s="1350"/>
      <c r="AJ154" s="1350"/>
      <c r="AK154" s="1350"/>
    </row>
    <row r="155">
      <c r="A155" s="1350"/>
      <c r="B155" s="1350"/>
      <c r="C155" s="1350"/>
      <c r="D155" s="1350"/>
      <c r="E155" s="1350"/>
      <c r="F155" s="1350"/>
      <c r="G155" s="1350"/>
      <c r="H155" s="1350"/>
      <c r="I155" s="1350"/>
      <c r="J155" s="1350"/>
      <c r="K155" s="1350"/>
      <c r="L155" s="1350"/>
      <c r="M155" s="1350"/>
      <c r="N155" s="1350"/>
      <c r="O155" s="1350"/>
      <c r="P155" s="1354"/>
      <c r="Q155" s="1355"/>
      <c r="R155" s="1355"/>
      <c r="S155" s="1350"/>
      <c r="T155" s="1349"/>
      <c r="U155" s="1348"/>
      <c r="V155" s="1348"/>
      <c r="W155" s="1349"/>
      <c r="X155" s="1350"/>
      <c r="Y155" s="1350"/>
      <c r="Z155" s="1349"/>
      <c r="AA155" s="1351"/>
      <c r="AB155" s="1350"/>
      <c r="AC155" s="1350"/>
      <c r="AD155" s="1350"/>
      <c r="AE155" s="1350"/>
      <c r="AF155" s="1350"/>
      <c r="AG155" s="1350"/>
      <c r="AH155" s="1350"/>
      <c r="AI155" s="1350"/>
      <c r="AJ155" s="1350"/>
      <c r="AK155" s="1350"/>
    </row>
    <row r="156">
      <c r="A156" s="1350"/>
      <c r="B156" s="1350"/>
      <c r="C156" s="1350"/>
      <c r="D156" s="1350"/>
      <c r="E156" s="1350"/>
      <c r="F156" s="1350"/>
      <c r="G156" s="1350"/>
      <c r="H156" s="1350"/>
      <c r="I156" s="1350"/>
      <c r="J156" s="1350"/>
      <c r="K156" s="1350"/>
      <c r="L156" s="1350"/>
      <c r="M156" s="1350"/>
      <c r="N156" s="1350"/>
      <c r="O156" s="1350"/>
      <c r="P156" s="1354"/>
      <c r="Q156" s="1355"/>
      <c r="R156" s="1355"/>
      <c r="S156" s="1350"/>
      <c r="T156" s="1349"/>
      <c r="U156" s="1348"/>
      <c r="V156" s="1348"/>
      <c r="W156" s="1349"/>
      <c r="X156" s="1350"/>
      <c r="Y156" s="1350"/>
      <c r="Z156" s="1349"/>
      <c r="AA156" s="1351"/>
      <c r="AB156" s="1350"/>
      <c r="AC156" s="1350"/>
      <c r="AD156" s="1350"/>
      <c r="AE156" s="1350"/>
      <c r="AF156" s="1350"/>
      <c r="AG156" s="1350"/>
      <c r="AH156" s="1350"/>
      <c r="AI156" s="1350"/>
      <c r="AJ156" s="1350"/>
      <c r="AK156" s="1350"/>
    </row>
    <row r="157">
      <c r="A157" s="1350"/>
      <c r="B157" s="1350"/>
      <c r="C157" s="1350"/>
      <c r="D157" s="1350"/>
      <c r="E157" s="1350"/>
      <c r="F157" s="1350"/>
      <c r="G157" s="1350"/>
      <c r="H157" s="1350"/>
      <c r="I157" s="1350"/>
      <c r="J157" s="1350"/>
      <c r="K157" s="1350"/>
      <c r="L157" s="1350"/>
      <c r="M157" s="1350"/>
      <c r="N157" s="1350"/>
      <c r="O157" s="1350"/>
      <c r="P157" s="1354"/>
      <c r="Q157" s="1355"/>
      <c r="R157" s="1355"/>
      <c r="S157" s="1350"/>
      <c r="T157" s="1349"/>
      <c r="U157" s="1348"/>
      <c r="V157" s="1348"/>
      <c r="W157" s="1349"/>
      <c r="X157" s="1350"/>
      <c r="Y157" s="1350"/>
      <c r="Z157" s="1349"/>
      <c r="AA157" s="1351"/>
      <c r="AB157" s="1350"/>
      <c r="AC157" s="1350"/>
      <c r="AD157" s="1350"/>
      <c r="AE157" s="1350"/>
      <c r="AF157" s="1350"/>
      <c r="AG157" s="1350"/>
      <c r="AH157" s="1350"/>
      <c r="AI157" s="1350"/>
      <c r="AJ157" s="1350"/>
      <c r="AK157" s="1350"/>
    </row>
    <row r="158">
      <c r="A158" s="1350"/>
      <c r="B158" s="1350"/>
      <c r="C158" s="1350"/>
      <c r="D158" s="1350"/>
      <c r="E158" s="1350"/>
      <c r="F158" s="1350"/>
      <c r="G158" s="1350"/>
      <c r="H158" s="1350"/>
      <c r="I158" s="1350"/>
      <c r="J158" s="1350"/>
      <c r="K158" s="1350"/>
      <c r="L158" s="1350"/>
      <c r="M158" s="1350"/>
      <c r="N158" s="1350"/>
      <c r="O158" s="1350"/>
      <c r="P158" s="1354"/>
      <c r="Q158" s="1355"/>
      <c r="R158" s="1355"/>
      <c r="S158" s="1350"/>
      <c r="T158" s="1349"/>
      <c r="U158" s="1348"/>
      <c r="V158" s="1348"/>
      <c r="W158" s="1349"/>
      <c r="X158" s="1350"/>
      <c r="Y158" s="1350"/>
      <c r="Z158" s="1349"/>
      <c r="AA158" s="1351"/>
      <c r="AB158" s="1350"/>
      <c r="AC158" s="1350"/>
      <c r="AD158" s="1350"/>
      <c r="AE158" s="1350"/>
      <c r="AF158" s="1350"/>
      <c r="AG158" s="1350"/>
      <c r="AH158" s="1350"/>
      <c r="AI158" s="1350"/>
      <c r="AJ158" s="1350"/>
      <c r="AK158" s="1350"/>
    </row>
    <row r="159">
      <c r="A159" s="1350"/>
      <c r="B159" s="1350"/>
      <c r="C159" s="1350"/>
      <c r="D159" s="1350"/>
      <c r="E159" s="1350"/>
      <c r="F159" s="1350"/>
      <c r="G159" s="1350"/>
      <c r="H159" s="1350"/>
      <c r="I159" s="1350"/>
      <c r="J159" s="1350"/>
      <c r="K159" s="1350"/>
      <c r="L159" s="1350"/>
      <c r="M159" s="1350"/>
      <c r="N159" s="1350"/>
      <c r="O159" s="1350"/>
      <c r="P159" s="1354"/>
      <c r="Q159" s="1355"/>
      <c r="R159" s="1355"/>
      <c r="S159" s="1350"/>
      <c r="T159" s="1349"/>
      <c r="U159" s="1348"/>
      <c r="V159" s="1348"/>
      <c r="W159" s="1349"/>
      <c r="X159" s="1350"/>
      <c r="Y159" s="1350"/>
      <c r="Z159" s="1349"/>
      <c r="AA159" s="1351"/>
      <c r="AB159" s="1350"/>
      <c r="AC159" s="1350"/>
      <c r="AD159" s="1350"/>
      <c r="AE159" s="1350"/>
      <c r="AF159" s="1350"/>
      <c r="AG159" s="1350"/>
      <c r="AH159" s="1350"/>
      <c r="AI159" s="1350"/>
      <c r="AJ159" s="1350"/>
      <c r="AK159" s="1350"/>
    </row>
    <row r="160">
      <c r="A160" s="1350"/>
      <c r="B160" s="1350"/>
      <c r="C160" s="1350"/>
      <c r="D160" s="1350"/>
      <c r="E160" s="1350"/>
      <c r="F160" s="1350"/>
      <c r="G160" s="1350"/>
      <c r="H160" s="1350"/>
      <c r="I160" s="1350"/>
      <c r="J160" s="1350"/>
      <c r="K160" s="1350"/>
      <c r="L160" s="1350"/>
      <c r="M160" s="1350"/>
      <c r="N160" s="1350"/>
      <c r="O160" s="1350"/>
      <c r="P160" s="1354"/>
      <c r="Q160" s="1355"/>
      <c r="R160" s="1355"/>
      <c r="S160" s="1350"/>
      <c r="T160" s="1349"/>
      <c r="U160" s="1348"/>
      <c r="V160" s="1348"/>
      <c r="W160" s="1349"/>
      <c r="X160" s="1350"/>
      <c r="Y160" s="1350"/>
      <c r="Z160" s="1349"/>
      <c r="AA160" s="1351"/>
      <c r="AB160" s="1350"/>
      <c r="AC160" s="1350"/>
      <c r="AD160" s="1350"/>
      <c r="AE160" s="1350"/>
      <c r="AF160" s="1350"/>
      <c r="AG160" s="1350"/>
      <c r="AH160" s="1350"/>
      <c r="AI160" s="1350"/>
      <c r="AJ160" s="1350"/>
      <c r="AK160" s="1350"/>
    </row>
    <row r="161">
      <c r="A161" s="1350"/>
      <c r="B161" s="1350"/>
      <c r="C161" s="1350"/>
      <c r="D161" s="1350"/>
      <c r="E161" s="1350"/>
      <c r="F161" s="1350"/>
      <c r="G161" s="1350"/>
      <c r="H161" s="1350"/>
      <c r="I161" s="1350"/>
      <c r="J161" s="1350"/>
      <c r="K161" s="1350"/>
      <c r="L161" s="1350"/>
      <c r="M161" s="1350"/>
      <c r="N161" s="1350"/>
      <c r="O161" s="1350"/>
      <c r="P161" s="1354"/>
      <c r="Q161" s="1355"/>
      <c r="R161" s="1355"/>
      <c r="S161" s="1350"/>
      <c r="T161" s="1349"/>
      <c r="U161" s="1348"/>
      <c r="V161" s="1348"/>
      <c r="W161" s="1349"/>
      <c r="X161" s="1350"/>
      <c r="Y161" s="1350"/>
      <c r="Z161" s="1349"/>
      <c r="AA161" s="1351"/>
      <c r="AB161" s="1350"/>
      <c r="AC161" s="1350"/>
      <c r="AD161" s="1350"/>
      <c r="AE161" s="1350"/>
      <c r="AF161" s="1350"/>
      <c r="AG161" s="1350"/>
      <c r="AH161" s="1350"/>
      <c r="AI161" s="1350"/>
      <c r="AJ161" s="1350"/>
      <c r="AK161" s="1350"/>
    </row>
    <row r="162">
      <c r="A162" s="1350"/>
      <c r="B162" s="1350"/>
      <c r="C162" s="1350"/>
      <c r="D162" s="1350"/>
      <c r="E162" s="1350"/>
      <c r="F162" s="1350"/>
      <c r="G162" s="1350"/>
      <c r="H162" s="1350"/>
      <c r="I162" s="1350"/>
      <c r="J162" s="1350"/>
      <c r="K162" s="1350"/>
      <c r="L162" s="1350"/>
      <c r="M162" s="1350"/>
      <c r="N162" s="1350"/>
      <c r="O162" s="1350"/>
      <c r="P162" s="1354"/>
      <c r="Q162" s="1355"/>
      <c r="R162" s="1355"/>
      <c r="S162" s="1350"/>
      <c r="T162" s="1349"/>
      <c r="U162" s="1348"/>
      <c r="V162" s="1348"/>
      <c r="W162" s="1349"/>
      <c r="X162" s="1350"/>
      <c r="Y162" s="1350"/>
      <c r="Z162" s="1349"/>
      <c r="AA162" s="1351"/>
      <c r="AB162" s="1350"/>
      <c r="AC162" s="1350"/>
      <c r="AD162" s="1350"/>
      <c r="AE162" s="1350"/>
      <c r="AF162" s="1350"/>
      <c r="AG162" s="1350"/>
      <c r="AH162" s="1350"/>
      <c r="AI162" s="1350"/>
      <c r="AJ162" s="1350"/>
      <c r="AK162" s="1350"/>
    </row>
    <row r="163">
      <c r="A163" s="1350"/>
      <c r="B163" s="1350"/>
      <c r="C163" s="1350"/>
      <c r="D163" s="1350"/>
      <c r="E163" s="1350"/>
      <c r="F163" s="1350"/>
      <c r="G163" s="1350"/>
      <c r="H163" s="1350"/>
      <c r="I163" s="1350"/>
      <c r="J163" s="1350"/>
      <c r="K163" s="1350"/>
      <c r="L163" s="1350"/>
      <c r="M163" s="1350"/>
      <c r="N163" s="1350"/>
      <c r="O163" s="1350"/>
      <c r="P163" s="1354"/>
      <c r="Q163" s="1355"/>
      <c r="R163" s="1355"/>
      <c r="S163" s="1350"/>
      <c r="T163" s="1349"/>
      <c r="U163" s="1348"/>
      <c r="V163" s="1348"/>
      <c r="W163" s="1349"/>
      <c r="X163" s="1350"/>
      <c r="Y163" s="1350"/>
      <c r="Z163" s="1349"/>
      <c r="AA163" s="1351"/>
      <c r="AB163" s="1350"/>
      <c r="AC163" s="1350"/>
      <c r="AD163" s="1350"/>
      <c r="AE163" s="1350"/>
      <c r="AF163" s="1350"/>
      <c r="AG163" s="1350"/>
      <c r="AH163" s="1350"/>
      <c r="AI163" s="1350"/>
      <c r="AJ163" s="1350"/>
      <c r="AK163" s="1350"/>
    </row>
    <row r="164">
      <c r="A164" s="1350"/>
      <c r="B164" s="1350"/>
      <c r="C164" s="1350"/>
      <c r="D164" s="1350"/>
      <c r="E164" s="1350"/>
      <c r="F164" s="1350"/>
      <c r="G164" s="1350"/>
      <c r="H164" s="1350"/>
      <c r="I164" s="1350"/>
      <c r="J164" s="1350"/>
      <c r="K164" s="1350"/>
      <c r="L164" s="1350"/>
      <c r="M164" s="1350"/>
      <c r="N164" s="1350"/>
      <c r="O164" s="1350"/>
      <c r="P164" s="1354"/>
      <c r="Q164" s="1355"/>
      <c r="R164" s="1355"/>
      <c r="S164" s="1350"/>
      <c r="T164" s="1349"/>
      <c r="U164" s="1348"/>
      <c r="V164" s="1348"/>
      <c r="W164" s="1349"/>
      <c r="X164" s="1350"/>
      <c r="Y164" s="1350"/>
      <c r="Z164" s="1349"/>
      <c r="AA164" s="1351"/>
      <c r="AB164" s="1350"/>
      <c r="AC164" s="1350"/>
      <c r="AD164" s="1350"/>
      <c r="AE164" s="1350"/>
      <c r="AF164" s="1350"/>
      <c r="AG164" s="1350"/>
      <c r="AH164" s="1350"/>
      <c r="AI164" s="1350"/>
      <c r="AJ164" s="1350"/>
      <c r="AK164" s="1350"/>
    </row>
    <row r="165">
      <c r="A165" s="1350"/>
      <c r="B165" s="1350"/>
      <c r="C165" s="1350"/>
      <c r="D165" s="1350"/>
      <c r="E165" s="1350"/>
      <c r="F165" s="1350"/>
      <c r="G165" s="1350"/>
      <c r="H165" s="1350"/>
      <c r="I165" s="1350"/>
      <c r="J165" s="1350"/>
      <c r="K165" s="1350"/>
      <c r="L165" s="1350"/>
      <c r="M165" s="1350"/>
      <c r="N165" s="1350"/>
      <c r="O165" s="1350"/>
      <c r="P165" s="1354"/>
      <c r="Q165" s="1355"/>
      <c r="R165" s="1355"/>
      <c r="S165" s="1350"/>
      <c r="T165" s="1349"/>
      <c r="U165" s="1348"/>
      <c r="V165" s="1348"/>
      <c r="W165" s="1349"/>
      <c r="X165" s="1350"/>
      <c r="Y165" s="1350"/>
      <c r="Z165" s="1349"/>
      <c r="AA165" s="1351"/>
      <c r="AB165" s="1350"/>
      <c r="AC165" s="1350"/>
      <c r="AD165" s="1350"/>
      <c r="AE165" s="1350"/>
      <c r="AF165" s="1350"/>
      <c r="AG165" s="1350"/>
      <c r="AH165" s="1350"/>
      <c r="AI165" s="1350"/>
      <c r="AJ165" s="1350"/>
      <c r="AK165" s="1350"/>
    </row>
    <row r="166">
      <c r="A166" s="1350"/>
      <c r="B166" s="1350"/>
      <c r="C166" s="1350"/>
      <c r="D166" s="1350"/>
      <c r="E166" s="1350"/>
      <c r="F166" s="1350"/>
      <c r="G166" s="1350"/>
      <c r="H166" s="1350"/>
      <c r="I166" s="1350"/>
      <c r="J166" s="1350"/>
      <c r="K166" s="1350"/>
      <c r="L166" s="1350"/>
      <c r="M166" s="1350"/>
      <c r="N166" s="1350"/>
      <c r="O166" s="1350"/>
      <c r="P166" s="1354"/>
      <c r="Q166" s="1355"/>
      <c r="R166" s="1355"/>
      <c r="S166" s="1350"/>
      <c r="T166" s="1349"/>
      <c r="U166" s="1348"/>
      <c r="V166" s="1348"/>
      <c r="W166" s="1349"/>
      <c r="X166" s="1350"/>
      <c r="Y166" s="1350"/>
      <c r="Z166" s="1349"/>
      <c r="AA166" s="1351"/>
      <c r="AB166" s="1350"/>
      <c r="AC166" s="1350"/>
      <c r="AD166" s="1350"/>
      <c r="AE166" s="1350"/>
      <c r="AF166" s="1350"/>
      <c r="AG166" s="1350"/>
      <c r="AH166" s="1350"/>
      <c r="AI166" s="1350"/>
      <c r="AJ166" s="1350"/>
      <c r="AK166" s="1350"/>
    </row>
    <row r="167">
      <c r="A167" s="1350"/>
      <c r="B167" s="1350"/>
      <c r="C167" s="1350"/>
      <c r="D167" s="1350"/>
      <c r="E167" s="1350"/>
      <c r="F167" s="1350"/>
      <c r="G167" s="1350"/>
      <c r="H167" s="1350"/>
      <c r="I167" s="1350"/>
      <c r="J167" s="1350"/>
      <c r="K167" s="1350"/>
      <c r="L167" s="1350"/>
      <c r="M167" s="1350"/>
      <c r="N167" s="1350"/>
      <c r="O167" s="1350"/>
      <c r="P167" s="1354"/>
      <c r="Q167" s="1355"/>
      <c r="R167" s="1355"/>
      <c r="S167" s="1350"/>
      <c r="T167" s="1349"/>
      <c r="U167" s="1348"/>
      <c r="V167" s="1348"/>
      <c r="W167" s="1349"/>
      <c r="X167" s="1350"/>
      <c r="Y167" s="1350"/>
      <c r="Z167" s="1349"/>
      <c r="AA167" s="1351"/>
      <c r="AB167" s="1350"/>
      <c r="AC167" s="1350"/>
      <c r="AD167" s="1350"/>
      <c r="AE167" s="1350"/>
      <c r="AF167" s="1350"/>
      <c r="AG167" s="1350"/>
      <c r="AH167" s="1350"/>
      <c r="AI167" s="1350"/>
      <c r="AJ167" s="1350"/>
      <c r="AK167" s="1350"/>
    </row>
    <row r="168">
      <c r="A168" s="1350"/>
      <c r="B168" s="1350"/>
      <c r="C168" s="1350"/>
      <c r="D168" s="1350"/>
      <c r="E168" s="1350"/>
      <c r="F168" s="1350"/>
      <c r="G168" s="1350"/>
      <c r="H168" s="1350"/>
      <c r="I168" s="1350"/>
      <c r="J168" s="1350"/>
      <c r="K168" s="1350"/>
      <c r="L168" s="1350"/>
      <c r="M168" s="1350"/>
      <c r="N168" s="1350"/>
      <c r="O168" s="1350"/>
      <c r="P168" s="1354"/>
      <c r="Q168" s="1355"/>
      <c r="R168" s="1355"/>
      <c r="S168" s="1350"/>
      <c r="T168" s="1349"/>
      <c r="U168" s="1348"/>
      <c r="V168" s="1348"/>
      <c r="W168" s="1349"/>
      <c r="X168" s="1350"/>
      <c r="Y168" s="1350"/>
      <c r="Z168" s="1349"/>
      <c r="AA168" s="1351"/>
      <c r="AB168" s="1350"/>
      <c r="AC168" s="1350"/>
      <c r="AD168" s="1350"/>
      <c r="AE168" s="1350"/>
      <c r="AF168" s="1350"/>
      <c r="AG168" s="1350"/>
      <c r="AH168" s="1350"/>
      <c r="AI168" s="1350"/>
      <c r="AJ168" s="1350"/>
      <c r="AK168" s="1350"/>
    </row>
    <row r="169">
      <c r="A169" s="1350"/>
      <c r="B169" s="1350"/>
      <c r="C169" s="1350"/>
      <c r="D169" s="1350"/>
      <c r="E169" s="1350"/>
      <c r="F169" s="1350"/>
      <c r="G169" s="1350"/>
      <c r="H169" s="1350"/>
      <c r="I169" s="1350"/>
      <c r="J169" s="1350"/>
      <c r="K169" s="1350"/>
      <c r="L169" s="1350"/>
      <c r="M169" s="1350"/>
      <c r="N169" s="1350"/>
      <c r="O169" s="1350"/>
      <c r="P169" s="1354"/>
      <c r="Q169" s="1355"/>
      <c r="R169" s="1355"/>
      <c r="S169" s="1350"/>
      <c r="T169" s="1349"/>
      <c r="U169" s="1348"/>
      <c r="V169" s="1348"/>
      <c r="W169" s="1349"/>
      <c r="X169" s="1350"/>
      <c r="Y169" s="1350"/>
      <c r="Z169" s="1349"/>
      <c r="AA169" s="1351"/>
      <c r="AB169" s="1350"/>
      <c r="AC169" s="1350"/>
      <c r="AD169" s="1350"/>
      <c r="AE169" s="1350"/>
      <c r="AF169" s="1350"/>
      <c r="AG169" s="1350"/>
      <c r="AH169" s="1350"/>
      <c r="AI169" s="1350"/>
      <c r="AJ169" s="1350"/>
      <c r="AK169" s="1350"/>
    </row>
    <row r="170">
      <c r="A170" s="1350"/>
      <c r="B170" s="1350"/>
      <c r="C170" s="1350"/>
      <c r="D170" s="1350"/>
      <c r="E170" s="1350"/>
      <c r="F170" s="1350"/>
      <c r="G170" s="1350"/>
      <c r="H170" s="1350"/>
      <c r="I170" s="1350"/>
      <c r="J170" s="1350"/>
      <c r="K170" s="1350"/>
      <c r="L170" s="1350"/>
      <c r="M170" s="1350"/>
      <c r="N170" s="1350"/>
      <c r="O170" s="1350"/>
      <c r="P170" s="1354"/>
      <c r="Q170" s="1355"/>
      <c r="R170" s="1355"/>
      <c r="S170" s="1350"/>
      <c r="T170" s="1349"/>
      <c r="U170" s="1348"/>
      <c r="V170" s="1348"/>
      <c r="W170" s="1349"/>
      <c r="X170" s="1350"/>
      <c r="Y170" s="1350"/>
      <c r="Z170" s="1349"/>
      <c r="AA170" s="1351"/>
      <c r="AB170" s="1350"/>
      <c r="AC170" s="1350"/>
      <c r="AD170" s="1350"/>
      <c r="AE170" s="1350"/>
      <c r="AF170" s="1350"/>
      <c r="AG170" s="1350"/>
      <c r="AH170" s="1350"/>
      <c r="AI170" s="1350"/>
      <c r="AJ170" s="1350"/>
      <c r="AK170" s="1350"/>
    </row>
    <row r="171">
      <c r="A171" s="1350"/>
      <c r="B171" s="1350"/>
      <c r="C171" s="1350"/>
      <c r="D171" s="1350"/>
      <c r="E171" s="1350"/>
      <c r="F171" s="1350"/>
      <c r="G171" s="1350"/>
      <c r="H171" s="1350"/>
      <c r="I171" s="1350"/>
      <c r="J171" s="1350"/>
      <c r="K171" s="1350"/>
      <c r="L171" s="1350"/>
      <c r="M171" s="1350"/>
      <c r="N171" s="1350"/>
      <c r="O171" s="1350"/>
      <c r="P171" s="1354"/>
      <c r="Q171" s="1355"/>
      <c r="R171" s="1355"/>
      <c r="S171" s="1350"/>
      <c r="T171" s="1349"/>
      <c r="U171" s="1348"/>
      <c r="V171" s="1348"/>
      <c r="W171" s="1349"/>
      <c r="X171" s="1350"/>
      <c r="Y171" s="1350"/>
      <c r="Z171" s="1349"/>
      <c r="AA171" s="1351"/>
      <c r="AB171" s="1350"/>
      <c r="AC171" s="1350"/>
      <c r="AD171" s="1350"/>
      <c r="AE171" s="1350"/>
      <c r="AF171" s="1350"/>
      <c r="AG171" s="1350"/>
      <c r="AH171" s="1350"/>
      <c r="AI171" s="1350"/>
      <c r="AJ171" s="1350"/>
      <c r="AK171" s="1350"/>
    </row>
    <row r="172">
      <c r="A172" s="1350"/>
      <c r="B172" s="1350"/>
      <c r="C172" s="1350"/>
      <c r="D172" s="1350"/>
      <c r="E172" s="1350"/>
      <c r="F172" s="1350"/>
      <c r="G172" s="1350"/>
      <c r="H172" s="1350"/>
      <c r="I172" s="1350"/>
      <c r="J172" s="1350"/>
      <c r="K172" s="1350"/>
      <c r="L172" s="1350"/>
      <c r="M172" s="1350"/>
      <c r="N172" s="1350"/>
      <c r="O172" s="1350"/>
      <c r="P172" s="1354"/>
      <c r="Q172" s="1355"/>
      <c r="R172" s="1355"/>
      <c r="S172" s="1350"/>
      <c r="T172" s="1349"/>
      <c r="U172" s="1348"/>
      <c r="V172" s="1348"/>
      <c r="W172" s="1349"/>
      <c r="X172" s="1350"/>
      <c r="Y172" s="1350"/>
      <c r="Z172" s="1349"/>
      <c r="AA172" s="1351"/>
      <c r="AB172" s="1350"/>
      <c r="AC172" s="1350"/>
      <c r="AD172" s="1350"/>
      <c r="AE172" s="1350"/>
      <c r="AF172" s="1350"/>
      <c r="AG172" s="1350"/>
      <c r="AH172" s="1350"/>
      <c r="AI172" s="1350"/>
      <c r="AJ172" s="1350"/>
      <c r="AK172" s="1350"/>
    </row>
    <row r="173">
      <c r="A173" s="1350"/>
      <c r="B173" s="1350"/>
      <c r="C173" s="1350"/>
      <c r="D173" s="1350"/>
      <c r="E173" s="1350"/>
      <c r="F173" s="1350"/>
      <c r="G173" s="1350"/>
      <c r="H173" s="1350"/>
      <c r="I173" s="1350"/>
      <c r="J173" s="1350"/>
      <c r="K173" s="1350"/>
      <c r="L173" s="1350"/>
      <c r="M173" s="1350"/>
      <c r="N173" s="1350"/>
      <c r="O173" s="1350"/>
      <c r="P173" s="1354"/>
      <c r="Q173" s="1355"/>
      <c r="R173" s="1355"/>
      <c r="S173" s="1350"/>
      <c r="T173" s="1349"/>
      <c r="U173" s="1348"/>
      <c r="V173" s="1348"/>
      <c r="W173" s="1349"/>
      <c r="X173" s="1350"/>
      <c r="Y173" s="1350"/>
      <c r="Z173" s="1349"/>
      <c r="AA173" s="1351"/>
      <c r="AB173" s="1350"/>
      <c r="AC173" s="1350"/>
      <c r="AD173" s="1350"/>
      <c r="AE173" s="1350"/>
      <c r="AF173" s="1350"/>
      <c r="AG173" s="1350"/>
      <c r="AH173" s="1350"/>
      <c r="AI173" s="1350"/>
      <c r="AJ173" s="1350"/>
      <c r="AK173" s="1350"/>
    </row>
    <row r="174">
      <c r="A174" s="1350"/>
      <c r="B174" s="1350"/>
      <c r="C174" s="1350"/>
      <c r="D174" s="1350"/>
      <c r="E174" s="1350"/>
      <c r="F174" s="1350"/>
      <c r="G174" s="1350"/>
      <c r="H174" s="1350"/>
      <c r="I174" s="1350"/>
      <c r="J174" s="1350"/>
      <c r="K174" s="1350"/>
      <c r="L174" s="1350"/>
      <c r="M174" s="1350"/>
      <c r="N174" s="1350"/>
      <c r="O174" s="1350"/>
      <c r="P174" s="1354"/>
      <c r="Q174" s="1355"/>
      <c r="R174" s="1355"/>
      <c r="S174" s="1350"/>
      <c r="T174" s="1349"/>
      <c r="U174" s="1348"/>
      <c r="V174" s="1348"/>
      <c r="W174" s="1349"/>
      <c r="X174" s="1350"/>
      <c r="Y174" s="1350"/>
      <c r="Z174" s="1349"/>
      <c r="AA174" s="1351"/>
      <c r="AB174" s="1350"/>
      <c r="AC174" s="1350"/>
      <c r="AD174" s="1350"/>
      <c r="AE174" s="1350"/>
      <c r="AF174" s="1350"/>
      <c r="AG174" s="1350"/>
      <c r="AH174" s="1350"/>
      <c r="AI174" s="1350"/>
      <c r="AJ174" s="1350"/>
      <c r="AK174" s="1350"/>
    </row>
    <row r="175">
      <c r="A175" s="1350"/>
      <c r="B175" s="1350"/>
      <c r="C175" s="1350"/>
      <c r="D175" s="1350"/>
      <c r="E175" s="1350"/>
      <c r="F175" s="1350"/>
      <c r="G175" s="1350"/>
      <c r="H175" s="1350"/>
      <c r="I175" s="1350"/>
      <c r="J175" s="1350"/>
      <c r="K175" s="1350"/>
      <c r="L175" s="1350"/>
      <c r="M175" s="1350"/>
      <c r="N175" s="1350"/>
      <c r="O175" s="1350"/>
      <c r="P175" s="1354"/>
      <c r="Q175" s="1355"/>
      <c r="R175" s="1355"/>
      <c r="S175" s="1350"/>
      <c r="T175" s="1349"/>
      <c r="U175" s="1348"/>
      <c r="V175" s="1348"/>
      <c r="W175" s="1349"/>
      <c r="X175" s="1350"/>
      <c r="Y175" s="1350"/>
      <c r="Z175" s="1349"/>
      <c r="AA175" s="1351"/>
      <c r="AB175" s="1350"/>
      <c r="AC175" s="1350"/>
      <c r="AD175" s="1350"/>
      <c r="AE175" s="1350"/>
      <c r="AF175" s="1350"/>
      <c r="AG175" s="1350"/>
      <c r="AH175" s="1350"/>
      <c r="AI175" s="1350"/>
      <c r="AJ175" s="1350"/>
      <c r="AK175" s="1350"/>
    </row>
    <row r="176">
      <c r="A176" s="1350"/>
      <c r="B176" s="1350"/>
      <c r="C176" s="1350"/>
      <c r="D176" s="1350"/>
      <c r="E176" s="1350"/>
      <c r="F176" s="1350"/>
      <c r="G176" s="1350"/>
      <c r="H176" s="1350"/>
      <c r="I176" s="1350"/>
      <c r="J176" s="1350"/>
      <c r="K176" s="1350"/>
      <c r="L176" s="1350"/>
      <c r="M176" s="1350"/>
      <c r="N176" s="1350"/>
      <c r="O176" s="1350"/>
      <c r="P176" s="1354"/>
      <c r="Q176" s="1355"/>
      <c r="R176" s="1355"/>
      <c r="S176" s="1350"/>
      <c r="T176" s="1349"/>
      <c r="U176" s="1348"/>
      <c r="V176" s="1348"/>
      <c r="W176" s="1349"/>
      <c r="X176" s="1350"/>
      <c r="Y176" s="1350"/>
      <c r="Z176" s="1349"/>
      <c r="AA176" s="1351"/>
      <c r="AB176" s="1350"/>
      <c r="AC176" s="1350"/>
      <c r="AD176" s="1350"/>
      <c r="AE176" s="1350"/>
      <c r="AF176" s="1350"/>
      <c r="AG176" s="1350"/>
      <c r="AH176" s="1350"/>
      <c r="AI176" s="1350"/>
      <c r="AJ176" s="1350"/>
      <c r="AK176" s="1350"/>
    </row>
    <row r="177">
      <c r="A177" s="1350"/>
      <c r="B177" s="1350"/>
      <c r="C177" s="1350"/>
      <c r="D177" s="1350"/>
      <c r="E177" s="1350"/>
      <c r="F177" s="1350"/>
      <c r="G177" s="1350"/>
      <c r="H177" s="1350"/>
      <c r="I177" s="1350"/>
      <c r="J177" s="1350"/>
      <c r="K177" s="1350"/>
      <c r="L177" s="1350"/>
      <c r="M177" s="1350"/>
      <c r="N177" s="1350"/>
      <c r="O177" s="1350"/>
      <c r="P177" s="1354"/>
      <c r="Q177" s="1355"/>
      <c r="R177" s="1355"/>
      <c r="S177" s="1350"/>
      <c r="T177" s="1349"/>
      <c r="U177" s="1348"/>
      <c r="V177" s="1348"/>
      <c r="W177" s="1349"/>
      <c r="X177" s="1350"/>
      <c r="Y177" s="1350"/>
      <c r="Z177" s="1349"/>
      <c r="AA177" s="1351"/>
      <c r="AB177" s="1350"/>
      <c r="AC177" s="1350"/>
      <c r="AD177" s="1350"/>
      <c r="AE177" s="1350"/>
      <c r="AF177" s="1350"/>
      <c r="AG177" s="1350"/>
      <c r="AH177" s="1350"/>
      <c r="AI177" s="1350"/>
      <c r="AJ177" s="1350"/>
      <c r="AK177" s="1350"/>
    </row>
    <row r="178">
      <c r="A178" s="1350"/>
      <c r="B178" s="1350"/>
      <c r="C178" s="1350"/>
      <c r="D178" s="1350"/>
      <c r="E178" s="1350"/>
      <c r="F178" s="1350"/>
      <c r="G178" s="1350"/>
      <c r="H178" s="1350"/>
      <c r="I178" s="1350"/>
      <c r="J178" s="1350"/>
      <c r="K178" s="1350"/>
      <c r="L178" s="1350"/>
      <c r="M178" s="1350"/>
      <c r="N178" s="1350"/>
      <c r="O178" s="1350"/>
      <c r="P178" s="1354"/>
      <c r="Q178" s="1355"/>
      <c r="R178" s="1355"/>
      <c r="S178" s="1350"/>
      <c r="T178" s="1349"/>
      <c r="U178" s="1348"/>
      <c r="V178" s="1348"/>
      <c r="W178" s="1349"/>
      <c r="X178" s="1350"/>
      <c r="Y178" s="1350"/>
      <c r="Z178" s="1349"/>
      <c r="AA178" s="1351"/>
      <c r="AB178" s="1350"/>
      <c r="AC178" s="1350"/>
      <c r="AD178" s="1350"/>
      <c r="AE178" s="1350"/>
      <c r="AF178" s="1350"/>
      <c r="AG178" s="1350"/>
      <c r="AH178" s="1350"/>
      <c r="AI178" s="1350"/>
      <c r="AJ178" s="1350"/>
      <c r="AK178" s="1350"/>
    </row>
    <row r="179">
      <c r="A179" s="1350"/>
      <c r="B179" s="1350"/>
      <c r="C179" s="1350"/>
      <c r="D179" s="1350"/>
      <c r="E179" s="1350"/>
      <c r="F179" s="1350"/>
      <c r="G179" s="1350"/>
      <c r="H179" s="1350"/>
      <c r="I179" s="1350"/>
      <c r="J179" s="1350"/>
      <c r="K179" s="1350"/>
      <c r="L179" s="1350"/>
      <c r="M179" s="1350"/>
      <c r="N179" s="1350"/>
      <c r="O179" s="1350"/>
      <c r="P179" s="1354"/>
      <c r="Q179" s="1355"/>
      <c r="R179" s="1355"/>
      <c r="S179" s="1350"/>
      <c r="T179" s="1349"/>
      <c r="U179" s="1348"/>
      <c r="V179" s="1348"/>
      <c r="W179" s="1349"/>
      <c r="X179" s="1350"/>
      <c r="Y179" s="1350"/>
      <c r="Z179" s="1349"/>
      <c r="AA179" s="1351"/>
      <c r="AB179" s="1350"/>
      <c r="AC179" s="1350"/>
      <c r="AD179" s="1350"/>
      <c r="AE179" s="1350"/>
      <c r="AF179" s="1350"/>
      <c r="AG179" s="1350"/>
      <c r="AH179" s="1350"/>
      <c r="AI179" s="1350"/>
      <c r="AJ179" s="1350"/>
      <c r="AK179" s="1350"/>
    </row>
    <row r="180">
      <c r="A180" s="1350"/>
      <c r="B180" s="1350"/>
      <c r="C180" s="1350"/>
      <c r="D180" s="1350"/>
      <c r="E180" s="1350"/>
      <c r="F180" s="1350"/>
      <c r="G180" s="1350"/>
      <c r="H180" s="1350"/>
      <c r="I180" s="1350"/>
      <c r="J180" s="1350"/>
      <c r="K180" s="1350"/>
      <c r="L180" s="1350"/>
      <c r="M180" s="1350"/>
      <c r="N180" s="1350"/>
      <c r="O180" s="1350"/>
      <c r="P180" s="1354"/>
      <c r="Q180" s="1355"/>
      <c r="R180" s="1355"/>
      <c r="S180" s="1350"/>
      <c r="T180" s="1349"/>
      <c r="U180" s="1348"/>
      <c r="V180" s="1348"/>
      <c r="W180" s="1349"/>
      <c r="X180" s="1350"/>
      <c r="Y180" s="1350"/>
      <c r="Z180" s="1349"/>
      <c r="AA180" s="1351"/>
      <c r="AB180" s="1350"/>
      <c r="AC180" s="1350"/>
      <c r="AD180" s="1350"/>
      <c r="AE180" s="1350"/>
      <c r="AF180" s="1350"/>
      <c r="AG180" s="1350"/>
      <c r="AH180" s="1350"/>
      <c r="AI180" s="1350"/>
      <c r="AJ180" s="1350"/>
      <c r="AK180" s="1350"/>
    </row>
    <row r="181">
      <c r="A181" s="1350"/>
      <c r="B181" s="1350"/>
      <c r="C181" s="1350"/>
      <c r="D181" s="1350"/>
      <c r="E181" s="1350"/>
      <c r="F181" s="1350"/>
      <c r="G181" s="1350"/>
      <c r="H181" s="1350"/>
      <c r="I181" s="1350"/>
      <c r="J181" s="1350"/>
      <c r="K181" s="1350"/>
      <c r="L181" s="1350"/>
      <c r="M181" s="1350"/>
      <c r="N181" s="1350"/>
      <c r="O181" s="1350"/>
      <c r="P181" s="1354"/>
      <c r="Q181" s="1355"/>
      <c r="R181" s="1355"/>
      <c r="S181" s="1350"/>
      <c r="T181" s="1349"/>
      <c r="U181" s="1348"/>
      <c r="V181" s="1348"/>
      <c r="W181" s="1349"/>
      <c r="X181" s="1350"/>
      <c r="Y181" s="1350"/>
      <c r="Z181" s="1349"/>
      <c r="AA181" s="1351"/>
      <c r="AB181" s="1350"/>
      <c r="AC181" s="1350"/>
      <c r="AD181" s="1350"/>
      <c r="AE181" s="1350"/>
      <c r="AF181" s="1350"/>
      <c r="AG181" s="1350"/>
      <c r="AH181" s="1350"/>
      <c r="AI181" s="1350"/>
      <c r="AJ181" s="1350"/>
      <c r="AK181" s="1350"/>
    </row>
    <row r="182">
      <c r="A182" s="1350"/>
      <c r="B182" s="1350"/>
      <c r="C182" s="1350"/>
      <c r="D182" s="1350"/>
      <c r="E182" s="1350"/>
      <c r="F182" s="1350"/>
      <c r="G182" s="1350"/>
      <c r="H182" s="1350"/>
      <c r="I182" s="1350"/>
      <c r="J182" s="1350"/>
      <c r="K182" s="1350"/>
      <c r="L182" s="1350"/>
      <c r="M182" s="1350"/>
      <c r="N182" s="1350"/>
      <c r="O182" s="1350"/>
      <c r="P182" s="1354"/>
      <c r="Q182" s="1355"/>
      <c r="R182" s="1355"/>
      <c r="S182" s="1350"/>
      <c r="T182" s="1349"/>
      <c r="U182" s="1348"/>
      <c r="V182" s="1348"/>
      <c r="W182" s="1349"/>
      <c r="X182" s="1350"/>
      <c r="Y182" s="1350"/>
      <c r="Z182" s="1349"/>
      <c r="AA182" s="1351"/>
      <c r="AB182" s="1350"/>
      <c r="AC182" s="1350"/>
      <c r="AD182" s="1350"/>
      <c r="AE182" s="1350"/>
      <c r="AF182" s="1350"/>
      <c r="AG182" s="1350"/>
      <c r="AH182" s="1350"/>
      <c r="AI182" s="1350"/>
      <c r="AJ182" s="1350"/>
      <c r="AK182" s="1350"/>
    </row>
    <row r="183">
      <c r="A183" s="1350"/>
      <c r="B183" s="1350"/>
      <c r="C183" s="1350"/>
      <c r="D183" s="1350"/>
      <c r="E183" s="1350"/>
      <c r="F183" s="1350"/>
      <c r="G183" s="1350"/>
      <c r="H183" s="1350"/>
      <c r="I183" s="1350"/>
      <c r="J183" s="1350"/>
      <c r="K183" s="1350"/>
      <c r="L183" s="1350"/>
      <c r="M183" s="1350"/>
      <c r="N183" s="1350"/>
      <c r="O183" s="1350"/>
      <c r="P183" s="1354"/>
      <c r="Q183" s="1355"/>
      <c r="R183" s="1355"/>
      <c r="S183" s="1350"/>
      <c r="T183" s="1349"/>
      <c r="U183" s="1348"/>
      <c r="V183" s="1348"/>
      <c r="W183" s="1349"/>
      <c r="X183" s="1350"/>
      <c r="Y183" s="1350"/>
      <c r="Z183" s="1349"/>
      <c r="AA183" s="1351"/>
      <c r="AB183" s="1350"/>
      <c r="AC183" s="1350"/>
      <c r="AD183" s="1350"/>
      <c r="AE183" s="1350"/>
      <c r="AF183" s="1350"/>
      <c r="AG183" s="1350"/>
      <c r="AH183" s="1350"/>
      <c r="AI183" s="1350"/>
      <c r="AJ183" s="1350"/>
      <c r="AK183" s="1350"/>
    </row>
    <row r="184">
      <c r="A184" s="1350"/>
      <c r="B184" s="1350"/>
      <c r="C184" s="1350"/>
      <c r="D184" s="1350"/>
      <c r="E184" s="1350"/>
      <c r="F184" s="1350"/>
      <c r="G184" s="1350"/>
      <c r="H184" s="1350"/>
      <c r="I184" s="1350"/>
      <c r="J184" s="1350"/>
      <c r="K184" s="1350"/>
      <c r="L184" s="1350"/>
      <c r="M184" s="1350"/>
      <c r="N184" s="1350"/>
      <c r="O184" s="1350"/>
      <c r="P184" s="1354"/>
      <c r="Q184" s="1355"/>
      <c r="R184" s="1355"/>
      <c r="S184" s="1350"/>
      <c r="T184" s="1349"/>
      <c r="U184" s="1348"/>
      <c r="V184" s="1348"/>
      <c r="W184" s="1349"/>
      <c r="X184" s="1350"/>
      <c r="Y184" s="1350"/>
      <c r="Z184" s="1349"/>
      <c r="AA184" s="1351"/>
      <c r="AB184" s="1350"/>
      <c r="AC184" s="1350"/>
      <c r="AD184" s="1350"/>
      <c r="AE184" s="1350"/>
      <c r="AF184" s="1350"/>
      <c r="AG184" s="1350"/>
      <c r="AH184" s="1350"/>
      <c r="AI184" s="1350"/>
      <c r="AJ184" s="1350"/>
      <c r="AK184" s="1350"/>
    </row>
    <row r="185">
      <c r="A185" s="1350"/>
      <c r="B185" s="1350"/>
      <c r="C185" s="1350"/>
      <c r="D185" s="1350"/>
      <c r="E185" s="1350"/>
      <c r="F185" s="1350"/>
      <c r="G185" s="1350"/>
      <c r="H185" s="1350"/>
      <c r="I185" s="1350"/>
      <c r="J185" s="1350"/>
      <c r="K185" s="1350"/>
      <c r="L185" s="1350"/>
      <c r="M185" s="1350"/>
      <c r="N185" s="1350"/>
      <c r="O185" s="1350"/>
      <c r="P185" s="1354"/>
      <c r="Q185" s="1355"/>
      <c r="R185" s="1355"/>
      <c r="S185" s="1350"/>
      <c r="T185" s="1349"/>
      <c r="U185" s="1348"/>
      <c r="V185" s="1348"/>
      <c r="W185" s="1349"/>
      <c r="X185" s="1350"/>
      <c r="Y185" s="1350"/>
      <c r="Z185" s="1349"/>
      <c r="AA185" s="1351"/>
      <c r="AB185" s="1350"/>
      <c r="AC185" s="1350"/>
      <c r="AD185" s="1350"/>
      <c r="AE185" s="1350"/>
      <c r="AF185" s="1350"/>
      <c r="AG185" s="1350"/>
      <c r="AH185" s="1350"/>
      <c r="AI185" s="1350"/>
      <c r="AJ185" s="1350"/>
      <c r="AK185" s="1350"/>
    </row>
    <row r="186">
      <c r="A186" s="1350"/>
      <c r="B186" s="1350"/>
      <c r="C186" s="1350"/>
      <c r="D186" s="1350"/>
      <c r="E186" s="1350"/>
      <c r="F186" s="1350"/>
      <c r="G186" s="1350"/>
      <c r="H186" s="1350"/>
      <c r="I186" s="1350"/>
      <c r="J186" s="1350"/>
      <c r="K186" s="1350"/>
      <c r="L186" s="1350"/>
      <c r="M186" s="1350"/>
      <c r="N186" s="1350"/>
      <c r="O186" s="1350"/>
      <c r="P186" s="1354"/>
      <c r="Q186" s="1355"/>
      <c r="R186" s="1355"/>
      <c r="S186" s="1350"/>
      <c r="T186" s="1349"/>
      <c r="U186" s="1348"/>
      <c r="V186" s="1348"/>
      <c r="W186" s="1349"/>
      <c r="X186" s="1350"/>
      <c r="Y186" s="1350"/>
      <c r="Z186" s="1349"/>
      <c r="AA186" s="1351"/>
      <c r="AB186" s="1350"/>
      <c r="AC186" s="1350"/>
      <c r="AD186" s="1350"/>
      <c r="AE186" s="1350"/>
      <c r="AF186" s="1350"/>
      <c r="AG186" s="1350"/>
      <c r="AH186" s="1350"/>
      <c r="AI186" s="1350"/>
      <c r="AJ186" s="1350"/>
      <c r="AK186" s="1350"/>
    </row>
    <row r="187">
      <c r="A187" s="1350"/>
      <c r="B187" s="1350"/>
      <c r="C187" s="1350"/>
      <c r="D187" s="1350"/>
      <c r="E187" s="1350"/>
      <c r="F187" s="1350"/>
      <c r="G187" s="1350"/>
      <c r="H187" s="1350"/>
      <c r="I187" s="1350"/>
      <c r="J187" s="1350"/>
      <c r="K187" s="1350"/>
      <c r="L187" s="1350"/>
      <c r="M187" s="1350"/>
      <c r="N187" s="1350"/>
      <c r="O187" s="1350"/>
      <c r="P187" s="1354"/>
      <c r="Q187" s="1355"/>
      <c r="R187" s="1355"/>
      <c r="S187" s="1350"/>
      <c r="T187" s="1349"/>
      <c r="U187" s="1348"/>
      <c r="V187" s="1348"/>
      <c r="W187" s="1349"/>
      <c r="X187" s="1350"/>
      <c r="Y187" s="1350"/>
      <c r="Z187" s="1349"/>
      <c r="AA187" s="1351"/>
      <c r="AB187" s="1350"/>
      <c r="AC187" s="1350"/>
      <c r="AD187" s="1350"/>
      <c r="AE187" s="1350"/>
      <c r="AF187" s="1350"/>
      <c r="AG187" s="1350"/>
      <c r="AH187" s="1350"/>
      <c r="AI187" s="1350"/>
      <c r="AJ187" s="1350"/>
      <c r="AK187" s="1350"/>
    </row>
    <row r="188">
      <c r="A188" s="1350"/>
      <c r="B188" s="1350"/>
      <c r="C188" s="1350"/>
      <c r="D188" s="1350"/>
      <c r="E188" s="1350"/>
      <c r="F188" s="1350"/>
      <c r="G188" s="1350"/>
      <c r="H188" s="1350"/>
      <c r="I188" s="1350"/>
      <c r="J188" s="1350"/>
      <c r="K188" s="1350"/>
      <c r="L188" s="1350"/>
      <c r="M188" s="1350"/>
      <c r="N188" s="1350"/>
      <c r="O188" s="1350"/>
      <c r="P188" s="1354"/>
      <c r="Q188" s="1355"/>
      <c r="R188" s="1355"/>
      <c r="S188" s="1350"/>
      <c r="T188" s="1349"/>
      <c r="U188" s="1348"/>
      <c r="V188" s="1348"/>
      <c r="W188" s="1349"/>
      <c r="X188" s="1350"/>
      <c r="Y188" s="1350"/>
      <c r="Z188" s="1349"/>
      <c r="AA188" s="1351"/>
      <c r="AB188" s="1350"/>
      <c r="AC188" s="1350"/>
      <c r="AD188" s="1350"/>
      <c r="AE188" s="1350"/>
      <c r="AF188" s="1350"/>
      <c r="AG188" s="1350"/>
      <c r="AH188" s="1350"/>
      <c r="AI188" s="1350"/>
      <c r="AJ188" s="1350"/>
      <c r="AK188" s="1350"/>
    </row>
    <row r="189">
      <c r="A189" s="1350"/>
      <c r="B189" s="1350"/>
      <c r="C189" s="1350"/>
      <c r="D189" s="1350"/>
      <c r="E189" s="1350"/>
      <c r="F189" s="1350"/>
      <c r="G189" s="1350"/>
      <c r="H189" s="1350"/>
      <c r="I189" s="1350"/>
      <c r="J189" s="1350"/>
      <c r="K189" s="1350"/>
      <c r="L189" s="1350"/>
      <c r="M189" s="1350"/>
      <c r="N189" s="1350"/>
      <c r="O189" s="1350"/>
      <c r="P189" s="1354"/>
      <c r="Q189" s="1355"/>
      <c r="R189" s="1355"/>
      <c r="S189" s="1350"/>
      <c r="T189" s="1349"/>
      <c r="U189" s="1348"/>
      <c r="V189" s="1348"/>
      <c r="W189" s="1349"/>
      <c r="X189" s="1350"/>
      <c r="Y189" s="1350"/>
      <c r="Z189" s="1349"/>
      <c r="AA189" s="1351"/>
      <c r="AB189" s="1350"/>
      <c r="AC189" s="1350"/>
      <c r="AD189" s="1350"/>
      <c r="AE189" s="1350"/>
      <c r="AF189" s="1350"/>
      <c r="AG189" s="1350"/>
      <c r="AH189" s="1350"/>
      <c r="AI189" s="1350"/>
      <c r="AJ189" s="1350"/>
      <c r="AK189" s="1350"/>
    </row>
    <row r="190">
      <c r="A190" s="1350"/>
      <c r="B190" s="1350"/>
      <c r="C190" s="1350"/>
      <c r="D190" s="1350"/>
      <c r="E190" s="1350"/>
      <c r="F190" s="1350"/>
      <c r="G190" s="1350"/>
      <c r="H190" s="1350"/>
      <c r="I190" s="1350"/>
      <c r="J190" s="1350"/>
      <c r="K190" s="1350"/>
      <c r="L190" s="1350"/>
      <c r="M190" s="1350"/>
      <c r="N190" s="1350"/>
      <c r="O190" s="1350"/>
      <c r="P190" s="1354"/>
      <c r="Q190" s="1355"/>
      <c r="R190" s="1355"/>
      <c r="S190" s="1350"/>
      <c r="T190" s="1349"/>
      <c r="U190" s="1348"/>
      <c r="V190" s="1348"/>
      <c r="W190" s="1349"/>
      <c r="X190" s="1350"/>
      <c r="Y190" s="1350"/>
      <c r="Z190" s="1349"/>
      <c r="AA190" s="1351"/>
      <c r="AB190" s="1350"/>
      <c r="AC190" s="1350"/>
      <c r="AD190" s="1350"/>
      <c r="AE190" s="1350"/>
      <c r="AF190" s="1350"/>
      <c r="AG190" s="1350"/>
      <c r="AH190" s="1350"/>
      <c r="AI190" s="1350"/>
      <c r="AJ190" s="1350"/>
      <c r="AK190" s="1350"/>
    </row>
    <row r="191">
      <c r="A191" s="1350"/>
      <c r="B191" s="1350"/>
      <c r="C191" s="1350"/>
      <c r="D191" s="1350"/>
      <c r="E191" s="1350"/>
      <c r="F191" s="1350"/>
      <c r="G191" s="1350"/>
      <c r="H191" s="1350"/>
      <c r="I191" s="1350"/>
      <c r="J191" s="1350"/>
      <c r="K191" s="1350"/>
      <c r="L191" s="1350"/>
      <c r="M191" s="1350"/>
      <c r="N191" s="1350"/>
      <c r="O191" s="1350"/>
      <c r="P191" s="1354"/>
      <c r="Q191" s="1355"/>
      <c r="R191" s="1355"/>
      <c r="S191" s="1350"/>
      <c r="T191" s="1349"/>
      <c r="U191" s="1348"/>
      <c r="V191" s="1348"/>
      <c r="W191" s="1349"/>
      <c r="X191" s="1350"/>
      <c r="Y191" s="1350"/>
      <c r="Z191" s="1349"/>
      <c r="AA191" s="1351"/>
      <c r="AB191" s="1350"/>
      <c r="AC191" s="1350"/>
      <c r="AD191" s="1350"/>
      <c r="AE191" s="1350"/>
      <c r="AF191" s="1350"/>
      <c r="AG191" s="1350"/>
      <c r="AH191" s="1350"/>
      <c r="AI191" s="1350"/>
      <c r="AJ191" s="1350"/>
      <c r="AK191" s="1350"/>
    </row>
    <row r="192">
      <c r="A192" s="1350"/>
      <c r="B192" s="1350"/>
      <c r="C192" s="1350"/>
      <c r="D192" s="1350"/>
      <c r="E192" s="1350"/>
      <c r="F192" s="1350"/>
      <c r="G192" s="1350"/>
      <c r="H192" s="1350"/>
      <c r="I192" s="1350"/>
      <c r="J192" s="1350"/>
      <c r="K192" s="1350"/>
      <c r="L192" s="1350"/>
      <c r="M192" s="1350"/>
      <c r="N192" s="1350"/>
      <c r="O192" s="1350"/>
      <c r="P192" s="1354"/>
      <c r="Q192" s="1355"/>
      <c r="R192" s="1355"/>
      <c r="S192" s="1350"/>
      <c r="T192" s="1349"/>
      <c r="U192" s="1348"/>
      <c r="V192" s="1348"/>
      <c r="W192" s="1349"/>
      <c r="X192" s="1350"/>
      <c r="Y192" s="1350"/>
      <c r="Z192" s="1349"/>
      <c r="AA192" s="1351"/>
      <c r="AB192" s="1350"/>
      <c r="AC192" s="1350"/>
      <c r="AD192" s="1350"/>
      <c r="AE192" s="1350"/>
      <c r="AF192" s="1350"/>
      <c r="AG192" s="1350"/>
      <c r="AH192" s="1350"/>
      <c r="AI192" s="1350"/>
      <c r="AJ192" s="1350"/>
      <c r="AK192" s="1350"/>
    </row>
    <row r="193">
      <c r="A193" s="1350"/>
      <c r="B193" s="1350"/>
      <c r="C193" s="1350"/>
      <c r="D193" s="1350"/>
      <c r="E193" s="1350"/>
      <c r="F193" s="1350"/>
      <c r="G193" s="1350"/>
      <c r="H193" s="1350"/>
      <c r="I193" s="1350"/>
      <c r="J193" s="1350"/>
      <c r="K193" s="1350"/>
      <c r="L193" s="1350"/>
      <c r="M193" s="1350"/>
      <c r="N193" s="1350"/>
      <c r="O193" s="1350"/>
      <c r="P193" s="1354"/>
      <c r="Q193" s="1355"/>
      <c r="R193" s="1355"/>
      <c r="S193" s="1350"/>
      <c r="T193" s="1349"/>
      <c r="U193" s="1348"/>
      <c r="V193" s="1348"/>
      <c r="W193" s="1349"/>
      <c r="X193" s="1350"/>
      <c r="Y193" s="1350"/>
      <c r="Z193" s="1349"/>
      <c r="AA193" s="1351"/>
      <c r="AB193" s="1350"/>
      <c r="AC193" s="1350"/>
      <c r="AD193" s="1350"/>
      <c r="AE193" s="1350"/>
      <c r="AF193" s="1350"/>
      <c r="AG193" s="1350"/>
      <c r="AH193" s="1350"/>
      <c r="AI193" s="1350"/>
      <c r="AJ193" s="1350"/>
      <c r="AK193" s="1350"/>
    </row>
    <row r="194">
      <c r="A194" s="1350"/>
      <c r="B194" s="1350"/>
      <c r="C194" s="1350"/>
      <c r="D194" s="1350"/>
      <c r="E194" s="1350"/>
      <c r="F194" s="1350"/>
      <c r="G194" s="1350"/>
      <c r="H194" s="1350"/>
      <c r="I194" s="1350"/>
      <c r="J194" s="1350"/>
      <c r="K194" s="1350"/>
      <c r="L194" s="1350"/>
      <c r="M194" s="1350"/>
      <c r="N194" s="1350"/>
      <c r="O194" s="1350"/>
      <c r="P194" s="1354"/>
      <c r="Q194" s="1355"/>
      <c r="R194" s="1355"/>
      <c r="S194" s="1350"/>
      <c r="T194" s="1349"/>
      <c r="U194" s="1348"/>
      <c r="V194" s="1348"/>
      <c r="W194" s="1349"/>
      <c r="X194" s="1350"/>
      <c r="Y194" s="1350"/>
      <c r="Z194" s="1349"/>
      <c r="AA194" s="1351"/>
      <c r="AB194" s="1350"/>
      <c r="AC194" s="1350"/>
      <c r="AD194" s="1350"/>
      <c r="AE194" s="1350"/>
      <c r="AF194" s="1350"/>
      <c r="AG194" s="1350"/>
      <c r="AH194" s="1350"/>
      <c r="AI194" s="1350"/>
      <c r="AJ194" s="1350"/>
      <c r="AK194" s="1350"/>
    </row>
    <row r="195">
      <c r="A195" s="1350"/>
      <c r="B195" s="1350"/>
      <c r="C195" s="1350"/>
      <c r="D195" s="1350"/>
      <c r="E195" s="1350"/>
      <c r="F195" s="1350"/>
      <c r="G195" s="1350"/>
      <c r="H195" s="1350"/>
      <c r="I195" s="1350"/>
      <c r="J195" s="1350"/>
      <c r="K195" s="1350"/>
      <c r="L195" s="1350"/>
      <c r="M195" s="1350"/>
      <c r="N195" s="1350"/>
      <c r="O195" s="1350"/>
      <c r="P195" s="1354"/>
      <c r="Q195" s="1355"/>
      <c r="R195" s="1355"/>
      <c r="S195" s="1350"/>
      <c r="T195" s="1349"/>
      <c r="U195" s="1348"/>
      <c r="V195" s="1348"/>
      <c r="W195" s="1349"/>
      <c r="X195" s="1350"/>
      <c r="Y195" s="1350"/>
      <c r="Z195" s="1349"/>
      <c r="AA195" s="1351"/>
      <c r="AB195" s="1350"/>
      <c r="AC195" s="1350"/>
      <c r="AD195" s="1350"/>
      <c r="AE195" s="1350"/>
      <c r="AF195" s="1350"/>
      <c r="AG195" s="1350"/>
      <c r="AH195" s="1350"/>
      <c r="AI195" s="1350"/>
      <c r="AJ195" s="1350"/>
      <c r="AK195" s="1350"/>
    </row>
    <row r="196">
      <c r="A196" s="1350"/>
      <c r="B196" s="1350"/>
      <c r="C196" s="1350"/>
      <c r="D196" s="1350"/>
      <c r="E196" s="1350"/>
      <c r="F196" s="1350"/>
      <c r="G196" s="1350"/>
      <c r="H196" s="1350"/>
      <c r="I196" s="1350"/>
      <c r="J196" s="1350"/>
      <c r="K196" s="1350"/>
      <c r="L196" s="1350"/>
      <c r="M196" s="1350"/>
      <c r="N196" s="1350"/>
      <c r="O196" s="1350"/>
      <c r="P196" s="1354"/>
      <c r="Q196" s="1355"/>
      <c r="R196" s="1355"/>
      <c r="S196" s="1350"/>
      <c r="T196" s="1349"/>
      <c r="U196" s="1348"/>
      <c r="V196" s="1348"/>
      <c r="W196" s="1349"/>
      <c r="X196" s="1350"/>
      <c r="Y196" s="1350"/>
      <c r="Z196" s="1349"/>
      <c r="AA196" s="1351"/>
      <c r="AB196" s="1350"/>
      <c r="AC196" s="1350"/>
      <c r="AD196" s="1350"/>
      <c r="AE196" s="1350"/>
      <c r="AF196" s="1350"/>
      <c r="AG196" s="1350"/>
      <c r="AH196" s="1350"/>
      <c r="AI196" s="1350"/>
      <c r="AJ196" s="1350"/>
      <c r="AK196" s="1350"/>
    </row>
    <row r="197">
      <c r="A197" s="1350"/>
      <c r="B197" s="1350"/>
      <c r="C197" s="1350"/>
      <c r="D197" s="1350"/>
      <c r="E197" s="1350"/>
      <c r="F197" s="1350"/>
      <c r="G197" s="1350"/>
      <c r="H197" s="1350"/>
      <c r="I197" s="1350"/>
      <c r="J197" s="1350"/>
      <c r="K197" s="1350"/>
      <c r="L197" s="1350"/>
      <c r="M197" s="1350"/>
      <c r="N197" s="1350"/>
      <c r="O197" s="1350"/>
      <c r="P197" s="1354"/>
      <c r="Q197" s="1355"/>
      <c r="R197" s="1355"/>
      <c r="S197" s="1350"/>
      <c r="T197" s="1349"/>
      <c r="U197" s="1348"/>
      <c r="V197" s="1348"/>
      <c r="W197" s="1349"/>
      <c r="X197" s="1350"/>
      <c r="Y197" s="1350"/>
      <c r="Z197" s="1349"/>
      <c r="AA197" s="1351"/>
      <c r="AB197" s="1350"/>
      <c r="AC197" s="1350"/>
      <c r="AD197" s="1350"/>
      <c r="AE197" s="1350"/>
      <c r="AF197" s="1350"/>
      <c r="AG197" s="1350"/>
      <c r="AH197" s="1350"/>
      <c r="AI197" s="1350"/>
      <c r="AJ197" s="1350"/>
      <c r="AK197" s="1350"/>
    </row>
    <row r="198">
      <c r="A198" s="1350"/>
      <c r="B198" s="1350"/>
      <c r="C198" s="1350"/>
      <c r="D198" s="1350"/>
      <c r="E198" s="1350"/>
      <c r="F198" s="1350"/>
      <c r="G198" s="1350"/>
      <c r="H198" s="1350"/>
      <c r="I198" s="1350"/>
      <c r="J198" s="1350"/>
      <c r="K198" s="1350"/>
      <c r="L198" s="1350"/>
      <c r="M198" s="1350"/>
      <c r="N198" s="1350"/>
      <c r="O198" s="1350"/>
      <c r="P198" s="1354"/>
      <c r="Q198" s="1355"/>
      <c r="R198" s="1355"/>
      <c r="S198" s="1350"/>
      <c r="T198" s="1349"/>
      <c r="U198" s="1348"/>
      <c r="V198" s="1348"/>
      <c r="W198" s="1349"/>
      <c r="X198" s="1350"/>
      <c r="Y198" s="1350"/>
      <c r="Z198" s="1349"/>
      <c r="AA198" s="1351"/>
      <c r="AB198" s="1350"/>
      <c r="AC198" s="1350"/>
      <c r="AD198" s="1350"/>
      <c r="AE198" s="1350"/>
      <c r="AF198" s="1350"/>
      <c r="AG198" s="1350"/>
      <c r="AH198" s="1350"/>
      <c r="AI198" s="1350"/>
      <c r="AJ198" s="1350"/>
      <c r="AK198" s="1350"/>
    </row>
    <row r="199">
      <c r="A199" s="1350"/>
      <c r="B199" s="1350"/>
      <c r="C199" s="1350"/>
      <c r="D199" s="1350"/>
      <c r="E199" s="1350"/>
      <c r="F199" s="1350"/>
      <c r="G199" s="1350"/>
      <c r="H199" s="1350"/>
      <c r="I199" s="1350"/>
      <c r="J199" s="1350"/>
      <c r="K199" s="1350"/>
      <c r="L199" s="1350"/>
      <c r="M199" s="1350"/>
      <c r="N199" s="1350"/>
      <c r="O199" s="1350"/>
      <c r="P199" s="1354"/>
      <c r="Q199" s="1355"/>
      <c r="R199" s="1355"/>
      <c r="S199" s="1350"/>
      <c r="T199" s="1349"/>
      <c r="U199" s="1348"/>
      <c r="V199" s="1348"/>
      <c r="W199" s="1349"/>
      <c r="X199" s="1350"/>
      <c r="Y199" s="1350"/>
      <c r="Z199" s="1349"/>
      <c r="AA199" s="1351"/>
      <c r="AB199" s="1350"/>
      <c r="AC199" s="1350"/>
      <c r="AD199" s="1350"/>
      <c r="AE199" s="1350"/>
      <c r="AF199" s="1350"/>
      <c r="AG199" s="1350"/>
      <c r="AH199" s="1350"/>
      <c r="AI199" s="1350"/>
      <c r="AJ199" s="1350"/>
      <c r="AK199" s="1350"/>
    </row>
    <row r="200">
      <c r="A200" s="1350"/>
      <c r="B200" s="1350"/>
      <c r="C200" s="1350"/>
      <c r="D200" s="1350"/>
      <c r="E200" s="1350"/>
      <c r="F200" s="1350"/>
      <c r="G200" s="1350"/>
      <c r="H200" s="1350"/>
      <c r="I200" s="1350"/>
      <c r="J200" s="1350"/>
      <c r="K200" s="1350"/>
      <c r="L200" s="1350"/>
      <c r="M200" s="1350"/>
      <c r="N200" s="1350"/>
      <c r="O200" s="1350"/>
      <c r="P200" s="1354"/>
      <c r="Q200" s="1355"/>
      <c r="R200" s="1355"/>
      <c r="S200" s="1350"/>
      <c r="T200" s="1349"/>
      <c r="U200" s="1348"/>
      <c r="V200" s="1348"/>
      <c r="W200" s="1349"/>
      <c r="X200" s="1350"/>
      <c r="Y200" s="1350"/>
      <c r="Z200" s="1349"/>
      <c r="AA200" s="1351"/>
      <c r="AB200" s="1350"/>
      <c r="AC200" s="1350"/>
      <c r="AD200" s="1350"/>
      <c r="AE200" s="1350"/>
      <c r="AF200" s="1350"/>
      <c r="AG200" s="1350"/>
      <c r="AH200" s="1350"/>
      <c r="AI200" s="1350"/>
      <c r="AJ200" s="1350"/>
      <c r="AK200" s="1350"/>
    </row>
    <row r="201">
      <c r="A201" s="1350"/>
      <c r="B201" s="1350"/>
      <c r="C201" s="1350"/>
      <c r="D201" s="1350"/>
      <c r="E201" s="1350"/>
      <c r="F201" s="1350"/>
      <c r="G201" s="1350"/>
      <c r="H201" s="1350"/>
      <c r="I201" s="1350"/>
      <c r="J201" s="1350"/>
      <c r="K201" s="1350"/>
      <c r="L201" s="1350"/>
      <c r="M201" s="1350"/>
      <c r="N201" s="1350"/>
      <c r="O201" s="1350"/>
      <c r="P201" s="1354"/>
      <c r="Q201" s="1355"/>
      <c r="R201" s="1355"/>
      <c r="S201" s="1350"/>
      <c r="T201" s="1349"/>
      <c r="U201" s="1348"/>
      <c r="V201" s="1348"/>
      <c r="W201" s="1349"/>
      <c r="X201" s="1350"/>
      <c r="Y201" s="1350"/>
      <c r="Z201" s="1349"/>
      <c r="AA201" s="1351"/>
      <c r="AB201" s="1350"/>
      <c r="AC201" s="1350"/>
      <c r="AD201" s="1350"/>
      <c r="AE201" s="1350"/>
      <c r="AF201" s="1350"/>
      <c r="AG201" s="1350"/>
      <c r="AH201" s="1350"/>
      <c r="AI201" s="1350"/>
      <c r="AJ201" s="1350"/>
      <c r="AK201" s="1350"/>
    </row>
    <row r="202">
      <c r="A202" s="1350"/>
      <c r="B202" s="1350"/>
      <c r="C202" s="1350"/>
      <c r="D202" s="1350"/>
      <c r="E202" s="1350"/>
      <c r="F202" s="1350"/>
      <c r="G202" s="1350"/>
      <c r="H202" s="1350"/>
      <c r="I202" s="1350"/>
      <c r="J202" s="1350"/>
      <c r="K202" s="1350"/>
      <c r="L202" s="1350"/>
      <c r="M202" s="1350"/>
      <c r="N202" s="1350"/>
      <c r="O202" s="1350"/>
      <c r="P202" s="1354"/>
      <c r="Q202" s="1355"/>
      <c r="R202" s="1355"/>
      <c r="S202" s="1350"/>
      <c r="T202" s="1349"/>
      <c r="U202" s="1348"/>
      <c r="V202" s="1348"/>
      <c r="W202" s="1349"/>
      <c r="X202" s="1350"/>
      <c r="Y202" s="1350"/>
      <c r="Z202" s="1349"/>
      <c r="AA202" s="1351"/>
      <c r="AB202" s="1350"/>
      <c r="AC202" s="1350"/>
      <c r="AD202" s="1350"/>
      <c r="AE202" s="1350"/>
      <c r="AF202" s="1350"/>
      <c r="AG202" s="1350"/>
      <c r="AH202" s="1350"/>
      <c r="AI202" s="1350"/>
      <c r="AJ202" s="1350"/>
      <c r="AK202" s="1350"/>
    </row>
    <row r="203">
      <c r="A203" s="1350"/>
      <c r="B203" s="1350"/>
      <c r="C203" s="1350"/>
      <c r="D203" s="1350"/>
      <c r="E203" s="1350"/>
      <c r="F203" s="1350"/>
      <c r="G203" s="1350"/>
      <c r="H203" s="1350"/>
      <c r="I203" s="1350"/>
      <c r="J203" s="1350"/>
      <c r="K203" s="1350"/>
      <c r="L203" s="1350"/>
      <c r="M203" s="1350"/>
      <c r="N203" s="1350"/>
      <c r="O203" s="1350"/>
      <c r="P203" s="1354"/>
      <c r="Q203" s="1355"/>
      <c r="R203" s="1355"/>
      <c r="S203" s="1350"/>
      <c r="T203" s="1349"/>
      <c r="U203" s="1348"/>
      <c r="V203" s="1348"/>
      <c r="W203" s="1349"/>
      <c r="X203" s="1350"/>
      <c r="Y203" s="1350"/>
      <c r="Z203" s="1349"/>
      <c r="AA203" s="1351"/>
      <c r="AB203" s="1350"/>
      <c r="AC203" s="1350"/>
      <c r="AD203" s="1350"/>
      <c r="AE203" s="1350"/>
      <c r="AF203" s="1350"/>
      <c r="AG203" s="1350"/>
      <c r="AH203" s="1350"/>
      <c r="AI203" s="1350"/>
      <c r="AJ203" s="1350"/>
      <c r="AK203" s="1350"/>
    </row>
    <row r="204">
      <c r="A204" s="1350"/>
      <c r="B204" s="1350"/>
      <c r="C204" s="1350"/>
      <c r="D204" s="1350"/>
      <c r="E204" s="1350"/>
      <c r="F204" s="1350"/>
      <c r="G204" s="1350"/>
      <c r="H204" s="1350"/>
      <c r="I204" s="1350"/>
      <c r="J204" s="1350"/>
      <c r="K204" s="1350"/>
      <c r="L204" s="1350"/>
      <c r="M204" s="1350"/>
      <c r="N204" s="1350"/>
      <c r="O204" s="1350"/>
      <c r="P204" s="1354"/>
      <c r="Q204" s="1355"/>
      <c r="R204" s="1355"/>
      <c r="S204" s="1350"/>
      <c r="T204" s="1349"/>
      <c r="U204" s="1348"/>
      <c r="V204" s="1348"/>
      <c r="W204" s="1349"/>
      <c r="X204" s="1350"/>
      <c r="Y204" s="1350"/>
      <c r="Z204" s="1349"/>
      <c r="AA204" s="1351"/>
      <c r="AB204" s="1350"/>
      <c r="AC204" s="1350"/>
      <c r="AD204" s="1350"/>
      <c r="AE204" s="1350"/>
      <c r="AF204" s="1350"/>
      <c r="AG204" s="1350"/>
      <c r="AH204" s="1350"/>
      <c r="AI204" s="1350"/>
      <c r="AJ204" s="1350"/>
      <c r="AK204" s="1350"/>
    </row>
    <row r="205">
      <c r="A205" s="1350"/>
      <c r="B205" s="1350"/>
      <c r="C205" s="1350"/>
      <c r="D205" s="1350"/>
      <c r="E205" s="1350"/>
      <c r="F205" s="1350"/>
      <c r="G205" s="1350"/>
      <c r="H205" s="1350"/>
      <c r="I205" s="1350"/>
      <c r="J205" s="1350"/>
      <c r="K205" s="1350"/>
      <c r="L205" s="1350"/>
      <c r="M205" s="1350"/>
      <c r="N205" s="1350"/>
      <c r="O205" s="1350"/>
      <c r="P205" s="1354"/>
      <c r="Q205" s="1355"/>
      <c r="R205" s="1355"/>
      <c r="S205" s="1350"/>
      <c r="T205" s="1349"/>
      <c r="U205" s="1348"/>
      <c r="V205" s="1348"/>
      <c r="W205" s="1349"/>
      <c r="X205" s="1350"/>
      <c r="Y205" s="1350"/>
      <c r="Z205" s="1349"/>
      <c r="AA205" s="1351"/>
      <c r="AB205" s="1350"/>
      <c r="AC205" s="1350"/>
      <c r="AD205" s="1350"/>
      <c r="AE205" s="1350"/>
      <c r="AF205" s="1350"/>
      <c r="AG205" s="1350"/>
      <c r="AH205" s="1350"/>
      <c r="AI205" s="1350"/>
      <c r="AJ205" s="1350"/>
      <c r="AK205" s="1350"/>
    </row>
    <row r="206">
      <c r="A206" s="1350"/>
      <c r="B206" s="1350"/>
      <c r="C206" s="1350"/>
      <c r="D206" s="1350"/>
      <c r="E206" s="1350"/>
      <c r="F206" s="1350"/>
      <c r="G206" s="1350"/>
      <c r="H206" s="1350"/>
      <c r="I206" s="1350"/>
      <c r="J206" s="1350"/>
      <c r="K206" s="1350"/>
      <c r="L206" s="1350"/>
      <c r="M206" s="1350"/>
      <c r="N206" s="1350"/>
      <c r="O206" s="1350"/>
      <c r="P206" s="1354"/>
      <c r="Q206" s="1355"/>
      <c r="R206" s="1355"/>
      <c r="S206" s="1350"/>
      <c r="T206" s="1349"/>
      <c r="U206" s="1348"/>
      <c r="V206" s="1348"/>
      <c r="W206" s="1349"/>
      <c r="X206" s="1350"/>
      <c r="Y206" s="1350"/>
      <c r="Z206" s="1349"/>
      <c r="AA206" s="1351"/>
      <c r="AB206" s="1350"/>
      <c r="AC206" s="1350"/>
      <c r="AD206" s="1350"/>
      <c r="AE206" s="1350"/>
      <c r="AF206" s="1350"/>
      <c r="AG206" s="1350"/>
      <c r="AH206" s="1350"/>
      <c r="AI206" s="1350"/>
      <c r="AJ206" s="1350"/>
      <c r="AK206" s="1350"/>
    </row>
    <row r="207">
      <c r="A207" s="1350"/>
      <c r="B207" s="1350"/>
      <c r="C207" s="1350"/>
      <c r="D207" s="1350"/>
      <c r="E207" s="1350"/>
      <c r="F207" s="1350"/>
      <c r="G207" s="1350"/>
      <c r="H207" s="1350"/>
      <c r="I207" s="1350"/>
      <c r="J207" s="1350"/>
      <c r="K207" s="1350"/>
      <c r="L207" s="1350"/>
      <c r="M207" s="1350"/>
      <c r="N207" s="1350"/>
      <c r="O207" s="1350"/>
      <c r="P207" s="1354"/>
      <c r="Q207" s="1355"/>
      <c r="R207" s="1355"/>
      <c r="S207" s="1350"/>
      <c r="T207" s="1349"/>
      <c r="U207" s="1348"/>
      <c r="V207" s="1348"/>
      <c r="W207" s="1349"/>
      <c r="X207" s="1350"/>
      <c r="Y207" s="1350"/>
      <c r="Z207" s="1349"/>
      <c r="AA207" s="1351"/>
      <c r="AB207" s="1350"/>
      <c r="AC207" s="1350"/>
      <c r="AD207" s="1350"/>
      <c r="AE207" s="1350"/>
      <c r="AF207" s="1350"/>
      <c r="AG207" s="1350"/>
      <c r="AH207" s="1350"/>
      <c r="AI207" s="1350"/>
      <c r="AJ207" s="1350"/>
      <c r="AK207" s="1350"/>
    </row>
    <row r="208">
      <c r="A208" s="1350"/>
      <c r="B208" s="1350"/>
      <c r="C208" s="1350"/>
      <c r="D208" s="1350"/>
      <c r="E208" s="1350"/>
      <c r="F208" s="1350"/>
      <c r="G208" s="1350"/>
      <c r="H208" s="1350"/>
      <c r="I208" s="1350"/>
      <c r="J208" s="1350"/>
      <c r="K208" s="1350"/>
      <c r="L208" s="1350"/>
      <c r="M208" s="1350"/>
      <c r="N208" s="1350"/>
      <c r="O208" s="1350"/>
      <c r="P208" s="1354"/>
      <c r="Q208" s="1355"/>
      <c r="R208" s="1355"/>
      <c r="S208" s="1350"/>
      <c r="T208" s="1349"/>
      <c r="U208" s="1348"/>
      <c r="V208" s="1348"/>
      <c r="W208" s="1349"/>
      <c r="X208" s="1350"/>
      <c r="Y208" s="1350"/>
      <c r="Z208" s="1349"/>
      <c r="AA208" s="1351"/>
      <c r="AB208" s="1350"/>
      <c r="AC208" s="1350"/>
      <c r="AD208" s="1350"/>
      <c r="AE208" s="1350"/>
      <c r="AF208" s="1350"/>
      <c r="AG208" s="1350"/>
      <c r="AH208" s="1350"/>
      <c r="AI208" s="1350"/>
      <c r="AJ208" s="1350"/>
      <c r="AK208" s="1350"/>
    </row>
    <row r="209">
      <c r="A209" s="1350"/>
      <c r="B209" s="1350"/>
      <c r="C209" s="1350"/>
      <c r="D209" s="1350"/>
      <c r="E209" s="1350"/>
      <c r="F209" s="1350"/>
      <c r="G209" s="1350"/>
      <c r="H209" s="1350"/>
      <c r="I209" s="1350"/>
      <c r="J209" s="1350"/>
      <c r="K209" s="1350"/>
      <c r="L209" s="1350"/>
      <c r="M209" s="1350"/>
      <c r="N209" s="1350"/>
      <c r="O209" s="1350"/>
      <c r="P209" s="1354"/>
      <c r="Q209" s="1355"/>
      <c r="R209" s="1355"/>
      <c r="S209" s="1350"/>
      <c r="T209" s="1349"/>
      <c r="U209" s="1348"/>
      <c r="V209" s="1348"/>
      <c r="W209" s="1349"/>
      <c r="X209" s="1350"/>
      <c r="Y209" s="1350"/>
      <c r="Z209" s="1349"/>
      <c r="AA209" s="1351"/>
      <c r="AB209" s="1350"/>
      <c r="AC209" s="1350"/>
      <c r="AD209" s="1350"/>
      <c r="AE209" s="1350"/>
      <c r="AF209" s="1350"/>
      <c r="AG209" s="1350"/>
      <c r="AH209" s="1350"/>
      <c r="AI209" s="1350"/>
      <c r="AJ209" s="1350"/>
      <c r="AK209" s="1350"/>
    </row>
    <row r="210">
      <c r="A210" s="1350"/>
      <c r="B210" s="1350"/>
      <c r="C210" s="1350"/>
      <c r="D210" s="1350"/>
      <c r="E210" s="1350"/>
      <c r="F210" s="1350"/>
      <c r="G210" s="1350"/>
      <c r="H210" s="1350"/>
      <c r="I210" s="1350"/>
      <c r="J210" s="1350"/>
      <c r="K210" s="1350"/>
      <c r="L210" s="1350"/>
      <c r="M210" s="1350"/>
      <c r="N210" s="1350"/>
      <c r="O210" s="1350"/>
      <c r="P210" s="1354"/>
      <c r="Q210" s="1355"/>
      <c r="R210" s="1355"/>
      <c r="S210" s="1350"/>
      <c r="T210" s="1349"/>
      <c r="U210" s="1348"/>
      <c r="V210" s="1348"/>
      <c r="W210" s="1349"/>
      <c r="X210" s="1350"/>
      <c r="Y210" s="1350"/>
      <c r="Z210" s="1349"/>
      <c r="AA210" s="1351"/>
      <c r="AB210" s="1350"/>
      <c r="AC210" s="1350"/>
      <c r="AD210" s="1350"/>
      <c r="AE210" s="1350"/>
      <c r="AF210" s="1350"/>
      <c r="AG210" s="1350"/>
      <c r="AH210" s="1350"/>
      <c r="AI210" s="1350"/>
      <c r="AJ210" s="1350"/>
      <c r="AK210" s="1350"/>
    </row>
    <row r="211">
      <c r="A211" s="1350"/>
      <c r="B211" s="1350"/>
      <c r="C211" s="1350"/>
      <c r="D211" s="1350"/>
      <c r="E211" s="1350"/>
      <c r="F211" s="1350"/>
      <c r="G211" s="1350"/>
      <c r="H211" s="1350"/>
      <c r="I211" s="1350"/>
      <c r="J211" s="1350"/>
      <c r="K211" s="1350"/>
      <c r="L211" s="1350"/>
      <c r="M211" s="1350"/>
      <c r="N211" s="1350"/>
      <c r="O211" s="1350"/>
      <c r="P211" s="1354"/>
      <c r="Q211" s="1355"/>
      <c r="R211" s="1355"/>
      <c r="S211" s="1350"/>
      <c r="T211" s="1349"/>
      <c r="U211" s="1348"/>
      <c r="V211" s="1348"/>
      <c r="W211" s="1349"/>
      <c r="X211" s="1350"/>
      <c r="Y211" s="1350"/>
      <c r="Z211" s="1349"/>
      <c r="AA211" s="1351"/>
      <c r="AB211" s="1350"/>
      <c r="AC211" s="1350"/>
      <c r="AD211" s="1350"/>
      <c r="AE211" s="1350"/>
      <c r="AF211" s="1350"/>
      <c r="AG211" s="1350"/>
      <c r="AH211" s="1350"/>
      <c r="AI211" s="1350"/>
      <c r="AJ211" s="1350"/>
      <c r="AK211" s="1350"/>
    </row>
    <row r="212">
      <c r="A212" s="1350"/>
      <c r="B212" s="1350"/>
      <c r="C212" s="1350"/>
      <c r="D212" s="1350"/>
      <c r="E212" s="1350"/>
      <c r="F212" s="1350"/>
      <c r="G212" s="1350"/>
      <c r="H212" s="1350"/>
      <c r="I212" s="1350"/>
      <c r="J212" s="1350"/>
      <c r="K212" s="1350"/>
      <c r="L212" s="1350"/>
      <c r="M212" s="1350"/>
      <c r="N212" s="1350"/>
      <c r="O212" s="1350"/>
      <c r="P212" s="1354"/>
      <c r="Q212" s="1355"/>
      <c r="R212" s="1355"/>
      <c r="S212" s="1350"/>
      <c r="T212" s="1349"/>
      <c r="U212" s="1348"/>
      <c r="V212" s="1348"/>
      <c r="W212" s="1349"/>
      <c r="X212" s="1350"/>
      <c r="Y212" s="1350"/>
      <c r="Z212" s="1349"/>
      <c r="AA212" s="1351"/>
      <c r="AB212" s="1350"/>
      <c r="AC212" s="1350"/>
      <c r="AD212" s="1350"/>
      <c r="AE212" s="1350"/>
      <c r="AF212" s="1350"/>
      <c r="AG212" s="1350"/>
      <c r="AH212" s="1350"/>
      <c r="AI212" s="1350"/>
      <c r="AJ212" s="1350"/>
      <c r="AK212" s="1350"/>
    </row>
    <row r="213">
      <c r="A213" s="1350"/>
      <c r="B213" s="1350"/>
      <c r="C213" s="1350"/>
      <c r="D213" s="1350"/>
      <c r="E213" s="1350"/>
      <c r="F213" s="1350"/>
      <c r="G213" s="1350"/>
      <c r="H213" s="1350"/>
      <c r="I213" s="1350"/>
      <c r="J213" s="1350"/>
      <c r="K213" s="1350"/>
      <c r="L213" s="1350"/>
      <c r="M213" s="1350"/>
      <c r="N213" s="1350"/>
      <c r="O213" s="1350"/>
      <c r="P213" s="1354"/>
      <c r="Q213" s="1355"/>
      <c r="R213" s="1355"/>
      <c r="S213" s="1350"/>
      <c r="T213" s="1349"/>
      <c r="U213" s="1348"/>
      <c r="V213" s="1348"/>
      <c r="W213" s="1349"/>
      <c r="X213" s="1350"/>
      <c r="Y213" s="1350"/>
      <c r="Z213" s="1349"/>
      <c r="AA213" s="1351"/>
      <c r="AB213" s="1350"/>
      <c r="AC213" s="1350"/>
      <c r="AD213" s="1350"/>
      <c r="AE213" s="1350"/>
      <c r="AF213" s="1350"/>
      <c r="AG213" s="1350"/>
      <c r="AH213" s="1350"/>
      <c r="AI213" s="1350"/>
      <c r="AJ213" s="1350"/>
      <c r="AK213" s="1350"/>
    </row>
    <row r="214">
      <c r="A214" s="1350"/>
      <c r="B214" s="1350"/>
      <c r="C214" s="1350"/>
      <c r="D214" s="1350"/>
      <c r="E214" s="1350"/>
      <c r="F214" s="1350"/>
      <c r="G214" s="1350"/>
      <c r="H214" s="1350"/>
      <c r="I214" s="1350"/>
      <c r="J214" s="1350"/>
      <c r="K214" s="1350"/>
      <c r="L214" s="1350"/>
      <c r="M214" s="1350"/>
      <c r="N214" s="1350"/>
      <c r="O214" s="1350"/>
      <c r="P214" s="1354"/>
      <c r="Q214" s="1355"/>
      <c r="R214" s="1355"/>
      <c r="S214" s="1350"/>
      <c r="T214" s="1349"/>
      <c r="U214" s="1348"/>
      <c r="V214" s="1348"/>
      <c r="W214" s="1349"/>
      <c r="X214" s="1350"/>
      <c r="Y214" s="1350"/>
      <c r="Z214" s="1349"/>
      <c r="AA214" s="1351"/>
      <c r="AB214" s="1350"/>
      <c r="AC214" s="1350"/>
      <c r="AD214" s="1350"/>
      <c r="AE214" s="1350"/>
      <c r="AF214" s="1350"/>
      <c r="AG214" s="1350"/>
      <c r="AH214" s="1350"/>
      <c r="AI214" s="1350"/>
      <c r="AJ214" s="1350"/>
      <c r="AK214" s="1350"/>
    </row>
    <row r="215">
      <c r="A215" s="1350"/>
      <c r="B215" s="1350"/>
      <c r="C215" s="1350"/>
      <c r="D215" s="1350"/>
      <c r="E215" s="1350"/>
      <c r="F215" s="1350"/>
      <c r="G215" s="1350"/>
      <c r="H215" s="1350"/>
      <c r="I215" s="1350"/>
      <c r="J215" s="1350"/>
      <c r="K215" s="1350"/>
      <c r="L215" s="1350"/>
      <c r="M215" s="1350"/>
      <c r="N215" s="1350"/>
      <c r="O215" s="1350"/>
      <c r="P215" s="1354"/>
      <c r="Q215" s="1355"/>
      <c r="R215" s="1355"/>
      <c r="S215" s="1350"/>
      <c r="T215" s="1349"/>
      <c r="U215" s="1348"/>
      <c r="V215" s="1348"/>
      <c r="W215" s="1349"/>
      <c r="X215" s="1350"/>
      <c r="Y215" s="1350"/>
      <c r="Z215" s="1349"/>
      <c r="AA215" s="1351"/>
      <c r="AB215" s="1350"/>
      <c r="AC215" s="1350"/>
      <c r="AD215" s="1350"/>
      <c r="AE215" s="1350"/>
      <c r="AF215" s="1350"/>
      <c r="AG215" s="1350"/>
      <c r="AH215" s="1350"/>
      <c r="AI215" s="1350"/>
      <c r="AJ215" s="1350"/>
      <c r="AK215" s="1350"/>
    </row>
    <row r="216">
      <c r="A216" s="1350"/>
      <c r="B216" s="1350"/>
      <c r="C216" s="1350"/>
      <c r="D216" s="1350"/>
      <c r="E216" s="1350"/>
      <c r="F216" s="1350"/>
      <c r="G216" s="1350"/>
      <c r="H216" s="1350"/>
      <c r="I216" s="1350"/>
      <c r="J216" s="1350"/>
      <c r="K216" s="1350"/>
      <c r="L216" s="1350"/>
      <c r="M216" s="1350"/>
      <c r="N216" s="1350"/>
      <c r="O216" s="1350"/>
      <c r="P216" s="1354"/>
      <c r="Q216" s="1355"/>
      <c r="R216" s="1355"/>
      <c r="S216" s="1350"/>
      <c r="T216" s="1349"/>
      <c r="U216" s="1348"/>
      <c r="V216" s="1348"/>
      <c r="W216" s="1349"/>
      <c r="X216" s="1350"/>
      <c r="Y216" s="1350"/>
      <c r="Z216" s="1349"/>
      <c r="AA216" s="1351"/>
      <c r="AB216" s="1350"/>
      <c r="AC216" s="1350"/>
      <c r="AD216" s="1350"/>
      <c r="AE216" s="1350"/>
      <c r="AF216" s="1350"/>
      <c r="AG216" s="1350"/>
      <c r="AH216" s="1350"/>
      <c r="AI216" s="1350"/>
      <c r="AJ216" s="1350"/>
      <c r="AK216" s="1350"/>
    </row>
    <row r="217">
      <c r="A217" s="1350"/>
      <c r="B217" s="1350"/>
      <c r="C217" s="1350"/>
      <c r="D217" s="1350"/>
      <c r="E217" s="1350"/>
      <c r="F217" s="1350"/>
      <c r="G217" s="1350"/>
      <c r="H217" s="1350"/>
      <c r="I217" s="1350"/>
      <c r="J217" s="1350"/>
      <c r="K217" s="1350"/>
      <c r="L217" s="1350"/>
      <c r="M217" s="1350"/>
      <c r="N217" s="1350"/>
      <c r="O217" s="1350"/>
      <c r="P217" s="1354"/>
      <c r="Q217" s="1355"/>
      <c r="R217" s="1355"/>
      <c r="S217" s="1350"/>
      <c r="T217" s="1349"/>
      <c r="U217" s="1348"/>
      <c r="V217" s="1348"/>
      <c r="W217" s="1349"/>
      <c r="X217" s="1350"/>
      <c r="Y217" s="1350"/>
      <c r="Z217" s="1349"/>
      <c r="AA217" s="1351"/>
      <c r="AB217" s="1350"/>
      <c r="AC217" s="1350"/>
      <c r="AD217" s="1350"/>
      <c r="AE217" s="1350"/>
      <c r="AF217" s="1350"/>
      <c r="AG217" s="1350"/>
      <c r="AH217" s="1350"/>
      <c r="AI217" s="1350"/>
      <c r="AJ217" s="1350"/>
      <c r="AK217" s="1350"/>
    </row>
    <row r="218">
      <c r="A218" s="1350"/>
      <c r="B218" s="1350"/>
      <c r="C218" s="1350"/>
      <c r="D218" s="1350"/>
      <c r="E218" s="1350"/>
      <c r="F218" s="1350"/>
      <c r="G218" s="1350"/>
      <c r="H218" s="1350"/>
      <c r="I218" s="1350"/>
      <c r="J218" s="1350"/>
      <c r="K218" s="1350"/>
      <c r="L218" s="1350"/>
      <c r="M218" s="1350"/>
      <c r="N218" s="1350"/>
      <c r="O218" s="1350"/>
      <c r="P218" s="1354"/>
      <c r="Q218" s="1355"/>
      <c r="R218" s="1355"/>
      <c r="S218" s="1350"/>
      <c r="T218" s="1349"/>
      <c r="U218" s="1348"/>
      <c r="V218" s="1348"/>
      <c r="W218" s="1349"/>
      <c r="X218" s="1350"/>
      <c r="Y218" s="1350"/>
      <c r="Z218" s="1349"/>
      <c r="AA218" s="1351"/>
      <c r="AB218" s="1350"/>
      <c r="AC218" s="1350"/>
      <c r="AD218" s="1350"/>
      <c r="AE218" s="1350"/>
      <c r="AF218" s="1350"/>
      <c r="AG218" s="1350"/>
      <c r="AH218" s="1350"/>
      <c r="AI218" s="1350"/>
      <c r="AJ218" s="1350"/>
      <c r="AK218" s="1350"/>
    </row>
    <row r="219">
      <c r="A219" s="1350"/>
      <c r="B219" s="1350"/>
      <c r="C219" s="1350"/>
      <c r="D219" s="1350"/>
      <c r="E219" s="1350"/>
      <c r="F219" s="1350"/>
      <c r="G219" s="1350"/>
      <c r="H219" s="1350"/>
      <c r="I219" s="1350"/>
      <c r="J219" s="1350"/>
      <c r="K219" s="1350"/>
      <c r="L219" s="1350"/>
      <c r="M219" s="1350"/>
      <c r="N219" s="1350"/>
      <c r="O219" s="1350"/>
      <c r="P219" s="1354"/>
      <c r="Q219" s="1355"/>
      <c r="R219" s="1355"/>
      <c r="S219" s="1350"/>
      <c r="T219" s="1349"/>
      <c r="U219" s="1348"/>
      <c r="V219" s="1348"/>
      <c r="W219" s="1349"/>
      <c r="X219" s="1350"/>
      <c r="Y219" s="1350"/>
      <c r="Z219" s="1349"/>
      <c r="AA219" s="1351"/>
      <c r="AB219" s="1350"/>
      <c r="AC219" s="1350"/>
      <c r="AD219" s="1350"/>
      <c r="AE219" s="1350"/>
      <c r="AF219" s="1350"/>
      <c r="AG219" s="1350"/>
      <c r="AH219" s="1350"/>
      <c r="AI219" s="1350"/>
      <c r="AJ219" s="1350"/>
      <c r="AK219" s="1350"/>
    </row>
    <row r="220">
      <c r="A220" s="1350"/>
      <c r="B220" s="1350"/>
      <c r="C220" s="1350"/>
      <c r="D220" s="1350"/>
      <c r="E220" s="1350"/>
      <c r="F220" s="1350"/>
      <c r="G220" s="1350"/>
      <c r="H220" s="1350"/>
      <c r="I220" s="1350"/>
      <c r="J220" s="1350"/>
      <c r="K220" s="1350"/>
      <c r="L220" s="1350"/>
      <c r="M220" s="1350"/>
      <c r="N220" s="1350"/>
      <c r="O220" s="1350"/>
      <c r="P220" s="1354"/>
      <c r="Q220" s="1355"/>
      <c r="R220" s="1355"/>
      <c r="S220" s="1350"/>
      <c r="T220" s="1349"/>
      <c r="U220" s="1348"/>
      <c r="V220" s="1348"/>
      <c r="W220" s="1349"/>
      <c r="X220" s="1350"/>
      <c r="Y220" s="1350"/>
      <c r="Z220" s="1349"/>
      <c r="AA220" s="1351"/>
      <c r="AB220" s="1350"/>
      <c r="AC220" s="1350"/>
      <c r="AD220" s="1350"/>
      <c r="AE220" s="1350"/>
      <c r="AF220" s="1350"/>
      <c r="AG220" s="1350"/>
      <c r="AH220" s="1350"/>
      <c r="AI220" s="1350"/>
      <c r="AJ220" s="1350"/>
      <c r="AK220" s="1350"/>
    </row>
    <row r="221">
      <c r="A221" s="1350"/>
      <c r="B221" s="1350"/>
      <c r="C221" s="1350"/>
      <c r="D221" s="1350"/>
      <c r="E221" s="1350"/>
      <c r="F221" s="1350"/>
      <c r="G221" s="1350"/>
      <c r="H221" s="1350"/>
      <c r="I221" s="1350"/>
      <c r="J221" s="1350"/>
      <c r="K221" s="1350"/>
      <c r="L221" s="1350"/>
      <c r="M221" s="1350"/>
      <c r="N221" s="1350"/>
      <c r="O221" s="1350"/>
      <c r="P221" s="1354"/>
      <c r="Q221" s="1355"/>
      <c r="R221" s="1355"/>
      <c r="S221" s="1350"/>
      <c r="T221" s="1349"/>
      <c r="U221" s="1348"/>
      <c r="V221" s="1348"/>
      <c r="W221" s="1349"/>
      <c r="X221" s="1350"/>
      <c r="Y221" s="1350"/>
      <c r="Z221" s="1349"/>
      <c r="AA221" s="1351"/>
      <c r="AB221" s="1350"/>
      <c r="AC221" s="1350"/>
      <c r="AD221" s="1350"/>
      <c r="AE221" s="1350"/>
      <c r="AF221" s="1350"/>
      <c r="AG221" s="1350"/>
      <c r="AH221" s="1350"/>
      <c r="AI221" s="1350"/>
      <c r="AJ221" s="1350"/>
      <c r="AK221" s="1350"/>
    </row>
    <row r="222">
      <c r="A222" s="1350"/>
      <c r="B222" s="1350"/>
      <c r="C222" s="1350"/>
      <c r="D222" s="1350"/>
      <c r="E222" s="1350"/>
      <c r="F222" s="1350"/>
      <c r="G222" s="1350"/>
      <c r="H222" s="1350"/>
      <c r="I222" s="1350"/>
      <c r="J222" s="1350"/>
      <c r="K222" s="1350"/>
      <c r="L222" s="1350"/>
      <c r="M222" s="1350"/>
      <c r="N222" s="1350"/>
      <c r="O222" s="1350"/>
      <c r="P222" s="1354"/>
      <c r="Q222" s="1355"/>
      <c r="R222" s="1355"/>
      <c r="S222" s="1350"/>
      <c r="T222" s="1349"/>
      <c r="U222" s="1348"/>
      <c r="V222" s="1348"/>
      <c r="W222" s="1349"/>
      <c r="X222" s="1350"/>
      <c r="Y222" s="1350"/>
      <c r="Z222" s="1349"/>
      <c r="AA222" s="1351"/>
      <c r="AB222" s="1350"/>
      <c r="AC222" s="1350"/>
      <c r="AD222" s="1350"/>
      <c r="AE222" s="1350"/>
      <c r="AF222" s="1350"/>
      <c r="AG222" s="1350"/>
      <c r="AH222" s="1350"/>
      <c r="AI222" s="1350"/>
      <c r="AJ222" s="1350"/>
      <c r="AK222" s="1350"/>
    </row>
    <row r="223">
      <c r="A223" s="1350"/>
      <c r="B223" s="1350"/>
      <c r="C223" s="1350"/>
      <c r="D223" s="1350"/>
      <c r="E223" s="1350"/>
      <c r="F223" s="1350"/>
      <c r="G223" s="1350"/>
      <c r="H223" s="1350"/>
      <c r="I223" s="1350"/>
      <c r="J223" s="1350"/>
      <c r="K223" s="1350"/>
      <c r="L223" s="1350"/>
      <c r="M223" s="1350"/>
      <c r="N223" s="1350"/>
      <c r="O223" s="1350"/>
      <c r="P223" s="1354"/>
      <c r="Q223" s="1355"/>
      <c r="R223" s="1355"/>
      <c r="S223" s="1350"/>
      <c r="T223" s="1349"/>
      <c r="U223" s="1348"/>
      <c r="V223" s="1348"/>
      <c r="W223" s="1349"/>
      <c r="X223" s="1350"/>
      <c r="Y223" s="1350"/>
      <c r="Z223" s="1349"/>
      <c r="AA223" s="1351"/>
      <c r="AB223" s="1350"/>
      <c r="AC223" s="1350"/>
      <c r="AD223" s="1350"/>
      <c r="AE223" s="1350"/>
      <c r="AF223" s="1350"/>
      <c r="AG223" s="1350"/>
      <c r="AH223" s="1350"/>
      <c r="AI223" s="1350"/>
      <c r="AJ223" s="1350"/>
      <c r="AK223" s="1350"/>
    </row>
    <row r="224">
      <c r="A224" s="1350"/>
      <c r="B224" s="1350"/>
      <c r="C224" s="1350"/>
      <c r="D224" s="1350"/>
      <c r="E224" s="1350"/>
      <c r="F224" s="1350"/>
      <c r="G224" s="1350"/>
      <c r="H224" s="1350"/>
      <c r="I224" s="1350"/>
      <c r="J224" s="1350"/>
      <c r="K224" s="1350"/>
      <c r="L224" s="1350"/>
      <c r="M224" s="1350"/>
      <c r="N224" s="1350"/>
      <c r="O224" s="1350"/>
      <c r="P224" s="1354"/>
      <c r="Q224" s="1355"/>
      <c r="R224" s="1355"/>
      <c r="S224" s="1350"/>
      <c r="T224" s="1349"/>
      <c r="U224" s="1348"/>
      <c r="V224" s="1348"/>
      <c r="W224" s="1349"/>
      <c r="X224" s="1350"/>
      <c r="Y224" s="1350"/>
      <c r="Z224" s="1349"/>
      <c r="AA224" s="1351"/>
      <c r="AB224" s="1350"/>
      <c r="AC224" s="1350"/>
      <c r="AD224" s="1350"/>
      <c r="AE224" s="1350"/>
      <c r="AF224" s="1350"/>
      <c r="AG224" s="1350"/>
      <c r="AH224" s="1350"/>
      <c r="AI224" s="1350"/>
      <c r="AJ224" s="1350"/>
      <c r="AK224" s="1350"/>
    </row>
    <row r="225">
      <c r="A225" s="1350"/>
      <c r="B225" s="1350"/>
      <c r="C225" s="1350"/>
      <c r="D225" s="1350"/>
      <c r="E225" s="1350"/>
      <c r="F225" s="1350"/>
      <c r="G225" s="1350"/>
      <c r="H225" s="1350"/>
      <c r="I225" s="1350"/>
      <c r="J225" s="1350"/>
      <c r="K225" s="1350"/>
      <c r="L225" s="1350"/>
      <c r="M225" s="1350"/>
      <c r="N225" s="1350"/>
      <c r="O225" s="1350"/>
      <c r="P225" s="1354"/>
      <c r="Q225" s="1355"/>
      <c r="R225" s="1355"/>
      <c r="S225" s="1350"/>
      <c r="T225" s="1349"/>
      <c r="U225" s="1348"/>
      <c r="V225" s="1348"/>
      <c r="W225" s="1349"/>
      <c r="X225" s="1350"/>
      <c r="Y225" s="1350"/>
      <c r="Z225" s="1349"/>
      <c r="AA225" s="1351"/>
      <c r="AB225" s="1350"/>
      <c r="AC225" s="1350"/>
      <c r="AD225" s="1350"/>
      <c r="AE225" s="1350"/>
      <c r="AF225" s="1350"/>
      <c r="AG225" s="1350"/>
      <c r="AH225" s="1350"/>
      <c r="AI225" s="1350"/>
      <c r="AJ225" s="1350"/>
      <c r="AK225" s="1350"/>
    </row>
    <row r="226">
      <c r="A226" s="1350"/>
      <c r="B226" s="1350"/>
      <c r="C226" s="1350"/>
      <c r="D226" s="1350"/>
      <c r="E226" s="1350"/>
      <c r="F226" s="1350"/>
      <c r="G226" s="1350"/>
      <c r="H226" s="1350"/>
      <c r="I226" s="1350"/>
      <c r="J226" s="1350"/>
      <c r="K226" s="1350"/>
      <c r="L226" s="1350"/>
      <c r="M226" s="1350"/>
      <c r="N226" s="1350"/>
      <c r="O226" s="1350"/>
      <c r="P226" s="1354"/>
      <c r="Q226" s="1355"/>
      <c r="R226" s="1355"/>
      <c r="S226" s="1350"/>
      <c r="T226" s="1349"/>
      <c r="U226" s="1348"/>
      <c r="V226" s="1348"/>
      <c r="W226" s="1349"/>
      <c r="X226" s="1350"/>
      <c r="Y226" s="1350"/>
      <c r="Z226" s="1349"/>
      <c r="AA226" s="1351"/>
      <c r="AB226" s="1350"/>
      <c r="AC226" s="1350"/>
      <c r="AD226" s="1350"/>
      <c r="AE226" s="1350"/>
      <c r="AF226" s="1350"/>
      <c r="AG226" s="1350"/>
      <c r="AH226" s="1350"/>
      <c r="AI226" s="1350"/>
      <c r="AJ226" s="1350"/>
      <c r="AK226" s="1350"/>
    </row>
    <row r="227">
      <c r="A227" s="1350"/>
      <c r="B227" s="1350"/>
      <c r="C227" s="1350"/>
      <c r="D227" s="1350"/>
      <c r="E227" s="1350"/>
      <c r="F227" s="1350"/>
      <c r="G227" s="1350"/>
      <c r="H227" s="1350"/>
      <c r="I227" s="1350"/>
      <c r="J227" s="1350"/>
      <c r="K227" s="1350"/>
      <c r="L227" s="1350"/>
      <c r="M227" s="1350"/>
      <c r="N227" s="1350"/>
      <c r="O227" s="1350"/>
      <c r="P227" s="1354"/>
      <c r="Q227" s="1355"/>
      <c r="R227" s="1355"/>
      <c r="S227" s="1350"/>
      <c r="T227" s="1349"/>
      <c r="U227" s="1348"/>
      <c r="V227" s="1348"/>
      <c r="W227" s="1349"/>
      <c r="X227" s="1350"/>
      <c r="Y227" s="1350"/>
      <c r="Z227" s="1349"/>
      <c r="AA227" s="1351"/>
      <c r="AB227" s="1350"/>
      <c r="AC227" s="1350"/>
      <c r="AD227" s="1350"/>
      <c r="AE227" s="1350"/>
      <c r="AF227" s="1350"/>
      <c r="AG227" s="1350"/>
      <c r="AH227" s="1350"/>
      <c r="AI227" s="1350"/>
      <c r="AJ227" s="1350"/>
      <c r="AK227" s="1350"/>
    </row>
    <row r="228">
      <c r="A228" s="1350"/>
      <c r="B228" s="1350"/>
      <c r="C228" s="1350"/>
      <c r="D228" s="1350"/>
      <c r="E228" s="1350"/>
      <c r="F228" s="1350"/>
      <c r="G228" s="1350"/>
      <c r="H228" s="1350"/>
      <c r="I228" s="1350"/>
      <c r="J228" s="1350"/>
      <c r="K228" s="1350"/>
      <c r="L228" s="1350"/>
      <c r="M228" s="1350"/>
      <c r="N228" s="1350"/>
      <c r="O228" s="1350"/>
      <c r="P228" s="1354"/>
      <c r="Q228" s="1355"/>
      <c r="R228" s="1355"/>
      <c r="S228" s="1350"/>
      <c r="T228" s="1349"/>
      <c r="U228" s="1348"/>
      <c r="V228" s="1348"/>
      <c r="W228" s="1349"/>
      <c r="X228" s="1350"/>
      <c r="Y228" s="1350"/>
      <c r="Z228" s="1349"/>
      <c r="AA228" s="1351"/>
      <c r="AB228" s="1350"/>
      <c r="AC228" s="1350"/>
      <c r="AD228" s="1350"/>
      <c r="AE228" s="1350"/>
      <c r="AF228" s="1350"/>
      <c r="AG228" s="1350"/>
      <c r="AH228" s="1350"/>
      <c r="AI228" s="1350"/>
      <c r="AJ228" s="1350"/>
      <c r="AK228" s="1350"/>
    </row>
    <row r="229">
      <c r="A229" s="1350"/>
      <c r="B229" s="1350"/>
      <c r="C229" s="1350"/>
      <c r="D229" s="1350"/>
      <c r="E229" s="1350"/>
      <c r="F229" s="1350"/>
      <c r="G229" s="1350"/>
      <c r="H229" s="1350"/>
      <c r="I229" s="1350"/>
      <c r="J229" s="1350"/>
      <c r="K229" s="1350"/>
      <c r="L229" s="1350"/>
      <c r="M229" s="1350"/>
      <c r="N229" s="1350"/>
      <c r="O229" s="1350"/>
      <c r="P229" s="1354"/>
      <c r="Q229" s="1355"/>
      <c r="R229" s="1355"/>
      <c r="S229" s="1350"/>
      <c r="T229" s="1349"/>
      <c r="U229" s="1348"/>
      <c r="V229" s="1348"/>
      <c r="W229" s="1349"/>
      <c r="X229" s="1350"/>
      <c r="Y229" s="1350"/>
      <c r="Z229" s="1349"/>
      <c r="AA229" s="1351"/>
      <c r="AB229" s="1350"/>
      <c r="AC229" s="1350"/>
      <c r="AD229" s="1350"/>
      <c r="AE229" s="1350"/>
      <c r="AF229" s="1350"/>
      <c r="AG229" s="1350"/>
      <c r="AH229" s="1350"/>
      <c r="AI229" s="1350"/>
      <c r="AJ229" s="1350"/>
      <c r="AK229" s="1350"/>
    </row>
    <row r="230">
      <c r="A230" s="1350"/>
      <c r="B230" s="1350"/>
      <c r="C230" s="1350"/>
      <c r="D230" s="1350"/>
      <c r="E230" s="1350"/>
      <c r="F230" s="1350"/>
      <c r="G230" s="1350"/>
      <c r="H230" s="1350"/>
      <c r="I230" s="1350"/>
      <c r="J230" s="1350"/>
      <c r="K230" s="1350"/>
      <c r="L230" s="1350"/>
      <c r="M230" s="1350"/>
      <c r="N230" s="1350"/>
      <c r="O230" s="1350"/>
      <c r="P230" s="1354"/>
      <c r="Q230" s="1355"/>
      <c r="R230" s="1355"/>
      <c r="S230" s="1350"/>
      <c r="T230" s="1349"/>
      <c r="U230" s="1348"/>
      <c r="V230" s="1348"/>
      <c r="W230" s="1349"/>
      <c r="X230" s="1350"/>
      <c r="Y230" s="1350"/>
      <c r="Z230" s="1349"/>
      <c r="AA230" s="1351"/>
      <c r="AB230" s="1350"/>
      <c r="AC230" s="1350"/>
      <c r="AD230" s="1350"/>
      <c r="AE230" s="1350"/>
      <c r="AF230" s="1350"/>
      <c r="AG230" s="1350"/>
      <c r="AH230" s="1350"/>
      <c r="AI230" s="1350"/>
      <c r="AJ230" s="1350"/>
      <c r="AK230" s="1350"/>
    </row>
    <row r="231">
      <c r="A231" s="1350"/>
      <c r="B231" s="1350"/>
      <c r="C231" s="1350"/>
      <c r="D231" s="1350"/>
      <c r="E231" s="1350"/>
      <c r="F231" s="1350"/>
      <c r="G231" s="1350"/>
      <c r="H231" s="1350"/>
      <c r="I231" s="1350"/>
      <c r="J231" s="1350"/>
      <c r="K231" s="1350"/>
      <c r="L231" s="1350"/>
      <c r="M231" s="1350"/>
      <c r="N231" s="1350"/>
      <c r="O231" s="1350"/>
      <c r="P231" s="1354"/>
      <c r="Q231" s="1355"/>
      <c r="R231" s="1355"/>
      <c r="S231" s="1350"/>
      <c r="T231" s="1349"/>
      <c r="U231" s="1348"/>
      <c r="V231" s="1348"/>
      <c r="W231" s="1349"/>
      <c r="X231" s="1350"/>
      <c r="Y231" s="1350"/>
      <c r="Z231" s="1349"/>
      <c r="AA231" s="1351"/>
      <c r="AB231" s="1350"/>
      <c r="AC231" s="1350"/>
      <c r="AD231" s="1350"/>
      <c r="AE231" s="1350"/>
      <c r="AF231" s="1350"/>
      <c r="AG231" s="1350"/>
      <c r="AH231" s="1350"/>
      <c r="AI231" s="1350"/>
      <c r="AJ231" s="1350"/>
      <c r="AK231" s="1350"/>
    </row>
    <row r="232">
      <c r="A232" s="1350"/>
      <c r="B232" s="1350"/>
      <c r="C232" s="1350"/>
      <c r="D232" s="1350"/>
      <c r="E232" s="1350"/>
      <c r="F232" s="1350"/>
      <c r="G232" s="1350"/>
      <c r="H232" s="1350"/>
      <c r="I232" s="1350"/>
      <c r="J232" s="1350"/>
      <c r="K232" s="1350"/>
      <c r="L232" s="1350"/>
      <c r="M232" s="1350"/>
      <c r="N232" s="1350"/>
      <c r="O232" s="1350"/>
      <c r="P232" s="1354"/>
      <c r="Q232" s="1355"/>
      <c r="R232" s="1355"/>
      <c r="S232" s="1350"/>
      <c r="T232" s="1349"/>
      <c r="U232" s="1348"/>
      <c r="V232" s="1348"/>
      <c r="W232" s="1349"/>
      <c r="X232" s="1350"/>
      <c r="Y232" s="1350"/>
      <c r="Z232" s="1349"/>
      <c r="AA232" s="1351"/>
      <c r="AB232" s="1350"/>
      <c r="AC232" s="1350"/>
      <c r="AD232" s="1350"/>
      <c r="AE232" s="1350"/>
      <c r="AF232" s="1350"/>
      <c r="AG232" s="1350"/>
      <c r="AH232" s="1350"/>
      <c r="AI232" s="1350"/>
      <c r="AJ232" s="1350"/>
      <c r="AK232" s="1350"/>
    </row>
    <row r="233">
      <c r="A233" s="1350"/>
      <c r="B233" s="1350"/>
      <c r="C233" s="1350"/>
      <c r="D233" s="1350"/>
      <c r="E233" s="1350"/>
      <c r="F233" s="1350"/>
      <c r="G233" s="1350"/>
      <c r="H233" s="1350"/>
      <c r="I233" s="1350"/>
      <c r="J233" s="1350"/>
      <c r="K233" s="1350"/>
      <c r="L233" s="1350"/>
      <c r="M233" s="1350"/>
      <c r="N233" s="1350"/>
      <c r="O233" s="1350"/>
      <c r="P233" s="1354"/>
      <c r="Q233" s="1355"/>
      <c r="R233" s="1355"/>
      <c r="S233" s="1350"/>
      <c r="T233" s="1349"/>
      <c r="U233" s="1348"/>
      <c r="V233" s="1348"/>
      <c r="W233" s="1349"/>
      <c r="X233" s="1350"/>
      <c r="Y233" s="1350"/>
      <c r="Z233" s="1349"/>
      <c r="AA233" s="1351"/>
      <c r="AB233" s="1350"/>
      <c r="AC233" s="1350"/>
      <c r="AD233" s="1350"/>
      <c r="AE233" s="1350"/>
      <c r="AF233" s="1350"/>
      <c r="AG233" s="1350"/>
      <c r="AH233" s="1350"/>
      <c r="AI233" s="1350"/>
      <c r="AJ233" s="1350"/>
      <c r="AK233" s="1350"/>
    </row>
    <row r="234">
      <c r="A234" s="1350"/>
      <c r="B234" s="1350"/>
      <c r="C234" s="1350"/>
      <c r="D234" s="1350"/>
      <c r="E234" s="1350"/>
      <c r="F234" s="1350"/>
      <c r="G234" s="1350"/>
      <c r="H234" s="1350"/>
      <c r="I234" s="1350"/>
      <c r="J234" s="1350"/>
      <c r="K234" s="1350"/>
      <c r="L234" s="1350"/>
      <c r="M234" s="1350"/>
      <c r="N234" s="1350"/>
      <c r="O234" s="1350"/>
      <c r="P234" s="1354"/>
      <c r="Q234" s="1355"/>
      <c r="R234" s="1355"/>
      <c r="S234" s="1350"/>
      <c r="T234" s="1349"/>
      <c r="U234" s="1348"/>
      <c r="V234" s="1348"/>
      <c r="W234" s="1349"/>
      <c r="X234" s="1350"/>
      <c r="Y234" s="1350"/>
      <c r="Z234" s="1349"/>
      <c r="AA234" s="1351"/>
      <c r="AB234" s="1350"/>
      <c r="AC234" s="1350"/>
      <c r="AD234" s="1350"/>
      <c r="AE234" s="1350"/>
      <c r="AF234" s="1350"/>
      <c r="AG234" s="1350"/>
      <c r="AH234" s="1350"/>
      <c r="AI234" s="1350"/>
      <c r="AJ234" s="1350"/>
      <c r="AK234" s="1350"/>
    </row>
    <row r="235">
      <c r="A235" s="1350"/>
      <c r="B235" s="1350"/>
      <c r="C235" s="1350"/>
      <c r="D235" s="1350"/>
      <c r="E235" s="1350"/>
      <c r="F235" s="1350"/>
      <c r="G235" s="1350"/>
      <c r="H235" s="1350"/>
      <c r="I235" s="1350"/>
      <c r="J235" s="1350"/>
      <c r="K235" s="1350"/>
      <c r="L235" s="1350"/>
      <c r="M235" s="1350"/>
      <c r="N235" s="1350"/>
      <c r="O235" s="1350"/>
      <c r="P235" s="1354"/>
      <c r="Q235" s="1355"/>
      <c r="R235" s="1355"/>
      <c r="S235" s="1350"/>
      <c r="T235" s="1349"/>
      <c r="U235" s="1348"/>
      <c r="V235" s="1348"/>
      <c r="W235" s="1349"/>
      <c r="X235" s="1350"/>
      <c r="Y235" s="1350"/>
      <c r="Z235" s="1349"/>
      <c r="AA235" s="1351"/>
      <c r="AB235" s="1350"/>
      <c r="AC235" s="1350"/>
      <c r="AD235" s="1350"/>
      <c r="AE235" s="1350"/>
      <c r="AF235" s="1350"/>
      <c r="AG235" s="1350"/>
      <c r="AH235" s="1350"/>
      <c r="AI235" s="1350"/>
      <c r="AJ235" s="1350"/>
      <c r="AK235" s="1350"/>
    </row>
    <row r="236">
      <c r="A236" s="1350"/>
      <c r="B236" s="1350"/>
      <c r="C236" s="1350"/>
      <c r="D236" s="1350"/>
      <c r="E236" s="1350"/>
      <c r="F236" s="1350"/>
      <c r="G236" s="1350"/>
      <c r="H236" s="1350"/>
      <c r="I236" s="1350"/>
      <c r="J236" s="1350"/>
      <c r="K236" s="1350"/>
      <c r="L236" s="1350"/>
      <c r="M236" s="1350"/>
      <c r="N236" s="1350"/>
      <c r="O236" s="1350"/>
      <c r="P236" s="1354"/>
      <c r="Q236" s="1355"/>
      <c r="R236" s="1355"/>
      <c r="S236" s="1350"/>
      <c r="T236" s="1349"/>
      <c r="U236" s="1348"/>
      <c r="V236" s="1348"/>
      <c r="W236" s="1349"/>
      <c r="X236" s="1350"/>
      <c r="Y236" s="1350"/>
      <c r="Z236" s="1349"/>
      <c r="AA236" s="1351"/>
      <c r="AB236" s="1350"/>
      <c r="AC236" s="1350"/>
      <c r="AD236" s="1350"/>
      <c r="AE236" s="1350"/>
      <c r="AF236" s="1350"/>
      <c r="AG236" s="1350"/>
      <c r="AH236" s="1350"/>
      <c r="AI236" s="1350"/>
      <c r="AJ236" s="1350"/>
      <c r="AK236" s="1350"/>
    </row>
    <row r="237">
      <c r="A237" s="1350"/>
      <c r="B237" s="1350"/>
      <c r="C237" s="1350"/>
      <c r="D237" s="1350"/>
      <c r="E237" s="1350"/>
      <c r="F237" s="1350"/>
      <c r="G237" s="1350"/>
      <c r="H237" s="1350"/>
      <c r="I237" s="1350"/>
      <c r="J237" s="1350"/>
      <c r="K237" s="1350"/>
      <c r="L237" s="1350"/>
      <c r="M237" s="1350"/>
      <c r="N237" s="1350"/>
      <c r="O237" s="1350"/>
      <c r="P237" s="1354"/>
      <c r="Q237" s="1355"/>
      <c r="R237" s="1355"/>
      <c r="S237" s="1350"/>
      <c r="T237" s="1349"/>
      <c r="U237" s="1348"/>
      <c r="V237" s="1348"/>
      <c r="W237" s="1349"/>
      <c r="X237" s="1350"/>
      <c r="Y237" s="1350"/>
      <c r="Z237" s="1349"/>
      <c r="AA237" s="1351"/>
      <c r="AB237" s="1350"/>
      <c r="AC237" s="1350"/>
      <c r="AD237" s="1350"/>
      <c r="AE237" s="1350"/>
      <c r="AF237" s="1350"/>
      <c r="AG237" s="1350"/>
      <c r="AH237" s="1350"/>
      <c r="AI237" s="1350"/>
      <c r="AJ237" s="1350"/>
      <c r="AK237" s="1350"/>
    </row>
    <row r="238">
      <c r="A238" s="1350"/>
      <c r="B238" s="1350"/>
      <c r="C238" s="1350"/>
      <c r="D238" s="1350"/>
      <c r="E238" s="1350"/>
      <c r="F238" s="1350"/>
      <c r="G238" s="1350"/>
      <c r="H238" s="1350"/>
      <c r="I238" s="1350"/>
      <c r="J238" s="1350"/>
      <c r="K238" s="1350"/>
      <c r="L238" s="1350"/>
      <c r="M238" s="1350"/>
      <c r="N238" s="1350"/>
      <c r="O238" s="1350"/>
      <c r="P238" s="1354"/>
      <c r="Q238" s="1355"/>
      <c r="R238" s="1355"/>
      <c r="S238" s="1350"/>
      <c r="T238" s="1349"/>
      <c r="U238" s="1348"/>
      <c r="V238" s="1348"/>
      <c r="W238" s="1349"/>
      <c r="X238" s="1350"/>
      <c r="Y238" s="1350"/>
      <c r="Z238" s="1349"/>
      <c r="AA238" s="1351"/>
      <c r="AB238" s="1350"/>
      <c r="AC238" s="1350"/>
      <c r="AD238" s="1350"/>
      <c r="AE238" s="1350"/>
      <c r="AF238" s="1350"/>
      <c r="AG238" s="1350"/>
      <c r="AH238" s="1350"/>
      <c r="AI238" s="1350"/>
      <c r="AJ238" s="1350"/>
      <c r="AK238" s="1350"/>
    </row>
    <row r="239">
      <c r="A239" s="1350"/>
      <c r="B239" s="1350"/>
      <c r="C239" s="1350"/>
      <c r="D239" s="1350"/>
      <c r="E239" s="1350"/>
      <c r="F239" s="1350"/>
      <c r="G239" s="1350"/>
      <c r="H239" s="1350"/>
      <c r="I239" s="1350"/>
      <c r="J239" s="1350"/>
      <c r="K239" s="1350"/>
      <c r="L239" s="1350"/>
      <c r="M239" s="1350"/>
      <c r="N239" s="1350"/>
      <c r="O239" s="1350"/>
      <c r="P239" s="1354"/>
      <c r="Q239" s="1355"/>
      <c r="R239" s="1355"/>
      <c r="S239" s="1350"/>
      <c r="T239" s="1349"/>
      <c r="U239" s="1348"/>
      <c r="V239" s="1348"/>
      <c r="W239" s="1349"/>
      <c r="X239" s="1350"/>
      <c r="Y239" s="1350"/>
      <c r="Z239" s="1349"/>
      <c r="AA239" s="1351"/>
      <c r="AB239" s="1350"/>
      <c r="AC239" s="1350"/>
      <c r="AD239" s="1350"/>
      <c r="AE239" s="1350"/>
      <c r="AF239" s="1350"/>
      <c r="AG239" s="1350"/>
      <c r="AH239" s="1350"/>
      <c r="AI239" s="1350"/>
      <c r="AJ239" s="1350"/>
      <c r="AK239" s="1350"/>
    </row>
    <row r="240">
      <c r="A240" s="1350"/>
      <c r="B240" s="1350"/>
      <c r="C240" s="1350"/>
      <c r="D240" s="1350"/>
      <c r="E240" s="1350"/>
      <c r="F240" s="1350"/>
      <c r="G240" s="1350"/>
      <c r="H240" s="1350"/>
      <c r="I240" s="1350"/>
      <c r="J240" s="1350"/>
      <c r="K240" s="1350"/>
      <c r="L240" s="1350"/>
      <c r="M240" s="1350"/>
      <c r="N240" s="1350"/>
      <c r="O240" s="1350"/>
      <c r="P240" s="1354"/>
      <c r="Q240" s="1355"/>
      <c r="R240" s="1355"/>
      <c r="S240" s="1350"/>
      <c r="T240" s="1349"/>
      <c r="U240" s="1348"/>
      <c r="V240" s="1348"/>
      <c r="W240" s="1349"/>
      <c r="X240" s="1350"/>
      <c r="Y240" s="1350"/>
      <c r="Z240" s="1349"/>
      <c r="AA240" s="1351"/>
      <c r="AB240" s="1350"/>
      <c r="AC240" s="1350"/>
      <c r="AD240" s="1350"/>
      <c r="AE240" s="1350"/>
      <c r="AF240" s="1350"/>
      <c r="AG240" s="1350"/>
      <c r="AH240" s="1350"/>
      <c r="AI240" s="1350"/>
      <c r="AJ240" s="1350"/>
      <c r="AK240" s="1350"/>
    </row>
    <row r="241">
      <c r="A241" s="1350"/>
      <c r="B241" s="1350"/>
      <c r="C241" s="1350"/>
      <c r="D241" s="1350"/>
      <c r="E241" s="1350"/>
      <c r="F241" s="1350"/>
      <c r="G241" s="1350"/>
      <c r="H241" s="1350"/>
      <c r="I241" s="1350"/>
      <c r="J241" s="1350"/>
      <c r="K241" s="1350"/>
      <c r="L241" s="1350"/>
      <c r="M241" s="1350"/>
      <c r="N241" s="1350"/>
      <c r="O241" s="1350"/>
      <c r="P241" s="1354"/>
      <c r="Q241" s="1355"/>
      <c r="R241" s="1355"/>
      <c r="S241" s="1350"/>
      <c r="T241" s="1349"/>
      <c r="U241" s="1348"/>
      <c r="V241" s="1348"/>
      <c r="W241" s="1349"/>
      <c r="X241" s="1350"/>
      <c r="Y241" s="1350"/>
      <c r="Z241" s="1349"/>
      <c r="AA241" s="1351"/>
      <c r="AB241" s="1350"/>
      <c r="AC241" s="1350"/>
      <c r="AD241" s="1350"/>
      <c r="AE241" s="1350"/>
      <c r="AF241" s="1350"/>
      <c r="AG241" s="1350"/>
      <c r="AH241" s="1350"/>
      <c r="AI241" s="1350"/>
      <c r="AJ241" s="1350"/>
      <c r="AK241" s="1350"/>
    </row>
    <row r="242">
      <c r="A242" s="1350"/>
      <c r="B242" s="1350"/>
      <c r="C242" s="1350"/>
      <c r="D242" s="1350"/>
      <c r="E242" s="1350"/>
      <c r="F242" s="1350"/>
      <c r="G242" s="1350"/>
      <c r="H242" s="1350"/>
      <c r="I242" s="1350"/>
      <c r="J242" s="1350"/>
      <c r="K242" s="1350"/>
      <c r="L242" s="1350"/>
      <c r="M242" s="1350"/>
      <c r="N242" s="1350"/>
      <c r="O242" s="1350"/>
      <c r="P242" s="1354"/>
      <c r="Q242" s="1355"/>
      <c r="R242" s="1355"/>
      <c r="S242" s="1350"/>
      <c r="T242" s="1349"/>
      <c r="U242" s="1348"/>
      <c r="V242" s="1348"/>
      <c r="W242" s="1349"/>
      <c r="X242" s="1350"/>
      <c r="Y242" s="1350"/>
      <c r="Z242" s="1349"/>
      <c r="AA242" s="1351"/>
      <c r="AB242" s="1350"/>
      <c r="AC242" s="1350"/>
      <c r="AD242" s="1350"/>
      <c r="AE242" s="1350"/>
      <c r="AF242" s="1350"/>
      <c r="AG242" s="1350"/>
      <c r="AH242" s="1350"/>
      <c r="AI242" s="1350"/>
      <c r="AJ242" s="1350"/>
      <c r="AK242" s="1350"/>
    </row>
    <row r="243">
      <c r="A243" s="1350"/>
      <c r="B243" s="1350"/>
      <c r="C243" s="1350"/>
      <c r="D243" s="1350"/>
      <c r="E243" s="1350"/>
      <c r="F243" s="1350"/>
      <c r="G243" s="1350"/>
      <c r="H243" s="1350"/>
      <c r="I243" s="1350"/>
      <c r="J243" s="1350"/>
      <c r="K243" s="1350"/>
      <c r="L243" s="1350"/>
      <c r="M243" s="1350"/>
      <c r="N243" s="1350"/>
      <c r="O243" s="1350"/>
      <c r="P243" s="1354"/>
      <c r="Q243" s="1355"/>
      <c r="R243" s="1355"/>
      <c r="S243" s="1350"/>
      <c r="T243" s="1349"/>
      <c r="U243" s="1348"/>
      <c r="V243" s="1348"/>
      <c r="W243" s="1349"/>
      <c r="X243" s="1350"/>
      <c r="Y243" s="1350"/>
      <c r="Z243" s="1349"/>
      <c r="AA243" s="1351"/>
      <c r="AB243" s="1350"/>
      <c r="AC243" s="1350"/>
      <c r="AD243" s="1350"/>
      <c r="AE243" s="1350"/>
      <c r="AF243" s="1350"/>
      <c r="AG243" s="1350"/>
      <c r="AH243" s="1350"/>
      <c r="AI243" s="1350"/>
      <c r="AJ243" s="1350"/>
      <c r="AK243" s="1350"/>
    </row>
    <row r="244">
      <c r="A244" s="1350"/>
      <c r="B244" s="1350"/>
      <c r="C244" s="1350"/>
      <c r="D244" s="1350"/>
      <c r="E244" s="1350"/>
      <c r="F244" s="1350"/>
      <c r="G244" s="1350"/>
      <c r="H244" s="1350"/>
      <c r="I244" s="1350"/>
      <c r="J244" s="1350"/>
      <c r="K244" s="1350"/>
      <c r="L244" s="1350"/>
      <c r="M244" s="1350"/>
      <c r="N244" s="1350"/>
      <c r="O244" s="1350"/>
      <c r="P244" s="1354"/>
      <c r="Q244" s="1355"/>
      <c r="R244" s="1355"/>
      <c r="S244" s="1350"/>
      <c r="T244" s="1349"/>
      <c r="U244" s="1348"/>
      <c r="V244" s="1348"/>
      <c r="W244" s="1349"/>
      <c r="X244" s="1350"/>
      <c r="Y244" s="1350"/>
      <c r="Z244" s="1349"/>
      <c r="AA244" s="1351"/>
      <c r="AB244" s="1350"/>
      <c r="AC244" s="1350"/>
      <c r="AD244" s="1350"/>
      <c r="AE244" s="1350"/>
      <c r="AF244" s="1350"/>
      <c r="AG244" s="1350"/>
      <c r="AH244" s="1350"/>
      <c r="AI244" s="1350"/>
      <c r="AJ244" s="1350"/>
      <c r="AK244" s="1350"/>
    </row>
    <row r="245">
      <c r="A245" s="1350"/>
      <c r="B245" s="1350"/>
      <c r="C245" s="1350"/>
      <c r="D245" s="1350"/>
      <c r="E245" s="1350"/>
      <c r="F245" s="1350"/>
      <c r="G245" s="1350"/>
      <c r="H245" s="1350"/>
      <c r="I245" s="1350"/>
      <c r="J245" s="1350"/>
      <c r="K245" s="1350"/>
      <c r="L245" s="1350"/>
      <c r="M245" s="1350"/>
      <c r="N245" s="1350"/>
      <c r="O245" s="1350"/>
      <c r="P245" s="1354"/>
      <c r="Q245" s="1355"/>
      <c r="R245" s="1355"/>
      <c r="S245" s="1350"/>
      <c r="T245" s="1349"/>
      <c r="U245" s="1348"/>
      <c r="V245" s="1348"/>
      <c r="W245" s="1349"/>
      <c r="X245" s="1350"/>
      <c r="Y245" s="1350"/>
      <c r="Z245" s="1349"/>
      <c r="AA245" s="1351"/>
      <c r="AB245" s="1350"/>
      <c r="AC245" s="1350"/>
      <c r="AD245" s="1350"/>
      <c r="AE245" s="1350"/>
      <c r="AF245" s="1350"/>
      <c r="AG245" s="1350"/>
      <c r="AH245" s="1350"/>
      <c r="AI245" s="1350"/>
      <c r="AJ245" s="1350"/>
      <c r="AK245" s="1350"/>
    </row>
    <row r="246">
      <c r="A246" s="1350"/>
      <c r="B246" s="1350"/>
      <c r="C246" s="1350"/>
      <c r="D246" s="1350"/>
      <c r="E246" s="1350"/>
      <c r="F246" s="1350"/>
      <c r="G246" s="1350"/>
      <c r="H246" s="1350"/>
      <c r="I246" s="1350"/>
      <c r="J246" s="1350"/>
      <c r="K246" s="1350"/>
      <c r="L246" s="1350"/>
      <c r="M246" s="1350"/>
      <c r="N246" s="1350"/>
      <c r="O246" s="1350"/>
      <c r="P246" s="1354"/>
      <c r="Q246" s="1355"/>
      <c r="R246" s="1355"/>
      <c r="S246" s="1350"/>
      <c r="T246" s="1349"/>
      <c r="U246" s="1348"/>
      <c r="V246" s="1348"/>
      <c r="W246" s="1349"/>
      <c r="X246" s="1350"/>
      <c r="Y246" s="1350"/>
      <c r="Z246" s="1349"/>
      <c r="AA246" s="1351"/>
      <c r="AB246" s="1350"/>
      <c r="AC246" s="1350"/>
      <c r="AD246" s="1350"/>
      <c r="AE246" s="1350"/>
      <c r="AF246" s="1350"/>
      <c r="AG246" s="1350"/>
      <c r="AH246" s="1350"/>
      <c r="AI246" s="1350"/>
      <c r="AJ246" s="1350"/>
      <c r="AK246" s="1350"/>
    </row>
    <row r="247">
      <c r="A247" s="1350"/>
      <c r="B247" s="1350"/>
      <c r="C247" s="1350"/>
      <c r="D247" s="1350"/>
      <c r="E247" s="1350"/>
      <c r="F247" s="1350"/>
      <c r="G247" s="1350"/>
      <c r="H247" s="1350"/>
      <c r="I247" s="1350"/>
      <c r="J247" s="1350"/>
      <c r="K247" s="1350"/>
      <c r="L247" s="1350"/>
      <c r="M247" s="1350"/>
      <c r="N247" s="1350"/>
      <c r="O247" s="1350"/>
      <c r="P247" s="1354"/>
      <c r="Q247" s="1355"/>
      <c r="R247" s="1355"/>
      <c r="S247" s="1350"/>
      <c r="T247" s="1349"/>
      <c r="U247" s="1348"/>
      <c r="V247" s="1348"/>
      <c r="W247" s="1349"/>
      <c r="X247" s="1350"/>
      <c r="Y247" s="1350"/>
      <c r="Z247" s="1349"/>
      <c r="AA247" s="1351"/>
      <c r="AB247" s="1350"/>
      <c r="AC247" s="1350"/>
      <c r="AD247" s="1350"/>
      <c r="AE247" s="1350"/>
      <c r="AF247" s="1350"/>
      <c r="AG247" s="1350"/>
      <c r="AH247" s="1350"/>
      <c r="AI247" s="1350"/>
      <c r="AJ247" s="1350"/>
      <c r="AK247" s="1350"/>
    </row>
    <row r="248">
      <c r="A248" s="1350"/>
      <c r="B248" s="1350"/>
      <c r="C248" s="1350"/>
      <c r="D248" s="1350"/>
      <c r="E248" s="1350"/>
      <c r="F248" s="1350"/>
      <c r="G248" s="1350"/>
      <c r="H248" s="1350"/>
      <c r="I248" s="1350"/>
      <c r="J248" s="1350"/>
      <c r="K248" s="1350"/>
      <c r="L248" s="1350"/>
      <c r="M248" s="1350"/>
      <c r="N248" s="1350"/>
      <c r="O248" s="1350"/>
      <c r="P248" s="1354"/>
      <c r="Q248" s="1355"/>
      <c r="R248" s="1355"/>
      <c r="S248" s="1350"/>
      <c r="T248" s="1349"/>
      <c r="U248" s="1348"/>
      <c r="V248" s="1348"/>
      <c r="W248" s="1349"/>
      <c r="X248" s="1350"/>
      <c r="Y248" s="1350"/>
      <c r="Z248" s="1349"/>
      <c r="AA248" s="1351"/>
      <c r="AB248" s="1350"/>
      <c r="AC248" s="1350"/>
      <c r="AD248" s="1350"/>
      <c r="AE248" s="1350"/>
      <c r="AF248" s="1350"/>
      <c r="AG248" s="1350"/>
      <c r="AH248" s="1350"/>
      <c r="AI248" s="1350"/>
      <c r="AJ248" s="1350"/>
      <c r="AK248" s="1350"/>
    </row>
    <row r="249">
      <c r="A249" s="1350"/>
      <c r="B249" s="1350"/>
      <c r="C249" s="1350"/>
      <c r="D249" s="1350"/>
      <c r="E249" s="1350"/>
      <c r="F249" s="1350"/>
      <c r="G249" s="1350"/>
      <c r="H249" s="1350"/>
      <c r="I249" s="1350"/>
      <c r="J249" s="1350"/>
      <c r="K249" s="1350"/>
      <c r="L249" s="1350"/>
      <c r="M249" s="1350"/>
      <c r="N249" s="1350"/>
      <c r="O249" s="1350"/>
      <c r="P249" s="1354"/>
      <c r="Q249" s="1355"/>
      <c r="R249" s="1355"/>
      <c r="S249" s="1350"/>
      <c r="T249" s="1349"/>
      <c r="U249" s="1348"/>
      <c r="V249" s="1348"/>
      <c r="W249" s="1349"/>
      <c r="X249" s="1350"/>
      <c r="Y249" s="1350"/>
      <c r="Z249" s="1349"/>
      <c r="AA249" s="1351"/>
      <c r="AB249" s="1350"/>
      <c r="AC249" s="1350"/>
      <c r="AD249" s="1350"/>
      <c r="AE249" s="1350"/>
      <c r="AF249" s="1350"/>
      <c r="AG249" s="1350"/>
      <c r="AH249" s="1350"/>
      <c r="AI249" s="1350"/>
      <c r="AJ249" s="1350"/>
      <c r="AK249" s="1350"/>
    </row>
    <row r="250">
      <c r="A250" s="1350"/>
      <c r="B250" s="1350"/>
      <c r="C250" s="1350"/>
      <c r="D250" s="1350"/>
      <c r="E250" s="1350"/>
      <c r="F250" s="1350"/>
      <c r="G250" s="1350"/>
      <c r="H250" s="1350"/>
      <c r="I250" s="1350"/>
      <c r="J250" s="1350"/>
      <c r="K250" s="1350"/>
      <c r="L250" s="1350"/>
      <c r="M250" s="1350"/>
      <c r="N250" s="1350"/>
      <c r="O250" s="1350"/>
      <c r="P250" s="1354"/>
      <c r="Q250" s="1355"/>
      <c r="R250" s="1355"/>
      <c r="S250" s="1350"/>
      <c r="T250" s="1349"/>
      <c r="U250" s="1348"/>
      <c r="V250" s="1348"/>
      <c r="W250" s="1349"/>
      <c r="X250" s="1350"/>
      <c r="Y250" s="1350"/>
      <c r="Z250" s="1349"/>
      <c r="AA250" s="1351"/>
      <c r="AB250" s="1350"/>
      <c r="AC250" s="1350"/>
      <c r="AD250" s="1350"/>
      <c r="AE250" s="1350"/>
      <c r="AF250" s="1350"/>
      <c r="AG250" s="1350"/>
      <c r="AH250" s="1350"/>
      <c r="AI250" s="1350"/>
      <c r="AJ250" s="1350"/>
      <c r="AK250" s="1350"/>
    </row>
    <row r="251">
      <c r="A251" s="1350"/>
      <c r="B251" s="1350"/>
      <c r="C251" s="1350"/>
      <c r="D251" s="1350"/>
      <c r="E251" s="1350"/>
      <c r="F251" s="1350"/>
      <c r="G251" s="1350"/>
      <c r="H251" s="1350"/>
      <c r="I251" s="1350"/>
      <c r="J251" s="1350"/>
      <c r="K251" s="1350"/>
      <c r="L251" s="1350"/>
      <c r="M251" s="1350"/>
      <c r="N251" s="1350"/>
      <c r="O251" s="1350"/>
      <c r="P251" s="1354"/>
      <c r="Q251" s="1355"/>
      <c r="R251" s="1355"/>
      <c r="S251" s="1350"/>
      <c r="T251" s="1349"/>
      <c r="U251" s="1348"/>
      <c r="V251" s="1348"/>
      <c r="W251" s="1349"/>
      <c r="X251" s="1350"/>
      <c r="Y251" s="1350"/>
      <c r="Z251" s="1349"/>
      <c r="AA251" s="1351"/>
      <c r="AB251" s="1350"/>
      <c r="AC251" s="1350"/>
      <c r="AD251" s="1350"/>
      <c r="AE251" s="1350"/>
      <c r="AF251" s="1350"/>
      <c r="AG251" s="1350"/>
      <c r="AH251" s="1350"/>
      <c r="AI251" s="1350"/>
      <c r="AJ251" s="1350"/>
      <c r="AK251" s="1350"/>
    </row>
    <row r="252">
      <c r="A252" s="1350"/>
      <c r="B252" s="1350"/>
      <c r="C252" s="1350"/>
      <c r="D252" s="1350"/>
      <c r="E252" s="1350"/>
      <c r="F252" s="1350"/>
      <c r="G252" s="1350"/>
      <c r="H252" s="1350"/>
      <c r="I252" s="1350"/>
      <c r="J252" s="1350"/>
      <c r="K252" s="1350"/>
      <c r="L252" s="1350"/>
      <c r="M252" s="1350"/>
      <c r="N252" s="1350"/>
      <c r="O252" s="1350"/>
      <c r="P252" s="1354"/>
      <c r="Q252" s="1355"/>
      <c r="R252" s="1355"/>
      <c r="S252" s="1350"/>
      <c r="T252" s="1349"/>
      <c r="U252" s="1348"/>
      <c r="V252" s="1348"/>
      <c r="W252" s="1349"/>
      <c r="X252" s="1350"/>
      <c r="Y252" s="1350"/>
      <c r="Z252" s="1349"/>
      <c r="AA252" s="1351"/>
      <c r="AB252" s="1350"/>
      <c r="AC252" s="1350"/>
      <c r="AD252" s="1350"/>
      <c r="AE252" s="1350"/>
      <c r="AF252" s="1350"/>
      <c r="AG252" s="1350"/>
      <c r="AH252" s="1350"/>
      <c r="AI252" s="1350"/>
      <c r="AJ252" s="1350"/>
      <c r="AK252" s="1350"/>
    </row>
    <row r="253">
      <c r="A253" s="1350"/>
      <c r="B253" s="1350"/>
      <c r="C253" s="1350"/>
      <c r="D253" s="1350"/>
      <c r="E253" s="1350"/>
      <c r="F253" s="1350"/>
      <c r="G253" s="1350"/>
      <c r="H253" s="1350"/>
      <c r="I253" s="1350"/>
      <c r="J253" s="1350"/>
      <c r="K253" s="1350"/>
      <c r="L253" s="1350"/>
      <c r="M253" s="1350"/>
      <c r="N253" s="1350"/>
      <c r="O253" s="1350"/>
      <c r="P253" s="1354"/>
      <c r="Q253" s="1355"/>
      <c r="R253" s="1355"/>
      <c r="S253" s="1350"/>
      <c r="T253" s="1349"/>
      <c r="U253" s="1348"/>
      <c r="V253" s="1348"/>
      <c r="W253" s="1349"/>
      <c r="X253" s="1350"/>
      <c r="Y253" s="1350"/>
      <c r="Z253" s="1349"/>
      <c r="AA253" s="1351"/>
      <c r="AB253" s="1350"/>
      <c r="AC253" s="1350"/>
      <c r="AD253" s="1350"/>
      <c r="AE253" s="1350"/>
      <c r="AF253" s="1350"/>
      <c r="AG253" s="1350"/>
      <c r="AH253" s="1350"/>
      <c r="AI253" s="1350"/>
      <c r="AJ253" s="1350"/>
      <c r="AK253" s="1350"/>
    </row>
    <row r="254">
      <c r="A254" s="1350"/>
      <c r="B254" s="1350"/>
      <c r="C254" s="1350"/>
      <c r="D254" s="1350"/>
      <c r="E254" s="1350"/>
      <c r="F254" s="1350"/>
      <c r="G254" s="1350"/>
      <c r="H254" s="1350"/>
      <c r="I254" s="1350"/>
      <c r="J254" s="1350"/>
      <c r="K254" s="1350"/>
      <c r="L254" s="1350"/>
      <c r="M254" s="1350"/>
      <c r="N254" s="1350"/>
      <c r="O254" s="1350"/>
      <c r="P254" s="1354"/>
      <c r="Q254" s="1355"/>
      <c r="R254" s="1355"/>
      <c r="S254" s="1350"/>
      <c r="T254" s="1349"/>
      <c r="U254" s="1348"/>
      <c r="V254" s="1348"/>
      <c r="W254" s="1349"/>
      <c r="X254" s="1350"/>
      <c r="Y254" s="1350"/>
      <c r="Z254" s="1349"/>
      <c r="AA254" s="1351"/>
      <c r="AB254" s="1350"/>
      <c r="AC254" s="1350"/>
      <c r="AD254" s="1350"/>
      <c r="AE254" s="1350"/>
      <c r="AF254" s="1350"/>
      <c r="AG254" s="1350"/>
      <c r="AH254" s="1350"/>
      <c r="AI254" s="1350"/>
      <c r="AJ254" s="1350"/>
      <c r="AK254" s="1350"/>
    </row>
    <row r="255">
      <c r="A255" s="1350"/>
      <c r="B255" s="1350"/>
      <c r="C255" s="1350"/>
      <c r="D255" s="1350"/>
      <c r="E255" s="1350"/>
      <c r="F255" s="1350"/>
      <c r="G255" s="1350"/>
      <c r="H255" s="1350"/>
      <c r="I255" s="1350"/>
      <c r="J255" s="1350"/>
      <c r="K255" s="1350"/>
      <c r="L255" s="1350"/>
      <c r="M255" s="1350"/>
      <c r="N255" s="1350"/>
      <c r="O255" s="1350"/>
      <c r="P255" s="1354"/>
      <c r="Q255" s="1355"/>
      <c r="R255" s="1355"/>
      <c r="S255" s="1350"/>
      <c r="T255" s="1349"/>
      <c r="U255" s="1348"/>
      <c r="V255" s="1348"/>
      <c r="W255" s="1349"/>
      <c r="X255" s="1350"/>
      <c r="Y255" s="1350"/>
      <c r="Z255" s="1349"/>
      <c r="AA255" s="1351"/>
      <c r="AB255" s="1350"/>
      <c r="AC255" s="1350"/>
      <c r="AD255" s="1350"/>
      <c r="AE255" s="1350"/>
      <c r="AF255" s="1350"/>
      <c r="AG255" s="1350"/>
      <c r="AH255" s="1350"/>
      <c r="AI255" s="1350"/>
      <c r="AJ255" s="1350"/>
      <c r="AK255" s="1350"/>
    </row>
    <row r="256">
      <c r="A256" s="1350"/>
      <c r="B256" s="1350"/>
      <c r="C256" s="1350"/>
      <c r="D256" s="1350"/>
      <c r="E256" s="1350"/>
      <c r="F256" s="1350"/>
      <c r="G256" s="1350"/>
      <c r="H256" s="1350"/>
      <c r="I256" s="1350"/>
      <c r="J256" s="1350"/>
      <c r="K256" s="1350"/>
      <c r="L256" s="1350"/>
      <c r="M256" s="1350"/>
      <c r="N256" s="1350"/>
      <c r="O256" s="1350"/>
      <c r="P256" s="1354"/>
      <c r="Q256" s="1355"/>
      <c r="R256" s="1355"/>
      <c r="S256" s="1350"/>
      <c r="T256" s="1349"/>
      <c r="U256" s="1348"/>
      <c r="V256" s="1348"/>
      <c r="W256" s="1349"/>
      <c r="X256" s="1350"/>
      <c r="Y256" s="1350"/>
      <c r="Z256" s="1349"/>
      <c r="AA256" s="1351"/>
      <c r="AB256" s="1350"/>
      <c r="AC256" s="1350"/>
      <c r="AD256" s="1350"/>
      <c r="AE256" s="1350"/>
      <c r="AF256" s="1350"/>
      <c r="AG256" s="1350"/>
      <c r="AH256" s="1350"/>
      <c r="AI256" s="1350"/>
      <c r="AJ256" s="1350"/>
      <c r="AK256" s="1350"/>
    </row>
    <row r="257">
      <c r="A257" s="1350"/>
      <c r="B257" s="1350"/>
      <c r="C257" s="1350"/>
      <c r="D257" s="1350"/>
      <c r="E257" s="1350"/>
      <c r="F257" s="1350"/>
      <c r="G257" s="1350"/>
      <c r="H257" s="1350"/>
      <c r="I257" s="1350"/>
      <c r="J257" s="1350"/>
      <c r="K257" s="1350"/>
      <c r="L257" s="1350"/>
      <c r="M257" s="1350"/>
      <c r="N257" s="1350"/>
      <c r="O257" s="1350"/>
      <c r="P257" s="1354"/>
      <c r="Q257" s="1355"/>
      <c r="R257" s="1355"/>
      <c r="S257" s="1350"/>
      <c r="T257" s="1349"/>
      <c r="U257" s="1348"/>
      <c r="V257" s="1348"/>
      <c r="W257" s="1349"/>
      <c r="X257" s="1350"/>
      <c r="Y257" s="1350"/>
      <c r="Z257" s="1349"/>
      <c r="AA257" s="1351"/>
      <c r="AB257" s="1350"/>
      <c r="AC257" s="1350"/>
      <c r="AD257" s="1350"/>
      <c r="AE257" s="1350"/>
      <c r="AF257" s="1350"/>
      <c r="AG257" s="1350"/>
      <c r="AH257" s="1350"/>
      <c r="AI257" s="1350"/>
      <c r="AJ257" s="1350"/>
      <c r="AK257" s="1350"/>
    </row>
    <row r="258">
      <c r="A258" s="1350"/>
      <c r="B258" s="1350"/>
      <c r="C258" s="1350"/>
      <c r="D258" s="1350"/>
      <c r="E258" s="1350"/>
      <c r="F258" s="1350"/>
      <c r="G258" s="1350"/>
      <c r="H258" s="1350"/>
      <c r="I258" s="1350"/>
      <c r="J258" s="1350"/>
      <c r="K258" s="1350"/>
      <c r="L258" s="1350"/>
      <c r="M258" s="1350"/>
      <c r="N258" s="1350"/>
      <c r="O258" s="1350"/>
      <c r="P258" s="1354"/>
      <c r="Q258" s="1355"/>
      <c r="R258" s="1355"/>
      <c r="S258" s="1350"/>
      <c r="T258" s="1349"/>
      <c r="U258" s="1348"/>
      <c r="V258" s="1348"/>
      <c r="W258" s="1349"/>
      <c r="X258" s="1350"/>
      <c r="Y258" s="1350"/>
      <c r="Z258" s="1349"/>
      <c r="AA258" s="1351"/>
      <c r="AB258" s="1350"/>
      <c r="AC258" s="1350"/>
      <c r="AD258" s="1350"/>
      <c r="AE258" s="1350"/>
      <c r="AF258" s="1350"/>
      <c r="AG258" s="1350"/>
      <c r="AH258" s="1350"/>
      <c r="AI258" s="1350"/>
      <c r="AJ258" s="1350"/>
      <c r="AK258" s="1350"/>
    </row>
    <row r="259">
      <c r="A259" s="1350"/>
      <c r="B259" s="1350"/>
      <c r="C259" s="1350"/>
      <c r="D259" s="1350"/>
      <c r="E259" s="1350"/>
      <c r="F259" s="1350"/>
      <c r="G259" s="1350"/>
      <c r="H259" s="1350"/>
      <c r="I259" s="1350"/>
      <c r="J259" s="1350"/>
      <c r="K259" s="1350"/>
      <c r="L259" s="1350"/>
      <c r="M259" s="1350"/>
      <c r="N259" s="1350"/>
      <c r="O259" s="1350"/>
      <c r="P259" s="1354"/>
      <c r="Q259" s="1355"/>
      <c r="R259" s="1355"/>
      <c r="S259" s="1350"/>
      <c r="T259" s="1349"/>
      <c r="U259" s="1348"/>
      <c r="V259" s="1348"/>
      <c r="W259" s="1349"/>
      <c r="X259" s="1350"/>
      <c r="Y259" s="1350"/>
      <c r="Z259" s="1349"/>
      <c r="AA259" s="1351"/>
      <c r="AB259" s="1350"/>
      <c r="AC259" s="1350"/>
      <c r="AD259" s="1350"/>
      <c r="AE259" s="1350"/>
      <c r="AF259" s="1350"/>
      <c r="AG259" s="1350"/>
      <c r="AH259" s="1350"/>
      <c r="AI259" s="1350"/>
      <c r="AJ259" s="1350"/>
      <c r="AK259" s="1350"/>
    </row>
    <row r="260">
      <c r="A260" s="1350"/>
      <c r="B260" s="1350"/>
      <c r="C260" s="1350"/>
      <c r="D260" s="1350"/>
      <c r="E260" s="1350"/>
      <c r="F260" s="1350"/>
      <c r="G260" s="1350"/>
      <c r="H260" s="1350"/>
      <c r="I260" s="1350"/>
      <c r="J260" s="1350"/>
      <c r="K260" s="1350"/>
      <c r="L260" s="1350"/>
      <c r="M260" s="1350"/>
      <c r="N260" s="1350"/>
      <c r="O260" s="1350"/>
      <c r="P260" s="1354"/>
      <c r="Q260" s="1355"/>
      <c r="R260" s="1355"/>
      <c r="S260" s="1350"/>
      <c r="T260" s="1349"/>
      <c r="U260" s="1348"/>
      <c r="V260" s="1348"/>
      <c r="W260" s="1349"/>
      <c r="X260" s="1350"/>
      <c r="Y260" s="1350"/>
      <c r="Z260" s="1349"/>
      <c r="AA260" s="1351"/>
      <c r="AB260" s="1350"/>
      <c r="AC260" s="1350"/>
      <c r="AD260" s="1350"/>
      <c r="AE260" s="1350"/>
      <c r="AF260" s="1350"/>
      <c r="AG260" s="1350"/>
      <c r="AH260" s="1350"/>
      <c r="AI260" s="1350"/>
      <c r="AJ260" s="1350"/>
      <c r="AK260" s="1350"/>
    </row>
    <row r="261">
      <c r="A261" s="1350"/>
      <c r="B261" s="1350"/>
      <c r="C261" s="1350"/>
      <c r="D261" s="1350"/>
      <c r="E261" s="1350"/>
      <c r="F261" s="1350"/>
      <c r="G261" s="1350"/>
      <c r="H261" s="1350"/>
      <c r="I261" s="1350"/>
      <c r="J261" s="1350"/>
      <c r="K261" s="1350"/>
      <c r="L261" s="1350"/>
      <c r="M261" s="1350"/>
      <c r="N261" s="1350"/>
      <c r="O261" s="1350"/>
      <c r="P261" s="1354"/>
      <c r="Q261" s="1355"/>
      <c r="R261" s="1355"/>
      <c r="S261" s="1350"/>
      <c r="T261" s="1349"/>
      <c r="U261" s="1348"/>
      <c r="V261" s="1348"/>
      <c r="W261" s="1349"/>
      <c r="X261" s="1350"/>
      <c r="Y261" s="1350"/>
      <c r="Z261" s="1349"/>
      <c r="AA261" s="1351"/>
      <c r="AB261" s="1350"/>
      <c r="AC261" s="1350"/>
      <c r="AD261" s="1350"/>
      <c r="AE261" s="1350"/>
      <c r="AF261" s="1350"/>
      <c r="AG261" s="1350"/>
      <c r="AH261" s="1350"/>
      <c r="AI261" s="1350"/>
      <c r="AJ261" s="1350"/>
      <c r="AK261" s="1350"/>
    </row>
    <row r="262">
      <c r="A262" s="1350"/>
      <c r="B262" s="1350"/>
      <c r="C262" s="1350"/>
      <c r="D262" s="1350"/>
      <c r="E262" s="1350"/>
      <c r="F262" s="1350"/>
      <c r="G262" s="1350"/>
      <c r="H262" s="1350"/>
      <c r="I262" s="1350"/>
      <c r="J262" s="1350"/>
      <c r="K262" s="1350"/>
      <c r="L262" s="1350"/>
      <c r="M262" s="1350"/>
      <c r="N262" s="1350"/>
      <c r="O262" s="1350"/>
      <c r="P262" s="1354"/>
      <c r="Q262" s="1355"/>
      <c r="R262" s="1355"/>
      <c r="S262" s="1350"/>
      <c r="T262" s="1349"/>
      <c r="U262" s="1348"/>
      <c r="V262" s="1348"/>
      <c r="W262" s="1349"/>
      <c r="X262" s="1350"/>
      <c r="Y262" s="1350"/>
      <c r="Z262" s="1349"/>
      <c r="AA262" s="1351"/>
      <c r="AB262" s="1350"/>
      <c r="AC262" s="1350"/>
      <c r="AD262" s="1350"/>
      <c r="AE262" s="1350"/>
      <c r="AF262" s="1350"/>
      <c r="AG262" s="1350"/>
      <c r="AH262" s="1350"/>
      <c r="AI262" s="1350"/>
      <c r="AJ262" s="1350"/>
      <c r="AK262" s="1350"/>
    </row>
    <row r="263">
      <c r="A263" s="1350"/>
      <c r="B263" s="1350"/>
      <c r="C263" s="1350"/>
      <c r="D263" s="1350"/>
      <c r="E263" s="1350"/>
      <c r="F263" s="1350"/>
      <c r="G263" s="1350"/>
      <c r="H263" s="1350"/>
      <c r="I263" s="1350"/>
      <c r="J263" s="1350"/>
      <c r="K263" s="1350"/>
      <c r="L263" s="1350"/>
      <c r="M263" s="1350"/>
      <c r="N263" s="1350"/>
      <c r="O263" s="1350"/>
      <c r="P263" s="1354"/>
      <c r="Q263" s="1355"/>
      <c r="R263" s="1355"/>
      <c r="S263" s="1350"/>
      <c r="T263" s="1349"/>
      <c r="U263" s="1348"/>
      <c r="V263" s="1348"/>
      <c r="W263" s="1349"/>
      <c r="X263" s="1350"/>
      <c r="Y263" s="1350"/>
      <c r="Z263" s="1349"/>
      <c r="AA263" s="1351"/>
      <c r="AB263" s="1350"/>
      <c r="AC263" s="1350"/>
      <c r="AD263" s="1350"/>
      <c r="AE263" s="1350"/>
      <c r="AF263" s="1350"/>
      <c r="AG263" s="1350"/>
      <c r="AH263" s="1350"/>
      <c r="AI263" s="1350"/>
      <c r="AJ263" s="1350"/>
      <c r="AK263" s="1350"/>
    </row>
    <row r="264">
      <c r="A264" s="1350"/>
      <c r="B264" s="1350"/>
      <c r="C264" s="1350"/>
      <c r="D264" s="1350"/>
      <c r="E264" s="1350"/>
      <c r="F264" s="1350"/>
      <c r="G264" s="1350"/>
      <c r="H264" s="1350"/>
      <c r="I264" s="1350"/>
      <c r="J264" s="1350"/>
      <c r="K264" s="1350"/>
      <c r="L264" s="1350"/>
      <c r="M264" s="1350"/>
      <c r="N264" s="1350"/>
      <c r="O264" s="1350"/>
      <c r="P264" s="1354"/>
      <c r="Q264" s="1355"/>
      <c r="R264" s="1355"/>
      <c r="S264" s="1350"/>
      <c r="T264" s="1349"/>
      <c r="U264" s="1348"/>
      <c r="V264" s="1348"/>
      <c r="W264" s="1349"/>
      <c r="X264" s="1350"/>
      <c r="Y264" s="1350"/>
      <c r="Z264" s="1349"/>
      <c r="AA264" s="1351"/>
      <c r="AB264" s="1350"/>
      <c r="AC264" s="1350"/>
      <c r="AD264" s="1350"/>
      <c r="AE264" s="1350"/>
      <c r="AF264" s="1350"/>
      <c r="AG264" s="1350"/>
      <c r="AH264" s="1350"/>
      <c r="AI264" s="1350"/>
      <c r="AJ264" s="1350"/>
      <c r="AK264" s="1350"/>
    </row>
    <row r="265">
      <c r="A265" s="1350"/>
      <c r="B265" s="1350"/>
      <c r="C265" s="1350"/>
      <c r="D265" s="1350"/>
      <c r="E265" s="1350"/>
      <c r="F265" s="1350"/>
      <c r="G265" s="1350"/>
      <c r="H265" s="1350"/>
      <c r="I265" s="1350"/>
      <c r="J265" s="1350"/>
      <c r="K265" s="1350"/>
      <c r="L265" s="1350"/>
      <c r="M265" s="1350"/>
      <c r="N265" s="1350"/>
      <c r="O265" s="1350"/>
      <c r="P265" s="1354"/>
      <c r="Q265" s="1355"/>
      <c r="R265" s="1355"/>
      <c r="S265" s="1350"/>
      <c r="T265" s="1349"/>
      <c r="U265" s="1348"/>
      <c r="V265" s="1348"/>
      <c r="W265" s="1349"/>
      <c r="X265" s="1350"/>
      <c r="Y265" s="1350"/>
      <c r="Z265" s="1349"/>
      <c r="AA265" s="1351"/>
      <c r="AB265" s="1350"/>
      <c r="AC265" s="1350"/>
      <c r="AD265" s="1350"/>
      <c r="AE265" s="1350"/>
      <c r="AF265" s="1350"/>
      <c r="AG265" s="1350"/>
      <c r="AH265" s="1350"/>
      <c r="AI265" s="1350"/>
      <c r="AJ265" s="1350"/>
      <c r="AK265" s="1350"/>
    </row>
    <row r="266">
      <c r="A266" s="1350"/>
      <c r="B266" s="1350"/>
      <c r="C266" s="1350"/>
      <c r="D266" s="1350"/>
      <c r="E266" s="1350"/>
      <c r="F266" s="1350"/>
      <c r="G266" s="1350"/>
      <c r="H266" s="1350"/>
      <c r="I266" s="1350"/>
      <c r="J266" s="1350"/>
      <c r="K266" s="1350"/>
      <c r="L266" s="1350"/>
      <c r="M266" s="1350"/>
      <c r="N266" s="1350"/>
      <c r="O266" s="1350"/>
      <c r="P266" s="1354"/>
      <c r="Q266" s="1355"/>
      <c r="R266" s="1355"/>
      <c r="S266" s="1350"/>
      <c r="T266" s="1349"/>
      <c r="U266" s="1348"/>
      <c r="V266" s="1348"/>
      <c r="W266" s="1349"/>
      <c r="X266" s="1350"/>
      <c r="Y266" s="1350"/>
      <c r="Z266" s="1349"/>
      <c r="AA266" s="1351"/>
      <c r="AB266" s="1350"/>
      <c r="AC266" s="1350"/>
      <c r="AD266" s="1350"/>
      <c r="AE266" s="1350"/>
      <c r="AF266" s="1350"/>
      <c r="AG266" s="1350"/>
      <c r="AH266" s="1350"/>
      <c r="AI266" s="1350"/>
      <c r="AJ266" s="1350"/>
      <c r="AK266" s="1350"/>
    </row>
    <row r="267">
      <c r="A267" s="1350"/>
      <c r="B267" s="1350"/>
      <c r="C267" s="1350"/>
      <c r="D267" s="1350"/>
      <c r="E267" s="1350"/>
      <c r="F267" s="1350"/>
      <c r="G267" s="1350"/>
      <c r="H267" s="1350"/>
      <c r="I267" s="1350"/>
      <c r="J267" s="1350"/>
      <c r="K267" s="1350"/>
      <c r="L267" s="1350"/>
      <c r="M267" s="1350"/>
      <c r="N267" s="1350"/>
      <c r="O267" s="1350"/>
      <c r="P267" s="1354"/>
      <c r="Q267" s="1355"/>
      <c r="R267" s="1355"/>
      <c r="S267" s="1350"/>
      <c r="T267" s="1349"/>
      <c r="U267" s="1348"/>
      <c r="V267" s="1348"/>
      <c r="W267" s="1349"/>
      <c r="X267" s="1350"/>
      <c r="Y267" s="1350"/>
      <c r="Z267" s="1349"/>
      <c r="AA267" s="1351"/>
      <c r="AB267" s="1350"/>
      <c r="AC267" s="1350"/>
      <c r="AD267" s="1350"/>
      <c r="AE267" s="1350"/>
      <c r="AF267" s="1350"/>
      <c r="AG267" s="1350"/>
      <c r="AH267" s="1350"/>
      <c r="AI267" s="1350"/>
      <c r="AJ267" s="1350"/>
      <c r="AK267" s="1350"/>
    </row>
    <row r="268">
      <c r="A268" s="1350"/>
      <c r="B268" s="1350"/>
      <c r="C268" s="1350"/>
      <c r="D268" s="1350"/>
      <c r="E268" s="1350"/>
      <c r="F268" s="1350"/>
      <c r="G268" s="1350"/>
      <c r="H268" s="1350"/>
      <c r="I268" s="1350"/>
      <c r="J268" s="1350"/>
      <c r="K268" s="1350"/>
      <c r="L268" s="1350"/>
      <c r="M268" s="1350"/>
      <c r="N268" s="1350"/>
      <c r="O268" s="1350"/>
      <c r="P268" s="1354"/>
      <c r="Q268" s="1355"/>
      <c r="R268" s="1355"/>
      <c r="S268" s="1350"/>
      <c r="T268" s="1349"/>
      <c r="U268" s="1348"/>
      <c r="V268" s="1348"/>
      <c r="W268" s="1349"/>
      <c r="X268" s="1350"/>
      <c r="Y268" s="1350"/>
      <c r="Z268" s="1349"/>
      <c r="AA268" s="1351"/>
      <c r="AB268" s="1350"/>
      <c r="AC268" s="1350"/>
      <c r="AD268" s="1350"/>
      <c r="AE268" s="1350"/>
      <c r="AF268" s="1350"/>
      <c r="AG268" s="1350"/>
      <c r="AH268" s="1350"/>
      <c r="AI268" s="1350"/>
      <c r="AJ268" s="1350"/>
      <c r="AK268" s="1350"/>
    </row>
    <row r="269">
      <c r="A269" s="1350"/>
      <c r="B269" s="1350"/>
      <c r="C269" s="1350"/>
      <c r="D269" s="1350"/>
      <c r="E269" s="1350"/>
      <c r="F269" s="1350"/>
      <c r="G269" s="1350"/>
      <c r="H269" s="1350"/>
      <c r="I269" s="1350"/>
      <c r="J269" s="1350"/>
      <c r="K269" s="1350"/>
      <c r="L269" s="1350"/>
      <c r="M269" s="1350"/>
      <c r="N269" s="1350"/>
      <c r="O269" s="1350"/>
      <c r="P269" s="1354"/>
      <c r="Q269" s="1355"/>
      <c r="R269" s="1355"/>
      <c r="S269" s="1350"/>
      <c r="T269" s="1349"/>
      <c r="U269" s="1348"/>
      <c r="V269" s="1348"/>
      <c r="W269" s="1349"/>
      <c r="X269" s="1350"/>
      <c r="Y269" s="1350"/>
      <c r="Z269" s="1349"/>
      <c r="AA269" s="1351"/>
      <c r="AB269" s="1350"/>
      <c r="AC269" s="1350"/>
      <c r="AD269" s="1350"/>
      <c r="AE269" s="1350"/>
      <c r="AF269" s="1350"/>
      <c r="AG269" s="1350"/>
      <c r="AH269" s="1350"/>
      <c r="AI269" s="1350"/>
      <c r="AJ269" s="1350"/>
      <c r="AK269" s="1350"/>
    </row>
    <row r="270">
      <c r="A270" s="1350"/>
      <c r="B270" s="1350"/>
      <c r="C270" s="1350"/>
      <c r="D270" s="1350"/>
      <c r="E270" s="1350"/>
      <c r="F270" s="1350"/>
      <c r="G270" s="1350"/>
      <c r="H270" s="1350"/>
      <c r="I270" s="1350"/>
      <c r="J270" s="1350"/>
      <c r="K270" s="1350"/>
      <c r="L270" s="1350"/>
      <c r="M270" s="1350"/>
      <c r="N270" s="1350"/>
      <c r="O270" s="1350"/>
      <c r="P270" s="1354"/>
      <c r="Q270" s="1355"/>
      <c r="R270" s="1355"/>
      <c r="S270" s="1350"/>
      <c r="T270" s="1349"/>
      <c r="U270" s="1348"/>
      <c r="V270" s="1348"/>
      <c r="W270" s="1349"/>
      <c r="X270" s="1350"/>
      <c r="Y270" s="1350"/>
      <c r="Z270" s="1349"/>
      <c r="AA270" s="1351"/>
      <c r="AB270" s="1350"/>
      <c r="AC270" s="1350"/>
      <c r="AD270" s="1350"/>
      <c r="AE270" s="1350"/>
      <c r="AF270" s="1350"/>
      <c r="AG270" s="1350"/>
      <c r="AH270" s="1350"/>
      <c r="AI270" s="1350"/>
      <c r="AJ270" s="1350"/>
      <c r="AK270" s="1350"/>
    </row>
    <row r="271">
      <c r="A271" s="1350"/>
      <c r="B271" s="1350"/>
      <c r="C271" s="1350"/>
      <c r="D271" s="1350"/>
      <c r="E271" s="1350"/>
      <c r="F271" s="1350"/>
      <c r="G271" s="1350"/>
      <c r="H271" s="1350"/>
      <c r="I271" s="1350"/>
      <c r="J271" s="1350"/>
      <c r="K271" s="1350"/>
      <c r="L271" s="1350"/>
      <c r="M271" s="1350"/>
      <c r="N271" s="1350"/>
      <c r="O271" s="1350"/>
      <c r="P271" s="1354"/>
      <c r="Q271" s="1355"/>
      <c r="R271" s="1355"/>
      <c r="S271" s="1350"/>
      <c r="T271" s="1349"/>
      <c r="U271" s="1348"/>
      <c r="V271" s="1348"/>
      <c r="W271" s="1349"/>
      <c r="X271" s="1350"/>
      <c r="Y271" s="1350"/>
      <c r="Z271" s="1349"/>
      <c r="AA271" s="1351"/>
      <c r="AB271" s="1350"/>
      <c r="AC271" s="1350"/>
      <c r="AD271" s="1350"/>
      <c r="AE271" s="1350"/>
      <c r="AF271" s="1350"/>
      <c r="AG271" s="1350"/>
      <c r="AH271" s="1350"/>
      <c r="AI271" s="1350"/>
      <c r="AJ271" s="1350"/>
      <c r="AK271" s="1350"/>
    </row>
    <row r="272">
      <c r="A272" s="1350"/>
      <c r="B272" s="1350"/>
      <c r="C272" s="1350"/>
      <c r="D272" s="1350"/>
      <c r="E272" s="1350"/>
      <c r="F272" s="1350"/>
      <c r="G272" s="1350"/>
      <c r="H272" s="1350"/>
      <c r="I272" s="1350"/>
      <c r="J272" s="1350"/>
      <c r="K272" s="1350"/>
      <c r="L272" s="1350"/>
      <c r="M272" s="1350"/>
      <c r="N272" s="1350"/>
      <c r="O272" s="1350"/>
      <c r="P272" s="1354"/>
      <c r="Q272" s="1355"/>
      <c r="R272" s="1355"/>
      <c r="S272" s="1350"/>
      <c r="T272" s="1349"/>
      <c r="U272" s="1348"/>
      <c r="V272" s="1348"/>
      <c r="W272" s="1349"/>
      <c r="X272" s="1350"/>
      <c r="Y272" s="1350"/>
      <c r="Z272" s="1349"/>
      <c r="AA272" s="1351"/>
      <c r="AB272" s="1350"/>
      <c r="AC272" s="1350"/>
      <c r="AD272" s="1350"/>
      <c r="AE272" s="1350"/>
      <c r="AF272" s="1350"/>
      <c r="AG272" s="1350"/>
      <c r="AH272" s="1350"/>
      <c r="AI272" s="1350"/>
      <c r="AJ272" s="1350"/>
      <c r="AK272" s="1350"/>
    </row>
    <row r="273">
      <c r="A273" s="1350"/>
      <c r="B273" s="1350"/>
      <c r="C273" s="1350"/>
      <c r="D273" s="1350"/>
      <c r="E273" s="1350"/>
      <c r="F273" s="1350"/>
      <c r="G273" s="1350"/>
      <c r="H273" s="1350"/>
      <c r="I273" s="1350"/>
      <c r="J273" s="1350"/>
      <c r="K273" s="1350"/>
      <c r="L273" s="1350"/>
      <c r="M273" s="1350"/>
      <c r="N273" s="1350"/>
      <c r="O273" s="1350"/>
      <c r="P273" s="1354"/>
      <c r="Q273" s="1355"/>
      <c r="R273" s="1355"/>
      <c r="S273" s="1350"/>
      <c r="T273" s="1349"/>
      <c r="U273" s="1348"/>
      <c r="V273" s="1348"/>
      <c r="W273" s="1349"/>
      <c r="X273" s="1350"/>
      <c r="Y273" s="1350"/>
      <c r="Z273" s="1349"/>
      <c r="AA273" s="1351"/>
      <c r="AB273" s="1350"/>
      <c r="AC273" s="1350"/>
      <c r="AD273" s="1350"/>
      <c r="AE273" s="1350"/>
      <c r="AF273" s="1350"/>
      <c r="AG273" s="1350"/>
      <c r="AH273" s="1350"/>
      <c r="AI273" s="1350"/>
      <c r="AJ273" s="1350"/>
      <c r="AK273" s="1350"/>
    </row>
    <row r="274">
      <c r="A274" s="1350"/>
      <c r="B274" s="1350"/>
      <c r="C274" s="1350"/>
      <c r="D274" s="1350"/>
      <c r="E274" s="1350"/>
      <c r="F274" s="1350"/>
      <c r="G274" s="1350"/>
      <c r="H274" s="1350"/>
      <c r="I274" s="1350"/>
      <c r="J274" s="1350"/>
      <c r="K274" s="1350"/>
      <c r="L274" s="1350"/>
      <c r="M274" s="1350"/>
      <c r="N274" s="1350"/>
      <c r="O274" s="1350"/>
      <c r="P274" s="1354"/>
      <c r="Q274" s="1355"/>
      <c r="R274" s="1355"/>
      <c r="S274" s="1350"/>
      <c r="T274" s="1349"/>
      <c r="U274" s="1348"/>
      <c r="V274" s="1348"/>
      <c r="W274" s="1349"/>
      <c r="X274" s="1350"/>
      <c r="Y274" s="1350"/>
      <c r="Z274" s="1349"/>
      <c r="AA274" s="1351"/>
      <c r="AB274" s="1350"/>
      <c r="AC274" s="1350"/>
      <c r="AD274" s="1350"/>
      <c r="AE274" s="1350"/>
      <c r="AF274" s="1350"/>
      <c r="AG274" s="1350"/>
      <c r="AH274" s="1350"/>
      <c r="AI274" s="1350"/>
      <c r="AJ274" s="1350"/>
      <c r="AK274" s="1350"/>
    </row>
    <row r="275">
      <c r="A275" s="1350"/>
      <c r="B275" s="1350"/>
      <c r="C275" s="1350"/>
      <c r="D275" s="1350"/>
      <c r="E275" s="1350"/>
      <c r="F275" s="1350"/>
      <c r="G275" s="1350"/>
      <c r="H275" s="1350"/>
      <c r="I275" s="1350"/>
      <c r="J275" s="1350"/>
      <c r="K275" s="1350"/>
      <c r="L275" s="1350"/>
      <c r="M275" s="1350"/>
      <c r="N275" s="1350"/>
      <c r="O275" s="1350"/>
      <c r="P275" s="1354"/>
      <c r="Q275" s="1355"/>
      <c r="R275" s="1355"/>
      <c r="S275" s="1350"/>
      <c r="T275" s="1349"/>
      <c r="U275" s="1348"/>
      <c r="V275" s="1348"/>
      <c r="W275" s="1349"/>
      <c r="X275" s="1350"/>
      <c r="Y275" s="1350"/>
      <c r="Z275" s="1349"/>
      <c r="AA275" s="1351"/>
      <c r="AB275" s="1350"/>
      <c r="AC275" s="1350"/>
      <c r="AD275" s="1350"/>
      <c r="AE275" s="1350"/>
      <c r="AF275" s="1350"/>
      <c r="AG275" s="1350"/>
      <c r="AH275" s="1350"/>
      <c r="AI275" s="1350"/>
      <c r="AJ275" s="1350"/>
      <c r="AK275" s="1350"/>
    </row>
    <row r="276">
      <c r="A276" s="1350"/>
      <c r="B276" s="1350"/>
      <c r="C276" s="1350"/>
      <c r="D276" s="1350"/>
      <c r="E276" s="1350"/>
      <c r="F276" s="1350"/>
      <c r="G276" s="1350"/>
      <c r="H276" s="1350"/>
      <c r="I276" s="1350"/>
      <c r="J276" s="1350"/>
      <c r="K276" s="1350"/>
      <c r="L276" s="1350"/>
      <c r="M276" s="1350"/>
      <c r="N276" s="1350"/>
      <c r="O276" s="1350"/>
      <c r="P276" s="1354"/>
      <c r="Q276" s="1355"/>
      <c r="R276" s="1355"/>
      <c r="S276" s="1350"/>
      <c r="T276" s="1349"/>
      <c r="U276" s="1348"/>
      <c r="V276" s="1348"/>
      <c r="W276" s="1349"/>
      <c r="X276" s="1350"/>
      <c r="Y276" s="1350"/>
      <c r="Z276" s="1349"/>
      <c r="AA276" s="1351"/>
      <c r="AB276" s="1350"/>
      <c r="AC276" s="1350"/>
      <c r="AD276" s="1350"/>
      <c r="AE276" s="1350"/>
      <c r="AF276" s="1350"/>
      <c r="AG276" s="1350"/>
      <c r="AH276" s="1350"/>
      <c r="AI276" s="1350"/>
      <c r="AJ276" s="1350"/>
      <c r="AK276" s="1350"/>
    </row>
    <row r="277">
      <c r="A277" s="1350"/>
      <c r="B277" s="1350"/>
      <c r="C277" s="1350"/>
      <c r="D277" s="1350"/>
      <c r="E277" s="1350"/>
      <c r="F277" s="1350"/>
      <c r="G277" s="1350"/>
      <c r="H277" s="1350"/>
      <c r="I277" s="1350"/>
      <c r="J277" s="1350"/>
      <c r="K277" s="1350"/>
      <c r="L277" s="1350"/>
      <c r="M277" s="1350"/>
      <c r="N277" s="1350"/>
      <c r="O277" s="1350"/>
      <c r="P277" s="1354"/>
      <c r="Q277" s="1355"/>
      <c r="R277" s="1355"/>
      <c r="S277" s="1350"/>
      <c r="T277" s="1349"/>
      <c r="U277" s="1348"/>
      <c r="V277" s="1348"/>
      <c r="W277" s="1349"/>
      <c r="X277" s="1350"/>
      <c r="Y277" s="1350"/>
      <c r="Z277" s="1349"/>
      <c r="AA277" s="1351"/>
      <c r="AB277" s="1350"/>
      <c r="AC277" s="1350"/>
      <c r="AD277" s="1350"/>
      <c r="AE277" s="1350"/>
      <c r="AF277" s="1350"/>
      <c r="AG277" s="1350"/>
      <c r="AH277" s="1350"/>
      <c r="AI277" s="1350"/>
      <c r="AJ277" s="1350"/>
      <c r="AK277" s="1350"/>
    </row>
    <row r="278">
      <c r="A278" s="1350"/>
      <c r="B278" s="1350"/>
      <c r="C278" s="1350"/>
      <c r="D278" s="1350"/>
      <c r="E278" s="1350"/>
      <c r="F278" s="1350"/>
      <c r="G278" s="1350"/>
      <c r="H278" s="1350"/>
      <c r="I278" s="1350"/>
      <c r="J278" s="1350"/>
      <c r="K278" s="1350"/>
      <c r="L278" s="1350"/>
      <c r="M278" s="1350"/>
      <c r="N278" s="1350"/>
      <c r="O278" s="1350"/>
      <c r="P278" s="1354"/>
      <c r="Q278" s="1355"/>
      <c r="R278" s="1355"/>
      <c r="S278" s="1350"/>
      <c r="T278" s="1349"/>
      <c r="U278" s="1348"/>
      <c r="V278" s="1348"/>
      <c r="W278" s="1349"/>
      <c r="X278" s="1350"/>
      <c r="Y278" s="1350"/>
      <c r="Z278" s="1349"/>
      <c r="AA278" s="1351"/>
      <c r="AB278" s="1350"/>
      <c r="AC278" s="1350"/>
      <c r="AD278" s="1350"/>
      <c r="AE278" s="1350"/>
      <c r="AF278" s="1350"/>
      <c r="AG278" s="1350"/>
      <c r="AH278" s="1350"/>
      <c r="AI278" s="1350"/>
      <c r="AJ278" s="1350"/>
      <c r="AK278" s="1350"/>
    </row>
    <row r="279">
      <c r="A279" s="1350"/>
      <c r="B279" s="1350"/>
      <c r="C279" s="1350"/>
      <c r="D279" s="1350"/>
      <c r="E279" s="1350"/>
      <c r="F279" s="1350"/>
      <c r="G279" s="1350"/>
      <c r="H279" s="1350"/>
      <c r="I279" s="1350"/>
      <c r="J279" s="1350"/>
      <c r="K279" s="1350"/>
      <c r="L279" s="1350"/>
      <c r="M279" s="1350"/>
      <c r="N279" s="1350"/>
      <c r="O279" s="1350"/>
      <c r="P279" s="1354"/>
      <c r="Q279" s="1355"/>
      <c r="R279" s="1355"/>
      <c r="S279" s="1350"/>
      <c r="T279" s="1349"/>
      <c r="U279" s="1348"/>
      <c r="V279" s="1348"/>
      <c r="W279" s="1349"/>
      <c r="X279" s="1350"/>
      <c r="Y279" s="1350"/>
      <c r="Z279" s="1349"/>
      <c r="AA279" s="1351"/>
      <c r="AB279" s="1350"/>
      <c r="AC279" s="1350"/>
      <c r="AD279" s="1350"/>
      <c r="AE279" s="1350"/>
      <c r="AF279" s="1350"/>
      <c r="AG279" s="1350"/>
      <c r="AH279" s="1350"/>
      <c r="AI279" s="1350"/>
      <c r="AJ279" s="1350"/>
      <c r="AK279" s="1350"/>
    </row>
    <row r="280">
      <c r="A280" s="1350"/>
      <c r="B280" s="1350"/>
      <c r="C280" s="1350"/>
      <c r="D280" s="1350"/>
      <c r="E280" s="1350"/>
      <c r="F280" s="1350"/>
      <c r="G280" s="1350"/>
      <c r="H280" s="1350"/>
      <c r="I280" s="1350"/>
      <c r="J280" s="1350"/>
      <c r="K280" s="1350"/>
      <c r="L280" s="1350"/>
      <c r="M280" s="1350"/>
      <c r="N280" s="1350"/>
      <c r="O280" s="1350"/>
      <c r="P280" s="1354"/>
      <c r="Q280" s="1355"/>
      <c r="R280" s="1355"/>
      <c r="S280" s="1350"/>
      <c r="T280" s="1349"/>
      <c r="U280" s="1348"/>
      <c r="V280" s="1348"/>
      <c r="W280" s="1349"/>
      <c r="X280" s="1350"/>
      <c r="Y280" s="1350"/>
      <c r="Z280" s="1349"/>
      <c r="AA280" s="1351"/>
      <c r="AB280" s="1350"/>
      <c r="AC280" s="1350"/>
      <c r="AD280" s="1350"/>
      <c r="AE280" s="1350"/>
      <c r="AF280" s="1350"/>
      <c r="AG280" s="1350"/>
      <c r="AH280" s="1350"/>
      <c r="AI280" s="1350"/>
      <c r="AJ280" s="1350"/>
      <c r="AK280" s="1350"/>
    </row>
    <row r="281">
      <c r="A281" s="1350"/>
      <c r="B281" s="1350"/>
      <c r="C281" s="1350"/>
      <c r="D281" s="1350"/>
      <c r="E281" s="1350"/>
      <c r="F281" s="1350"/>
      <c r="G281" s="1350"/>
      <c r="H281" s="1350"/>
      <c r="I281" s="1350"/>
      <c r="J281" s="1350"/>
      <c r="K281" s="1350"/>
      <c r="L281" s="1350"/>
      <c r="M281" s="1350"/>
      <c r="N281" s="1350"/>
      <c r="O281" s="1350"/>
      <c r="P281" s="1354"/>
      <c r="Q281" s="1355"/>
      <c r="R281" s="1355"/>
      <c r="S281" s="1350"/>
      <c r="T281" s="1349"/>
      <c r="U281" s="1348"/>
      <c r="V281" s="1348"/>
      <c r="W281" s="1349"/>
      <c r="X281" s="1350"/>
      <c r="Y281" s="1350"/>
      <c r="Z281" s="1349"/>
      <c r="AA281" s="1351"/>
      <c r="AB281" s="1350"/>
      <c r="AC281" s="1350"/>
      <c r="AD281" s="1350"/>
      <c r="AE281" s="1350"/>
      <c r="AF281" s="1350"/>
      <c r="AG281" s="1350"/>
      <c r="AH281" s="1350"/>
      <c r="AI281" s="1350"/>
      <c r="AJ281" s="1350"/>
      <c r="AK281" s="1350"/>
    </row>
    <row r="282">
      <c r="A282" s="1350"/>
      <c r="B282" s="1350"/>
      <c r="C282" s="1350"/>
      <c r="D282" s="1350"/>
      <c r="E282" s="1350"/>
      <c r="F282" s="1350"/>
      <c r="G282" s="1350"/>
      <c r="H282" s="1350"/>
      <c r="I282" s="1350"/>
      <c r="J282" s="1350"/>
      <c r="K282" s="1350"/>
      <c r="L282" s="1350"/>
      <c r="M282" s="1350"/>
      <c r="N282" s="1350"/>
      <c r="O282" s="1350"/>
      <c r="P282" s="1354"/>
      <c r="Q282" s="1355"/>
      <c r="R282" s="1355"/>
      <c r="S282" s="1350"/>
      <c r="T282" s="1349"/>
      <c r="U282" s="1348"/>
      <c r="V282" s="1348"/>
      <c r="W282" s="1349"/>
      <c r="X282" s="1350"/>
      <c r="Y282" s="1350"/>
      <c r="Z282" s="1349"/>
      <c r="AA282" s="1351"/>
      <c r="AB282" s="1350"/>
      <c r="AC282" s="1350"/>
      <c r="AD282" s="1350"/>
      <c r="AE282" s="1350"/>
      <c r="AF282" s="1350"/>
      <c r="AG282" s="1350"/>
      <c r="AH282" s="1350"/>
      <c r="AI282" s="1350"/>
      <c r="AJ282" s="1350"/>
      <c r="AK282" s="1350"/>
    </row>
    <row r="283">
      <c r="A283" s="1350"/>
      <c r="B283" s="1350"/>
      <c r="C283" s="1350"/>
      <c r="D283" s="1350"/>
      <c r="E283" s="1350"/>
      <c r="F283" s="1350"/>
      <c r="G283" s="1350"/>
      <c r="H283" s="1350"/>
      <c r="I283" s="1350"/>
      <c r="J283" s="1350"/>
      <c r="K283" s="1350"/>
      <c r="L283" s="1350"/>
      <c r="M283" s="1350"/>
      <c r="N283" s="1350"/>
      <c r="O283" s="1350"/>
      <c r="P283" s="1354"/>
      <c r="Q283" s="1355"/>
      <c r="R283" s="1355"/>
      <c r="S283" s="1350"/>
      <c r="T283" s="1349"/>
      <c r="U283" s="1348"/>
      <c r="V283" s="1348"/>
      <c r="W283" s="1349"/>
      <c r="X283" s="1350"/>
      <c r="Y283" s="1350"/>
      <c r="Z283" s="1349"/>
      <c r="AA283" s="1351"/>
      <c r="AB283" s="1350"/>
      <c r="AC283" s="1350"/>
      <c r="AD283" s="1350"/>
      <c r="AE283" s="1350"/>
      <c r="AF283" s="1350"/>
      <c r="AG283" s="1350"/>
      <c r="AH283" s="1350"/>
      <c r="AI283" s="1350"/>
      <c r="AJ283" s="1350"/>
      <c r="AK283" s="1350"/>
    </row>
    <row r="284">
      <c r="A284" s="1350"/>
      <c r="B284" s="1350"/>
      <c r="C284" s="1350"/>
      <c r="D284" s="1350"/>
      <c r="E284" s="1350"/>
      <c r="F284" s="1350"/>
      <c r="G284" s="1350"/>
      <c r="H284" s="1350"/>
      <c r="I284" s="1350"/>
      <c r="J284" s="1350"/>
      <c r="K284" s="1350"/>
      <c r="L284" s="1350"/>
      <c r="M284" s="1350"/>
      <c r="N284" s="1350"/>
      <c r="O284" s="1350"/>
      <c r="P284" s="1354"/>
      <c r="Q284" s="1355"/>
      <c r="R284" s="1355"/>
      <c r="S284" s="1350"/>
      <c r="T284" s="1349"/>
      <c r="U284" s="1348"/>
      <c r="V284" s="1348"/>
      <c r="W284" s="1349"/>
      <c r="X284" s="1350"/>
      <c r="Y284" s="1350"/>
      <c r="Z284" s="1349"/>
      <c r="AA284" s="1351"/>
      <c r="AB284" s="1350"/>
      <c r="AC284" s="1350"/>
      <c r="AD284" s="1350"/>
      <c r="AE284" s="1350"/>
      <c r="AF284" s="1350"/>
      <c r="AG284" s="1350"/>
      <c r="AH284" s="1350"/>
      <c r="AI284" s="1350"/>
      <c r="AJ284" s="1350"/>
      <c r="AK284" s="1350"/>
    </row>
    <row r="285">
      <c r="A285" s="1350"/>
      <c r="B285" s="1350"/>
      <c r="C285" s="1350"/>
      <c r="D285" s="1350"/>
      <c r="E285" s="1350"/>
      <c r="F285" s="1350"/>
      <c r="G285" s="1350"/>
      <c r="H285" s="1350"/>
      <c r="I285" s="1350"/>
      <c r="J285" s="1350"/>
      <c r="K285" s="1350"/>
      <c r="L285" s="1350"/>
      <c r="M285" s="1350"/>
      <c r="N285" s="1350"/>
      <c r="O285" s="1350"/>
      <c r="P285" s="1354"/>
      <c r="Q285" s="1355"/>
      <c r="R285" s="1355"/>
      <c r="S285" s="1350"/>
      <c r="T285" s="1349"/>
      <c r="U285" s="1348"/>
      <c r="V285" s="1348"/>
      <c r="W285" s="1349"/>
      <c r="X285" s="1350"/>
      <c r="Y285" s="1350"/>
      <c r="Z285" s="1349"/>
      <c r="AA285" s="1351"/>
      <c r="AB285" s="1350"/>
      <c r="AC285" s="1350"/>
      <c r="AD285" s="1350"/>
      <c r="AE285" s="1350"/>
      <c r="AF285" s="1350"/>
      <c r="AG285" s="1350"/>
      <c r="AH285" s="1350"/>
      <c r="AI285" s="1350"/>
      <c r="AJ285" s="1350"/>
      <c r="AK285" s="1350"/>
    </row>
    <row r="286">
      <c r="A286" s="1350"/>
      <c r="B286" s="1350"/>
      <c r="C286" s="1350"/>
      <c r="D286" s="1350"/>
      <c r="E286" s="1350"/>
      <c r="F286" s="1350"/>
      <c r="G286" s="1350"/>
      <c r="H286" s="1350"/>
      <c r="I286" s="1350"/>
      <c r="J286" s="1350"/>
      <c r="K286" s="1350"/>
      <c r="L286" s="1350"/>
      <c r="M286" s="1350"/>
      <c r="N286" s="1350"/>
      <c r="O286" s="1350"/>
      <c r="P286" s="1354"/>
      <c r="Q286" s="1355"/>
      <c r="R286" s="1355"/>
      <c r="S286" s="1350"/>
      <c r="T286" s="1349"/>
      <c r="U286" s="1348"/>
      <c r="V286" s="1348"/>
      <c r="W286" s="1349"/>
      <c r="X286" s="1350"/>
      <c r="Y286" s="1350"/>
      <c r="Z286" s="1349"/>
      <c r="AA286" s="1351"/>
      <c r="AB286" s="1350"/>
      <c r="AC286" s="1350"/>
      <c r="AD286" s="1350"/>
      <c r="AE286" s="1350"/>
      <c r="AF286" s="1350"/>
      <c r="AG286" s="1350"/>
      <c r="AH286" s="1350"/>
      <c r="AI286" s="1350"/>
      <c r="AJ286" s="1350"/>
      <c r="AK286" s="1350"/>
    </row>
    <row r="287">
      <c r="A287" s="1350"/>
      <c r="B287" s="1350"/>
      <c r="C287" s="1350"/>
      <c r="D287" s="1350"/>
      <c r="E287" s="1350"/>
      <c r="F287" s="1350"/>
      <c r="G287" s="1350"/>
      <c r="H287" s="1350"/>
      <c r="I287" s="1350"/>
      <c r="J287" s="1350"/>
      <c r="K287" s="1350"/>
      <c r="L287" s="1350"/>
      <c r="M287" s="1350"/>
      <c r="N287" s="1350"/>
      <c r="O287" s="1350"/>
      <c r="P287" s="1354"/>
      <c r="Q287" s="1355"/>
      <c r="R287" s="1355"/>
      <c r="S287" s="1350"/>
      <c r="T287" s="1349"/>
      <c r="U287" s="1348"/>
      <c r="V287" s="1348"/>
      <c r="W287" s="1349"/>
      <c r="X287" s="1350"/>
      <c r="Y287" s="1350"/>
      <c r="Z287" s="1349"/>
      <c r="AA287" s="1351"/>
      <c r="AB287" s="1350"/>
      <c r="AC287" s="1350"/>
      <c r="AD287" s="1350"/>
      <c r="AE287" s="1350"/>
      <c r="AF287" s="1350"/>
      <c r="AG287" s="1350"/>
      <c r="AH287" s="1350"/>
      <c r="AI287" s="1350"/>
      <c r="AJ287" s="1350"/>
      <c r="AK287" s="1350"/>
    </row>
    <row r="288">
      <c r="A288" s="1350"/>
      <c r="B288" s="1350"/>
      <c r="C288" s="1350"/>
      <c r="D288" s="1350"/>
      <c r="E288" s="1350"/>
      <c r="F288" s="1350"/>
      <c r="G288" s="1350"/>
      <c r="H288" s="1350"/>
      <c r="I288" s="1350"/>
      <c r="J288" s="1350"/>
      <c r="K288" s="1350"/>
      <c r="L288" s="1350"/>
      <c r="M288" s="1350"/>
      <c r="N288" s="1350"/>
      <c r="O288" s="1350"/>
      <c r="P288" s="1354"/>
      <c r="Q288" s="1355"/>
      <c r="R288" s="1355"/>
      <c r="S288" s="1350"/>
      <c r="T288" s="1349"/>
      <c r="U288" s="1348"/>
      <c r="V288" s="1348"/>
      <c r="W288" s="1349"/>
      <c r="X288" s="1350"/>
      <c r="Y288" s="1350"/>
      <c r="Z288" s="1349"/>
      <c r="AA288" s="1351"/>
      <c r="AB288" s="1350"/>
      <c r="AC288" s="1350"/>
      <c r="AD288" s="1350"/>
      <c r="AE288" s="1350"/>
      <c r="AF288" s="1350"/>
      <c r="AG288" s="1350"/>
      <c r="AH288" s="1350"/>
      <c r="AI288" s="1350"/>
      <c r="AJ288" s="1350"/>
      <c r="AK288" s="1350"/>
    </row>
    <row r="289">
      <c r="A289" s="1350"/>
      <c r="B289" s="1350"/>
      <c r="C289" s="1350"/>
      <c r="D289" s="1350"/>
      <c r="E289" s="1350"/>
      <c r="F289" s="1350"/>
      <c r="G289" s="1350"/>
      <c r="H289" s="1350"/>
      <c r="I289" s="1350"/>
      <c r="J289" s="1350"/>
      <c r="K289" s="1350"/>
      <c r="L289" s="1350"/>
      <c r="M289" s="1350"/>
      <c r="N289" s="1350"/>
      <c r="O289" s="1350"/>
      <c r="P289" s="1354"/>
      <c r="Q289" s="1355"/>
      <c r="R289" s="1355"/>
      <c r="S289" s="1350"/>
      <c r="T289" s="1349"/>
      <c r="U289" s="1348"/>
      <c r="V289" s="1348"/>
      <c r="W289" s="1349"/>
      <c r="X289" s="1350"/>
      <c r="Y289" s="1350"/>
      <c r="Z289" s="1349"/>
      <c r="AA289" s="1351"/>
      <c r="AB289" s="1350"/>
      <c r="AC289" s="1350"/>
      <c r="AD289" s="1350"/>
      <c r="AE289" s="1350"/>
      <c r="AF289" s="1350"/>
      <c r="AG289" s="1350"/>
      <c r="AH289" s="1350"/>
      <c r="AI289" s="1350"/>
      <c r="AJ289" s="1350"/>
      <c r="AK289" s="1350"/>
    </row>
    <row r="290">
      <c r="A290" s="1350"/>
      <c r="B290" s="1350"/>
      <c r="C290" s="1350"/>
      <c r="D290" s="1350"/>
      <c r="E290" s="1350"/>
      <c r="F290" s="1350"/>
      <c r="G290" s="1350"/>
      <c r="H290" s="1350"/>
      <c r="I290" s="1350"/>
      <c r="J290" s="1350"/>
      <c r="K290" s="1350"/>
      <c r="L290" s="1350"/>
      <c r="M290" s="1350"/>
      <c r="N290" s="1350"/>
      <c r="O290" s="1350"/>
      <c r="P290" s="1354"/>
      <c r="Q290" s="1355"/>
      <c r="R290" s="1355"/>
      <c r="S290" s="1350"/>
      <c r="T290" s="1349"/>
      <c r="U290" s="1348"/>
      <c r="V290" s="1348"/>
      <c r="W290" s="1349"/>
      <c r="X290" s="1350"/>
      <c r="Y290" s="1350"/>
      <c r="Z290" s="1349"/>
      <c r="AA290" s="1351"/>
      <c r="AB290" s="1350"/>
      <c r="AC290" s="1350"/>
      <c r="AD290" s="1350"/>
      <c r="AE290" s="1350"/>
      <c r="AF290" s="1350"/>
      <c r="AG290" s="1350"/>
      <c r="AH290" s="1350"/>
      <c r="AI290" s="1350"/>
      <c r="AJ290" s="1350"/>
      <c r="AK290" s="1350"/>
    </row>
    <row r="291">
      <c r="A291" s="1350"/>
      <c r="B291" s="1350"/>
      <c r="C291" s="1350"/>
      <c r="D291" s="1350"/>
      <c r="E291" s="1350"/>
      <c r="F291" s="1350"/>
      <c r="G291" s="1350"/>
      <c r="H291" s="1350"/>
      <c r="I291" s="1350"/>
      <c r="J291" s="1350"/>
      <c r="K291" s="1350"/>
      <c r="L291" s="1350"/>
      <c r="M291" s="1350"/>
      <c r="N291" s="1350"/>
      <c r="O291" s="1350"/>
      <c r="P291" s="1354"/>
      <c r="Q291" s="1355"/>
      <c r="R291" s="1355"/>
      <c r="S291" s="1350"/>
      <c r="T291" s="1349"/>
      <c r="U291" s="1348"/>
      <c r="V291" s="1348"/>
      <c r="W291" s="1349"/>
      <c r="X291" s="1350"/>
      <c r="Y291" s="1350"/>
      <c r="Z291" s="1349"/>
      <c r="AA291" s="1351"/>
      <c r="AB291" s="1350"/>
      <c r="AC291" s="1350"/>
      <c r="AD291" s="1350"/>
      <c r="AE291" s="1350"/>
      <c r="AF291" s="1350"/>
      <c r="AG291" s="1350"/>
      <c r="AH291" s="1350"/>
      <c r="AI291" s="1350"/>
      <c r="AJ291" s="1350"/>
      <c r="AK291" s="1350"/>
    </row>
    <row r="292">
      <c r="A292" s="1350"/>
      <c r="B292" s="1350"/>
      <c r="C292" s="1350"/>
      <c r="D292" s="1350"/>
      <c r="E292" s="1350"/>
      <c r="F292" s="1350"/>
      <c r="G292" s="1350"/>
      <c r="H292" s="1350"/>
      <c r="I292" s="1350"/>
      <c r="J292" s="1350"/>
      <c r="K292" s="1350"/>
      <c r="L292" s="1350"/>
      <c r="M292" s="1350"/>
      <c r="N292" s="1350"/>
      <c r="O292" s="1350"/>
      <c r="P292" s="1354"/>
      <c r="Q292" s="1355"/>
      <c r="R292" s="1355"/>
      <c r="S292" s="1350"/>
      <c r="T292" s="1349"/>
      <c r="U292" s="1348"/>
      <c r="V292" s="1348"/>
      <c r="W292" s="1349"/>
      <c r="X292" s="1350"/>
      <c r="Y292" s="1350"/>
      <c r="Z292" s="1349"/>
      <c r="AA292" s="1351"/>
      <c r="AB292" s="1350"/>
      <c r="AC292" s="1350"/>
      <c r="AD292" s="1350"/>
      <c r="AE292" s="1350"/>
      <c r="AF292" s="1350"/>
      <c r="AG292" s="1350"/>
      <c r="AH292" s="1350"/>
      <c r="AI292" s="1350"/>
      <c r="AJ292" s="1350"/>
      <c r="AK292" s="1350"/>
    </row>
    <row r="293">
      <c r="A293" s="1350"/>
      <c r="B293" s="1350"/>
      <c r="C293" s="1350"/>
      <c r="D293" s="1350"/>
      <c r="E293" s="1350"/>
      <c r="F293" s="1350"/>
      <c r="G293" s="1350"/>
      <c r="H293" s="1350"/>
      <c r="I293" s="1350"/>
      <c r="J293" s="1350"/>
      <c r="K293" s="1350"/>
      <c r="L293" s="1350"/>
      <c r="M293" s="1350"/>
      <c r="N293" s="1350"/>
      <c r="O293" s="1350"/>
      <c r="P293" s="1354"/>
      <c r="Q293" s="1355"/>
      <c r="R293" s="1355"/>
      <c r="S293" s="1350"/>
      <c r="T293" s="1349"/>
      <c r="U293" s="1348"/>
      <c r="V293" s="1348"/>
      <c r="W293" s="1349"/>
      <c r="X293" s="1350"/>
      <c r="Y293" s="1350"/>
      <c r="Z293" s="1349"/>
      <c r="AA293" s="1351"/>
      <c r="AB293" s="1350"/>
      <c r="AC293" s="1350"/>
      <c r="AD293" s="1350"/>
      <c r="AE293" s="1350"/>
      <c r="AF293" s="1350"/>
      <c r="AG293" s="1350"/>
      <c r="AH293" s="1350"/>
      <c r="AI293" s="1350"/>
      <c r="AJ293" s="1350"/>
      <c r="AK293" s="1350"/>
    </row>
    <row r="294">
      <c r="A294" s="1350"/>
      <c r="B294" s="1350"/>
      <c r="C294" s="1350"/>
      <c r="D294" s="1350"/>
      <c r="E294" s="1350"/>
      <c r="F294" s="1350"/>
      <c r="G294" s="1350"/>
      <c r="H294" s="1350"/>
      <c r="I294" s="1350"/>
      <c r="J294" s="1350"/>
      <c r="K294" s="1350"/>
      <c r="L294" s="1350"/>
      <c r="M294" s="1350"/>
      <c r="N294" s="1350"/>
      <c r="O294" s="1350"/>
      <c r="P294" s="1354"/>
      <c r="Q294" s="1355"/>
      <c r="R294" s="1355"/>
      <c r="S294" s="1350"/>
      <c r="T294" s="1349"/>
      <c r="U294" s="1348"/>
      <c r="V294" s="1348"/>
      <c r="W294" s="1349"/>
      <c r="X294" s="1350"/>
      <c r="Y294" s="1350"/>
      <c r="Z294" s="1349"/>
      <c r="AA294" s="1351"/>
      <c r="AB294" s="1350"/>
      <c r="AC294" s="1350"/>
      <c r="AD294" s="1350"/>
      <c r="AE294" s="1350"/>
      <c r="AF294" s="1350"/>
      <c r="AG294" s="1350"/>
      <c r="AH294" s="1350"/>
      <c r="AI294" s="1350"/>
      <c r="AJ294" s="1350"/>
      <c r="AK294" s="1350"/>
    </row>
    <row r="295">
      <c r="A295" s="1350"/>
      <c r="B295" s="1350"/>
      <c r="C295" s="1350"/>
      <c r="D295" s="1350"/>
      <c r="E295" s="1350"/>
      <c r="F295" s="1350"/>
      <c r="G295" s="1350"/>
      <c r="H295" s="1350"/>
      <c r="I295" s="1350"/>
      <c r="J295" s="1350"/>
      <c r="K295" s="1350"/>
      <c r="L295" s="1350"/>
      <c r="M295" s="1350"/>
      <c r="N295" s="1350"/>
      <c r="O295" s="1350"/>
      <c r="P295" s="1354"/>
      <c r="Q295" s="1355"/>
      <c r="R295" s="1355"/>
      <c r="S295" s="1350"/>
      <c r="T295" s="1349"/>
      <c r="U295" s="1348"/>
      <c r="V295" s="1348"/>
      <c r="W295" s="1349"/>
      <c r="X295" s="1350"/>
      <c r="Y295" s="1350"/>
      <c r="Z295" s="1349"/>
      <c r="AA295" s="1351"/>
      <c r="AB295" s="1350"/>
      <c r="AC295" s="1350"/>
      <c r="AD295" s="1350"/>
      <c r="AE295" s="1350"/>
      <c r="AF295" s="1350"/>
      <c r="AG295" s="1350"/>
      <c r="AH295" s="1350"/>
      <c r="AI295" s="1350"/>
      <c r="AJ295" s="1350"/>
      <c r="AK295" s="1350"/>
    </row>
    <row r="296">
      <c r="A296" s="1350"/>
      <c r="B296" s="1350"/>
      <c r="C296" s="1350"/>
      <c r="D296" s="1350"/>
      <c r="E296" s="1350"/>
      <c r="F296" s="1350"/>
      <c r="G296" s="1350"/>
      <c r="H296" s="1350"/>
      <c r="I296" s="1350"/>
      <c r="J296" s="1350"/>
      <c r="K296" s="1350"/>
      <c r="L296" s="1350"/>
      <c r="M296" s="1350"/>
      <c r="N296" s="1350"/>
      <c r="O296" s="1350"/>
      <c r="P296" s="1354"/>
      <c r="Q296" s="1355"/>
      <c r="R296" s="1355"/>
      <c r="S296" s="1350"/>
      <c r="T296" s="1349"/>
      <c r="U296" s="1348"/>
      <c r="V296" s="1348"/>
      <c r="W296" s="1349"/>
      <c r="X296" s="1350"/>
      <c r="Y296" s="1350"/>
      <c r="Z296" s="1349"/>
      <c r="AA296" s="1351"/>
      <c r="AB296" s="1350"/>
      <c r="AC296" s="1350"/>
      <c r="AD296" s="1350"/>
      <c r="AE296" s="1350"/>
      <c r="AF296" s="1350"/>
      <c r="AG296" s="1350"/>
      <c r="AH296" s="1350"/>
      <c r="AI296" s="1350"/>
      <c r="AJ296" s="1350"/>
      <c r="AK296" s="1350"/>
    </row>
    <row r="297">
      <c r="A297" s="1350"/>
      <c r="B297" s="1350"/>
      <c r="C297" s="1350"/>
      <c r="D297" s="1350"/>
      <c r="E297" s="1350"/>
      <c r="F297" s="1350"/>
      <c r="G297" s="1350"/>
      <c r="H297" s="1350"/>
      <c r="I297" s="1350"/>
      <c r="J297" s="1350"/>
      <c r="K297" s="1350"/>
      <c r="L297" s="1350"/>
      <c r="M297" s="1350"/>
      <c r="N297" s="1350"/>
      <c r="O297" s="1350"/>
      <c r="P297" s="1354"/>
      <c r="Q297" s="1355"/>
      <c r="R297" s="1355"/>
      <c r="S297" s="1350"/>
      <c r="T297" s="1349"/>
      <c r="U297" s="1348"/>
      <c r="V297" s="1348"/>
      <c r="W297" s="1349"/>
      <c r="X297" s="1350"/>
      <c r="Y297" s="1350"/>
      <c r="Z297" s="1349"/>
      <c r="AA297" s="1351"/>
      <c r="AB297" s="1350"/>
      <c r="AC297" s="1350"/>
      <c r="AD297" s="1350"/>
      <c r="AE297" s="1350"/>
      <c r="AF297" s="1350"/>
      <c r="AG297" s="1350"/>
      <c r="AH297" s="1350"/>
      <c r="AI297" s="1350"/>
      <c r="AJ297" s="1350"/>
      <c r="AK297" s="1350"/>
    </row>
    <row r="298">
      <c r="A298" s="1350"/>
      <c r="B298" s="1350"/>
      <c r="C298" s="1350"/>
      <c r="D298" s="1350"/>
      <c r="E298" s="1350"/>
      <c r="F298" s="1350"/>
      <c r="G298" s="1350"/>
      <c r="H298" s="1350"/>
      <c r="I298" s="1350"/>
      <c r="J298" s="1350"/>
      <c r="K298" s="1350"/>
      <c r="L298" s="1350"/>
      <c r="M298" s="1350"/>
      <c r="N298" s="1350"/>
      <c r="O298" s="1350"/>
      <c r="P298" s="1354"/>
      <c r="Q298" s="1355"/>
      <c r="R298" s="1355"/>
      <c r="S298" s="1350"/>
      <c r="T298" s="1349"/>
      <c r="U298" s="1348"/>
      <c r="V298" s="1348"/>
      <c r="W298" s="1349"/>
      <c r="X298" s="1350"/>
      <c r="Y298" s="1350"/>
      <c r="Z298" s="1349"/>
      <c r="AA298" s="1351"/>
      <c r="AB298" s="1350"/>
      <c r="AC298" s="1350"/>
      <c r="AD298" s="1350"/>
      <c r="AE298" s="1350"/>
      <c r="AF298" s="1350"/>
      <c r="AG298" s="1350"/>
      <c r="AH298" s="1350"/>
      <c r="AI298" s="1350"/>
      <c r="AJ298" s="1350"/>
      <c r="AK298" s="1350"/>
    </row>
    <row r="299">
      <c r="A299" s="1350"/>
      <c r="B299" s="1350"/>
      <c r="C299" s="1350"/>
      <c r="D299" s="1350"/>
      <c r="E299" s="1350"/>
      <c r="F299" s="1350"/>
      <c r="G299" s="1350"/>
      <c r="H299" s="1350"/>
      <c r="I299" s="1350"/>
      <c r="J299" s="1350"/>
      <c r="K299" s="1350"/>
      <c r="L299" s="1350"/>
      <c r="M299" s="1350"/>
      <c r="N299" s="1350"/>
      <c r="O299" s="1350"/>
      <c r="P299" s="1354"/>
      <c r="Q299" s="1355"/>
      <c r="R299" s="1355"/>
      <c r="S299" s="1350"/>
      <c r="T299" s="1349"/>
      <c r="U299" s="1348"/>
      <c r="V299" s="1348"/>
      <c r="W299" s="1349"/>
      <c r="X299" s="1350"/>
      <c r="Y299" s="1350"/>
      <c r="Z299" s="1349"/>
      <c r="AA299" s="1351"/>
      <c r="AB299" s="1350"/>
      <c r="AC299" s="1350"/>
      <c r="AD299" s="1350"/>
      <c r="AE299" s="1350"/>
      <c r="AF299" s="1350"/>
      <c r="AG299" s="1350"/>
      <c r="AH299" s="1350"/>
      <c r="AI299" s="1350"/>
      <c r="AJ299" s="1350"/>
      <c r="AK299" s="1350"/>
    </row>
    <row r="300">
      <c r="A300" s="1350"/>
      <c r="B300" s="1350"/>
      <c r="C300" s="1350"/>
      <c r="D300" s="1350"/>
      <c r="E300" s="1350"/>
      <c r="F300" s="1350"/>
      <c r="G300" s="1350"/>
      <c r="H300" s="1350"/>
      <c r="I300" s="1350"/>
      <c r="J300" s="1350"/>
      <c r="K300" s="1350"/>
      <c r="L300" s="1350"/>
      <c r="M300" s="1350"/>
      <c r="N300" s="1350"/>
      <c r="O300" s="1350"/>
      <c r="P300" s="1354"/>
      <c r="Q300" s="1355"/>
      <c r="R300" s="1355"/>
      <c r="S300" s="1350"/>
      <c r="T300" s="1349"/>
      <c r="U300" s="1348"/>
      <c r="V300" s="1348"/>
      <c r="W300" s="1349"/>
      <c r="X300" s="1350"/>
      <c r="Y300" s="1350"/>
      <c r="Z300" s="1349"/>
      <c r="AA300" s="1351"/>
      <c r="AB300" s="1350"/>
      <c r="AC300" s="1350"/>
      <c r="AD300" s="1350"/>
      <c r="AE300" s="1350"/>
      <c r="AF300" s="1350"/>
      <c r="AG300" s="1350"/>
      <c r="AH300" s="1350"/>
      <c r="AI300" s="1350"/>
      <c r="AJ300" s="1350"/>
      <c r="AK300" s="1350"/>
    </row>
    <row r="301">
      <c r="A301" s="1350"/>
      <c r="B301" s="1350"/>
      <c r="C301" s="1350"/>
      <c r="D301" s="1350"/>
      <c r="E301" s="1350"/>
      <c r="F301" s="1350"/>
      <c r="G301" s="1350"/>
      <c r="H301" s="1350"/>
      <c r="I301" s="1350"/>
      <c r="J301" s="1350"/>
      <c r="K301" s="1350"/>
      <c r="L301" s="1350"/>
      <c r="M301" s="1350"/>
      <c r="N301" s="1350"/>
      <c r="O301" s="1350"/>
      <c r="P301" s="1354"/>
      <c r="Q301" s="1355"/>
      <c r="R301" s="1355"/>
      <c r="S301" s="1350"/>
      <c r="T301" s="1349"/>
      <c r="U301" s="1348"/>
      <c r="V301" s="1348"/>
      <c r="W301" s="1349"/>
      <c r="X301" s="1350"/>
      <c r="Y301" s="1350"/>
      <c r="Z301" s="1349"/>
      <c r="AA301" s="1351"/>
      <c r="AB301" s="1350"/>
      <c r="AC301" s="1350"/>
      <c r="AD301" s="1350"/>
      <c r="AE301" s="1350"/>
      <c r="AF301" s="1350"/>
      <c r="AG301" s="1350"/>
      <c r="AH301" s="1350"/>
      <c r="AI301" s="1350"/>
      <c r="AJ301" s="1350"/>
      <c r="AK301" s="1350"/>
    </row>
    <row r="302">
      <c r="A302" s="1350"/>
      <c r="B302" s="1350"/>
      <c r="C302" s="1350"/>
      <c r="D302" s="1350"/>
      <c r="E302" s="1350"/>
      <c r="F302" s="1350"/>
      <c r="G302" s="1350"/>
      <c r="H302" s="1350"/>
      <c r="I302" s="1350"/>
      <c r="J302" s="1350"/>
      <c r="K302" s="1350"/>
      <c r="L302" s="1350"/>
      <c r="M302" s="1350"/>
      <c r="N302" s="1350"/>
      <c r="O302" s="1350"/>
      <c r="P302" s="1354"/>
      <c r="Q302" s="1355"/>
      <c r="R302" s="1355"/>
      <c r="S302" s="1350"/>
      <c r="T302" s="1349"/>
      <c r="U302" s="1348"/>
      <c r="V302" s="1348"/>
      <c r="W302" s="1349"/>
      <c r="X302" s="1350"/>
      <c r="Y302" s="1350"/>
      <c r="Z302" s="1349"/>
      <c r="AA302" s="1351"/>
      <c r="AB302" s="1350"/>
      <c r="AC302" s="1350"/>
      <c r="AD302" s="1350"/>
      <c r="AE302" s="1350"/>
      <c r="AF302" s="1350"/>
      <c r="AG302" s="1350"/>
      <c r="AH302" s="1350"/>
      <c r="AI302" s="1350"/>
      <c r="AJ302" s="1350"/>
      <c r="AK302" s="1350"/>
    </row>
    <row r="303">
      <c r="A303" s="1350"/>
      <c r="B303" s="1350"/>
      <c r="C303" s="1350"/>
      <c r="D303" s="1350"/>
      <c r="E303" s="1350"/>
      <c r="F303" s="1350"/>
      <c r="G303" s="1350"/>
      <c r="H303" s="1350"/>
      <c r="I303" s="1350"/>
      <c r="J303" s="1350"/>
      <c r="K303" s="1350"/>
      <c r="L303" s="1350"/>
      <c r="M303" s="1350"/>
      <c r="N303" s="1350"/>
      <c r="O303" s="1350"/>
      <c r="P303" s="1354"/>
      <c r="Q303" s="1355"/>
      <c r="R303" s="1355"/>
      <c r="S303" s="1350"/>
      <c r="T303" s="1349"/>
      <c r="U303" s="1348"/>
      <c r="V303" s="1348"/>
      <c r="W303" s="1349"/>
      <c r="X303" s="1350"/>
      <c r="Y303" s="1350"/>
      <c r="Z303" s="1349"/>
      <c r="AA303" s="1351"/>
      <c r="AB303" s="1350"/>
      <c r="AC303" s="1350"/>
      <c r="AD303" s="1350"/>
      <c r="AE303" s="1350"/>
      <c r="AF303" s="1350"/>
      <c r="AG303" s="1350"/>
      <c r="AH303" s="1350"/>
      <c r="AI303" s="1350"/>
      <c r="AJ303" s="1350"/>
      <c r="AK303" s="1350"/>
    </row>
    <row r="304">
      <c r="A304" s="1350"/>
      <c r="B304" s="1350"/>
      <c r="C304" s="1350"/>
      <c r="D304" s="1350"/>
      <c r="E304" s="1350"/>
      <c r="F304" s="1350"/>
      <c r="G304" s="1350"/>
      <c r="H304" s="1350"/>
      <c r="I304" s="1350"/>
      <c r="J304" s="1350"/>
      <c r="K304" s="1350"/>
      <c r="L304" s="1350"/>
      <c r="M304" s="1350"/>
      <c r="N304" s="1350"/>
      <c r="O304" s="1350"/>
      <c r="P304" s="1354"/>
      <c r="Q304" s="1355"/>
      <c r="R304" s="1355"/>
      <c r="S304" s="1350"/>
      <c r="T304" s="1349"/>
      <c r="U304" s="1348"/>
      <c r="V304" s="1348"/>
      <c r="W304" s="1349"/>
      <c r="X304" s="1350"/>
      <c r="Y304" s="1350"/>
      <c r="Z304" s="1349"/>
      <c r="AA304" s="1351"/>
      <c r="AB304" s="1350"/>
      <c r="AC304" s="1350"/>
      <c r="AD304" s="1350"/>
      <c r="AE304" s="1350"/>
      <c r="AF304" s="1350"/>
      <c r="AG304" s="1350"/>
      <c r="AH304" s="1350"/>
      <c r="AI304" s="1350"/>
      <c r="AJ304" s="1350"/>
      <c r="AK304" s="1350"/>
    </row>
    <row r="305">
      <c r="A305" s="1350"/>
      <c r="B305" s="1350"/>
      <c r="C305" s="1350"/>
      <c r="D305" s="1350"/>
      <c r="E305" s="1350"/>
      <c r="F305" s="1350"/>
      <c r="G305" s="1350"/>
      <c r="H305" s="1350"/>
      <c r="I305" s="1350"/>
      <c r="J305" s="1350"/>
      <c r="K305" s="1350"/>
      <c r="L305" s="1350"/>
      <c r="M305" s="1350"/>
      <c r="N305" s="1350"/>
      <c r="O305" s="1350"/>
      <c r="P305" s="1354"/>
      <c r="Q305" s="1355"/>
      <c r="R305" s="1355"/>
      <c r="S305" s="1350"/>
      <c r="T305" s="1349"/>
      <c r="U305" s="1348"/>
      <c r="V305" s="1348"/>
      <c r="W305" s="1349"/>
      <c r="X305" s="1350"/>
      <c r="Y305" s="1350"/>
      <c r="Z305" s="1349"/>
      <c r="AA305" s="1351"/>
      <c r="AB305" s="1350"/>
      <c r="AC305" s="1350"/>
      <c r="AD305" s="1350"/>
      <c r="AE305" s="1350"/>
      <c r="AF305" s="1350"/>
      <c r="AG305" s="1350"/>
      <c r="AH305" s="1350"/>
      <c r="AI305" s="1350"/>
      <c r="AJ305" s="1350"/>
      <c r="AK305" s="1350"/>
    </row>
    <row r="306">
      <c r="A306" s="1350"/>
      <c r="B306" s="1350"/>
      <c r="C306" s="1350"/>
      <c r="D306" s="1350"/>
      <c r="E306" s="1350"/>
      <c r="F306" s="1350"/>
      <c r="G306" s="1350"/>
      <c r="H306" s="1350"/>
      <c r="I306" s="1350"/>
      <c r="J306" s="1350"/>
      <c r="K306" s="1350"/>
      <c r="L306" s="1350"/>
      <c r="M306" s="1350"/>
      <c r="N306" s="1350"/>
      <c r="O306" s="1350"/>
      <c r="P306" s="1354"/>
      <c r="Q306" s="1355"/>
      <c r="R306" s="1355"/>
      <c r="S306" s="1350"/>
      <c r="T306" s="1349"/>
      <c r="U306" s="1348"/>
      <c r="V306" s="1348"/>
      <c r="W306" s="1349"/>
      <c r="X306" s="1350"/>
      <c r="Y306" s="1350"/>
      <c r="Z306" s="1349"/>
      <c r="AA306" s="1351"/>
      <c r="AB306" s="1350"/>
      <c r="AC306" s="1350"/>
      <c r="AD306" s="1350"/>
      <c r="AE306" s="1350"/>
      <c r="AF306" s="1350"/>
      <c r="AG306" s="1350"/>
      <c r="AH306" s="1350"/>
      <c r="AI306" s="1350"/>
      <c r="AJ306" s="1350"/>
      <c r="AK306" s="1350"/>
    </row>
    <row r="307">
      <c r="A307" s="1350"/>
      <c r="B307" s="1350"/>
      <c r="C307" s="1350"/>
      <c r="D307" s="1350"/>
      <c r="E307" s="1350"/>
      <c r="F307" s="1350"/>
      <c r="G307" s="1350"/>
      <c r="H307" s="1350"/>
      <c r="I307" s="1350"/>
      <c r="J307" s="1350"/>
      <c r="K307" s="1350"/>
      <c r="L307" s="1350"/>
      <c r="M307" s="1350"/>
      <c r="N307" s="1350"/>
      <c r="O307" s="1350"/>
      <c r="P307" s="1354"/>
      <c r="Q307" s="1355"/>
      <c r="R307" s="1355"/>
      <c r="S307" s="1350"/>
      <c r="T307" s="1349"/>
      <c r="U307" s="1348"/>
      <c r="V307" s="1348"/>
      <c r="W307" s="1349"/>
      <c r="X307" s="1350"/>
      <c r="Y307" s="1350"/>
      <c r="Z307" s="1349"/>
      <c r="AA307" s="1351"/>
      <c r="AB307" s="1350"/>
      <c r="AC307" s="1350"/>
      <c r="AD307" s="1350"/>
      <c r="AE307" s="1350"/>
      <c r="AF307" s="1350"/>
      <c r="AG307" s="1350"/>
      <c r="AH307" s="1350"/>
      <c r="AI307" s="1350"/>
      <c r="AJ307" s="1350"/>
      <c r="AK307" s="1350"/>
    </row>
    <row r="308">
      <c r="A308" s="1350"/>
      <c r="B308" s="1350"/>
      <c r="C308" s="1350"/>
      <c r="D308" s="1350"/>
      <c r="E308" s="1350"/>
      <c r="F308" s="1350"/>
      <c r="G308" s="1350"/>
      <c r="H308" s="1350"/>
      <c r="I308" s="1350"/>
      <c r="J308" s="1350"/>
      <c r="K308" s="1350"/>
      <c r="L308" s="1350"/>
      <c r="M308" s="1350"/>
      <c r="N308" s="1350"/>
      <c r="O308" s="1350"/>
      <c r="P308" s="1354"/>
      <c r="Q308" s="1355"/>
      <c r="R308" s="1355"/>
      <c r="S308" s="1350"/>
      <c r="T308" s="1349"/>
      <c r="U308" s="1348"/>
      <c r="V308" s="1348"/>
      <c r="W308" s="1349"/>
      <c r="X308" s="1350"/>
      <c r="Y308" s="1350"/>
      <c r="Z308" s="1349"/>
      <c r="AA308" s="1351"/>
      <c r="AB308" s="1350"/>
      <c r="AC308" s="1350"/>
      <c r="AD308" s="1350"/>
      <c r="AE308" s="1350"/>
      <c r="AF308" s="1350"/>
      <c r="AG308" s="1350"/>
      <c r="AH308" s="1350"/>
      <c r="AI308" s="1350"/>
      <c r="AJ308" s="1350"/>
      <c r="AK308" s="1350"/>
    </row>
    <row r="309">
      <c r="A309" s="1350"/>
      <c r="B309" s="1350"/>
      <c r="C309" s="1350"/>
      <c r="D309" s="1350"/>
      <c r="E309" s="1350"/>
      <c r="F309" s="1350"/>
      <c r="G309" s="1350"/>
      <c r="H309" s="1350"/>
      <c r="I309" s="1350"/>
      <c r="J309" s="1350"/>
      <c r="K309" s="1350"/>
      <c r="L309" s="1350"/>
      <c r="M309" s="1350"/>
      <c r="N309" s="1350"/>
      <c r="O309" s="1350"/>
      <c r="P309" s="1354"/>
      <c r="Q309" s="1355"/>
      <c r="R309" s="1355"/>
      <c r="S309" s="1350"/>
      <c r="T309" s="1349"/>
      <c r="U309" s="1348"/>
      <c r="V309" s="1348"/>
      <c r="W309" s="1349"/>
      <c r="X309" s="1350"/>
      <c r="Y309" s="1350"/>
      <c r="Z309" s="1349"/>
      <c r="AA309" s="1351"/>
      <c r="AB309" s="1350"/>
      <c r="AC309" s="1350"/>
      <c r="AD309" s="1350"/>
      <c r="AE309" s="1350"/>
      <c r="AF309" s="1350"/>
      <c r="AG309" s="1350"/>
      <c r="AH309" s="1350"/>
      <c r="AI309" s="1350"/>
      <c r="AJ309" s="1350"/>
      <c r="AK309" s="1350"/>
    </row>
    <row r="310">
      <c r="A310" s="1350"/>
      <c r="B310" s="1350"/>
      <c r="C310" s="1350"/>
      <c r="D310" s="1350"/>
      <c r="E310" s="1350"/>
      <c r="F310" s="1350"/>
      <c r="G310" s="1350"/>
      <c r="H310" s="1350"/>
      <c r="I310" s="1350"/>
      <c r="J310" s="1350"/>
      <c r="K310" s="1350"/>
      <c r="L310" s="1350"/>
      <c r="M310" s="1350"/>
      <c r="N310" s="1350"/>
      <c r="O310" s="1350"/>
      <c r="P310" s="1354"/>
      <c r="Q310" s="1355"/>
      <c r="R310" s="1355"/>
      <c r="S310" s="1350"/>
      <c r="T310" s="1349"/>
      <c r="U310" s="1348"/>
      <c r="V310" s="1348"/>
      <c r="W310" s="1349"/>
      <c r="X310" s="1350"/>
      <c r="Y310" s="1350"/>
      <c r="Z310" s="1349"/>
      <c r="AA310" s="1351"/>
      <c r="AB310" s="1350"/>
      <c r="AC310" s="1350"/>
      <c r="AD310" s="1350"/>
      <c r="AE310" s="1350"/>
      <c r="AF310" s="1350"/>
      <c r="AG310" s="1350"/>
      <c r="AH310" s="1350"/>
      <c r="AI310" s="1350"/>
      <c r="AJ310" s="1350"/>
      <c r="AK310" s="1350"/>
    </row>
    <row r="311">
      <c r="A311" s="1350"/>
      <c r="B311" s="1350"/>
      <c r="C311" s="1350"/>
      <c r="D311" s="1350"/>
      <c r="E311" s="1350"/>
      <c r="F311" s="1350"/>
      <c r="G311" s="1350"/>
      <c r="H311" s="1350"/>
      <c r="I311" s="1350"/>
      <c r="J311" s="1350"/>
      <c r="K311" s="1350"/>
      <c r="L311" s="1350"/>
      <c r="M311" s="1350"/>
      <c r="N311" s="1350"/>
      <c r="O311" s="1350"/>
      <c r="P311" s="1354"/>
      <c r="Q311" s="1355"/>
      <c r="R311" s="1355"/>
      <c r="S311" s="1350"/>
      <c r="T311" s="1349"/>
      <c r="U311" s="1348"/>
      <c r="V311" s="1348"/>
      <c r="W311" s="1349"/>
      <c r="X311" s="1350"/>
      <c r="Y311" s="1350"/>
      <c r="Z311" s="1349"/>
      <c r="AA311" s="1351"/>
      <c r="AB311" s="1350"/>
      <c r="AC311" s="1350"/>
      <c r="AD311" s="1350"/>
      <c r="AE311" s="1350"/>
      <c r="AF311" s="1350"/>
      <c r="AG311" s="1350"/>
      <c r="AH311" s="1350"/>
      <c r="AI311" s="1350"/>
      <c r="AJ311" s="1350"/>
      <c r="AK311" s="1350"/>
    </row>
    <row r="312">
      <c r="A312" s="1350"/>
      <c r="B312" s="1350"/>
      <c r="C312" s="1350"/>
      <c r="D312" s="1350"/>
      <c r="E312" s="1350"/>
      <c r="F312" s="1350"/>
      <c r="G312" s="1350"/>
      <c r="H312" s="1350"/>
      <c r="I312" s="1350"/>
      <c r="J312" s="1350"/>
      <c r="K312" s="1350"/>
      <c r="L312" s="1350"/>
      <c r="M312" s="1350"/>
      <c r="N312" s="1350"/>
      <c r="O312" s="1350"/>
      <c r="P312" s="1354"/>
      <c r="Q312" s="1355"/>
      <c r="R312" s="1355"/>
      <c r="S312" s="1350"/>
      <c r="T312" s="1349"/>
      <c r="U312" s="1348"/>
      <c r="V312" s="1348"/>
      <c r="W312" s="1349"/>
      <c r="X312" s="1350"/>
      <c r="Y312" s="1350"/>
      <c r="Z312" s="1349"/>
      <c r="AA312" s="1351"/>
      <c r="AB312" s="1350"/>
      <c r="AC312" s="1350"/>
      <c r="AD312" s="1350"/>
      <c r="AE312" s="1350"/>
      <c r="AF312" s="1350"/>
      <c r="AG312" s="1350"/>
      <c r="AH312" s="1350"/>
      <c r="AI312" s="1350"/>
      <c r="AJ312" s="1350"/>
      <c r="AK312" s="1350"/>
    </row>
    <row r="313">
      <c r="A313" s="1350"/>
      <c r="B313" s="1350"/>
      <c r="C313" s="1350"/>
      <c r="D313" s="1350"/>
      <c r="E313" s="1350"/>
      <c r="F313" s="1350"/>
      <c r="G313" s="1350"/>
      <c r="H313" s="1350"/>
      <c r="I313" s="1350"/>
      <c r="J313" s="1350"/>
      <c r="K313" s="1350"/>
      <c r="L313" s="1350"/>
      <c r="M313" s="1350"/>
      <c r="N313" s="1350"/>
      <c r="O313" s="1350"/>
      <c r="P313" s="1354"/>
      <c r="Q313" s="1355"/>
      <c r="R313" s="1355"/>
      <c r="S313" s="1350"/>
      <c r="T313" s="1349"/>
      <c r="U313" s="1348"/>
      <c r="V313" s="1348"/>
      <c r="W313" s="1349"/>
      <c r="X313" s="1350"/>
      <c r="Y313" s="1350"/>
      <c r="Z313" s="1349"/>
      <c r="AA313" s="1351"/>
      <c r="AB313" s="1350"/>
      <c r="AC313" s="1350"/>
      <c r="AD313" s="1350"/>
      <c r="AE313" s="1350"/>
      <c r="AF313" s="1350"/>
      <c r="AG313" s="1350"/>
      <c r="AH313" s="1350"/>
      <c r="AI313" s="1350"/>
      <c r="AJ313" s="1350"/>
      <c r="AK313" s="1350"/>
    </row>
    <row r="314">
      <c r="A314" s="1350"/>
      <c r="B314" s="1350"/>
      <c r="C314" s="1350"/>
      <c r="D314" s="1350"/>
      <c r="E314" s="1350"/>
      <c r="F314" s="1350"/>
      <c r="G314" s="1350"/>
      <c r="H314" s="1350"/>
      <c r="I314" s="1350"/>
      <c r="J314" s="1350"/>
      <c r="K314" s="1350"/>
      <c r="L314" s="1350"/>
      <c r="M314" s="1350"/>
      <c r="N314" s="1350"/>
      <c r="O314" s="1350"/>
      <c r="P314" s="1354"/>
      <c r="Q314" s="1355"/>
      <c r="R314" s="1355"/>
      <c r="S314" s="1350"/>
      <c r="T314" s="1349"/>
      <c r="U314" s="1348"/>
      <c r="V314" s="1348"/>
      <c r="W314" s="1349"/>
      <c r="X314" s="1350"/>
      <c r="Y314" s="1350"/>
      <c r="Z314" s="1349"/>
      <c r="AA314" s="1351"/>
      <c r="AB314" s="1350"/>
      <c r="AC314" s="1350"/>
      <c r="AD314" s="1350"/>
      <c r="AE314" s="1350"/>
      <c r="AF314" s="1350"/>
      <c r="AG314" s="1350"/>
      <c r="AH314" s="1350"/>
      <c r="AI314" s="1350"/>
      <c r="AJ314" s="1350"/>
      <c r="AK314" s="1350"/>
    </row>
    <row r="315">
      <c r="A315" s="1350"/>
      <c r="B315" s="1350"/>
      <c r="C315" s="1350"/>
      <c r="D315" s="1350"/>
      <c r="E315" s="1350"/>
      <c r="F315" s="1350"/>
      <c r="G315" s="1350"/>
      <c r="H315" s="1350"/>
      <c r="I315" s="1350"/>
      <c r="J315" s="1350"/>
      <c r="K315" s="1350"/>
      <c r="L315" s="1350"/>
      <c r="M315" s="1350"/>
      <c r="N315" s="1350"/>
      <c r="O315" s="1350"/>
      <c r="P315" s="1354"/>
      <c r="Q315" s="1355"/>
      <c r="R315" s="1355"/>
      <c r="S315" s="1350"/>
      <c r="T315" s="1349"/>
      <c r="U315" s="1348"/>
      <c r="V315" s="1348"/>
      <c r="W315" s="1349"/>
      <c r="X315" s="1350"/>
      <c r="Y315" s="1350"/>
      <c r="Z315" s="1349"/>
      <c r="AA315" s="1351"/>
      <c r="AB315" s="1350"/>
      <c r="AC315" s="1350"/>
      <c r="AD315" s="1350"/>
      <c r="AE315" s="1350"/>
      <c r="AF315" s="1350"/>
      <c r="AG315" s="1350"/>
      <c r="AH315" s="1350"/>
      <c r="AI315" s="1350"/>
      <c r="AJ315" s="1350"/>
      <c r="AK315" s="1350"/>
    </row>
    <row r="316">
      <c r="A316" s="1350"/>
      <c r="B316" s="1350"/>
      <c r="C316" s="1350"/>
      <c r="D316" s="1350"/>
      <c r="E316" s="1350"/>
      <c r="F316" s="1350"/>
      <c r="G316" s="1350"/>
      <c r="H316" s="1350"/>
      <c r="I316" s="1350"/>
      <c r="J316" s="1350"/>
      <c r="K316" s="1350"/>
      <c r="L316" s="1350"/>
      <c r="M316" s="1350"/>
      <c r="N316" s="1350"/>
      <c r="O316" s="1350"/>
      <c r="P316" s="1354"/>
      <c r="Q316" s="1355"/>
      <c r="R316" s="1355"/>
      <c r="S316" s="1350"/>
      <c r="T316" s="1349"/>
      <c r="U316" s="1348"/>
      <c r="V316" s="1348"/>
      <c r="W316" s="1349"/>
      <c r="X316" s="1350"/>
      <c r="Y316" s="1350"/>
      <c r="Z316" s="1349"/>
      <c r="AA316" s="1351"/>
      <c r="AB316" s="1350"/>
      <c r="AC316" s="1350"/>
      <c r="AD316" s="1350"/>
      <c r="AE316" s="1350"/>
      <c r="AF316" s="1350"/>
      <c r="AG316" s="1350"/>
      <c r="AH316" s="1350"/>
      <c r="AI316" s="1350"/>
      <c r="AJ316" s="1350"/>
      <c r="AK316" s="1350"/>
    </row>
    <row r="317">
      <c r="A317" s="1350"/>
      <c r="B317" s="1350"/>
      <c r="C317" s="1350"/>
      <c r="D317" s="1350"/>
      <c r="E317" s="1350"/>
      <c r="F317" s="1350"/>
      <c r="G317" s="1350"/>
      <c r="H317" s="1350"/>
      <c r="I317" s="1350"/>
      <c r="J317" s="1350"/>
      <c r="K317" s="1350"/>
      <c r="L317" s="1350"/>
      <c r="M317" s="1350"/>
      <c r="N317" s="1350"/>
      <c r="O317" s="1350"/>
      <c r="P317" s="1354"/>
      <c r="Q317" s="1355"/>
      <c r="R317" s="1355"/>
      <c r="S317" s="1350"/>
      <c r="T317" s="1349"/>
      <c r="U317" s="1348"/>
      <c r="V317" s="1348"/>
      <c r="W317" s="1349"/>
      <c r="X317" s="1350"/>
      <c r="Y317" s="1350"/>
      <c r="Z317" s="1349"/>
      <c r="AA317" s="1351"/>
      <c r="AB317" s="1350"/>
      <c r="AC317" s="1350"/>
      <c r="AD317" s="1350"/>
      <c r="AE317" s="1350"/>
      <c r="AF317" s="1350"/>
      <c r="AG317" s="1350"/>
      <c r="AH317" s="1350"/>
      <c r="AI317" s="1350"/>
      <c r="AJ317" s="1350"/>
      <c r="AK317" s="1350"/>
    </row>
    <row r="318">
      <c r="A318" s="1350"/>
      <c r="B318" s="1350"/>
      <c r="C318" s="1350"/>
      <c r="D318" s="1350"/>
      <c r="E318" s="1350"/>
      <c r="F318" s="1350"/>
      <c r="G318" s="1350"/>
      <c r="H318" s="1350"/>
      <c r="I318" s="1350"/>
      <c r="J318" s="1350"/>
      <c r="K318" s="1350"/>
      <c r="L318" s="1350"/>
      <c r="M318" s="1350"/>
      <c r="N318" s="1350"/>
      <c r="O318" s="1350"/>
      <c r="P318" s="1354"/>
      <c r="Q318" s="1355"/>
      <c r="R318" s="1355"/>
      <c r="S318" s="1350"/>
      <c r="T318" s="1349"/>
      <c r="U318" s="1348"/>
      <c r="V318" s="1348"/>
      <c r="W318" s="1349"/>
      <c r="X318" s="1350"/>
      <c r="Y318" s="1350"/>
      <c r="Z318" s="1349"/>
      <c r="AA318" s="1351"/>
      <c r="AB318" s="1350"/>
      <c r="AC318" s="1350"/>
      <c r="AD318" s="1350"/>
      <c r="AE318" s="1350"/>
      <c r="AF318" s="1350"/>
      <c r="AG318" s="1350"/>
      <c r="AH318" s="1350"/>
      <c r="AI318" s="1350"/>
      <c r="AJ318" s="1350"/>
      <c r="AK318" s="1350"/>
    </row>
    <row r="319">
      <c r="A319" s="1350"/>
      <c r="B319" s="1350"/>
      <c r="C319" s="1350"/>
      <c r="D319" s="1350"/>
      <c r="E319" s="1350"/>
      <c r="F319" s="1350"/>
      <c r="G319" s="1350"/>
      <c r="H319" s="1350"/>
      <c r="I319" s="1350"/>
      <c r="J319" s="1350"/>
      <c r="K319" s="1350"/>
      <c r="L319" s="1350"/>
      <c r="M319" s="1350"/>
      <c r="N319" s="1350"/>
      <c r="O319" s="1350"/>
      <c r="P319" s="1354"/>
      <c r="Q319" s="1355"/>
      <c r="R319" s="1355"/>
      <c r="S319" s="1350"/>
      <c r="T319" s="1349"/>
      <c r="U319" s="1348"/>
      <c r="V319" s="1348"/>
      <c r="W319" s="1349"/>
      <c r="X319" s="1350"/>
      <c r="Y319" s="1350"/>
      <c r="Z319" s="1349"/>
      <c r="AA319" s="1351"/>
      <c r="AB319" s="1350"/>
      <c r="AC319" s="1350"/>
      <c r="AD319" s="1350"/>
      <c r="AE319" s="1350"/>
      <c r="AF319" s="1350"/>
      <c r="AG319" s="1350"/>
      <c r="AH319" s="1350"/>
      <c r="AI319" s="1350"/>
      <c r="AJ319" s="1350"/>
      <c r="AK319" s="1350"/>
    </row>
    <row r="320">
      <c r="A320" s="1350"/>
      <c r="B320" s="1350"/>
      <c r="C320" s="1350"/>
      <c r="D320" s="1350"/>
      <c r="E320" s="1350"/>
      <c r="F320" s="1350"/>
      <c r="G320" s="1350"/>
      <c r="H320" s="1350"/>
      <c r="I320" s="1350"/>
      <c r="J320" s="1350"/>
      <c r="K320" s="1350"/>
      <c r="L320" s="1350"/>
      <c r="M320" s="1350"/>
      <c r="N320" s="1350"/>
      <c r="O320" s="1350"/>
      <c r="P320" s="1354"/>
      <c r="Q320" s="1355"/>
      <c r="R320" s="1355"/>
      <c r="S320" s="1350"/>
      <c r="T320" s="1349"/>
      <c r="U320" s="1348"/>
      <c r="V320" s="1348"/>
      <c r="W320" s="1349"/>
      <c r="X320" s="1350"/>
      <c r="Y320" s="1350"/>
      <c r="Z320" s="1349"/>
      <c r="AA320" s="1351"/>
      <c r="AB320" s="1350"/>
      <c r="AC320" s="1350"/>
      <c r="AD320" s="1350"/>
      <c r="AE320" s="1350"/>
      <c r="AF320" s="1350"/>
      <c r="AG320" s="1350"/>
      <c r="AH320" s="1350"/>
      <c r="AI320" s="1350"/>
      <c r="AJ320" s="1350"/>
      <c r="AK320" s="1350"/>
    </row>
    <row r="321">
      <c r="A321" s="1350"/>
      <c r="B321" s="1350"/>
      <c r="C321" s="1350"/>
      <c r="D321" s="1350"/>
      <c r="E321" s="1350"/>
      <c r="F321" s="1350"/>
      <c r="G321" s="1350"/>
      <c r="H321" s="1350"/>
      <c r="I321" s="1350"/>
      <c r="J321" s="1350"/>
      <c r="K321" s="1350"/>
      <c r="L321" s="1350"/>
      <c r="M321" s="1350"/>
      <c r="N321" s="1350"/>
      <c r="O321" s="1350"/>
      <c r="P321" s="1354"/>
      <c r="Q321" s="1355"/>
      <c r="R321" s="1355"/>
      <c r="S321" s="1350"/>
      <c r="T321" s="1349"/>
      <c r="U321" s="1348"/>
      <c r="V321" s="1348"/>
      <c r="W321" s="1349"/>
      <c r="X321" s="1350"/>
      <c r="Y321" s="1350"/>
      <c r="Z321" s="1349"/>
      <c r="AA321" s="1351"/>
      <c r="AB321" s="1350"/>
      <c r="AC321" s="1350"/>
      <c r="AD321" s="1350"/>
      <c r="AE321" s="1350"/>
      <c r="AF321" s="1350"/>
      <c r="AG321" s="1350"/>
      <c r="AH321" s="1350"/>
      <c r="AI321" s="1350"/>
      <c r="AJ321" s="1350"/>
      <c r="AK321" s="1350"/>
    </row>
    <row r="322">
      <c r="A322" s="1350"/>
      <c r="B322" s="1350"/>
      <c r="C322" s="1350"/>
      <c r="D322" s="1350"/>
      <c r="E322" s="1350"/>
      <c r="F322" s="1350"/>
      <c r="G322" s="1350"/>
      <c r="H322" s="1350"/>
      <c r="I322" s="1350"/>
      <c r="J322" s="1350"/>
      <c r="K322" s="1350"/>
      <c r="L322" s="1350"/>
      <c r="M322" s="1350"/>
      <c r="N322" s="1350"/>
      <c r="O322" s="1350"/>
      <c r="P322" s="1354"/>
      <c r="Q322" s="1355"/>
      <c r="R322" s="1355"/>
      <c r="S322" s="1350"/>
      <c r="T322" s="1349"/>
      <c r="U322" s="1348"/>
      <c r="V322" s="1348"/>
      <c r="W322" s="1349"/>
      <c r="X322" s="1350"/>
      <c r="Y322" s="1350"/>
      <c r="Z322" s="1349"/>
      <c r="AA322" s="1351"/>
      <c r="AB322" s="1350"/>
      <c r="AC322" s="1350"/>
      <c r="AD322" s="1350"/>
      <c r="AE322" s="1350"/>
      <c r="AF322" s="1350"/>
      <c r="AG322" s="1350"/>
      <c r="AH322" s="1350"/>
      <c r="AI322" s="1350"/>
      <c r="AJ322" s="1350"/>
      <c r="AK322" s="1350"/>
    </row>
    <row r="323">
      <c r="A323" s="1350"/>
      <c r="B323" s="1350"/>
      <c r="C323" s="1350"/>
      <c r="D323" s="1350"/>
      <c r="E323" s="1350"/>
      <c r="F323" s="1350"/>
      <c r="G323" s="1350"/>
      <c r="H323" s="1350"/>
      <c r="I323" s="1350"/>
      <c r="J323" s="1350"/>
      <c r="K323" s="1350"/>
      <c r="L323" s="1350"/>
      <c r="M323" s="1350"/>
      <c r="N323" s="1350"/>
      <c r="O323" s="1350"/>
      <c r="P323" s="1354"/>
      <c r="Q323" s="1355"/>
      <c r="R323" s="1355"/>
      <c r="S323" s="1350"/>
      <c r="T323" s="1349"/>
      <c r="U323" s="1348"/>
      <c r="V323" s="1348"/>
      <c r="W323" s="1349"/>
      <c r="X323" s="1350"/>
      <c r="Y323" s="1350"/>
      <c r="Z323" s="1349"/>
      <c r="AA323" s="1351"/>
      <c r="AB323" s="1350"/>
      <c r="AC323" s="1350"/>
      <c r="AD323" s="1350"/>
      <c r="AE323" s="1350"/>
      <c r="AF323" s="1350"/>
      <c r="AG323" s="1350"/>
      <c r="AH323" s="1350"/>
      <c r="AI323" s="1350"/>
      <c r="AJ323" s="1350"/>
      <c r="AK323" s="1350"/>
    </row>
    <row r="324">
      <c r="A324" s="1350"/>
      <c r="B324" s="1350"/>
      <c r="C324" s="1350"/>
      <c r="D324" s="1350"/>
      <c r="E324" s="1350"/>
      <c r="F324" s="1350"/>
      <c r="G324" s="1350"/>
      <c r="H324" s="1350"/>
      <c r="I324" s="1350"/>
      <c r="J324" s="1350"/>
      <c r="K324" s="1350"/>
      <c r="L324" s="1350"/>
      <c r="M324" s="1350"/>
      <c r="N324" s="1350"/>
      <c r="O324" s="1350"/>
      <c r="P324" s="1354"/>
      <c r="Q324" s="1355"/>
      <c r="R324" s="1355"/>
      <c r="S324" s="1350"/>
      <c r="T324" s="1349"/>
      <c r="U324" s="1348"/>
      <c r="V324" s="1348"/>
      <c r="W324" s="1349"/>
      <c r="X324" s="1350"/>
      <c r="Y324" s="1350"/>
      <c r="Z324" s="1349"/>
      <c r="AA324" s="1351"/>
      <c r="AB324" s="1350"/>
      <c r="AC324" s="1350"/>
      <c r="AD324" s="1350"/>
      <c r="AE324" s="1350"/>
      <c r="AF324" s="1350"/>
      <c r="AG324" s="1350"/>
      <c r="AH324" s="1350"/>
      <c r="AI324" s="1350"/>
      <c r="AJ324" s="1350"/>
      <c r="AK324" s="1350"/>
    </row>
    <row r="325">
      <c r="A325" s="1350"/>
      <c r="B325" s="1350"/>
      <c r="C325" s="1350"/>
      <c r="D325" s="1350"/>
      <c r="E325" s="1350"/>
      <c r="F325" s="1350"/>
      <c r="G325" s="1350"/>
      <c r="H325" s="1350"/>
      <c r="I325" s="1350"/>
      <c r="J325" s="1350"/>
      <c r="K325" s="1350"/>
      <c r="L325" s="1350"/>
      <c r="M325" s="1350"/>
      <c r="N325" s="1350"/>
      <c r="O325" s="1350"/>
      <c r="P325" s="1354"/>
      <c r="Q325" s="1355"/>
      <c r="R325" s="1355"/>
      <c r="S325" s="1350"/>
      <c r="T325" s="1349"/>
      <c r="U325" s="1348"/>
      <c r="V325" s="1348"/>
      <c r="W325" s="1349"/>
      <c r="X325" s="1350"/>
      <c r="Y325" s="1350"/>
      <c r="Z325" s="1349"/>
      <c r="AA325" s="1351"/>
      <c r="AB325" s="1350"/>
      <c r="AC325" s="1350"/>
      <c r="AD325" s="1350"/>
      <c r="AE325" s="1350"/>
      <c r="AF325" s="1350"/>
      <c r="AG325" s="1350"/>
      <c r="AH325" s="1350"/>
      <c r="AI325" s="1350"/>
      <c r="AJ325" s="1350"/>
      <c r="AK325" s="1350"/>
    </row>
    <row r="326">
      <c r="A326" s="1350"/>
      <c r="B326" s="1350"/>
      <c r="C326" s="1350"/>
      <c r="D326" s="1350"/>
      <c r="E326" s="1350"/>
      <c r="F326" s="1350"/>
      <c r="G326" s="1350"/>
      <c r="H326" s="1350"/>
      <c r="I326" s="1350"/>
      <c r="J326" s="1350"/>
      <c r="K326" s="1350"/>
      <c r="L326" s="1350"/>
      <c r="M326" s="1350"/>
      <c r="N326" s="1350"/>
      <c r="O326" s="1350"/>
      <c r="P326" s="1354"/>
      <c r="Q326" s="1355"/>
      <c r="R326" s="1355"/>
      <c r="S326" s="1350"/>
      <c r="T326" s="1349"/>
      <c r="U326" s="1348"/>
      <c r="V326" s="1348"/>
      <c r="W326" s="1349"/>
      <c r="X326" s="1350"/>
      <c r="Y326" s="1350"/>
      <c r="Z326" s="1349"/>
      <c r="AA326" s="1351"/>
      <c r="AB326" s="1350"/>
      <c r="AC326" s="1350"/>
      <c r="AD326" s="1350"/>
      <c r="AE326" s="1350"/>
      <c r="AF326" s="1350"/>
      <c r="AG326" s="1350"/>
      <c r="AH326" s="1350"/>
      <c r="AI326" s="1350"/>
      <c r="AJ326" s="1350"/>
      <c r="AK326" s="1350"/>
    </row>
    <row r="327">
      <c r="A327" s="1350"/>
      <c r="B327" s="1350"/>
      <c r="C327" s="1350"/>
      <c r="D327" s="1350"/>
      <c r="E327" s="1350"/>
      <c r="F327" s="1350"/>
      <c r="G327" s="1350"/>
      <c r="H327" s="1350"/>
      <c r="I327" s="1350"/>
      <c r="J327" s="1350"/>
      <c r="K327" s="1350"/>
      <c r="L327" s="1350"/>
      <c r="M327" s="1350"/>
      <c r="N327" s="1350"/>
      <c r="O327" s="1350"/>
      <c r="P327" s="1354"/>
      <c r="Q327" s="1355"/>
      <c r="R327" s="1355"/>
      <c r="S327" s="1350"/>
      <c r="T327" s="1349"/>
      <c r="U327" s="1348"/>
      <c r="V327" s="1348"/>
      <c r="W327" s="1349"/>
      <c r="X327" s="1350"/>
      <c r="Y327" s="1350"/>
      <c r="Z327" s="1349"/>
      <c r="AA327" s="1351"/>
      <c r="AB327" s="1350"/>
      <c r="AC327" s="1350"/>
      <c r="AD327" s="1350"/>
      <c r="AE327" s="1350"/>
      <c r="AF327" s="1350"/>
      <c r="AG327" s="1350"/>
      <c r="AH327" s="1350"/>
      <c r="AI327" s="1350"/>
      <c r="AJ327" s="1350"/>
      <c r="AK327" s="1350"/>
    </row>
    <row r="328">
      <c r="A328" s="1350"/>
      <c r="B328" s="1350"/>
      <c r="C328" s="1350"/>
      <c r="D328" s="1350"/>
      <c r="E328" s="1350"/>
      <c r="F328" s="1350"/>
      <c r="G328" s="1350"/>
      <c r="H328" s="1350"/>
      <c r="I328" s="1350"/>
      <c r="J328" s="1350"/>
      <c r="K328" s="1350"/>
      <c r="L328" s="1350"/>
      <c r="M328" s="1350"/>
      <c r="N328" s="1350"/>
      <c r="O328" s="1350"/>
      <c r="P328" s="1354"/>
      <c r="Q328" s="1355"/>
      <c r="R328" s="1355"/>
      <c r="S328" s="1350"/>
      <c r="T328" s="1349"/>
      <c r="U328" s="1348"/>
      <c r="V328" s="1348"/>
      <c r="W328" s="1349"/>
      <c r="X328" s="1350"/>
      <c r="Y328" s="1350"/>
      <c r="Z328" s="1349"/>
      <c r="AA328" s="1351"/>
      <c r="AB328" s="1350"/>
      <c r="AC328" s="1350"/>
      <c r="AD328" s="1350"/>
      <c r="AE328" s="1350"/>
      <c r="AF328" s="1350"/>
      <c r="AG328" s="1350"/>
      <c r="AH328" s="1350"/>
      <c r="AI328" s="1350"/>
      <c r="AJ328" s="1350"/>
      <c r="AK328" s="1350"/>
    </row>
    <row r="329">
      <c r="A329" s="1350"/>
      <c r="B329" s="1350"/>
      <c r="C329" s="1350"/>
      <c r="D329" s="1350"/>
      <c r="E329" s="1350"/>
      <c r="F329" s="1350"/>
      <c r="G329" s="1350"/>
      <c r="H329" s="1350"/>
      <c r="I329" s="1350"/>
      <c r="J329" s="1350"/>
      <c r="K329" s="1350"/>
      <c r="L329" s="1350"/>
      <c r="M329" s="1350"/>
      <c r="N329" s="1350"/>
      <c r="O329" s="1350"/>
      <c r="P329" s="1354"/>
      <c r="Q329" s="1355"/>
      <c r="R329" s="1355"/>
      <c r="S329" s="1350"/>
      <c r="T329" s="1349"/>
      <c r="U329" s="1348"/>
      <c r="V329" s="1348"/>
      <c r="W329" s="1349"/>
      <c r="X329" s="1350"/>
      <c r="Y329" s="1350"/>
      <c r="Z329" s="1349"/>
      <c r="AA329" s="1351"/>
      <c r="AB329" s="1350"/>
      <c r="AC329" s="1350"/>
      <c r="AD329" s="1350"/>
      <c r="AE329" s="1350"/>
      <c r="AF329" s="1350"/>
      <c r="AG329" s="1350"/>
      <c r="AH329" s="1350"/>
      <c r="AI329" s="1350"/>
      <c r="AJ329" s="1350"/>
      <c r="AK329" s="1350"/>
    </row>
    <row r="330">
      <c r="A330" s="1350"/>
      <c r="B330" s="1350"/>
      <c r="C330" s="1350"/>
      <c r="D330" s="1350"/>
      <c r="E330" s="1350"/>
      <c r="F330" s="1350"/>
      <c r="G330" s="1350"/>
      <c r="H330" s="1350"/>
      <c r="I330" s="1350"/>
      <c r="J330" s="1350"/>
      <c r="K330" s="1350"/>
      <c r="L330" s="1350"/>
      <c r="M330" s="1350"/>
      <c r="N330" s="1350"/>
      <c r="O330" s="1350"/>
      <c r="P330" s="1354"/>
      <c r="Q330" s="1355"/>
      <c r="R330" s="1355"/>
      <c r="S330" s="1350"/>
      <c r="T330" s="1349"/>
      <c r="U330" s="1348"/>
      <c r="V330" s="1348"/>
      <c r="W330" s="1349"/>
      <c r="X330" s="1350"/>
      <c r="Y330" s="1350"/>
      <c r="Z330" s="1349"/>
      <c r="AA330" s="1351"/>
      <c r="AB330" s="1350"/>
      <c r="AC330" s="1350"/>
      <c r="AD330" s="1350"/>
      <c r="AE330" s="1350"/>
      <c r="AF330" s="1350"/>
      <c r="AG330" s="1350"/>
      <c r="AH330" s="1350"/>
      <c r="AI330" s="1350"/>
      <c r="AJ330" s="1350"/>
      <c r="AK330" s="1350"/>
    </row>
    <row r="331">
      <c r="A331" s="1350"/>
      <c r="B331" s="1350"/>
      <c r="C331" s="1350"/>
      <c r="D331" s="1350"/>
      <c r="E331" s="1350"/>
      <c r="F331" s="1350"/>
      <c r="G331" s="1350"/>
      <c r="H331" s="1350"/>
      <c r="I331" s="1350"/>
      <c r="J331" s="1350"/>
      <c r="K331" s="1350"/>
      <c r="L331" s="1350"/>
      <c r="M331" s="1350"/>
      <c r="N331" s="1350"/>
      <c r="O331" s="1350"/>
      <c r="P331" s="1354"/>
      <c r="Q331" s="1355"/>
      <c r="R331" s="1355"/>
      <c r="S331" s="1350"/>
      <c r="T331" s="1349"/>
      <c r="U331" s="1348"/>
      <c r="V331" s="1348"/>
      <c r="W331" s="1349"/>
      <c r="X331" s="1350"/>
      <c r="Y331" s="1350"/>
      <c r="Z331" s="1349"/>
      <c r="AA331" s="1351"/>
      <c r="AB331" s="1350"/>
      <c r="AC331" s="1350"/>
      <c r="AD331" s="1350"/>
      <c r="AE331" s="1350"/>
      <c r="AF331" s="1350"/>
      <c r="AG331" s="1350"/>
      <c r="AH331" s="1350"/>
      <c r="AI331" s="1350"/>
      <c r="AJ331" s="1350"/>
      <c r="AK331" s="1350"/>
    </row>
    <row r="332">
      <c r="A332" s="1350"/>
      <c r="B332" s="1350"/>
      <c r="C332" s="1350"/>
      <c r="D332" s="1350"/>
      <c r="E332" s="1350"/>
      <c r="F332" s="1350"/>
      <c r="G332" s="1350"/>
      <c r="H332" s="1350"/>
      <c r="I332" s="1350"/>
      <c r="J332" s="1350"/>
      <c r="K332" s="1350"/>
      <c r="L332" s="1350"/>
      <c r="M332" s="1350"/>
      <c r="N332" s="1350"/>
      <c r="O332" s="1350"/>
      <c r="P332" s="1354"/>
      <c r="Q332" s="1355"/>
      <c r="R332" s="1355"/>
      <c r="S332" s="1350"/>
      <c r="T332" s="1349"/>
      <c r="U332" s="1348"/>
      <c r="V332" s="1348"/>
      <c r="W332" s="1349"/>
      <c r="X332" s="1350"/>
      <c r="Y332" s="1350"/>
      <c r="Z332" s="1349"/>
      <c r="AA332" s="1351"/>
      <c r="AB332" s="1350"/>
      <c r="AC332" s="1350"/>
      <c r="AD332" s="1350"/>
      <c r="AE332" s="1350"/>
      <c r="AF332" s="1350"/>
      <c r="AG332" s="1350"/>
      <c r="AH332" s="1350"/>
      <c r="AI332" s="1350"/>
      <c r="AJ332" s="1350"/>
      <c r="AK332" s="1350"/>
    </row>
    <row r="333">
      <c r="A333" s="1350"/>
      <c r="B333" s="1350"/>
      <c r="C333" s="1350"/>
      <c r="D333" s="1350"/>
      <c r="E333" s="1350"/>
      <c r="F333" s="1350"/>
      <c r="G333" s="1350"/>
      <c r="H333" s="1350"/>
      <c r="I333" s="1350"/>
      <c r="J333" s="1350"/>
      <c r="K333" s="1350"/>
      <c r="L333" s="1350"/>
      <c r="M333" s="1350"/>
      <c r="N333" s="1350"/>
      <c r="O333" s="1350"/>
      <c r="P333" s="1354"/>
      <c r="Q333" s="1355"/>
      <c r="R333" s="1355"/>
      <c r="S333" s="1350"/>
      <c r="T333" s="1349"/>
      <c r="U333" s="1348"/>
      <c r="V333" s="1348"/>
      <c r="W333" s="1349"/>
      <c r="X333" s="1350"/>
      <c r="Y333" s="1350"/>
      <c r="Z333" s="1349"/>
      <c r="AA333" s="1351"/>
      <c r="AB333" s="1350"/>
      <c r="AC333" s="1350"/>
      <c r="AD333" s="1350"/>
      <c r="AE333" s="1350"/>
      <c r="AF333" s="1350"/>
      <c r="AG333" s="1350"/>
      <c r="AH333" s="1350"/>
      <c r="AI333" s="1350"/>
      <c r="AJ333" s="1350"/>
      <c r="AK333" s="1350"/>
    </row>
    <row r="334">
      <c r="A334" s="1350"/>
      <c r="B334" s="1350"/>
      <c r="C334" s="1350"/>
      <c r="D334" s="1350"/>
      <c r="E334" s="1350"/>
      <c r="F334" s="1350"/>
      <c r="G334" s="1350"/>
      <c r="H334" s="1350"/>
      <c r="I334" s="1350"/>
      <c r="J334" s="1350"/>
      <c r="K334" s="1350"/>
      <c r="L334" s="1350"/>
      <c r="M334" s="1350"/>
      <c r="N334" s="1350"/>
      <c r="O334" s="1350"/>
      <c r="P334" s="1354"/>
      <c r="Q334" s="1355"/>
      <c r="R334" s="1355"/>
      <c r="S334" s="1350"/>
      <c r="T334" s="1349"/>
      <c r="U334" s="1348"/>
      <c r="V334" s="1348"/>
      <c r="W334" s="1349"/>
      <c r="X334" s="1350"/>
      <c r="Y334" s="1350"/>
      <c r="Z334" s="1349"/>
      <c r="AA334" s="1351"/>
      <c r="AB334" s="1350"/>
      <c r="AC334" s="1350"/>
      <c r="AD334" s="1350"/>
      <c r="AE334" s="1350"/>
      <c r="AF334" s="1350"/>
      <c r="AG334" s="1350"/>
      <c r="AH334" s="1350"/>
      <c r="AI334" s="1350"/>
      <c r="AJ334" s="1350"/>
      <c r="AK334" s="1350"/>
    </row>
    <row r="335">
      <c r="A335" s="1350"/>
      <c r="B335" s="1350"/>
      <c r="C335" s="1350"/>
      <c r="D335" s="1350"/>
      <c r="E335" s="1350"/>
      <c r="F335" s="1350"/>
      <c r="G335" s="1350"/>
      <c r="H335" s="1350"/>
      <c r="I335" s="1350"/>
      <c r="J335" s="1350"/>
      <c r="K335" s="1350"/>
      <c r="L335" s="1350"/>
      <c r="M335" s="1350"/>
      <c r="N335" s="1350"/>
      <c r="O335" s="1350"/>
      <c r="P335" s="1354"/>
      <c r="Q335" s="1355"/>
      <c r="R335" s="1355"/>
      <c r="S335" s="1350"/>
      <c r="T335" s="1349"/>
      <c r="U335" s="1348"/>
      <c r="V335" s="1348"/>
      <c r="W335" s="1349"/>
      <c r="X335" s="1350"/>
      <c r="Y335" s="1350"/>
      <c r="Z335" s="1349"/>
      <c r="AA335" s="1351"/>
      <c r="AB335" s="1350"/>
      <c r="AC335" s="1350"/>
      <c r="AD335" s="1350"/>
      <c r="AE335" s="1350"/>
      <c r="AF335" s="1350"/>
      <c r="AG335" s="1350"/>
      <c r="AH335" s="1350"/>
      <c r="AI335" s="1350"/>
      <c r="AJ335" s="1350"/>
      <c r="AK335" s="1350"/>
    </row>
    <row r="336">
      <c r="A336" s="1350"/>
      <c r="B336" s="1350"/>
      <c r="C336" s="1350"/>
      <c r="D336" s="1350"/>
      <c r="E336" s="1350"/>
      <c r="F336" s="1350"/>
      <c r="G336" s="1350"/>
      <c r="H336" s="1350"/>
      <c r="I336" s="1350"/>
      <c r="J336" s="1350"/>
      <c r="K336" s="1350"/>
      <c r="L336" s="1350"/>
      <c r="M336" s="1350"/>
      <c r="N336" s="1350"/>
      <c r="O336" s="1350"/>
      <c r="P336" s="1354"/>
      <c r="Q336" s="1355"/>
      <c r="R336" s="1355"/>
      <c r="S336" s="1350"/>
      <c r="T336" s="1349"/>
      <c r="U336" s="1348"/>
      <c r="V336" s="1348"/>
      <c r="W336" s="1349"/>
      <c r="X336" s="1350"/>
      <c r="Y336" s="1350"/>
      <c r="Z336" s="1349"/>
      <c r="AA336" s="1351"/>
      <c r="AB336" s="1350"/>
      <c r="AC336" s="1350"/>
      <c r="AD336" s="1350"/>
      <c r="AE336" s="1350"/>
      <c r="AF336" s="1350"/>
      <c r="AG336" s="1350"/>
      <c r="AH336" s="1350"/>
      <c r="AI336" s="1350"/>
      <c r="AJ336" s="1350"/>
      <c r="AK336" s="1350"/>
    </row>
    <row r="337">
      <c r="A337" s="1350"/>
      <c r="B337" s="1350"/>
      <c r="C337" s="1350"/>
      <c r="D337" s="1350"/>
      <c r="E337" s="1350"/>
      <c r="F337" s="1350"/>
      <c r="G337" s="1350"/>
      <c r="H337" s="1350"/>
      <c r="I337" s="1350"/>
      <c r="J337" s="1350"/>
      <c r="K337" s="1350"/>
      <c r="L337" s="1350"/>
      <c r="M337" s="1350"/>
      <c r="N337" s="1350"/>
      <c r="O337" s="1350"/>
      <c r="P337" s="1354"/>
      <c r="Q337" s="1355"/>
      <c r="R337" s="1355"/>
      <c r="S337" s="1350"/>
      <c r="T337" s="1349"/>
      <c r="U337" s="1348"/>
      <c r="V337" s="1348"/>
      <c r="W337" s="1349"/>
      <c r="X337" s="1350"/>
      <c r="Y337" s="1350"/>
      <c r="Z337" s="1349"/>
      <c r="AA337" s="1351"/>
      <c r="AB337" s="1350"/>
      <c r="AC337" s="1350"/>
      <c r="AD337" s="1350"/>
      <c r="AE337" s="1350"/>
      <c r="AF337" s="1350"/>
      <c r="AG337" s="1350"/>
      <c r="AH337" s="1350"/>
      <c r="AI337" s="1350"/>
      <c r="AJ337" s="1350"/>
      <c r="AK337" s="1350"/>
    </row>
    <row r="338">
      <c r="A338" s="1350"/>
      <c r="B338" s="1350"/>
      <c r="C338" s="1350"/>
      <c r="D338" s="1350"/>
      <c r="E338" s="1350"/>
      <c r="F338" s="1350"/>
      <c r="G338" s="1350"/>
      <c r="H338" s="1350"/>
      <c r="I338" s="1350"/>
      <c r="J338" s="1350"/>
      <c r="K338" s="1350"/>
      <c r="L338" s="1350"/>
      <c r="M338" s="1350"/>
      <c r="N338" s="1350"/>
      <c r="O338" s="1350"/>
      <c r="P338" s="1354"/>
      <c r="Q338" s="1355"/>
      <c r="R338" s="1355"/>
      <c r="S338" s="1350"/>
      <c r="T338" s="1349"/>
      <c r="U338" s="1348"/>
      <c r="V338" s="1348"/>
      <c r="W338" s="1349"/>
      <c r="X338" s="1350"/>
      <c r="Y338" s="1350"/>
      <c r="Z338" s="1349"/>
      <c r="AA338" s="1351"/>
      <c r="AB338" s="1350"/>
      <c r="AC338" s="1350"/>
      <c r="AD338" s="1350"/>
      <c r="AE338" s="1350"/>
      <c r="AF338" s="1350"/>
      <c r="AG338" s="1350"/>
      <c r="AH338" s="1350"/>
      <c r="AI338" s="1350"/>
      <c r="AJ338" s="1350"/>
      <c r="AK338" s="1350"/>
    </row>
    <row r="339">
      <c r="A339" s="1350"/>
      <c r="B339" s="1350"/>
      <c r="C339" s="1350"/>
      <c r="D339" s="1350"/>
      <c r="E339" s="1350"/>
      <c r="F339" s="1350"/>
      <c r="G339" s="1350"/>
      <c r="H339" s="1350"/>
      <c r="I339" s="1350"/>
      <c r="J339" s="1350"/>
      <c r="K339" s="1350"/>
      <c r="L339" s="1350"/>
      <c r="M339" s="1350"/>
      <c r="N339" s="1350"/>
      <c r="O339" s="1350"/>
      <c r="P339" s="1354"/>
      <c r="Q339" s="1355"/>
      <c r="R339" s="1355"/>
      <c r="S339" s="1350"/>
      <c r="T339" s="1349"/>
      <c r="U339" s="1348"/>
      <c r="V339" s="1348"/>
      <c r="W339" s="1349"/>
      <c r="X339" s="1350"/>
      <c r="Y339" s="1350"/>
      <c r="Z339" s="1349"/>
      <c r="AA339" s="1351"/>
      <c r="AB339" s="1350"/>
      <c r="AC339" s="1350"/>
      <c r="AD339" s="1350"/>
      <c r="AE339" s="1350"/>
      <c r="AF339" s="1350"/>
      <c r="AG339" s="1350"/>
      <c r="AH339" s="1350"/>
      <c r="AI339" s="1350"/>
      <c r="AJ339" s="1350"/>
      <c r="AK339" s="1350"/>
    </row>
    <row r="340">
      <c r="A340" s="1350"/>
      <c r="B340" s="1350"/>
      <c r="C340" s="1350"/>
      <c r="D340" s="1350"/>
      <c r="E340" s="1350"/>
      <c r="F340" s="1350"/>
      <c r="G340" s="1350"/>
      <c r="H340" s="1350"/>
      <c r="I340" s="1350"/>
      <c r="J340" s="1350"/>
      <c r="K340" s="1350"/>
      <c r="L340" s="1350"/>
      <c r="M340" s="1350"/>
      <c r="N340" s="1350"/>
      <c r="O340" s="1350"/>
      <c r="P340" s="1354"/>
      <c r="Q340" s="1355"/>
      <c r="R340" s="1355"/>
      <c r="S340" s="1350"/>
      <c r="T340" s="1349"/>
      <c r="U340" s="1348"/>
      <c r="V340" s="1348"/>
      <c r="W340" s="1349"/>
      <c r="X340" s="1350"/>
      <c r="Y340" s="1350"/>
      <c r="Z340" s="1349"/>
      <c r="AA340" s="1351"/>
      <c r="AB340" s="1350"/>
      <c r="AC340" s="1350"/>
      <c r="AD340" s="1350"/>
      <c r="AE340" s="1350"/>
      <c r="AF340" s="1350"/>
      <c r="AG340" s="1350"/>
      <c r="AH340" s="1350"/>
      <c r="AI340" s="1350"/>
      <c r="AJ340" s="1350"/>
      <c r="AK340" s="1350"/>
    </row>
    <row r="341">
      <c r="A341" s="1350"/>
      <c r="B341" s="1350"/>
      <c r="C341" s="1350"/>
      <c r="D341" s="1350"/>
      <c r="E341" s="1350"/>
      <c r="F341" s="1350"/>
      <c r="G341" s="1350"/>
      <c r="H341" s="1350"/>
      <c r="I341" s="1350"/>
      <c r="J341" s="1350"/>
      <c r="K341" s="1350"/>
      <c r="L341" s="1350"/>
      <c r="M341" s="1350"/>
      <c r="N341" s="1350"/>
      <c r="O341" s="1350"/>
      <c r="P341" s="1354"/>
      <c r="Q341" s="1355"/>
      <c r="R341" s="1355"/>
      <c r="S341" s="1350"/>
      <c r="T341" s="1349"/>
      <c r="U341" s="1348"/>
      <c r="V341" s="1348"/>
      <c r="W341" s="1349"/>
      <c r="X341" s="1350"/>
      <c r="Y341" s="1350"/>
      <c r="Z341" s="1349"/>
      <c r="AA341" s="1351"/>
      <c r="AB341" s="1350"/>
      <c r="AC341" s="1350"/>
      <c r="AD341" s="1350"/>
      <c r="AE341" s="1350"/>
      <c r="AF341" s="1350"/>
      <c r="AG341" s="1350"/>
      <c r="AH341" s="1350"/>
      <c r="AI341" s="1350"/>
      <c r="AJ341" s="1350"/>
      <c r="AK341" s="1350"/>
    </row>
    <row r="342">
      <c r="A342" s="1350"/>
      <c r="B342" s="1350"/>
      <c r="C342" s="1350"/>
      <c r="D342" s="1350"/>
      <c r="E342" s="1350"/>
      <c r="F342" s="1350"/>
      <c r="G342" s="1350"/>
      <c r="H342" s="1350"/>
      <c r="I342" s="1350"/>
      <c r="J342" s="1350"/>
      <c r="K342" s="1350"/>
      <c r="L342" s="1350"/>
      <c r="M342" s="1350"/>
      <c r="N342" s="1350"/>
      <c r="O342" s="1350"/>
      <c r="P342" s="1354"/>
      <c r="Q342" s="1355"/>
      <c r="R342" s="1355"/>
      <c r="S342" s="1350"/>
      <c r="T342" s="1349"/>
      <c r="U342" s="1348"/>
      <c r="V342" s="1348"/>
      <c r="W342" s="1349"/>
      <c r="X342" s="1350"/>
      <c r="Y342" s="1350"/>
      <c r="Z342" s="1349"/>
      <c r="AA342" s="1351"/>
      <c r="AB342" s="1350"/>
      <c r="AC342" s="1350"/>
      <c r="AD342" s="1350"/>
      <c r="AE342" s="1350"/>
      <c r="AF342" s="1350"/>
      <c r="AG342" s="1350"/>
      <c r="AH342" s="1350"/>
      <c r="AI342" s="1350"/>
      <c r="AJ342" s="1350"/>
      <c r="AK342" s="1350"/>
    </row>
    <row r="343">
      <c r="A343" s="1350"/>
      <c r="B343" s="1350"/>
      <c r="C343" s="1350"/>
      <c r="D343" s="1350"/>
      <c r="E343" s="1350"/>
      <c r="F343" s="1350"/>
      <c r="G343" s="1350"/>
      <c r="H343" s="1350"/>
      <c r="I343" s="1350"/>
      <c r="J343" s="1350"/>
      <c r="K343" s="1350"/>
      <c r="L343" s="1350"/>
      <c r="M343" s="1350"/>
      <c r="N343" s="1350"/>
      <c r="O343" s="1350"/>
      <c r="P343" s="1354"/>
      <c r="Q343" s="1355"/>
      <c r="R343" s="1355"/>
      <c r="S343" s="1350"/>
      <c r="T343" s="1349"/>
      <c r="U343" s="1348"/>
      <c r="V343" s="1348"/>
      <c r="W343" s="1349"/>
      <c r="X343" s="1350"/>
      <c r="Y343" s="1350"/>
      <c r="Z343" s="1349"/>
      <c r="AA343" s="1351"/>
      <c r="AB343" s="1350"/>
      <c r="AC343" s="1350"/>
      <c r="AD343" s="1350"/>
      <c r="AE343" s="1350"/>
      <c r="AF343" s="1350"/>
      <c r="AG343" s="1350"/>
      <c r="AH343" s="1350"/>
      <c r="AI343" s="1350"/>
      <c r="AJ343" s="1350"/>
      <c r="AK343" s="1350"/>
    </row>
    <row r="344">
      <c r="A344" s="1350"/>
      <c r="B344" s="1350"/>
      <c r="C344" s="1350"/>
      <c r="D344" s="1350"/>
      <c r="E344" s="1350"/>
      <c r="F344" s="1350"/>
      <c r="G344" s="1350"/>
      <c r="H344" s="1350"/>
      <c r="I344" s="1350"/>
      <c r="J344" s="1350"/>
      <c r="K344" s="1350"/>
      <c r="L344" s="1350"/>
      <c r="M344" s="1350"/>
      <c r="N344" s="1350"/>
      <c r="O344" s="1350"/>
      <c r="P344" s="1354"/>
      <c r="Q344" s="1355"/>
      <c r="R344" s="1355"/>
      <c r="S344" s="1350"/>
      <c r="T344" s="1349"/>
      <c r="U344" s="1348"/>
      <c r="V344" s="1348"/>
      <c r="W344" s="1349"/>
      <c r="X344" s="1350"/>
      <c r="Y344" s="1350"/>
      <c r="Z344" s="1349"/>
      <c r="AA344" s="1351"/>
      <c r="AB344" s="1350"/>
      <c r="AC344" s="1350"/>
      <c r="AD344" s="1350"/>
      <c r="AE344" s="1350"/>
      <c r="AF344" s="1350"/>
      <c r="AG344" s="1350"/>
      <c r="AH344" s="1350"/>
      <c r="AI344" s="1350"/>
      <c r="AJ344" s="1350"/>
      <c r="AK344" s="1350"/>
    </row>
    <row r="345">
      <c r="A345" s="1350"/>
      <c r="B345" s="1350"/>
      <c r="C345" s="1350"/>
      <c r="D345" s="1350"/>
      <c r="E345" s="1350"/>
      <c r="F345" s="1350"/>
      <c r="G345" s="1350"/>
      <c r="H345" s="1350"/>
      <c r="I345" s="1350"/>
      <c r="J345" s="1350"/>
      <c r="K345" s="1350"/>
      <c r="L345" s="1350"/>
      <c r="M345" s="1350"/>
      <c r="N345" s="1350"/>
      <c r="O345" s="1350"/>
      <c r="P345" s="1354"/>
      <c r="Q345" s="1355"/>
      <c r="R345" s="1355"/>
      <c r="S345" s="1350"/>
      <c r="T345" s="1349"/>
      <c r="U345" s="1348"/>
      <c r="V345" s="1348"/>
      <c r="W345" s="1349"/>
      <c r="X345" s="1350"/>
      <c r="Y345" s="1350"/>
      <c r="Z345" s="1349"/>
      <c r="AA345" s="1351"/>
      <c r="AB345" s="1350"/>
      <c r="AC345" s="1350"/>
      <c r="AD345" s="1350"/>
      <c r="AE345" s="1350"/>
      <c r="AF345" s="1350"/>
      <c r="AG345" s="1350"/>
      <c r="AH345" s="1350"/>
      <c r="AI345" s="1350"/>
      <c r="AJ345" s="1350"/>
      <c r="AK345" s="1350"/>
    </row>
    <row r="346">
      <c r="A346" s="1350"/>
      <c r="B346" s="1350"/>
      <c r="C346" s="1350"/>
      <c r="D346" s="1350"/>
      <c r="E346" s="1350"/>
      <c r="F346" s="1350"/>
      <c r="G346" s="1350"/>
      <c r="H346" s="1350"/>
      <c r="I346" s="1350"/>
      <c r="J346" s="1350"/>
      <c r="K346" s="1350"/>
      <c r="L346" s="1350"/>
      <c r="M346" s="1350"/>
      <c r="N346" s="1350"/>
      <c r="O346" s="1350"/>
      <c r="P346" s="1354"/>
      <c r="Q346" s="1355"/>
      <c r="R346" s="1355"/>
      <c r="S346" s="1350"/>
      <c r="T346" s="1349"/>
      <c r="U346" s="1348"/>
      <c r="V346" s="1348"/>
      <c r="W346" s="1349"/>
      <c r="X346" s="1350"/>
      <c r="Y346" s="1350"/>
      <c r="Z346" s="1349"/>
      <c r="AA346" s="1351"/>
      <c r="AB346" s="1350"/>
      <c r="AC346" s="1350"/>
      <c r="AD346" s="1350"/>
      <c r="AE346" s="1350"/>
      <c r="AF346" s="1350"/>
      <c r="AG346" s="1350"/>
      <c r="AH346" s="1350"/>
      <c r="AI346" s="1350"/>
      <c r="AJ346" s="1350"/>
      <c r="AK346" s="1350"/>
    </row>
    <row r="347">
      <c r="A347" s="1350"/>
      <c r="B347" s="1350"/>
      <c r="C347" s="1350"/>
      <c r="D347" s="1350"/>
      <c r="E347" s="1350"/>
      <c r="F347" s="1350"/>
      <c r="G347" s="1350"/>
      <c r="H347" s="1350"/>
      <c r="I347" s="1350"/>
      <c r="J347" s="1350"/>
      <c r="K347" s="1350"/>
      <c r="L347" s="1350"/>
      <c r="M347" s="1350"/>
      <c r="N347" s="1350"/>
      <c r="O347" s="1350"/>
      <c r="P347" s="1354"/>
      <c r="Q347" s="1355"/>
      <c r="R347" s="1355"/>
      <c r="S347" s="1350"/>
      <c r="T347" s="1349"/>
      <c r="U347" s="1348"/>
      <c r="V347" s="1348"/>
      <c r="W347" s="1349"/>
      <c r="X347" s="1350"/>
      <c r="Y347" s="1350"/>
      <c r="Z347" s="1349"/>
      <c r="AA347" s="1351"/>
      <c r="AB347" s="1350"/>
      <c r="AC347" s="1350"/>
      <c r="AD347" s="1350"/>
      <c r="AE347" s="1350"/>
      <c r="AF347" s="1350"/>
      <c r="AG347" s="1350"/>
      <c r="AH347" s="1350"/>
      <c r="AI347" s="1350"/>
      <c r="AJ347" s="1350"/>
      <c r="AK347" s="1350"/>
    </row>
    <row r="348">
      <c r="A348" s="1350"/>
      <c r="B348" s="1350"/>
      <c r="C348" s="1350"/>
      <c r="D348" s="1350"/>
      <c r="E348" s="1350"/>
      <c r="F348" s="1350"/>
      <c r="G348" s="1350"/>
      <c r="H348" s="1350"/>
      <c r="I348" s="1350"/>
      <c r="J348" s="1350"/>
      <c r="K348" s="1350"/>
      <c r="L348" s="1350"/>
      <c r="M348" s="1350"/>
      <c r="N348" s="1350"/>
      <c r="O348" s="1350"/>
      <c r="P348" s="1354"/>
      <c r="Q348" s="1355"/>
      <c r="R348" s="1355"/>
      <c r="S348" s="1350"/>
      <c r="T348" s="1349"/>
      <c r="U348" s="1348"/>
      <c r="V348" s="1348"/>
      <c r="W348" s="1349"/>
      <c r="X348" s="1350"/>
      <c r="Y348" s="1350"/>
      <c r="Z348" s="1349"/>
      <c r="AA348" s="1351"/>
      <c r="AB348" s="1350"/>
      <c r="AC348" s="1350"/>
      <c r="AD348" s="1350"/>
      <c r="AE348" s="1350"/>
      <c r="AF348" s="1350"/>
      <c r="AG348" s="1350"/>
      <c r="AH348" s="1350"/>
      <c r="AI348" s="1350"/>
      <c r="AJ348" s="1350"/>
      <c r="AK348" s="1350"/>
    </row>
    <row r="349">
      <c r="A349" s="1350"/>
      <c r="B349" s="1350"/>
      <c r="C349" s="1350"/>
      <c r="D349" s="1350"/>
      <c r="E349" s="1350"/>
      <c r="F349" s="1350"/>
      <c r="G349" s="1350"/>
      <c r="H349" s="1350"/>
      <c r="I349" s="1350"/>
      <c r="J349" s="1350"/>
      <c r="K349" s="1350"/>
      <c r="L349" s="1350"/>
      <c r="M349" s="1350"/>
      <c r="N349" s="1350"/>
      <c r="O349" s="1350"/>
      <c r="P349" s="1354"/>
      <c r="Q349" s="1355"/>
      <c r="R349" s="1355"/>
      <c r="S349" s="1350"/>
      <c r="T349" s="1349"/>
      <c r="U349" s="1348"/>
      <c r="V349" s="1348"/>
      <c r="W349" s="1349"/>
      <c r="X349" s="1350"/>
      <c r="Y349" s="1350"/>
      <c r="Z349" s="1349"/>
      <c r="AA349" s="1351"/>
      <c r="AB349" s="1350"/>
      <c r="AC349" s="1350"/>
      <c r="AD349" s="1350"/>
      <c r="AE349" s="1350"/>
      <c r="AF349" s="1350"/>
      <c r="AG349" s="1350"/>
      <c r="AH349" s="1350"/>
      <c r="AI349" s="1350"/>
      <c r="AJ349" s="1350"/>
      <c r="AK349" s="1350"/>
    </row>
    <row r="350">
      <c r="A350" s="1350"/>
      <c r="B350" s="1350"/>
      <c r="C350" s="1350"/>
      <c r="D350" s="1350"/>
      <c r="E350" s="1350"/>
      <c r="F350" s="1350"/>
      <c r="G350" s="1350"/>
      <c r="H350" s="1350"/>
      <c r="I350" s="1350"/>
      <c r="J350" s="1350"/>
      <c r="K350" s="1350"/>
      <c r="L350" s="1350"/>
      <c r="M350" s="1350"/>
      <c r="N350" s="1350"/>
      <c r="O350" s="1350"/>
      <c r="P350" s="1354"/>
      <c r="Q350" s="1355"/>
      <c r="R350" s="1355"/>
      <c r="S350" s="1350"/>
      <c r="T350" s="1349"/>
      <c r="U350" s="1348"/>
      <c r="V350" s="1348"/>
      <c r="W350" s="1349"/>
      <c r="X350" s="1350"/>
      <c r="Y350" s="1350"/>
      <c r="Z350" s="1349"/>
      <c r="AA350" s="1351"/>
      <c r="AB350" s="1350"/>
      <c r="AC350" s="1350"/>
      <c r="AD350" s="1350"/>
      <c r="AE350" s="1350"/>
      <c r="AF350" s="1350"/>
      <c r="AG350" s="1350"/>
      <c r="AH350" s="1350"/>
      <c r="AI350" s="1350"/>
      <c r="AJ350" s="1350"/>
      <c r="AK350" s="1350"/>
    </row>
    <row r="351">
      <c r="A351" s="1350"/>
      <c r="B351" s="1350"/>
      <c r="C351" s="1350"/>
      <c r="D351" s="1350"/>
      <c r="E351" s="1350"/>
      <c r="F351" s="1350"/>
      <c r="G351" s="1350"/>
      <c r="H351" s="1350"/>
      <c r="I351" s="1350"/>
      <c r="J351" s="1350"/>
      <c r="K351" s="1350"/>
      <c r="L351" s="1350"/>
      <c r="M351" s="1350"/>
      <c r="N351" s="1350"/>
      <c r="O351" s="1350"/>
      <c r="P351" s="1354"/>
      <c r="Q351" s="1355"/>
      <c r="R351" s="1355"/>
      <c r="S351" s="1350"/>
      <c r="T351" s="1349"/>
      <c r="U351" s="1348"/>
      <c r="V351" s="1348"/>
      <c r="W351" s="1349"/>
      <c r="X351" s="1350"/>
      <c r="Y351" s="1350"/>
      <c r="Z351" s="1349"/>
      <c r="AA351" s="1351"/>
      <c r="AB351" s="1350"/>
      <c r="AC351" s="1350"/>
      <c r="AD351" s="1350"/>
      <c r="AE351" s="1350"/>
      <c r="AF351" s="1350"/>
      <c r="AG351" s="1350"/>
      <c r="AH351" s="1350"/>
      <c r="AI351" s="1350"/>
      <c r="AJ351" s="1350"/>
      <c r="AK351" s="1350"/>
    </row>
    <row r="352">
      <c r="A352" s="1350"/>
      <c r="B352" s="1350"/>
      <c r="C352" s="1350"/>
      <c r="D352" s="1350"/>
      <c r="E352" s="1350"/>
      <c r="F352" s="1350"/>
      <c r="G352" s="1350"/>
      <c r="H352" s="1350"/>
      <c r="I352" s="1350"/>
      <c r="J352" s="1350"/>
      <c r="K352" s="1350"/>
      <c r="L352" s="1350"/>
      <c r="M352" s="1350"/>
      <c r="N352" s="1350"/>
      <c r="O352" s="1350"/>
      <c r="P352" s="1354"/>
      <c r="Q352" s="1355"/>
      <c r="R352" s="1355"/>
      <c r="S352" s="1350"/>
      <c r="T352" s="1349"/>
      <c r="U352" s="1348"/>
      <c r="V352" s="1348"/>
      <c r="W352" s="1349"/>
      <c r="X352" s="1350"/>
      <c r="Y352" s="1350"/>
      <c r="Z352" s="1349"/>
      <c r="AA352" s="1351"/>
      <c r="AB352" s="1350"/>
      <c r="AC352" s="1350"/>
      <c r="AD352" s="1350"/>
      <c r="AE352" s="1350"/>
      <c r="AF352" s="1350"/>
      <c r="AG352" s="1350"/>
      <c r="AH352" s="1350"/>
      <c r="AI352" s="1350"/>
      <c r="AJ352" s="1350"/>
      <c r="AK352" s="1350"/>
    </row>
    <row r="353">
      <c r="A353" s="1350"/>
      <c r="B353" s="1350"/>
      <c r="C353" s="1350"/>
      <c r="D353" s="1350"/>
      <c r="E353" s="1350"/>
      <c r="F353" s="1350"/>
      <c r="G353" s="1350"/>
      <c r="H353" s="1350"/>
      <c r="I353" s="1350"/>
      <c r="J353" s="1350"/>
      <c r="K353" s="1350"/>
      <c r="L353" s="1350"/>
      <c r="M353" s="1350"/>
      <c r="N353" s="1350"/>
      <c r="O353" s="1350"/>
      <c r="P353" s="1354"/>
      <c r="Q353" s="1355"/>
      <c r="R353" s="1355"/>
      <c r="S353" s="1350"/>
      <c r="T353" s="1349"/>
      <c r="U353" s="1348"/>
      <c r="V353" s="1348"/>
      <c r="W353" s="1349"/>
      <c r="X353" s="1350"/>
      <c r="Y353" s="1350"/>
      <c r="Z353" s="1349"/>
      <c r="AA353" s="1351"/>
      <c r="AB353" s="1350"/>
      <c r="AC353" s="1350"/>
      <c r="AD353" s="1350"/>
      <c r="AE353" s="1350"/>
      <c r="AF353" s="1350"/>
      <c r="AG353" s="1350"/>
      <c r="AH353" s="1350"/>
      <c r="AI353" s="1350"/>
      <c r="AJ353" s="1350"/>
      <c r="AK353" s="1350"/>
    </row>
    <row r="354">
      <c r="A354" s="1350"/>
      <c r="B354" s="1350"/>
      <c r="C354" s="1350"/>
      <c r="D354" s="1350"/>
      <c r="E354" s="1350"/>
      <c r="F354" s="1350"/>
      <c r="G354" s="1350"/>
      <c r="H354" s="1350"/>
      <c r="I354" s="1350"/>
      <c r="J354" s="1350"/>
      <c r="K354" s="1350"/>
      <c r="L354" s="1350"/>
      <c r="M354" s="1350"/>
      <c r="N354" s="1350"/>
      <c r="O354" s="1350"/>
      <c r="P354" s="1354"/>
      <c r="Q354" s="1355"/>
      <c r="R354" s="1355"/>
      <c r="S354" s="1350"/>
      <c r="T354" s="1349"/>
      <c r="U354" s="1348"/>
      <c r="V354" s="1348"/>
      <c r="W354" s="1349"/>
      <c r="X354" s="1350"/>
      <c r="Y354" s="1350"/>
      <c r="Z354" s="1349"/>
      <c r="AA354" s="1351"/>
      <c r="AB354" s="1350"/>
      <c r="AC354" s="1350"/>
      <c r="AD354" s="1350"/>
      <c r="AE354" s="1350"/>
      <c r="AF354" s="1350"/>
      <c r="AG354" s="1350"/>
      <c r="AH354" s="1350"/>
      <c r="AI354" s="1350"/>
      <c r="AJ354" s="1350"/>
      <c r="AK354" s="1350"/>
    </row>
    <row r="355">
      <c r="A355" s="1350"/>
      <c r="B355" s="1350"/>
      <c r="C355" s="1350"/>
      <c r="D355" s="1350"/>
      <c r="E355" s="1350"/>
      <c r="F355" s="1350"/>
      <c r="G355" s="1350"/>
      <c r="H355" s="1350"/>
      <c r="I355" s="1350"/>
      <c r="J355" s="1350"/>
      <c r="K355" s="1350"/>
      <c r="L355" s="1350"/>
      <c r="M355" s="1350"/>
      <c r="N355" s="1350"/>
      <c r="O355" s="1350"/>
      <c r="P355" s="1354"/>
      <c r="Q355" s="1355"/>
      <c r="R355" s="1355"/>
      <c r="S355" s="1350"/>
      <c r="T355" s="1349"/>
      <c r="U355" s="1348"/>
      <c r="V355" s="1348"/>
      <c r="W355" s="1349"/>
      <c r="X355" s="1350"/>
      <c r="Y355" s="1350"/>
      <c r="Z355" s="1349"/>
      <c r="AA355" s="1351"/>
      <c r="AB355" s="1350"/>
      <c r="AC355" s="1350"/>
      <c r="AD355" s="1350"/>
      <c r="AE355" s="1350"/>
      <c r="AF355" s="1350"/>
      <c r="AG355" s="1350"/>
      <c r="AH355" s="1350"/>
      <c r="AI355" s="1350"/>
      <c r="AJ355" s="1350"/>
      <c r="AK355" s="1350"/>
    </row>
    <row r="356">
      <c r="A356" s="1350"/>
      <c r="B356" s="1350"/>
      <c r="C356" s="1350"/>
      <c r="D356" s="1350"/>
      <c r="E356" s="1350"/>
      <c r="F356" s="1350"/>
      <c r="G356" s="1350"/>
      <c r="H356" s="1350"/>
      <c r="I356" s="1350"/>
      <c r="J356" s="1350"/>
      <c r="K356" s="1350"/>
      <c r="L356" s="1350"/>
      <c r="M356" s="1350"/>
      <c r="N356" s="1350"/>
      <c r="O356" s="1350"/>
      <c r="P356" s="1354"/>
      <c r="Q356" s="1355"/>
      <c r="R356" s="1355"/>
      <c r="S356" s="1350"/>
      <c r="T356" s="1349"/>
      <c r="U356" s="1348"/>
      <c r="V356" s="1348"/>
      <c r="W356" s="1349"/>
      <c r="X356" s="1350"/>
      <c r="Y356" s="1350"/>
      <c r="Z356" s="1349"/>
      <c r="AA356" s="1351"/>
      <c r="AB356" s="1350"/>
      <c r="AC356" s="1350"/>
      <c r="AD356" s="1350"/>
      <c r="AE356" s="1350"/>
      <c r="AF356" s="1350"/>
      <c r="AG356" s="1350"/>
      <c r="AH356" s="1350"/>
      <c r="AI356" s="1350"/>
      <c r="AJ356" s="1350"/>
      <c r="AK356" s="1350"/>
    </row>
    <row r="357">
      <c r="A357" s="1350"/>
      <c r="B357" s="1350"/>
      <c r="C357" s="1350"/>
      <c r="D357" s="1350"/>
      <c r="E357" s="1350"/>
      <c r="F357" s="1350"/>
      <c r="G357" s="1350"/>
      <c r="H357" s="1350"/>
      <c r="I357" s="1350"/>
      <c r="J357" s="1350"/>
      <c r="K357" s="1350"/>
      <c r="L357" s="1350"/>
      <c r="M357" s="1350"/>
      <c r="N357" s="1350"/>
      <c r="O357" s="1350"/>
      <c r="P357" s="1354"/>
      <c r="Q357" s="1355"/>
      <c r="R357" s="1355"/>
      <c r="S357" s="1350"/>
      <c r="T357" s="1349"/>
      <c r="U357" s="1348"/>
      <c r="V357" s="1348"/>
      <c r="W357" s="1349"/>
      <c r="X357" s="1350"/>
      <c r="Y357" s="1350"/>
      <c r="Z357" s="1349"/>
      <c r="AA357" s="1351"/>
      <c r="AB357" s="1350"/>
      <c r="AC357" s="1350"/>
      <c r="AD357" s="1350"/>
      <c r="AE357" s="1350"/>
      <c r="AF357" s="1350"/>
      <c r="AG357" s="1350"/>
      <c r="AH357" s="1350"/>
      <c r="AI357" s="1350"/>
      <c r="AJ357" s="1350"/>
      <c r="AK357" s="1350"/>
    </row>
    <row r="358">
      <c r="A358" s="1350"/>
      <c r="B358" s="1350"/>
      <c r="C358" s="1350"/>
      <c r="D358" s="1350"/>
      <c r="E358" s="1350"/>
      <c r="F358" s="1350"/>
      <c r="G358" s="1350"/>
      <c r="H358" s="1350"/>
      <c r="I358" s="1350"/>
      <c r="J358" s="1350"/>
      <c r="K358" s="1350"/>
      <c r="L358" s="1350"/>
      <c r="M358" s="1350"/>
      <c r="N358" s="1350"/>
      <c r="O358" s="1350"/>
      <c r="P358" s="1354"/>
      <c r="Q358" s="1355"/>
      <c r="R358" s="1355"/>
      <c r="S358" s="1350"/>
      <c r="T358" s="1349"/>
      <c r="U358" s="1348"/>
      <c r="V358" s="1348"/>
      <c r="W358" s="1349"/>
      <c r="X358" s="1350"/>
      <c r="Y358" s="1350"/>
      <c r="Z358" s="1349"/>
      <c r="AA358" s="1351"/>
      <c r="AB358" s="1350"/>
      <c r="AC358" s="1350"/>
      <c r="AD358" s="1350"/>
      <c r="AE358" s="1350"/>
      <c r="AF358" s="1350"/>
      <c r="AG358" s="1350"/>
      <c r="AH358" s="1350"/>
      <c r="AI358" s="1350"/>
      <c r="AJ358" s="1350"/>
      <c r="AK358" s="1350"/>
    </row>
    <row r="359">
      <c r="A359" s="1350"/>
      <c r="B359" s="1350"/>
      <c r="C359" s="1350"/>
      <c r="D359" s="1350"/>
      <c r="E359" s="1350"/>
      <c r="F359" s="1350"/>
      <c r="G359" s="1350"/>
      <c r="H359" s="1350"/>
      <c r="I359" s="1350"/>
      <c r="J359" s="1350"/>
      <c r="K359" s="1350"/>
      <c r="L359" s="1350"/>
      <c r="M359" s="1350"/>
      <c r="N359" s="1350"/>
      <c r="O359" s="1350"/>
      <c r="P359" s="1354"/>
      <c r="Q359" s="1355"/>
      <c r="R359" s="1355"/>
      <c r="S359" s="1350"/>
      <c r="T359" s="1349"/>
      <c r="U359" s="1348"/>
      <c r="V359" s="1348"/>
      <c r="W359" s="1349"/>
      <c r="X359" s="1350"/>
      <c r="Y359" s="1350"/>
      <c r="Z359" s="1349"/>
      <c r="AA359" s="1351"/>
      <c r="AB359" s="1350"/>
      <c r="AC359" s="1350"/>
      <c r="AD359" s="1350"/>
      <c r="AE359" s="1350"/>
      <c r="AF359" s="1350"/>
      <c r="AG359" s="1350"/>
      <c r="AH359" s="1350"/>
      <c r="AI359" s="1350"/>
      <c r="AJ359" s="1350"/>
      <c r="AK359" s="1350"/>
    </row>
    <row r="360">
      <c r="A360" s="1350"/>
      <c r="B360" s="1350"/>
      <c r="C360" s="1350"/>
      <c r="D360" s="1350"/>
      <c r="E360" s="1350"/>
      <c r="F360" s="1350"/>
      <c r="G360" s="1350"/>
      <c r="H360" s="1350"/>
      <c r="I360" s="1350"/>
      <c r="J360" s="1350"/>
      <c r="K360" s="1350"/>
      <c r="L360" s="1350"/>
      <c r="M360" s="1350"/>
      <c r="N360" s="1350"/>
      <c r="O360" s="1350"/>
      <c r="P360" s="1354"/>
      <c r="Q360" s="1355"/>
      <c r="R360" s="1355"/>
      <c r="S360" s="1350"/>
      <c r="T360" s="1349"/>
      <c r="U360" s="1348"/>
      <c r="V360" s="1348"/>
      <c r="W360" s="1349"/>
      <c r="X360" s="1350"/>
      <c r="Y360" s="1350"/>
      <c r="Z360" s="1349"/>
      <c r="AA360" s="1351"/>
      <c r="AB360" s="1350"/>
      <c r="AC360" s="1350"/>
      <c r="AD360" s="1350"/>
      <c r="AE360" s="1350"/>
      <c r="AF360" s="1350"/>
      <c r="AG360" s="1350"/>
      <c r="AH360" s="1350"/>
      <c r="AI360" s="1350"/>
      <c r="AJ360" s="1350"/>
      <c r="AK360" s="1350"/>
    </row>
    <row r="361">
      <c r="A361" s="1350"/>
      <c r="B361" s="1350"/>
      <c r="C361" s="1350"/>
      <c r="D361" s="1350"/>
      <c r="E361" s="1350"/>
      <c r="F361" s="1350"/>
      <c r="G361" s="1350"/>
      <c r="H361" s="1350"/>
      <c r="I361" s="1350"/>
      <c r="J361" s="1350"/>
      <c r="K361" s="1350"/>
      <c r="L361" s="1350"/>
      <c r="M361" s="1350"/>
      <c r="N361" s="1350"/>
      <c r="O361" s="1350"/>
      <c r="P361" s="1354"/>
      <c r="Q361" s="1355"/>
      <c r="R361" s="1355"/>
      <c r="S361" s="1350"/>
      <c r="T361" s="1349"/>
      <c r="U361" s="1348"/>
      <c r="V361" s="1348"/>
      <c r="W361" s="1349"/>
      <c r="X361" s="1350"/>
      <c r="Y361" s="1350"/>
      <c r="Z361" s="1349"/>
      <c r="AA361" s="1351"/>
      <c r="AB361" s="1350"/>
      <c r="AC361" s="1350"/>
      <c r="AD361" s="1350"/>
      <c r="AE361" s="1350"/>
      <c r="AF361" s="1350"/>
      <c r="AG361" s="1350"/>
      <c r="AH361" s="1350"/>
      <c r="AI361" s="1350"/>
      <c r="AJ361" s="1350"/>
      <c r="AK361" s="1350"/>
    </row>
    <row r="362">
      <c r="A362" s="1350"/>
      <c r="B362" s="1350"/>
      <c r="C362" s="1350"/>
      <c r="D362" s="1350"/>
      <c r="E362" s="1350"/>
      <c r="F362" s="1350"/>
      <c r="G362" s="1350"/>
      <c r="H362" s="1350"/>
      <c r="I362" s="1350"/>
      <c r="J362" s="1350"/>
      <c r="K362" s="1350"/>
      <c r="L362" s="1350"/>
      <c r="M362" s="1350"/>
      <c r="N362" s="1350"/>
      <c r="O362" s="1350"/>
      <c r="P362" s="1354"/>
      <c r="Q362" s="1355"/>
      <c r="R362" s="1355"/>
      <c r="S362" s="1350"/>
      <c r="T362" s="1349"/>
      <c r="U362" s="1348"/>
      <c r="V362" s="1348"/>
      <c r="W362" s="1349"/>
      <c r="X362" s="1350"/>
      <c r="Y362" s="1350"/>
      <c r="Z362" s="1349"/>
      <c r="AA362" s="1351"/>
      <c r="AB362" s="1350"/>
      <c r="AC362" s="1350"/>
      <c r="AD362" s="1350"/>
      <c r="AE362" s="1350"/>
      <c r="AF362" s="1350"/>
      <c r="AG362" s="1350"/>
      <c r="AH362" s="1350"/>
      <c r="AI362" s="1350"/>
      <c r="AJ362" s="1350"/>
      <c r="AK362" s="1350"/>
    </row>
    <row r="363">
      <c r="A363" s="1350"/>
      <c r="B363" s="1350"/>
      <c r="C363" s="1350"/>
      <c r="D363" s="1350"/>
      <c r="E363" s="1350"/>
      <c r="F363" s="1350"/>
      <c r="G363" s="1350"/>
      <c r="H363" s="1350"/>
      <c r="I363" s="1350"/>
      <c r="J363" s="1350"/>
      <c r="K363" s="1350"/>
      <c r="L363" s="1350"/>
      <c r="M363" s="1350"/>
      <c r="N363" s="1350"/>
      <c r="O363" s="1350"/>
      <c r="P363" s="1354"/>
      <c r="Q363" s="1355"/>
      <c r="R363" s="1355"/>
      <c r="S363" s="1350"/>
      <c r="T363" s="1349"/>
      <c r="U363" s="1348"/>
      <c r="V363" s="1348"/>
      <c r="W363" s="1349"/>
      <c r="X363" s="1350"/>
      <c r="Y363" s="1350"/>
      <c r="Z363" s="1349"/>
      <c r="AA363" s="1351"/>
      <c r="AB363" s="1350"/>
      <c r="AC363" s="1350"/>
      <c r="AD363" s="1350"/>
      <c r="AE363" s="1350"/>
      <c r="AF363" s="1350"/>
      <c r="AG363" s="1350"/>
      <c r="AH363" s="1350"/>
      <c r="AI363" s="1350"/>
      <c r="AJ363" s="1350"/>
      <c r="AK363" s="1350"/>
    </row>
    <row r="364">
      <c r="A364" s="1350"/>
      <c r="B364" s="1350"/>
      <c r="C364" s="1350"/>
      <c r="D364" s="1350"/>
      <c r="E364" s="1350"/>
      <c r="F364" s="1350"/>
      <c r="G364" s="1350"/>
      <c r="H364" s="1350"/>
      <c r="I364" s="1350"/>
      <c r="J364" s="1350"/>
      <c r="K364" s="1350"/>
      <c r="L364" s="1350"/>
      <c r="M364" s="1350"/>
      <c r="N364" s="1350"/>
      <c r="O364" s="1350"/>
      <c r="P364" s="1354"/>
      <c r="Q364" s="1355"/>
      <c r="R364" s="1355"/>
      <c r="S364" s="1350"/>
      <c r="T364" s="1349"/>
      <c r="U364" s="1348"/>
      <c r="V364" s="1348"/>
      <c r="W364" s="1349"/>
      <c r="X364" s="1350"/>
      <c r="Y364" s="1350"/>
      <c r="Z364" s="1349"/>
      <c r="AA364" s="1351"/>
      <c r="AB364" s="1350"/>
      <c r="AC364" s="1350"/>
      <c r="AD364" s="1350"/>
      <c r="AE364" s="1350"/>
      <c r="AF364" s="1350"/>
      <c r="AG364" s="1350"/>
      <c r="AH364" s="1350"/>
      <c r="AI364" s="1350"/>
      <c r="AJ364" s="1350"/>
      <c r="AK364" s="1350"/>
    </row>
    <row r="365">
      <c r="A365" s="1350"/>
      <c r="B365" s="1350"/>
      <c r="C365" s="1350"/>
      <c r="D365" s="1350"/>
      <c r="E365" s="1350"/>
      <c r="F365" s="1350"/>
      <c r="G365" s="1350"/>
      <c r="H365" s="1350"/>
      <c r="I365" s="1350"/>
      <c r="J365" s="1350"/>
      <c r="K365" s="1350"/>
      <c r="L365" s="1350"/>
      <c r="M365" s="1350"/>
      <c r="N365" s="1350"/>
      <c r="O365" s="1350"/>
      <c r="P365" s="1354"/>
      <c r="Q365" s="1355"/>
      <c r="R365" s="1355"/>
      <c r="S365" s="1350"/>
      <c r="T365" s="1349"/>
      <c r="U365" s="1348"/>
      <c r="V365" s="1348"/>
      <c r="W365" s="1349"/>
      <c r="X365" s="1350"/>
      <c r="Y365" s="1350"/>
      <c r="Z365" s="1349"/>
      <c r="AA365" s="1351"/>
      <c r="AB365" s="1350"/>
      <c r="AC365" s="1350"/>
      <c r="AD365" s="1350"/>
      <c r="AE365" s="1350"/>
      <c r="AF365" s="1350"/>
      <c r="AG365" s="1350"/>
      <c r="AH365" s="1350"/>
      <c r="AI365" s="1350"/>
      <c r="AJ365" s="1350"/>
      <c r="AK365" s="1350"/>
    </row>
    <row r="366">
      <c r="A366" s="1350"/>
      <c r="B366" s="1350"/>
      <c r="C366" s="1350"/>
      <c r="D366" s="1350"/>
      <c r="E366" s="1350"/>
      <c r="F366" s="1350"/>
      <c r="G366" s="1350"/>
      <c r="H366" s="1350"/>
      <c r="I366" s="1350"/>
      <c r="J366" s="1350"/>
      <c r="K366" s="1350"/>
      <c r="L366" s="1350"/>
      <c r="M366" s="1350"/>
      <c r="N366" s="1350"/>
      <c r="O366" s="1350"/>
      <c r="P366" s="1354"/>
      <c r="Q366" s="1355"/>
      <c r="R366" s="1355"/>
      <c r="S366" s="1350"/>
      <c r="T366" s="1349"/>
      <c r="U366" s="1348"/>
      <c r="V366" s="1348"/>
      <c r="W366" s="1349"/>
      <c r="X366" s="1350"/>
      <c r="Y366" s="1350"/>
      <c r="Z366" s="1349"/>
      <c r="AA366" s="1351"/>
      <c r="AB366" s="1350"/>
      <c r="AC366" s="1350"/>
      <c r="AD366" s="1350"/>
      <c r="AE366" s="1350"/>
      <c r="AF366" s="1350"/>
      <c r="AG366" s="1350"/>
      <c r="AH366" s="1350"/>
      <c r="AI366" s="1350"/>
      <c r="AJ366" s="1350"/>
      <c r="AK366" s="1350"/>
    </row>
    <row r="367">
      <c r="A367" s="1350"/>
      <c r="B367" s="1350"/>
      <c r="C367" s="1350"/>
      <c r="D367" s="1350"/>
      <c r="E367" s="1350"/>
      <c r="F367" s="1350"/>
      <c r="G367" s="1350"/>
      <c r="H367" s="1350"/>
      <c r="I367" s="1350"/>
      <c r="J367" s="1350"/>
      <c r="K367" s="1350"/>
      <c r="L367" s="1350"/>
      <c r="M367" s="1350"/>
      <c r="N367" s="1350"/>
      <c r="O367" s="1350"/>
      <c r="P367" s="1354"/>
      <c r="Q367" s="1355"/>
      <c r="R367" s="1355"/>
      <c r="S367" s="1350"/>
      <c r="T367" s="1349"/>
      <c r="U367" s="1348"/>
      <c r="V367" s="1348"/>
      <c r="W367" s="1349"/>
      <c r="X367" s="1350"/>
      <c r="Y367" s="1350"/>
      <c r="Z367" s="1349"/>
      <c r="AA367" s="1351"/>
      <c r="AB367" s="1350"/>
      <c r="AC367" s="1350"/>
      <c r="AD367" s="1350"/>
      <c r="AE367" s="1350"/>
      <c r="AF367" s="1350"/>
      <c r="AG367" s="1350"/>
      <c r="AH367" s="1350"/>
      <c r="AI367" s="1350"/>
      <c r="AJ367" s="1350"/>
      <c r="AK367" s="1350"/>
    </row>
    <row r="368">
      <c r="A368" s="1350"/>
      <c r="B368" s="1350"/>
      <c r="C368" s="1350"/>
      <c r="D368" s="1350"/>
      <c r="E368" s="1350"/>
      <c r="F368" s="1350"/>
      <c r="G368" s="1350"/>
      <c r="H368" s="1350"/>
      <c r="I368" s="1350"/>
      <c r="J368" s="1350"/>
      <c r="K368" s="1350"/>
      <c r="L368" s="1350"/>
      <c r="M368" s="1350"/>
      <c r="N368" s="1350"/>
      <c r="O368" s="1350"/>
      <c r="P368" s="1354"/>
      <c r="Q368" s="1355"/>
      <c r="R368" s="1355"/>
      <c r="S368" s="1350"/>
      <c r="T368" s="1349"/>
      <c r="U368" s="1348"/>
      <c r="V368" s="1348"/>
      <c r="W368" s="1349"/>
      <c r="X368" s="1350"/>
      <c r="Y368" s="1350"/>
      <c r="Z368" s="1349"/>
      <c r="AA368" s="1351"/>
      <c r="AB368" s="1350"/>
      <c r="AC368" s="1350"/>
      <c r="AD368" s="1350"/>
      <c r="AE368" s="1350"/>
      <c r="AF368" s="1350"/>
      <c r="AG368" s="1350"/>
      <c r="AH368" s="1350"/>
      <c r="AI368" s="1350"/>
      <c r="AJ368" s="1350"/>
      <c r="AK368" s="1350"/>
    </row>
    <row r="369">
      <c r="A369" s="1350"/>
      <c r="B369" s="1350"/>
      <c r="C369" s="1350"/>
      <c r="D369" s="1350"/>
      <c r="E369" s="1350"/>
      <c r="F369" s="1350"/>
      <c r="G369" s="1350"/>
      <c r="H369" s="1350"/>
      <c r="I369" s="1350"/>
      <c r="J369" s="1350"/>
      <c r="K369" s="1350"/>
      <c r="L369" s="1350"/>
      <c r="M369" s="1350"/>
      <c r="N369" s="1350"/>
      <c r="O369" s="1350"/>
      <c r="P369" s="1354"/>
      <c r="Q369" s="1355"/>
      <c r="R369" s="1355"/>
      <c r="S369" s="1350"/>
      <c r="T369" s="1349"/>
      <c r="U369" s="1348"/>
      <c r="V369" s="1348"/>
      <c r="W369" s="1349"/>
      <c r="X369" s="1350"/>
      <c r="Y369" s="1350"/>
      <c r="Z369" s="1349"/>
      <c r="AA369" s="1351"/>
      <c r="AB369" s="1350"/>
      <c r="AC369" s="1350"/>
      <c r="AD369" s="1350"/>
      <c r="AE369" s="1350"/>
      <c r="AF369" s="1350"/>
      <c r="AG369" s="1350"/>
      <c r="AH369" s="1350"/>
      <c r="AI369" s="1350"/>
      <c r="AJ369" s="1350"/>
      <c r="AK369" s="1350"/>
    </row>
    <row r="370">
      <c r="A370" s="1350"/>
      <c r="B370" s="1350"/>
      <c r="C370" s="1350"/>
      <c r="D370" s="1350"/>
      <c r="E370" s="1350"/>
      <c r="F370" s="1350"/>
      <c r="G370" s="1350"/>
      <c r="H370" s="1350"/>
      <c r="I370" s="1350"/>
      <c r="J370" s="1350"/>
      <c r="K370" s="1350"/>
      <c r="L370" s="1350"/>
      <c r="M370" s="1350"/>
      <c r="N370" s="1350"/>
      <c r="O370" s="1350"/>
      <c r="P370" s="1354"/>
      <c r="Q370" s="1355"/>
      <c r="R370" s="1355"/>
      <c r="S370" s="1350"/>
      <c r="T370" s="1349"/>
      <c r="U370" s="1348"/>
      <c r="V370" s="1348"/>
      <c r="W370" s="1349"/>
      <c r="X370" s="1350"/>
      <c r="Y370" s="1350"/>
      <c r="Z370" s="1349"/>
      <c r="AA370" s="1351"/>
      <c r="AB370" s="1350"/>
      <c r="AC370" s="1350"/>
      <c r="AD370" s="1350"/>
      <c r="AE370" s="1350"/>
      <c r="AF370" s="1350"/>
      <c r="AG370" s="1350"/>
      <c r="AH370" s="1350"/>
      <c r="AI370" s="1350"/>
      <c r="AJ370" s="1350"/>
      <c r="AK370" s="1350"/>
    </row>
    <row r="371">
      <c r="A371" s="1350"/>
      <c r="B371" s="1350"/>
      <c r="C371" s="1350"/>
      <c r="D371" s="1350"/>
      <c r="E371" s="1350"/>
      <c r="F371" s="1350"/>
      <c r="G371" s="1350"/>
      <c r="H371" s="1350"/>
      <c r="I371" s="1350"/>
      <c r="J371" s="1350"/>
      <c r="K371" s="1350"/>
      <c r="L371" s="1350"/>
      <c r="M371" s="1350"/>
      <c r="N371" s="1350"/>
      <c r="O371" s="1350"/>
      <c r="P371" s="1354"/>
      <c r="Q371" s="1355"/>
      <c r="R371" s="1355"/>
      <c r="S371" s="1350"/>
      <c r="T371" s="1349"/>
      <c r="U371" s="1348"/>
      <c r="V371" s="1348"/>
      <c r="W371" s="1349"/>
      <c r="X371" s="1350"/>
      <c r="Y371" s="1350"/>
      <c r="Z371" s="1349"/>
      <c r="AA371" s="1351"/>
      <c r="AB371" s="1350"/>
      <c r="AC371" s="1350"/>
      <c r="AD371" s="1350"/>
      <c r="AE371" s="1350"/>
      <c r="AF371" s="1350"/>
      <c r="AG371" s="1350"/>
      <c r="AH371" s="1350"/>
      <c r="AI371" s="1350"/>
      <c r="AJ371" s="1350"/>
      <c r="AK371" s="1350"/>
    </row>
    <row r="372">
      <c r="A372" s="1350"/>
      <c r="B372" s="1350"/>
      <c r="C372" s="1350"/>
      <c r="D372" s="1350"/>
      <c r="E372" s="1350"/>
      <c r="F372" s="1350"/>
      <c r="G372" s="1350"/>
      <c r="H372" s="1350"/>
      <c r="I372" s="1350"/>
      <c r="J372" s="1350"/>
      <c r="K372" s="1350"/>
      <c r="L372" s="1350"/>
      <c r="M372" s="1350"/>
      <c r="N372" s="1350"/>
      <c r="O372" s="1350"/>
      <c r="P372" s="1354"/>
      <c r="Q372" s="1355"/>
      <c r="R372" s="1355"/>
      <c r="S372" s="1350"/>
      <c r="T372" s="1349"/>
      <c r="U372" s="1348"/>
      <c r="V372" s="1348"/>
      <c r="W372" s="1349"/>
      <c r="X372" s="1350"/>
      <c r="Y372" s="1350"/>
      <c r="Z372" s="1349"/>
      <c r="AA372" s="1351"/>
      <c r="AB372" s="1350"/>
      <c r="AC372" s="1350"/>
      <c r="AD372" s="1350"/>
      <c r="AE372" s="1350"/>
      <c r="AF372" s="1350"/>
      <c r="AG372" s="1350"/>
      <c r="AH372" s="1350"/>
      <c r="AI372" s="1350"/>
      <c r="AJ372" s="1350"/>
      <c r="AK372" s="1350"/>
    </row>
    <row r="373">
      <c r="A373" s="1350"/>
      <c r="B373" s="1350"/>
      <c r="C373" s="1350"/>
      <c r="D373" s="1350"/>
      <c r="E373" s="1350"/>
      <c r="F373" s="1350"/>
      <c r="G373" s="1350"/>
      <c r="H373" s="1350"/>
      <c r="I373" s="1350"/>
      <c r="J373" s="1350"/>
      <c r="K373" s="1350"/>
      <c r="L373" s="1350"/>
      <c r="M373" s="1350"/>
      <c r="N373" s="1350"/>
      <c r="O373" s="1350"/>
      <c r="P373" s="1354"/>
      <c r="Q373" s="1355"/>
      <c r="R373" s="1355"/>
      <c r="S373" s="1350"/>
      <c r="T373" s="1349"/>
      <c r="U373" s="1348"/>
      <c r="V373" s="1348"/>
      <c r="W373" s="1349"/>
      <c r="X373" s="1350"/>
      <c r="Y373" s="1350"/>
      <c r="Z373" s="1349"/>
      <c r="AA373" s="1351"/>
      <c r="AB373" s="1350"/>
      <c r="AC373" s="1350"/>
      <c r="AD373" s="1350"/>
      <c r="AE373" s="1350"/>
      <c r="AF373" s="1350"/>
      <c r="AG373" s="1350"/>
      <c r="AH373" s="1350"/>
      <c r="AI373" s="1350"/>
      <c r="AJ373" s="1350"/>
      <c r="AK373" s="1350"/>
    </row>
    <row r="374">
      <c r="A374" s="1350"/>
      <c r="B374" s="1350"/>
      <c r="C374" s="1350"/>
      <c r="D374" s="1350"/>
      <c r="E374" s="1350"/>
      <c r="F374" s="1350"/>
      <c r="G374" s="1350"/>
      <c r="H374" s="1350"/>
      <c r="I374" s="1350"/>
      <c r="J374" s="1350"/>
      <c r="K374" s="1350"/>
      <c r="L374" s="1350"/>
      <c r="M374" s="1350"/>
      <c r="N374" s="1350"/>
      <c r="O374" s="1350"/>
      <c r="P374" s="1354"/>
      <c r="Q374" s="1355"/>
      <c r="R374" s="1355"/>
      <c r="S374" s="1350"/>
      <c r="T374" s="1349"/>
      <c r="U374" s="1348"/>
      <c r="V374" s="1348"/>
      <c r="W374" s="1349"/>
      <c r="X374" s="1350"/>
      <c r="Y374" s="1350"/>
      <c r="Z374" s="1349"/>
      <c r="AA374" s="1351"/>
      <c r="AB374" s="1350"/>
      <c r="AC374" s="1350"/>
      <c r="AD374" s="1350"/>
      <c r="AE374" s="1350"/>
      <c r="AF374" s="1350"/>
      <c r="AG374" s="1350"/>
      <c r="AH374" s="1350"/>
      <c r="AI374" s="1350"/>
      <c r="AJ374" s="1350"/>
      <c r="AK374" s="1350"/>
    </row>
    <row r="375">
      <c r="A375" s="1350"/>
      <c r="B375" s="1350"/>
      <c r="C375" s="1350"/>
      <c r="D375" s="1350"/>
      <c r="E375" s="1350"/>
      <c r="F375" s="1350"/>
      <c r="G375" s="1350"/>
      <c r="H375" s="1350"/>
      <c r="I375" s="1350"/>
      <c r="J375" s="1350"/>
      <c r="K375" s="1350"/>
      <c r="L375" s="1350"/>
      <c r="M375" s="1350"/>
      <c r="N375" s="1350"/>
      <c r="O375" s="1350"/>
      <c r="P375" s="1354"/>
      <c r="Q375" s="1355"/>
      <c r="R375" s="1355"/>
      <c r="S375" s="1350"/>
      <c r="T375" s="1349"/>
      <c r="U375" s="1348"/>
      <c r="V375" s="1348"/>
      <c r="W375" s="1349"/>
      <c r="X375" s="1350"/>
      <c r="Y375" s="1350"/>
      <c r="Z375" s="1349"/>
      <c r="AA375" s="1351"/>
      <c r="AB375" s="1350"/>
      <c r="AC375" s="1350"/>
      <c r="AD375" s="1350"/>
      <c r="AE375" s="1350"/>
      <c r="AF375" s="1350"/>
      <c r="AG375" s="1350"/>
      <c r="AH375" s="1350"/>
      <c r="AI375" s="1350"/>
      <c r="AJ375" s="1350"/>
      <c r="AK375" s="1350"/>
    </row>
    <row r="376">
      <c r="A376" s="1350"/>
      <c r="B376" s="1350"/>
      <c r="C376" s="1350"/>
      <c r="D376" s="1350"/>
      <c r="E376" s="1350"/>
      <c r="F376" s="1350"/>
      <c r="G376" s="1350"/>
      <c r="H376" s="1350"/>
      <c r="I376" s="1350"/>
      <c r="J376" s="1350"/>
      <c r="K376" s="1350"/>
      <c r="L376" s="1350"/>
      <c r="M376" s="1350"/>
      <c r="N376" s="1350"/>
      <c r="O376" s="1350"/>
      <c r="P376" s="1354"/>
      <c r="Q376" s="1355"/>
      <c r="R376" s="1355"/>
      <c r="S376" s="1350"/>
      <c r="T376" s="1349"/>
      <c r="U376" s="1348"/>
      <c r="V376" s="1348"/>
      <c r="W376" s="1349"/>
      <c r="X376" s="1350"/>
      <c r="Y376" s="1350"/>
      <c r="Z376" s="1349"/>
      <c r="AA376" s="1351"/>
      <c r="AB376" s="1350"/>
      <c r="AC376" s="1350"/>
      <c r="AD376" s="1350"/>
      <c r="AE376" s="1350"/>
      <c r="AF376" s="1350"/>
      <c r="AG376" s="1350"/>
      <c r="AH376" s="1350"/>
      <c r="AI376" s="1350"/>
      <c r="AJ376" s="1350"/>
      <c r="AK376" s="1350"/>
    </row>
    <row r="377">
      <c r="A377" s="1350"/>
      <c r="B377" s="1350"/>
      <c r="C377" s="1350"/>
      <c r="D377" s="1350"/>
      <c r="E377" s="1350"/>
      <c r="F377" s="1350"/>
      <c r="G377" s="1350"/>
      <c r="H377" s="1350"/>
      <c r="I377" s="1350"/>
      <c r="J377" s="1350"/>
      <c r="K377" s="1350"/>
      <c r="L377" s="1350"/>
      <c r="M377" s="1350"/>
      <c r="N377" s="1350"/>
      <c r="O377" s="1350"/>
      <c r="P377" s="1354"/>
      <c r="Q377" s="1355"/>
      <c r="R377" s="1355"/>
      <c r="S377" s="1350"/>
      <c r="T377" s="1349"/>
      <c r="U377" s="1348"/>
      <c r="V377" s="1348"/>
      <c r="W377" s="1349"/>
      <c r="X377" s="1350"/>
      <c r="Y377" s="1350"/>
      <c r="Z377" s="1349"/>
      <c r="AA377" s="1351"/>
      <c r="AB377" s="1350"/>
      <c r="AC377" s="1350"/>
      <c r="AD377" s="1350"/>
      <c r="AE377" s="1350"/>
      <c r="AF377" s="1350"/>
      <c r="AG377" s="1350"/>
      <c r="AH377" s="1350"/>
      <c r="AI377" s="1350"/>
      <c r="AJ377" s="1350"/>
      <c r="AK377" s="1350"/>
    </row>
    <row r="378">
      <c r="A378" s="1350"/>
      <c r="B378" s="1350"/>
      <c r="C378" s="1350"/>
      <c r="D378" s="1350"/>
      <c r="E378" s="1350"/>
      <c r="F378" s="1350"/>
      <c r="G378" s="1350"/>
      <c r="H378" s="1350"/>
      <c r="I378" s="1350"/>
      <c r="J378" s="1350"/>
      <c r="K378" s="1350"/>
      <c r="L378" s="1350"/>
      <c r="M378" s="1350"/>
      <c r="N378" s="1350"/>
      <c r="O378" s="1350"/>
      <c r="P378" s="1354"/>
      <c r="Q378" s="1355"/>
      <c r="R378" s="1355"/>
      <c r="S378" s="1350"/>
      <c r="T378" s="1349"/>
      <c r="U378" s="1348"/>
      <c r="V378" s="1348"/>
      <c r="W378" s="1349"/>
      <c r="X378" s="1350"/>
      <c r="Y378" s="1350"/>
      <c r="Z378" s="1349"/>
      <c r="AA378" s="1351"/>
      <c r="AB378" s="1350"/>
      <c r="AC378" s="1350"/>
      <c r="AD378" s="1350"/>
      <c r="AE378" s="1350"/>
      <c r="AF378" s="1350"/>
      <c r="AG378" s="1350"/>
      <c r="AH378" s="1350"/>
      <c r="AI378" s="1350"/>
      <c r="AJ378" s="1350"/>
      <c r="AK378" s="1350"/>
    </row>
    <row r="379">
      <c r="A379" s="1350"/>
      <c r="B379" s="1350"/>
      <c r="C379" s="1350"/>
      <c r="D379" s="1350"/>
      <c r="E379" s="1350"/>
      <c r="F379" s="1350"/>
      <c r="G379" s="1350"/>
      <c r="H379" s="1350"/>
      <c r="I379" s="1350"/>
      <c r="J379" s="1350"/>
      <c r="K379" s="1350"/>
      <c r="L379" s="1350"/>
      <c r="M379" s="1350"/>
      <c r="N379" s="1350"/>
      <c r="O379" s="1350"/>
      <c r="P379" s="1354"/>
      <c r="Q379" s="1355"/>
      <c r="R379" s="1355"/>
      <c r="S379" s="1350"/>
      <c r="T379" s="1349"/>
      <c r="U379" s="1348"/>
      <c r="V379" s="1348"/>
      <c r="W379" s="1349"/>
      <c r="X379" s="1350"/>
      <c r="Y379" s="1350"/>
      <c r="Z379" s="1349"/>
      <c r="AA379" s="1351"/>
      <c r="AB379" s="1350"/>
      <c r="AC379" s="1350"/>
      <c r="AD379" s="1350"/>
      <c r="AE379" s="1350"/>
      <c r="AF379" s="1350"/>
      <c r="AG379" s="1350"/>
      <c r="AH379" s="1350"/>
      <c r="AI379" s="1350"/>
      <c r="AJ379" s="1350"/>
      <c r="AK379" s="1350"/>
    </row>
    <row r="380">
      <c r="A380" s="1350"/>
      <c r="B380" s="1350"/>
      <c r="C380" s="1350"/>
      <c r="D380" s="1350"/>
      <c r="E380" s="1350"/>
      <c r="F380" s="1350"/>
      <c r="G380" s="1350"/>
      <c r="H380" s="1350"/>
      <c r="I380" s="1350"/>
      <c r="J380" s="1350"/>
      <c r="K380" s="1350"/>
      <c r="L380" s="1350"/>
      <c r="M380" s="1350"/>
      <c r="N380" s="1350"/>
      <c r="O380" s="1350"/>
      <c r="P380" s="1354"/>
      <c r="Q380" s="1355"/>
      <c r="R380" s="1355"/>
      <c r="S380" s="1350"/>
      <c r="T380" s="1349"/>
      <c r="U380" s="1348"/>
      <c r="V380" s="1348"/>
      <c r="W380" s="1349"/>
      <c r="X380" s="1350"/>
      <c r="Y380" s="1350"/>
      <c r="Z380" s="1349"/>
      <c r="AA380" s="1351"/>
      <c r="AB380" s="1350"/>
      <c r="AC380" s="1350"/>
      <c r="AD380" s="1350"/>
      <c r="AE380" s="1350"/>
      <c r="AF380" s="1350"/>
      <c r="AG380" s="1350"/>
      <c r="AH380" s="1350"/>
      <c r="AI380" s="1350"/>
      <c r="AJ380" s="1350"/>
      <c r="AK380" s="1350"/>
    </row>
    <row r="381">
      <c r="A381" s="1350"/>
      <c r="B381" s="1350"/>
      <c r="C381" s="1350"/>
      <c r="D381" s="1350"/>
      <c r="E381" s="1350"/>
      <c r="F381" s="1350"/>
      <c r="G381" s="1350"/>
      <c r="H381" s="1350"/>
      <c r="I381" s="1350"/>
      <c r="J381" s="1350"/>
      <c r="K381" s="1350"/>
      <c r="L381" s="1350"/>
      <c r="M381" s="1350"/>
      <c r="N381" s="1350"/>
      <c r="O381" s="1350"/>
      <c r="P381" s="1354"/>
      <c r="Q381" s="1355"/>
      <c r="R381" s="1355"/>
      <c r="S381" s="1350"/>
      <c r="T381" s="1349"/>
      <c r="U381" s="1348"/>
      <c r="V381" s="1348"/>
      <c r="W381" s="1349"/>
      <c r="X381" s="1350"/>
      <c r="Y381" s="1350"/>
      <c r="Z381" s="1349"/>
      <c r="AA381" s="1351"/>
      <c r="AB381" s="1350"/>
      <c r="AC381" s="1350"/>
      <c r="AD381" s="1350"/>
      <c r="AE381" s="1350"/>
      <c r="AF381" s="1350"/>
      <c r="AG381" s="1350"/>
      <c r="AH381" s="1350"/>
      <c r="AI381" s="1350"/>
      <c r="AJ381" s="1350"/>
      <c r="AK381" s="1350"/>
    </row>
    <row r="382">
      <c r="A382" s="1350"/>
      <c r="B382" s="1350"/>
      <c r="C382" s="1350"/>
      <c r="D382" s="1350"/>
      <c r="E382" s="1350"/>
      <c r="F382" s="1350"/>
      <c r="G382" s="1350"/>
      <c r="H382" s="1350"/>
      <c r="I382" s="1350"/>
      <c r="J382" s="1350"/>
      <c r="K382" s="1350"/>
      <c r="L382" s="1350"/>
      <c r="M382" s="1350"/>
      <c r="N382" s="1350"/>
      <c r="O382" s="1350"/>
      <c r="P382" s="1354"/>
      <c r="Q382" s="1355"/>
      <c r="R382" s="1355"/>
      <c r="S382" s="1350"/>
      <c r="T382" s="1349"/>
      <c r="U382" s="1348"/>
      <c r="V382" s="1348"/>
      <c r="W382" s="1349"/>
      <c r="X382" s="1350"/>
      <c r="Y382" s="1350"/>
      <c r="Z382" s="1349"/>
      <c r="AA382" s="1351"/>
      <c r="AB382" s="1350"/>
      <c r="AC382" s="1350"/>
      <c r="AD382" s="1350"/>
      <c r="AE382" s="1350"/>
      <c r="AF382" s="1350"/>
      <c r="AG382" s="1350"/>
      <c r="AH382" s="1350"/>
      <c r="AI382" s="1350"/>
      <c r="AJ382" s="1350"/>
      <c r="AK382" s="1350"/>
    </row>
    <row r="383">
      <c r="A383" s="1350"/>
      <c r="B383" s="1350"/>
      <c r="C383" s="1350"/>
      <c r="D383" s="1350"/>
      <c r="E383" s="1350"/>
      <c r="F383" s="1350"/>
      <c r="G383" s="1350"/>
      <c r="H383" s="1350"/>
      <c r="I383" s="1350"/>
      <c r="J383" s="1350"/>
      <c r="K383" s="1350"/>
      <c r="L383" s="1350"/>
      <c r="M383" s="1350"/>
      <c r="N383" s="1350"/>
      <c r="O383" s="1350"/>
      <c r="P383" s="1354"/>
      <c r="Q383" s="1355"/>
      <c r="R383" s="1355"/>
      <c r="S383" s="1350"/>
      <c r="T383" s="1349"/>
      <c r="U383" s="1348"/>
      <c r="V383" s="1348"/>
      <c r="W383" s="1349"/>
      <c r="X383" s="1350"/>
      <c r="Y383" s="1350"/>
      <c r="Z383" s="1349"/>
      <c r="AA383" s="1351"/>
      <c r="AB383" s="1350"/>
      <c r="AC383" s="1350"/>
      <c r="AD383" s="1350"/>
      <c r="AE383" s="1350"/>
      <c r="AF383" s="1350"/>
      <c r="AG383" s="1350"/>
      <c r="AH383" s="1350"/>
      <c r="AI383" s="1350"/>
      <c r="AJ383" s="1350"/>
      <c r="AK383" s="1350"/>
    </row>
    <row r="384">
      <c r="A384" s="1350"/>
      <c r="B384" s="1350"/>
      <c r="C384" s="1350"/>
      <c r="D384" s="1350"/>
      <c r="E384" s="1350"/>
      <c r="F384" s="1350"/>
      <c r="G384" s="1350"/>
      <c r="H384" s="1350"/>
      <c r="I384" s="1350"/>
      <c r="J384" s="1350"/>
      <c r="K384" s="1350"/>
      <c r="L384" s="1350"/>
      <c r="M384" s="1350"/>
      <c r="N384" s="1350"/>
      <c r="O384" s="1350"/>
      <c r="P384" s="1354"/>
      <c r="Q384" s="1355"/>
      <c r="R384" s="1355"/>
      <c r="S384" s="1350"/>
      <c r="T384" s="1349"/>
      <c r="U384" s="1348"/>
      <c r="V384" s="1348"/>
      <c r="W384" s="1349"/>
      <c r="X384" s="1350"/>
      <c r="Y384" s="1350"/>
      <c r="Z384" s="1349"/>
      <c r="AA384" s="1351"/>
      <c r="AB384" s="1350"/>
      <c r="AC384" s="1350"/>
      <c r="AD384" s="1350"/>
      <c r="AE384" s="1350"/>
      <c r="AF384" s="1350"/>
      <c r="AG384" s="1350"/>
      <c r="AH384" s="1350"/>
      <c r="AI384" s="1350"/>
      <c r="AJ384" s="1350"/>
      <c r="AK384" s="1350"/>
    </row>
    <row r="385">
      <c r="A385" s="1350"/>
      <c r="B385" s="1350"/>
      <c r="C385" s="1350"/>
      <c r="D385" s="1350"/>
      <c r="E385" s="1350"/>
      <c r="F385" s="1350"/>
      <c r="G385" s="1350"/>
      <c r="H385" s="1350"/>
      <c r="I385" s="1350"/>
      <c r="J385" s="1350"/>
      <c r="K385" s="1350"/>
      <c r="L385" s="1350"/>
      <c r="M385" s="1350"/>
      <c r="N385" s="1350"/>
      <c r="O385" s="1350"/>
      <c r="P385" s="1354"/>
      <c r="Q385" s="1355"/>
      <c r="R385" s="1355"/>
      <c r="S385" s="1350"/>
      <c r="T385" s="1349"/>
      <c r="U385" s="1348"/>
      <c r="V385" s="1348"/>
      <c r="W385" s="1349"/>
      <c r="X385" s="1350"/>
      <c r="Y385" s="1350"/>
      <c r="Z385" s="1349"/>
      <c r="AA385" s="1351"/>
      <c r="AB385" s="1350"/>
      <c r="AC385" s="1350"/>
      <c r="AD385" s="1350"/>
      <c r="AE385" s="1350"/>
      <c r="AF385" s="1350"/>
      <c r="AG385" s="1350"/>
      <c r="AH385" s="1350"/>
      <c r="AI385" s="1350"/>
      <c r="AJ385" s="1350"/>
      <c r="AK385" s="1350"/>
    </row>
    <row r="386">
      <c r="A386" s="1350"/>
      <c r="B386" s="1350"/>
      <c r="C386" s="1350"/>
      <c r="D386" s="1350"/>
      <c r="E386" s="1350"/>
      <c r="F386" s="1350"/>
      <c r="G386" s="1350"/>
      <c r="H386" s="1350"/>
      <c r="I386" s="1350"/>
      <c r="J386" s="1350"/>
      <c r="K386" s="1350"/>
      <c r="L386" s="1350"/>
      <c r="M386" s="1350"/>
      <c r="N386" s="1350"/>
      <c r="O386" s="1350"/>
      <c r="P386" s="1354"/>
      <c r="Q386" s="1355"/>
      <c r="R386" s="1355"/>
      <c r="S386" s="1350"/>
      <c r="T386" s="1349"/>
      <c r="U386" s="1348"/>
      <c r="V386" s="1348"/>
      <c r="W386" s="1349"/>
      <c r="X386" s="1350"/>
      <c r="Y386" s="1350"/>
      <c r="Z386" s="1349"/>
      <c r="AA386" s="1351"/>
      <c r="AB386" s="1350"/>
      <c r="AC386" s="1350"/>
      <c r="AD386" s="1350"/>
      <c r="AE386" s="1350"/>
      <c r="AF386" s="1350"/>
      <c r="AG386" s="1350"/>
      <c r="AH386" s="1350"/>
      <c r="AI386" s="1350"/>
      <c r="AJ386" s="1350"/>
      <c r="AK386" s="1350"/>
    </row>
    <row r="387">
      <c r="A387" s="1350"/>
      <c r="B387" s="1350"/>
      <c r="C387" s="1350"/>
      <c r="D387" s="1350"/>
      <c r="E387" s="1350"/>
      <c r="F387" s="1350"/>
      <c r="G387" s="1350"/>
      <c r="H387" s="1350"/>
      <c r="I387" s="1350"/>
      <c r="J387" s="1350"/>
      <c r="K387" s="1350"/>
      <c r="L387" s="1350"/>
      <c r="M387" s="1350"/>
      <c r="N387" s="1350"/>
      <c r="O387" s="1350"/>
      <c r="P387" s="1354"/>
      <c r="Q387" s="1355"/>
      <c r="R387" s="1355"/>
      <c r="S387" s="1350"/>
      <c r="T387" s="1349"/>
      <c r="U387" s="1348"/>
      <c r="V387" s="1348"/>
      <c r="W387" s="1349"/>
      <c r="X387" s="1350"/>
      <c r="Y387" s="1350"/>
      <c r="Z387" s="1349"/>
      <c r="AA387" s="1351"/>
      <c r="AB387" s="1350"/>
      <c r="AC387" s="1350"/>
      <c r="AD387" s="1350"/>
      <c r="AE387" s="1350"/>
      <c r="AF387" s="1350"/>
      <c r="AG387" s="1350"/>
      <c r="AH387" s="1350"/>
      <c r="AI387" s="1350"/>
      <c r="AJ387" s="1350"/>
      <c r="AK387" s="1350"/>
    </row>
    <row r="388">
      <c r="A388" s="1350"/>
      <c r="B388" s="1350"/>
      <c r="C388" s="1350"/>
      <c r="D388" s="1350"/>
      <c r="E388" s="1350"/>
      <c r="F388" s="1350"/>
      <c r="G388" s="1350"/>
      <c r="H388" s="1350"/>
      <c r="I388" s="1350"/>
      <c r="J388" s="1350"/>
      <c r="K388" s="1350"/>
      <c r="L388" s="1350"/>
      <c r="M388" s="1350"/>
      <c r="N388" s="1350"/>
      <c r="O388" s="1350"/>
      <c r="P388" s="1354"/>
      <c r="Q388" s="1355"/>
      <c r="R388" s="1355"/>
      <c r="S388" s="1350"/>
      <c r="T388" s="1349"/>
      <c r="U388" s="1348"/>
      <c r="V388" s="1348"/>
      <c r="W388" s="1349"/>
      <c r="X388" s="1350"/>
      <c r="Y388" s="1350"/>
      <c r="Z388" s="1349"/>
      <c r="AA388" s="1351"/>
      <c r="AB388" s="1350"/>
      <c r="AC388" s="1350"/>
      <c r="AD388" s="1350"/>
      <c r="AE388" s="1350"/>
      <c r="AF388" s="1350"/>
      <c r="AG388" s="1350"/>
      <c r="AH388" s="1350"/>
      <c r="AI388" s="1350"/>
      <c r="AJ388" s="1350"/>
      <c r="AK388" s="1350"/>
    </row>
    <row r="389">
      <c r="A389" s="1350"/>
      <c r="B389" s="1350"/>
      <c r="C389" s="1350"/>
      <c r="D389" s="1350"/>
      <c r="E389" s="1350"/>
      <c r="F389" s="1350"/>
      <c r="G389" s="1350"/>
      <c r="H389" s="1350"/>
      <c r="I389" s="1350"/>
      <c r="J389" s="1350"/>
      <c r="K389" s="1350"/>
      <c r="L389" s="1350"/>
      <c r="M389" s="1350"/>
      <c r="N389" s="1350"/>
      <c r="O389" s="1350"/>
      <c r="P389" s="1354"/>
      <c r="Q389" s="1355"/>
      <c r="R389" s="1355"/>
      <c r="S389" s="1350"/>
      <c r="T389" s="1349"/>
      <c r="U389" s="1348"/>
      <c r="V389" s="1348"/>
      <c r="W389" s="1349"/>
      <c r="X389" s="1350"/>
      <c r="Y389" s="1350"/>
      <c r="Z389" s="1349"/>
      <c r="AA389" s="1351"/>
      <c r="AB389" s="1350"/>
      <c r="AC389" s="1350"/>
      <c r="AD389" s="1350"/>
      <c r="AE389" s="1350"/>
      <c r="AF389" s="1350"/>
      <c r="AG389" s="1350"/>
      <c r="AH389" s="1350"/>
      <c r="AI389" s="1350"/>
      <c r="AJ389" s="1350"/>
      <c r="AK389" s="1350"/>
    </row>
    <row r="390">
      <c r="A390" s="1350"/>
      <c r="B390" s="1350"/>
      <c r="C390" s="1350"/>
      <c r="D390" s="1350"/>
      <c r="E390" s="1350"/>
      <c r="F390" s="1350"/>
      <c r="G390" s="1350"/>
      <c r="H390" s="1350"/>
      <c r="I390" s="1350"/>
      <c r="J390" s="1350"/>
      <c r="K390" s="1350"/>
      <c r="L390" s="1350"/>
      <c r="M390" s="1350"/>
      <c r="N390" s="1350"/>
      <c r="O390" s="1350"/>
      <c r="P390" s="1354"/>
      <c r="Q390" s="1355"/>
      <c r="R390" s="1355"/>
      <c r="S390" s="1350"/>
      <c r="T390" s="1349"/>
      <c r="U390" s="1348"/>
      <c r="V390" s="1348"/>
      <c r="W390" s="1349"/>
      <c r="X390" s="1350"/>
      <c r="Y390" s="1350"/>
      <c r="Z390" s="1349"/>
      <c r="AA390" s="1351"/>
      <c r="AB390" s="1350"/>
      <c r="AC390" s="1350"/>
      <c r="AD390" s="1350"/>
      <c r="AE390" s="1350"/>
      <c r="AF390" s="1350"/>
      <c r="AG390" s="1350"/>
      <c r="AH390" s="1350"/>
      <c r="AI390" s="1350"/>
      <c r="AJ390" s="1350"/>
      <c r="AK390" s="1350"/>
    </row>
    <row r="391">
      <c r="A391" s="1350"/>
      <c r="B391" s="1350"/>
      <c r="C391" s="1350"/>
      <c r="D391" s="1350"/>
      <c r="E391" s="1350"/>
      <c r="F391" s="1350"/>
      <c r="G391" s="1350"/>
      <c r="H391" s="1350"/>
      <c r="I391" s="1350"/>
      <c r="J391" s="1350"/>
      <c r="K391" s="1350"/>
      <c r="L391" s="1350"/>
      <c r="M391" s="1350"/>
      <c r="N391" s="1350"/>
      <c r="O391" s="1350"/>
      <c r="P391" s="1354"/>
      <c r="Q391" s="1355"/>
      <c r="R391" s="1355"/>
      <c r="S391" s="1350"/>
      <c r="T391" s="1349"/>
      <c r="U391" s="1348"/>
      <c r="V391" s="1348"/>
      <c r="W391" s="1349"/>
      <c r="X391" s="1350"/>
      <c r="Y391" s="1350"/>
      <c r="Z391" s="1349"/>
      <c r="AA391" s="1351"/>
      <c r="AB391" s="1350"/>
      <c r="AC391" s="1350"/>
      <c r="AD391" s="1350"/>
      <c r="AE391" s="1350"/>
      <c r="AF391" s="1350"/>
      <c r="AG391" s="1350"/>
      <c r="AH391" s="1350"/>
      <c r="AI391" s="1350"/>
      <c r="AJ391" s="1350"/>
      <c r="AK391" s="1350"/>
    </row>
    <row r="392">
      <c r="A392" s="1350"/>
      <c r="B392" s="1350"/>
      <c r="C392" s="1350"/>
      <c r="D392" s="1350"/>
      <c r="E392" s="1350"/>
      <c r="F392" s="1350"/>
      <c r="G392" s="1350"/>
      <c r="H392" s="1350"/>
      <c r="I392" s="1350"/>
      <c r="J392" s="1350"/>
      <c r="K392" s="1350"/>
      <c r="L392" s="1350"/>
      <c r="M392" s="1350"/>
      <c r="N392" s="1350"/>
      <c r="O392" s="1350"/>
      <c r="P392" s="1354"/>
      <c r="Q392" s="1355"/>
      <c r="R392" s="1355"/>
      <c r="S392" s="1350"/>
      <c r="T392" s="1349"/>
      <c r="U392" s="1348"/>
      <c r="V392" s="1348"/>
      <c r="W392" s="1349"/>
      <c r="X392" s="1350"/>
      <c r="Y392" s="1350"/>
      <c r="Z392" s="1349"/>
      <c r="AA392" s="1351"/>
      <c r="AB392" s="1350"/>
      <c r="AC392" s="1350"/>
      <c r="AD392" s="1350"/>
      <c r="AE392" s="1350"/>
      <c r="AF392" s="1350"/>
      <c r="AG392" s="1350"/>
      <c r="AH392" s="1350"/>
      <c r="AI392" s="1350"/>
      <c r="AJ392" s="1350"/>
      <c r="AK392" s="1350"/>
    </row>
    <row r="393">
      <c r="A393" s="1350"/>
      <c r="B393" s="1350"/>
      <c r="C393" s="1350"/>
      <c r="D393" s="1350"/>
      <c r="E393" s="1350"/>
      <c r="F393" s="1350"/>
      <c r="G393" s="1350"/>
      <c r="H393" s="1350"/>
      <c r="I393" s="1350"/>
      <c r="J393" s="1350"/>
      <c r="K393" s="1350"/>
      <c r="L393" s="1350"/>
      <c r="M393" s="1350"/>
      <c r="N393" s="1350"/>
      <c r="O393" s="1350"/>
      <c r="P393" s="1354"/>
      <c r="Q393" s="1355"/>
      <c r="R393" s="1355"/>
      <c r="S393" s="1350"/>
      <c r="T393" s="1349"/>
      <c r="U393" s="1348"/>
      <c r="V393" s="1348"/>
      <c r="W393" s="1349"/>
      <c r="X393" s="1350"/>
      <c r="Y393" s="1350"/>
      <c r="Z393" s="1349"/>
      <c r="AA393" s="1351"/>
      <c r="AB393" s="1350"/>
      <c r="AC393" s="1350"/>
      <c r="AD393" s="1350"/>
      <c r="AE393" s="1350"/>
      <c r="AF393" s="1350"/>
      <c r="AG393" s="1350"/>
      <c r="AH393" s="1350"/>
      <c r="AI393" s="1350"/>
      <c r="AJ393" s="1350"/>
      <c r="AK393" s="1350"/>
    </row>
    <row r="394">
      <c r="A394" s="1350"/>
      <c r="B394" s="1350"/>
      <c r="C394" s="1350"/>
      <c r="D394" s="1350"/>
      <c r="E394" s="1350"/>
      <c r="F394" s="1350"/>
      <c r="G394" s="1350"/>
      <c r="H394" s="1350"/>
      <c r="I394" s="1350"/>
      <c r="J394" s="1350"/>
      <c r="K394" s="1350"/>
      <c r="L394" s="1350"/>
      <c r="M394" s="1350"/>
      <c r="N394" s="1350"/>
      <c r="O394" s="1350"/>
      <c r="P394" s="1354"/>
      <c r="Q394" s="1355"/>
      <c r="R394" s="1355"/>
      <c r="S394" s="1350"/>
      <c r="T394" s="1349"/>
      <c r="U394" s="1348"/>
      <c r="V394" s="1348"/>
      <c r="W394" s="1349"/>
      <c r="X394" s="1350"/>
      <c r="Y394" s="1350"/>
      <c r="Z394" s="1349"/>
      <c r="AA394" s="1351"/>
      <c r="AB394" s="1350"/>
      <c r="AC394" s="1350"/>
      <c r="AD394" s="1350"/>
      <c r="AE394" s="1350"/>
      <c r="AF394" s="1350"/>
      <c r="AG394" s="1350"/>
      <c r="AH394" s="1350"/>
      <c r="AI394" s="1350"/>
      <c r="AJ394" s="1350"/>
      <c r="AK394" s="1350"/>
    </row>
    <row r="395">
      <c r="A395" s="1350"/>
      <c r="B395" s="1350"/>
      <c r="C395" s="1350"/>
      <c r="D395" s="1350"/>
      <c r="E395" s="1350"/>
      <c r="F395" s="1350"/>
      <c r="G395" s="1350"/>
      <c r="H395" s="1350"/>
      <c r="I395" s="1350"/>
      <c r="J395" s="1350"/>
      <c r="K395" s="1350"/>
      <c r="L395" s="1350"/>
      <c r="M395" s="1350"/>
      <c r="N395" s="1350"/>
      <c r="O395" s="1350"/>
      <c r="P395" s="1354"/>
      <c r="Q395" s="1355"/>
      <c r="R395" s="1355"/>
      <c r="S395" s="1350"/>
      <c r="T395" s="1349"/>
      <c r="U395" s="1348"/>
      <c r="V395" s="1348"/>
      <c r="W395" s="1349"/>
      <c r="X395" s="1350"/>
      <c r="Y395" s="1350"/>
      <c r="Z395" s="1349"/>
      <c r="AA395" s="1351"/>
      <c r="AB395" s="1350"/>
      <c r="AC395" s="1350"/>
      <c r="AD395" s="1350"/>
      <c r="AE395" s="1350"/>
      <c r="AF395" s="1350"/>
      <c r="AG395" s="1350"/>
      <c r="AH395" s="1350"/>
      <c r="AI395" s="1350"/>
      <c r="AJ395" s="1350"/>
      <c r="AK395" s="1350"/>
    </row>
    <row r="396">
      <c r="A396" s="1350"/>
      <c r="B396" s="1350"/>
      <c r="C396" s="1350"/>
      <c r="D396" s="1350"/>
      <c r="E396" s="1350"/>
      <c r="F396" s="1350"/>
      <c r="G396" s="1350"/>
      <c r="H396" s="1350"/>
      <c r="I396" s="1350"/>
      <c r="J396" s="1350"/>
      <c r="K396" s="1350"/>
      <c r="L396" s="1350"/>
      <c r="M396" s="1350"/>
      <c r="N396" s="1350"/>
      <c r="O396" s="1350"/>
      <c r="P396" s="1354"/>
      <c r="Q396" s="1355"/>
      <c r="R396" s="1355"/>
      <c r="S396" s="1350"/>
      <c r="T396" s="1349"/>
      <c r="U396" s="1348"/>
      <c r="V396" s="1348"/>
      <c r="W396" s="1349"/>
      <c r="X396" s="1350"/>
      <c r="Y396" s="1350"/>
      <c r="Z396" s="1349"/>
      <c r="AA396" s="1351"/>
      <c r="AB396" s="1350"/>
      <c r="AC396" s="1350"/>
      <c r="AD396" s="1350"/>
      <c r="AE396" s="1350"/>
      <c r="AF396" s="1350"/>
      <c r="AG396" s="1350"/>
      <c r="AH396" s="1350"/>
      <c r="AI396" s="1350"/>
      <c r="AJ396" s="1350"/>
      <c r="AK396" s="1350"/>
    </row>
    <row r="397">
      <c r="A397" s="1350"/>
      <c r="B397" s="1350"/>
      <c r="C397" s="1350"/>
      <c r="D397" s="1350"/>
      <c r="E397" s="1350"/>
      <c r="F397" s="1350"/>
      <c r="G397" s="1350"/>
      <c r="H397" s="1350"/>
      <c r="I397" s="1350"/>
      <c r="J397" s="1350"/>
      <c r="K397" s="1350"/>
      <c r="L397" s="1350"/>
      <c r="M397" s="1350"/>
      <c r="N397" s="1350"/>
      <c r="O397" s="1350"/>
      <c r="P397" s="1354"/>
      <c r="Q397" s="1355"/>
      <c r="R397" s="1355"/>
      <c r="S397" s="1350"/>
      <c r="T397" s="1349"/>
      <c r="U397" s="1348"/>
      <c r="V397" s="1348"/>
      <c r="W397" s="1349"/>
      <c r="X397" s="1350"/>
      <c r="Y397" s="1350"/>
      <c r="Z397" s="1349"/>
      <c r="AA397" s="1351"/>
      <c r="AB397" s="1350"/>
      <c r="AC397" s="1350"/>
      <c r="AD397" s="1350"/>
      <c r="AE397" s="1350"/>
      <c r="AF397" s="1350"/>
      <c r="AG397" s="1350"/>
      <c r="AH397" s="1350"/>
      <c r="AI397" s="1350"/>
      <c r="AJ397" s="1350"/>
      <c r="AK397" s="1350"/>
    </row>
    <row r="398">
      <c r="A398" s="1350"/>
      <c r="B398" s="1350"/>
      <c r="C398" s="1350"/>
      <c r="D398" s="1350"/>
      <c r="E398" s="1350"/>
      <c r="F398" s="1350"/>
      <c r="G398" s="1350"/>
      <c r="H398" s="1350"/>
      <c r="I398" s="1350"/>
      <c r="J398" s="1350"/>
      <c r="K398" s="1350"/>
      <c r="L398" s="1350"/>
      <c r="M398" s="1350"/>
      <c r="N398" s="1350"/>
      <c r="O398" s="1350"/>
      <c r="P398" s="1354"/>
      <c r="Q398" s="1355"/>
      <c r="R398" s="1355"/>
      <c r="S398" s="1350"/>
      <c r="T398" s="1349"/>
      <c r="U398" s="1348"/>
      <c r="V398" s="1348"/>
      <c r="W398" s="1349"/>
      <c r="X398" s="1350"/>
      <c r="Y398" s="1350"/>
      <c r="Z398" s="1349"/>
      <c r="AA398" s="1351"/>
      <c r="AB398" s="1350"/>
      <c r="AC398" s="1350"/>
      <c r="AD398" s="1350"/>
      <c r="AE398" s="1350"/>
      <c r="AF398" s="1350"/>
      <c r="AG398" s="1350"/>
      <c r="AH398" s="1350"/>
      <c r="AI398" s="1350"/>
      <c r="AJ398" s="1350"/>
      <c r="AK398" s="1350"/>
    </row>
    <row r="399">
      <c r="A399" s="1350"/>
      <c r="B399" s="1350"/>
      <c r="C399" s="1350"/>
      <c r="D399" s="1350"/>
      <c r="E399" s="1350"/>
      <c r="F399" s="1350"/>
      <c r="G399" s="1350"/>
      <c r="H399" s="1350"/>
      <c r="I399" s="1350"/>
      <c r="J399" s="1350"/>
      <c r="K399" s="1350"/>
      <c r="L399" s="1350"/>
      <c r="M399" s="1350"/>
      <c r="N399" s="1350"/>
      <c r="O399" s="1350"/>
      <c r="P399" s="1354"/>
      <c r="Q399" s="1355"/>
      <c r="R399" s="1355"/>
      <c r="S399" s="1350"/>
      <c r="T399" s="1349"/>
      <c r="U399" s="1348"/>
      <c r="V399" s="1348"/>
      <c r="W399" s="1349"/>
      <c r="X399" s="1350"/>
      <c r="Y399" s="1350"/>
      <c r="Z399" s="1349"/>
      <c r="AA399" s="1351"/>
      <c r="AB399" s="1350"/>
      <c r="AC399" s="1350"/>
      <c r="AD399" s="1350"/>
      <c r="AE399" s="1350"/>
      <c r="AF399" s="1350"/>
      <c r="AG399" s="1350"/>
      <c r="AH399" s="1350"/>
      <c r="AI399" s="1350"/>
      <c r="AJ399" s="1350"/>
      <c r="AK399" s="1350"/>
    </row>
    <row r="400">
      <c r="A400" s="1350"/>
      <c r="B400" s="1350"/>
      <c r="C400" s="1350"/>
      <c r="D400" s="1350"/>
      <c r="E400" s="1350"/>
      <c r="F400" s="1350"/>
      <c r="G400" s="1350"/>
      <c r="H400" s="1350"/>
      <c r="I400" s="1350"/>
      <c r="J400" s="1350"/>
      <c r="K400" s="1350"/>
      <c r="L400" s="1350"/>
      <c r="M400" s="1350"/>
      <c r="N400" s="1350"/>
      <c r="O400" s="1350"/>
      <c r="P400" s="1354"/>
      <c r="Q400" s="1355"/>
      <c r="R400" s="1355"/>
      <c r="S400" s="1350"/>
      <c r="T400" s="1349"/>
      <c r="U400" s="1348"/>
      <c r="V400" s="1348"/>
      <c r="W400" s="1349"/>
      <c r="X400" s="1350"/>
      <c r="Y400" s="1350"/>
      <c r="Z400" s="1349"/>
      <c r="AA400" s="1351"/>
      <c r="AB400" s="1350"/>
      <c r="AC400" s="1350"/>
      <c r="AD400" s="1350"/>
      <c r="AE400" s="1350"/>
      <c r="AF400" s="1350"/>
      <c r="AG400" s="1350"/>
      <c r="AH400" s="1350"/>
      <c r="AI400" s="1350"/>
      <c r="AJ400" s="1350"/>
      <c r="AK400" s="1350"/>
    </row>
    <row r="401">
      <c r="A401" s="1350"/>
      <c r="B401" s="1350"/>
      <c r="C401" s="1350"/>
      <c r="D401" s="1350"/>
      <c r="E401" s="1350"/>
      <c r="F401" s="1350"/>
      <c r="G401" s="1350"/>
      <c r="H401" s="1350"/>
      <c r="I401" s="1350"/>
      <c r="J401" s="1350"/>
      <c r="K401" s="1350"/>
      <c r="L401" s="1350"/>
      <c r="M401" s="1350"/>
      <c r="N401" s="1350"/>
      <c r="O401" s="1350"/>
      <c r="P401" s="1354"/>
      <c r="Q401" s="1355"/>
      <c r="R401" s="1355"/>
      <c r="S401" s="1350"/>
      <c r="T401" s="1349"/>
      <c r="U401" s="1348"/>
      <c r="V401" s="1348"/>
      <c r="W401" s="1349"/>
      <c r="X401" s="1350"/>
      <c r="Y401" s="1350"/>
      <c r="Z401" s="1349"/>
      <c r="AA401" s="1351"/>
      <c r="AB401" s="1350"/>
      <c r="AC401" s="1350"/>
      <c r="AD401" s="1350"/>
      <c r="AE401" s="1350"/>
      <c r="AF401" s="1350"/>
      <c r="AG401" s="1350"/>
      <c r="AH401" s="1350"/>
      <c r="AI401" s="1350"/>
      <c r="AJ401" s="1350"/>
      <c r="AK401" s="1350"/>
    </row>
    <row r="402">
      <c r="A402" s="1350"/>
      <c r="B402" s="1350"/>
      <c r="C402" s="1350"/>
      <c r="D402" s="1350"/>
      <c r="E402" s="1350"/>
      <c r="F402" s="1350"/>
      <c r="G402" s="1350"/>
      <c r="H402" s="1350"/>
      <c r="I402" s="1350"/>
      <c r="J402" s="1350"/>
      <c r="K402" s="1350"/>
      <c r="L402" s="1350"/>
      <c r="M402" s="1350"/>
      <c r="N402" s="1350"/>
      <c r="O402" s="1350"/>
      <c r="P402" s="1354"/>
      <c r="Q402" s="1355"/>
      <c r="R402" s="1355"/>
      <c r="S402" s="1350"/>
      <c r="T402" s="1349"/>
      <c r="U402" s="1348"/>
      <c r="V402" s="1348"/>
      <c r="W402" s="1349"/>
      <c r="X402" s="1350"/>
      <c r="Y402" s="1350"/>
      <c r="Z402" s="1349"/>
      <c r="AA402" s="1351"/>
      <c r="AB402" s="1350"/>
      <c r="AC402" s="1350"/>
      <c r="AD402" s="1350"/>
      <c r="AE402" s="1350"/>
      <c r="AF402" s="1350"/>
      <c r="AG402" s="1350"/>
      <c r="AH402" s="1350"/>
      <c r="AI402" s="1350"/>
      <c r="AJ402" s="1350"/>
      <c r="AK402" s="1350"/>
    </row>
    <row r="403">
      <c r="A403" s="1350"/>
      <c r="B403" s="1350"/>
      <c r="C403" s="1350"/>
      <c r="D403" s="1350"/>
      <c r="E403" s="1350"/>
      <c r="F403" s="1350"/>
      <c r="G403" s="1350"/>
      <c r="H403" s="1350"/>
      <c r="I403" s="1350"/>
      <c r="J403" s="1350"/>
      <c r="K403" s="1350"/>
      <c r="L403" s="1350"/>
      <c r="M403" s="1350"/>
      <c r="N403" s="1350"/>
      <c r="O403" s="1350"/>
      <c r="P403" s="1354"/>
      <c r="Q403" s="1355"/>
      <c r="R403" s="1355"/>
      <c r="S403" s="1350"/>
      <c r="T403" s="1349"/>
      <c r="U403" s="1348"/>
      <c r="V403" s="1348"/>
      <c r="W403" s="1349"/>
      <c r="X403" s="1350"/>
      <c r="Y403" s="1350"/>
      <c r="Z403" s="1349"/>
      <c r="AA403" s="1351"/>
      <c r="AB403" s="1350"/>
      <c r="AC403" s="1350"/>
      <c r="AD403" s="1350"/>
      <c r="AE403" s="1350"/>
      <c r="AF403" s="1350"/>
      <c r="AG403" s="1350"/>
      <c r="AH403" s="1350"/>
      <c r="AI403" s="1350"/>
      <c r="AJ403" s="1350"/>
      <c r="AK403" s="1350"/>
    </row>
    <row r="404">
      <c r="A404" s="1350"/>
      <c r="B404" s="1350"/>
      <c r="C404" s="1350"/>
      <c r="D404" s="1350"/>
      <c r="E404" s="1350"/>
      <c r="F404" s="1350"/>
      <c r="G404" s="1350"/>
      <c r="H404" s="1350"/>
      <c r="I404" s="1350"/>
      <c r="J404" s="1350"/>
      <c r="K404" s="1350"/>
      <c r="L404" s="1350"/>
      <c r="M404" s="1350"/>
      <c r="N404" s="1350"/>
      <c r="O404" s="1350"/>
      <c r="P404" s="1354"/>
      <c r="Q404" s="1355"/>
      <c r="R404" s="1355"/>
      <c r="S404" s="1350"/>
      <c r="T404" s="1349"/>
      <c r="U404" s="1348"/>
      <c r="V404" s="1348"/>
      <c r="W404" s="1349"/>
      <c r="X404" s="1350"/>
      <c r="Y404" s="1350"/>
      <c r="Z404" s="1349"/>
      <c r="AA404" s="1351"/>
      <c r="AB404" s="1350"/>
      <c r="AC404" s="1350"/>
      <c r="AD404" s="1350"/>
      <c r="AE404" s="1350"/>
      <c r="AF404" s="1350"/>
      <c r="AG404" s="1350"/>
      <c r="AH404" s="1350"/>
      <c r="AI404" s="1350"/>
      <c r="AJ404" s="1350"/>
      <c r="AK404" s="1350"/>
    </row>
    <row r="405">
      <c r="A405" s="1350"/>
      <c r="B405" s="1350"/>
      <c r="C405" s="1350"/>
      <c r="D405" s="1350"/>
      <c r="E405" s="1350"/>
      <c r="F405" s="1350"/>
      <c r="G405" s="1350"/>
      <c r="H405" s="1350"/>
      <c r="I405" s="1350"/>
      <c r="J405" s="1350"/>
      <c r="K405" s="1350"/>
      <c r="L405" s="1350"/>
      <c r="M405" s="1350"/>
      <c r="N405" s="1350"/>
      <c r="O405" s="1350"/>
      <c r="P405" s="1354"/>
      <c r="Q405" s="1355"/>
      <c r="R405" s="1355"/>
      <c r="S405" s="1350"/>
      <c r="T405" s="1349"/>
      <c r="U405" s="1348"/>
      <c r="V405" s="1348"/>
      <c r="W405" s="1349"/>
      <c r="X405" s="1350"/>
      <c r="Y405" s="1350"/>
      <c r="Z405" s="1349"/>
      <c r="AA405" s="1351"/>
      <c r="AB405" s="1350"/>
      <c r="AC405" s="1350"/>
      <c r="AD405" s="1350"/>
      <c r="AE405" s="1350"/>
      <c r="AF405" s="1350"/>
      <c r="AG405" s="1350"/>
      <c r="AH405" s="1350"/>
      <c r="AI405" s="1350"/>
      <c r="AJ405" s="1350"/>
      <c r="AK405" s="1350"/>
    </row>
    <row r="406">
      <c r="A406" s="1350"/>
      <c r="B406" s="1350"/>
      <c r="C406" s="1350"/>
      <c r="D406" s="1350"/>
      <c r="E406" s="1350"/>
      <c r="F406" s="1350"/>
      <c r="G406" s="1350"/>
      <c r="H406" s="1350"/>
      <c r="I406" s="1350"/>
      <c r="J406" s="1350"/>
      <c r="K406" s="1350"/>
      <c r="L406" s="1350"/>
      <c r="M406" s="1350"/>
      <c r="N406" s="1350"/>
      <c r="O406" s="1350"/>
      <c r="P406" s="1354"/>
      <c r="Q406" s="1355"/>
      <c r="R406" s="1355"/>
      <c r="S406" s="1350"/>
      <c r="T406" s="1349"/>
      <c r="U406" s="1348"/>
      <c r="V406" s="1348"/>
      <c r="W406" s="1349"/>
      <c r="X406" s="1350"/>
      <c r="Y406" s="1350"/>
      <c r="Z406" s="1349"/>
      <c r="AA406" s="1351"/>
      <c r="AB406" s="1350"/>
      <c r="AC406" s="1350"/>
      <c r="AD406" s="1350"/>
      <c r="AE406" s="1350"/>
      <c r="AF406" s="1350"/>
      <c r="AG406" s="1350"/>
      <c r="AH406" s="1350"/>
      <c r="AI406" s="1350"/>
      <c r="AJ406" s="1350"/>
      <c r="AK406" s="1350"/>
    </row>
    <row r="407">
      <c r="A407" s="1350"/>
      <c r="B407" s="1350"/>
      <c r="C407" s="1350"/>
      <c r="D407" s="1350"/>
      <c r="E407" s="1350"/>
      <c r="F407" s="1350"/>
      <c r="G407" s="1350"/>
      <c r="H407" s="1350"/>
      <c r="I407" s="1350"/>
      <c r="J407" s="1350"/>
      <c r="K407" s="1350"/>
      <c r="L407" s="1350"/>
      <c r="M407" s="1350"/>
      <c r="N407" s="1350"/>
      <c r="O407" s="1350"/>
      <c r="P407" s="1354"/>
      <c r="Q407" s="1355"/>
      <c r="R407" s="1355"/>
      <c r="S407" s="1350"/>
      <c r="T407" s="1349"/>
      <c r="U407" s="1348"/>
      <c r="V407" s="1348"/>
      <c r="W407" s="1349"/>
      <c r="X407" s="1350"/>
      <c r="Y407" s="1350"/>
      <c r="Z407" s="1349"/>
      <c r="AA407" s="1351"/>
      <c r="AB407" s="1350"/>
      <c r="AC407" s="1350"/>
      <c r="AD407" s="1350"/>
      <c r="AE407" s="1350"/>
      <c r="AF407" s="1350"/>
      <c r="AG407" s="1350"/>
      <c r="AH407" s="1350"/>
      <c r="AI407" s="1350"/>
      <c r="AJ407" s="1350"/>
      <c r="AK407" s="1350"/>
    </row>
    <row r="408">
      <c r="A408" s="1350"/>
      <c r="B408" s="1350"/>
      <c r="C408" s="1350"/>
      <c r="D408" s="1350"/>
      <c r="E408" s="1350"/>
      <c r="F408" s="1350"/>
      <c r="G408" s="1350"/>
      <c r="H408" s="1350"/>
      <c r="I408" s="1350"/>
      <c r="J408" s="1350"/>
      <c r="K408" s="1350"/>
      <c r="L408" s="1350"/>
      <c r="M408" s="1350"/>
      <c r="N408" s="1350"/>
      <c r="O408" s="1350"/>
      <c r="P408" s="1354"/>
      <c r="Q408" s="1355"/>
      <c r="R408" s="1355"/>
      <c r="S408" s="1350"/>
      <c r="T408" s="1349"/>
      <c r="U408" s="1348"/>
      <c r="V408" s="1348"/>
      <c r="W408" s="1349"/>
      <c r="X408" s="1350"/>
      <c r="Y408" s="1350"/>
      <c r="Z408" s="1349"/>
      <c r="AA408" s="1351"/>
      <c r="AB408" s="1350"/>
      <c r="AC408" s="1350"/>
      <c r="AD408" s="1350"/>
      <c r="AE408" s="1350"/>
      <c r="AF408" s="1350"/>
      <c r="AG408" s="1350"/>
      <c r="AH408" s="1350"/>
      <c r="AI408" s="1350"/>
      <c r="AJ408" s="1350"/>
      <c r="AK408" s="1350"/>
    </row>
    <row r="409">
      <c r="A409" s="1350"/>
      <c r="B409" s="1350"/>
      <c r="C409" s="1350"/>
      <c r="D409" s="1350"/>
      <c r="E409" s="1350"/>
      <c r="F409" s="1350"/>
      <c r="G409" s="1350"/>
      <c r="H409" s="1350"/>
      <c r="I409" s="1350"/>
      <c r="J409" s="1350"/>
      <c r="K409" s="1350"/>
      <c r="L409" s="1350"/>
      <c r="M409" s="1350"/>
      <c r="N409" s="1350"/>
      <c r="O409" s="1350"/>
      <c r="P409" s="1354"/>
      <c r="Q409" s="1355"/>
      <c r="R409" s="1355"/>
      <c r="S409" s="1350"/>
      <c r="T409" s="1349"/>
      <c r="U409" s="1348"/>
      <c r="V409" s="1348"/>
      <c r="W409" s="1349"/>
      <c r="X409" s="1350"/>
      <c r="Y409" s="1350"/>
      <c r="Z409" s="1349"/>
      <c r="AA409" s="1351"/>
      <c r="AB409" s="1350"/>
      <c r="AC409" s="1350"/>
      <c r="AD409" s="1350"/>
      <c r="AE409" s="1350"/>
      <c r="AF409" s="1350"/>
      <c r="AG409" s="1350"/>
      <c r="AH409" s="1350"/>
      <c r="AI409" s="1350"/>
      <c r="AJ409" s="1350"/>
      <c r="AK409" s="1350"/>
    </row>
    <row r="410">
      <c r="A410" s="1350"/>
      <c r="B410" s="1350"/>
      <c r="C410" s="1350"/>
      <c r="D410" s="1350"/>
      <c r="E410" s="1350"/>
      <c r="F410" s="1350"/>
      <c r="G410" s="1350"/>
      <c r="H410" s="1350"/>
      <c r="I410" s="1350"/>
      <c r="J410" s="1350"/>
      <c r="K410" s="1350"/>
      <c r="L410" s="1350"/>
      <c r="M410" s="1350"/>
      <c r="N410" s="1350"/>
      <c r="O410" s="1350"/>
      <c r="P410" s="1354"/>
      <c r="Q410" s="1355"/>
      <c r="R410" s="1355"/>
      <c r="S410" s="1350"/>
      <c r="T410" s="1349"/>
      <c r="U410" s="1348"/>
      <c r="V410" s="1348"/>
      <c r="W410" s="1349"/>
      <c r="X410" s="1350"/>
      <c r="Y410" s="1350"/>
      <c r="Z410" s="1349"/>
      <c r="AA410" s="1351"/>
      <c r="AB410" s="1350"/>
      <c r="AC410" s="1350"/>
      <c r="AD410" s="1350"/>
      <c r="AE410" s="1350"/>
      <c r="AF410" s="1350"/>
      <c r="AG410" s="1350"/>
      <c r="AH410" s="1350"/>
      <c r="AI410" s="1350"/>
      <c r="AJ410" s="1350"/>
      <c r="AK410" s="1350"/>
    </row>
    <row r="411">
      <c r="A411" s="1350"/>
      <c r="B411" s="1350"/>
      <c r="C411" s="1350"/>
      <c r="D411" s="1350"/>
      <c r="E411" s="1350"/>
      <c r="F411" s="1350"/>
      <c r="G411" s="1350"/>
      <c r="H411" s="1350"/>
      <c r="I411" s="1350"/>
      <c r="J411" s="1350"/>
      <c r="K411" s="1350"/>
      <c r="L411" s="1350"/>
      <c r="M411" s="1350"/>
      <c r="N411" s="1350"/>
      <c r="O411" s="1350"/>
      <c r="P411" s="1354"/>
      <c r="Q411" s="1355"/>
      <c r="R411" s="1355"/>
      <c r="S411" s="1350"/>
      <c r="T411" s="1349"/>
      <c r="U411" s="1348"/>
      <c r="V411" s="1348"/>
      <c r="W411" s="1349"/>
      <c r="X411" s="1350"/>
      <c r="Y411" s="1350"/>
      <c r="Z411" s="1349"/>
      <c r="AA411" s="1351"/>
      <c r="AB411" s="1350"/>
      <c r="AC411" s="1350"/>
      <c r="AD411" s="1350"/>
      <c r="AE411" s="1350"/>
      <c r="AF411" s="1350"/>
      <c r="AG411" s="1350"/>
      <c r="AH411" s="1350"/>
      <c r="AI411" s="1350"/>
      <c r="AJ411" s="1350"/>
      <c r="AK411" s="1350"/>
    </row>
    <row r="412">
      <c r="A412" s="1350"/>
      <c r="B412" s="1350"/>
      <c r="C412" s="1350"/>
      <c r="D412" s="1350"/>
      <c r="E412" s="1350"/>
      <c r="F412" s="1350"/>
      <c r="G412" s="1350"/>
      <c r="H412" s="1350"/>
      <c r="I412" s="1350"/>
      <c r="J412" s="1350"/>
      <c r="K412" s="1350"/>
      <c r="L412" s="1350"/>
      <c r="M412" s="1350"/>
      <c r="N412" s="1350"/>
      <c r="O412" s="1350"/>
      <c r="P412" s="1354"/>
      <c r="Q412" s="1355"/>
      <c r="R412" s="1355"/>
      <c r="S412" s="1350"/>
      <c r="T412" s="1349"/>
      <c r="U412" s="1348"/>
      <c r="V412" s="1348"/>
      <c r="W412" s="1349"/>
      <c r="X412" s="1350"/>
      <c r="Y412" s="1350"/>
      <c r="Z412" s="1349"/>
      <c r="AA412" s="1351"/>
      <c r="AB412" s="1350"/>
      <c r="AC412" s="1350"/>
      <c r="AD412" s="1350"/>
      <c r="AE412" s="1350"/>
      <c r="AF412" s="1350"/>
      <c r="AG412" s="1350"/>
      <c r="AH412" s="1350"/>
      <c r="AI412" s="1350"/>
      <c r="AJ412" s="1350"/>
      <c r="AK412" s="1350"/>
    </row>
    <row r="413">
      <c r="A413" s="1350"/>
      <c r="B413" s="1350"/>
      <c r="C413" s="1350"/>
      <c r="D413" s="1350"/>
      <c r="E413" s="1350"/>
      <c r="F413" s="1350"/>
      <c r="G413" s="1350"/>
      <c r="H413" s="1350"/>
      <c r="I413" s="1350"/>
      <c r="J413" s="1350"/>
      <c r="K413" s="1350"/>
      <c r="L413" s="1350"/>
      <c r="M413" s="1350"/>
      <c r="N413" s="1350"/>
      <c r="O413" s="1350"/>
      <c r="P413" s="1354"/>
      <c r="Q413" s="1355"/>
      <c r="R413" s="1355"/>
      <c r="S413" s="1350"/>
      <c r="T413" s="1349"/>
      <c r="U413" s="1348"/>
      <c r="V413" s="1348"/>
      <c r="W413" s="1349"/>
      <c r="X413" s="1350"/>
      <c r="Y413" s="1350"/>
      <c r="Z413" s="1349"/>
      <c r="AA413" s="1351"/>
      <c r="AB413" s="1350"/>
      <c r="AC413" s="1350"/>
      <c r="AD413" s="1350"/>
      <c r="AE413" s="1350"/>
      <c r="AF413" s="1350"/>
      <c r="AG413" s="1350"/>
      <c r="AH413" s="1350"/>
      <c r="AI413" s="1350"/>
      <c r="AJ413" s="1350"/>
      <c r="AK413" s="1350"/>
    </row>
    <row r="414">
      <c r="A414" s="1350"/>
      <c r="B414" s="1350"/>
      <c r="C414" s="1350"/>
      <c r="D414" s="1350"/>
      <c r="E414" s="1350"/>
      <c r="F414" s="1350"/>
      <c r="G414" s="1350"/>
      <c r="H414" s="1350"/>
      <c r="I414" s="1350"/>
      <c r="J414" s="1350"/>
      <c r="K414" s="1350"/>
      <c r="L414" s="1350"/>
      <c r="M414" s="1350"/>
      <c r="N414" s="1350"/>
      <c r="O414" s="1350"/>
      <c r="P414" s="1354"/>
      <c r="Q414" s="1355"/>
      <c r="R414" s="1355"/>
      <c r="S414" s="1350"/>
      <c r="T414" s="1349"/>
      <c r="U414" s="1348"/>
      <c r="V414" s="1348"/>
      <c r="W414" s="1349"/>
      <c r="X414" s="1350"/>
      <c r="Y414" s="1350"/>
      <c r="Z414" s="1349"/>
      <c r="AA414" s="1351"/>
      <c r="AB414" s="1350"/>
      <c r="AC414" s="1350"/>
      <c r="AD414" s="1350"/>
      <c r="AE414" s="1350"/>
      <c r="AF414" s="1350"/>
      <c r="AG414" s="1350"/>
      <c r="AH414" s="1350"/>
      <c r="AI414" s="1350"/>
      <c r="AJ414" s="1350"/>
      <c r="AK414" s="1350"/>
    </row>
    <row r="415">
      <c r="A415" s="1350"/>
      <c r="B415" s="1350"/>
      <c r="C415" s="1350"/>
      <c r="D415" s="1350"/>
      <c r="E415" s="1350"/>
      <c r="F415" s="1350"/>
      <c r="G415" s="1350"/>
      <c r="H415" s="1350"/>
      <c r="I415" s="1350"/>
      <c r="J415" s="1350"/>
      <c r="K415" s="1350"/>
      <c r="L415" s="1350"/>
      <c r="M415" s="1350"/>
      <c r="N415" s="1350"/>
      <c r="O415" s="1350"/>
      <c r="P415" s="1354"/>
      <c r="Q415" s="1355"/>
      <c r="R415" s="1355"/>
      <c r="S415" s="1350"/>
      <c r="T415" s="1349"/>
      <c r="U415" s="1348"/>
      <c r="V415" s="1348"/>
      <c r="W415" s="1349"/>
      <c r="X415" s="1350"/>
      <c r="Y415" s="1350"/>
      <c r="Z415" s="1349"/>
      <c r="AA415" s="1351"/>
      <c r="AB415" s="1350"/>
      <c r="AC415" s="1350"/>
      <c r="AD415" s="1350"/>
      <c r="AE415" s="1350"/>
      <c r="AF415" s="1350"/>
      <c r="AG415" s="1350"/>
      <c r="AH415" s="1350"/>
      <c r="AI415" s="1350"/>
      <c r="AJ415" s="1350"/>
      <c r="AK415" s="1350"/>
    </row>
    <row r="416">
      <c r="A416" s="1350"/>
      <c r="B416" s="1350"/>
      <c r="C416" s="1350"/>
      <c r="D416" s="1350"/>
      <c r="E416" s="1350"/>
      <c r="F416" s="1350"/>
      <c r="G416" s="1350"/>
      <c r="H416" s="1350"/>
      <c r="I416" s="1350"/>
      <c r="J416" s="1350"/>
      <c r="K416" s="1350"/>
      <c r="L416" s="1350"/>
      <c r="M416" s="1350"/>
      <c r="N416" s="1350"/>
      <c r="O416" s="1350"/>
      <c r="P416" s="1354"/>
      <c r="Q416" s="1355"/>
      <c r="R416" s="1355"/>
      <c r="S416" s="1350"/>
      <c r="T416" s="1349"/>
      <c r="U416" s="1348"/>
      <c r="V416" s="1348"/>
      <c r="W416" s="1349"/>
      <c r="X416" s="1350"/>
      <c r="Y416" s="1350"/>
      <c r="Z416" s="1349"/>
      <c r="AA416" s="1351"/>
      <c r="AB416" s="1350"/>
      <c r="AC416" s="1350"/>
      <c r="AD416" s="1350"/>
      <c r="AE416" s="1350"/>
      <c r="AF416" s="1350"/>
      <c r="AG416" s="1350"/>
      <c r="AH416" s="1350"/>
      <c r="AI416" s="1350"/>
      <c r="AJ416" s="1350"/>
      <c r="AK416" s="1350"/>
    </row>
    <row r="417">
      <c r="A417" s="1350"/>
      <c r="B417" s="1350"/>
      <c r="C417" s="1350"/>
      <c r="D417" s="1350"/>
      <c r="E417" s="1350"/>
      <c r="F417" s="1350"/>
      <c r="G417" s="1350"/>
      <c r="H417" s="1350"/>
      <c r="I417" s="1350"/>
      <c r="J417" s="1350"/>
      <c r="K417" s="1350"/>
      <c r="L417" s="1350"/>
      <c r="M417" s="1350"/>
      <c r="N417" s="1350"/>
      <c r="O417" s="1350"/>
      <c r="P417" s="1354"/>
      <c r="Q417" s="1355"/>
      <c r="R417" s="1355"/>
      <c r="S417" s="1350"/>
      <c r="T417" s="1349"/>
      <c r="U417" s="1348"/>
      <c r="V417" s="1348"/>
      <c r="W417" s="1349"/>
      <c r="X417" s="1350"/>
      <c r="Y417" s="1350"/>
      <c r="Z417" s="1349"/>
      <c r="AA417" s="1351"/>
      <c r="AB417" s="1350"/>
      <c r="AC417" s="1350"/>
      <c r="AD417" s="1350"/>
      <c r="AE417" s="1350"/>
      <c r="AF417" s="1350"/>
      <c r="AG417" s="1350"/>
      <c r="AH417" s="1350"/>
      <c r="AI417" s="1350"/>
      <c r="AJ417" s="1350"/>
      <c r="AK417" s="1350"/>
    </row>
    <row r="418">
      <c r="A418" s="1350"/>
      <c r="B418" s="1350"/>
      <c r="C418" s="1350"/>
      <c r="D418" s="1350"/>
      <c r="E418" s="1350"/>
      <c r="F418" s="1350"/>
      <c r="G418" s="1350"/>
      <c r="H418" s="1350"/>
      <c r="I418" s="1350"/>
      <c r="J418" s="1350"/>
      <c r="K418" s="1350"/>
      <c r="L418" s="1350"/>
      <c r="M418" s="1350"/>
      <c r="N418" s="1350"/>
      <c r="O418" s="1350"/>
      <c r="P418" s="1354"/>
      <c r="Q418" s="1355"/>
      <c r="R418" s="1355"/>
      <c r="S418" s="1350"/>
      <c r="T418" s="1349"/>
      <c r="U418" s="1348"/>
      <c r="V418" s="1348"/>
      <c r="W418" s="1349"/>
      <c r="X418" s="1350"/>
      <c r="Y418" s="1350"/>
      <c r="Z418" s="1349"/>
      <c r="AA418" s="1351"/>
      <c r="AB418" s="1350"/>
      <c r="AC418" s="1350"/>
      <c r="AD418" s="1350"/>
      <c r="AE418" s="1350"/>
      <c r="AF418" s="1350"/>
      <c r="AG418" s="1350"/>
      <c r="AH418" s="1350"/>
      <c r="AI418" s="1350"/>
      <c r="AJ418" s="1350"/>
      <c r="AK418" s="1350"/>
    </row>
    <row r="419">
      <c r="A419" s="1350"/>
      <c r="B419" s="1350"/>
      <c r="C419" s="1350"/>
      <c r="D419" s="1350"/>
      <c r="E419" s="1350"/>
      <c r="F419" s="1350"/>
      <c r="G419" s="1350"/>
      <c r="H419" s="1350"/>
      <c r="I419" s="1350"/>
      <c r="J419" s="1350"/>
      <c r="K419" s="1350"/>
      <c r="L419" s="1350"/>
      <c r="M419" s="1350"/>
      <c r="N419" s="1350"/>
      <c r="O419" s="1350"/>
      <c r="P419" s="1354"/>
      <c r="Q419" s="1355"/>
      <c r="R419" s="1355"/>
      <c r="S419" s="1350"/>
      <c r="T419" s="1349"/>
      <c r="U419" s="1348"/>
      <c r="V419" s="1348"/>
      <c r="W419" s="1349"/>
      <c r="X419" s="1350"/>
      <c r="Y419" s="1350"/>
      <c r="Z419" s="1349"/>
      <c r="AA419" s="1351"/>
      <c r="AB419" s="1350"/>
      <c r="AC419" s="1350"/>
      <c r="AD419" s="1350"/>
      <c r="AE419" s="1350"/>
      <c r="AF419" s="1350"/>
      <c r="AG419" s="1350"/>
      <c r="AH419" s="1350"/>
      <c r="AI419" s="1350"/>
      <c r="AJ419" s="1350"/>
      <c r="AK419" s="1350"/>
    </row>
    <row r="420">
      <c r="A420" s="1350"/>
      <c r="B420" s="1350"/>
      <c r="C420" s="1350"/>
      <c r="D420" s="1350"/>
      <c r="E420" s="1350"/>
      <c r="F420" s="1350"/>
      <c r="G420" s="1350"/>
      <c r="H420" s="1350"/>
      <c r="I420" s="1350"/>
      <c r="J420" s="1350"/>
      <c r="K420" s="1350"/>
      <c r="L420" s="1350"/>
      <c r="M420" s="1350"/>
      <c r="N420" s="1350"/>
      <c r="O420" s="1350"/>
      <c r="P420" s="1354"/>
      <c r="Q420" s="1355"/>
      <c r="R420" s="1355"/>
      <c r="S420" s="1350"/>
      <c r="T420" s="1349"/>
      <c r="U420" s="1348"/>
      <c r="V420" s="1348"/>
      <c r="W420" s="1349"/>
      <c r="X420" s="1350"/>
      <c r="Y420" s="1350"/>
      <c r="Z420" s="1349"/>
      <c r="AA420" s="1351"/>
      <c r="AB420" s="1350"/>
      <c r="AC420" s="1350"/>
      <c r="AD420" s="1350"/>
      <c r="AE420" s="1350"/>
      <c r="AF420" s="1350"/>
      <c r="AG420" s="1350"/>
      <c r="AH420" s="1350"/>
      <c r="AI420" s="1350"/>
      <c r="AJ420" s="1350"/>
      <c r="AK420" s="1350"/>
    </row>
    <row r="421">
      <c r="A421" s="1350"/>
      <c r="B421" s="1350"/>
      <c r="C421" s="1350"/>
      <c r="D421" s="1350"/>
      <c r="E421" s="1350"/>
      <c r="F421" s="1350"/>
      <c r="G421" s="1350"/>
      <c r="H421" s="1350"/>
      <c r="I421" s="1350"/>
      <c r="J421" s="1350"/>
      <c r="K421" s="1350"/>
      <c r="L421" s="1350"/>
      <c r="M421" s="1350"/>
      <c r="N421" s="1350"/>
      <c r="O421" s="1350"/>
      <c r="P421" s="1354"/>
      <c r="Q421" s="1355"/>
      <c r="R421" s="1355"/>
      <c r="S421" s="1350"/>
      <c r="T421" s="1349"/>
      <c r="U421" s="1348"/>
      <c r="V421" s="1348"/>
      <c r="W421" s="1349"/>
      <c r="X421" s="1350"/>
      <c r="Y421" s="1350"/>
      <c r="Z421" s="1349"/>
      <c r="AA421" s="1351"/>
      <c r="AB421" s="1350"/>
      <c r="AC421" s="1350"/>
      <c r="AD421" s="1350"/>
      <c r="AE421" s="1350"/>
      <c r="AF421" s="1350"/>
      <c r="AG421" s="1350"/>
      <c r="AH421" s="1350"/>
      <c r="AI421" s="1350"/>
      <c r="AJ421" s="1350"/>
      <c r="AK421" s="1350"/>
    </row>
    <row r="422">
      <c r="A422" s="1350"/>
      <c r="B422" s="1350"/>
      <c r="C422" s="1350"/>
      <c r="D422" s="1350"/>
      <c r="E422" s="1350"/>
      <c r="F422" s="1350"/>
      <c r="G422" s="1350"/>
      <c r="H422" s="1350"/>
      <c r="I422" s="1350"/>
      <c r="J422" s="1350"/>
      <c r="K422" s="1350"/>
      <c r="L422" s="1350"/>
      <c r="M422" s="1350"/>
      <c r="N422" s="1350"/>
      <c r="O422" s="1350"/>
      <c r="P422" s="1354"/>
      <c r="Q422" s="1355"/>
      <c r="R422" s="1355"/>
      <c r="S422" s="1350"/>
      <c r="T422" s="1349"/>
      <c r="U422" s="1348"/>
      <c r="V422" s="1348"/>
      <c r="W422" s="1349"/>
      <c r="X422" s="1350"/>
      <c r="Y422" s="1350"/>
      <c r="Z422" s="1349"/>
      <c r="AA422" s="1351"/>
      <c r="AB422" s="1350"/>
      <c r="AC422" s="1350"/>
      <c r="AD422" s="1350"/>
      <c r="AE422" s="1350"/>
      <c r="AF422" s="1350"/>
      <c r="AG422" s="1350"/>
      <c r="AH422" s="1350"/>
      <c r="AI422" s="1350"/>
      <c r="AJ422" s="1350"/>
      <c r="AK422" s="1350"/>
    </row>
    <row r="423">
      <c r="A423" s="1350"/>
      <c r="B423" s="1350"/>
      <c r="C423" s="1350"/>
      <c r="D423" s="1350"/>
      <c r="E423" s="1350"/>
      <c r="F423" s="1350"/>
      <c r="G423" s="1350"/>
      <c r="H423" s="1350"/>
      <c r="I423" s="1350"/>
      <c r="J423" s="1350"/>
      <c r="K423" s="1350"/>
      <c r="L423" s="1350"/>
      <c r="M423" s="1350"/>
      <c r="N423" s="1350"/>
      <c r="O423" s="1350"/>
      <c r="P423" s="1354"/>
      <c r="Q423" s="1355"/>
      <c r="R423" s="1355"/>
      <c r="S423" s="1350"/>
      <c r="T423" s="1349"/>
      <c r="U423" s="1348"/>
      <c r="V423" s="1348"/>
      <c r="W423" s="1349"/>
      <c r="X423" s="1350"/>
      <c r="Y423" s="1350"/>
      <c r="Z423" s="1349"/>
      <c r="AA423" s="1351"/>
      <c r="AB423" s="1350"/>
      <c r="AC423" s="1350"/>
      <c r="AD423" s="1350"/>
      <c r="AE423" s="1350"/>
      <c r="AF423" s="1350"/>
      <c r="AG423" s="1350"/>
      <c r="AH423" s="1350"/>
      <c r="AI423" s="1350"/>
      <c r="AJ423" s="1350"/>
      <c r="AK423" s="1350"/>
    </row>
    <row r="424">
      <c r="A424" s="1350"/>
      <c r="B424" s="1350"/>
      <c r="C424" s="1350"/>
      <c r="D424" s="1350"/>
      <c r="E424" s="1350"/>
      <c r="F424" s="1350"/>
      <c r="G424" s="1350"/>
      <c r="H424" s="1350"/>
      <c r="I424" s="1350"/>
      <c r="J424" s="1350"/>
      <c r="K424" s="1350"/>
      <c r="L424" s="1350"/>
      <c r="M424" s="1350"/>
      <c r="N424" s="1350"/>
      <c r="O424" s="1350"/>
      <c r="P424" s="1354"/>
      <c r="Q424" s="1355"/>
      <c r="R424" s="1355"/>
      <c r="S424" s="1350"/>
      <c r="T424" s="1349"/>
      <c r="U424" s="1348"/>
      <c r="V424" s="1348"/>
      <c r="W424" s="1349"/>
      <c r="X424" s="1350"/>
      <c r="Y424" s="1350"/>
      <c r="Z424" s="1349"/>
      <c r="AA424" s="1351"/>
      <c r="AB424" s="1350"/>
      <c r="AC424" s="1350"/>
      <c r="AD424" s="1350"/>
      <c r="AE424" s="1350"/>
      <c r="AF424" s="1350"/>
      <c r="AG424" s="1350"/>
      <c r="AH424" s="1350"/>
      <c r="AI424" s="1350"/>
      <c r="AJ424" s="1350"/>
      <c r="AK424" s="1350"/>
    </row>
    <row r="425">
      <c r="A425" s="1350"/>
      <c r="B425" s="1350"/>
      <c r="C425" s="1350"/>
      <c r="D425" s="1350"/>
      <c r="E425" s="1350"/>
      <c r="F425" s="1350"/>
      <c r="G425" s="1350"/>
      <c r="H425" s="1350"/>
      <c r="I425" s="1350"/>
      <c r="J425" s="1350"/>
      <c r="K425" s="1350"/>
      <c r="L425" s="1350"/>
      <c r="M425" s="1350"/>
      <c r="N425" s="1350"/>
      <c r="O425" s="1350"/>
      <c r="P425" s="1354"/>
      <c r="Q425" s="1355"/>
      <c r="R425" s="1355"/>
      <c r="S425" s="1350"/>
      <c r="T425" s="1349"/>
      <c r="U425" s="1348"/>
      <c r="V425" s="1348"/>
      <c r="W425" s="1349"/>
      <c r="X425" s="1350"/>
      <c r="Y425" s="1350"/>
      <c r="Z425" s="1349"/>
      <c r="AA425" s="1351"/>
      <c r="AB425" s="1350"/>
      <c r="AC425" s="1350"/>
      <c r="AD425" s="1350"/>
      <c r="AE425" s="1350"/>
      <c r="AF425" s="1350"/>
      <c r="AG425" s="1350"/>
      <c r="AH425" s="1350"/>
      <c r="AI425" s="1350"/>
      <c r="AJ425" s="1350"/>
      <c r="AK425" s="1350"/>
    </row>
    <row r="426">
      <c r="A426" s="1350"/>
      <c r="B426" s="1350"/>
      <c r="C426" s="1350"/>
      <c r="D426" s="1350"/>
      <c r="E426" s="1350"/>
      <c r="F426" s="1350"/>
      <c r="G426" s="1350"/>
      <c r="H426" s="1350"/>
      <c r="I426" s="1350"/>
      <c r="J426" s="1350"/>
      <c r="K426" s="1350"/>
      <c r="L426" s="1350"/>
      <c r="M426" s="1350"/>
      <c r="N426" s="1350"/>
      <c r="O426" s="1350"/>
      <c r="P426" s="1354"/>
      <c r="Q426" s="1355"/>
      <c r="R426" s="1355"/>
      <c r="S426" s="1350"/>
      <c r="T426" s="1349"/>
      <c r="U426" s="1348"/>
      <c r="V426" s="1348"/>
      <c r="W426" s="1349"/>
      <c r="X426" s="1350"/>
      <c r="Y426" s="1350"/>
      <c r="Z426" s="1349"/>
      <c r="AA426" s="1351"/>
      <c r="AB426" s="1350"/>
      <c r="AC426" s="1350"/>
      <c r="AD426" s="1350"/>
      <c r="AE426" s="1350"/>
      <c r="AF426" s="1350"/>
      <c r="AG426" s="1350"/>
      <c r="AH426" s="1350"/>
      <c r="AI426" s="1350"/>
      <c r="AJ426" s="1350"/>
      <c r="AK426" s="1350"/>
    </row>
    <row r="427">
      <c r="A427" s="1350"/>
      <c r="B427" s="1350"/>
      <c r="C427" s="1350"/>
      <c r="D427" s="1350"/>
      <c r="E427" s="1350"/>
      <c r="F427" s="1350"/>
      <c r="G427" s="1350"/>
      <c r="H427" s="1350"/>
      <c r="I427" s="1350"/>
      <c r="J427" s="1350"/>
      <c r="K427" s="1350"/>
      <c r="L427" s="1350"/>
      <c r="M427" s="1350"/>
      <c r="N427" s="1350"/>
      <c r="O427" s="1350"/>
      <c r="P427" s="1354"/>
      <c r="Q427" s="1355"/>
      <c r="R427" s="1355"/>
      <c r="S427" s="1350"/>
      <c r="T427" s="1349"/>
      <c r="U427" s="1348"/>
      <c r="V427" s="1348"/>
      <c r="W427" s="1349"/>
      <c r="X427" s="1350"/>
      <c r="Y427" s="1350"/>
      <c r="Z427" s="1349"/>
      <c r="AA427" s="1351"/>
      <c r="AB427" s="1350"/>
      <c r="AC427" s="1350"/>
      <c r="AD427" s="1350"/>
      <c r="AE427" s="1350"/>
      <c r="AF427" s="1350"/>
      <c r="AG427" s="1350"/>
      <c r="AH427" s="1350"/>
      <c r="AI427" s="1350"/>
      <c r="AJ427" s="1350"/>
      <c r="AK427" s="1350"/>
    </row>
    <row r="428">
      <c r="A428" s="1350"/>
      <c r="B428" s="1350"/>
      <c r="C428" s="1350"/>
      <c r="D428" s="1350"/>
      <c r="E428" s="1350"/>
      <c r="F428" s="1350"/>
      <c r="G428" s="1350"/>
      <c r="H428" s="1350"/>
      <c r="I428" s="1350"/>
      <c r="J428" s="1350"/>
      <c r="K428" s="1350"/>
      <c r="L428" s="1350"/>
      <c r="M428" s="1350"/>
      <c r="N428" s="1350"/>
      <c r="O428" s="1350"/>
      <c r="P428" s="1354"/>
      <c r="Q428" s="1355"/>
      <c r="R428" s="1355"/>
      <c r="S428" s="1350"/>
      <c r="T428" s="1349"/>
      <c r="U428" s="1348"/>
      <c r="V428" s="1348"/>
      <c r="W428" s="1349"/>
      <c r="X428" s="1350"/>
      <c r="Y428" s="1350"/>
      <c r="Z428" s="1349"/>
      <c r="AA428" s="1351"/>
      <c r="AB428" s="1350"/>
      <c r="AC428" s="1350"/>
      <c r="AD428" s="1350"/>
      <c r="AE428" s="1350"/>
      <c r="AF428" s="1350"/>
      <c r="AG428" s="1350"/>
      <c r="AH428" s="1350"/>
      <c r="AI428" s="1350"/>
      <c r="AJ428" s="1350"/>
      <c r="AK428" s="1350"/>
    </row>
    <row r="429">
      <c r="A429" s="1350"/>
      <c r="B429" s="1350"/>
      <c r="C429" s="1350"/>
      <c r="D429" s="1350"/>
      <c r="E429" s="1350"/>
      <c r="F429" s="1350"/>
      <c r="G429" s="1350"/>
      <c r="H429" s="1350"/>
      <c r="I429" s="1350"/>
      <c r="J429" s="1350"/>
      <c r="K429" s="1350"/>
      <c r="L429" s="1350"/>
      <c r="M429" s="1350"/>
      <c r="N429" s="1350"/>
      <c r="O429" s="1350"/>
      <c r="P429" s="1354"/>
      <c r="Q429" s="1355"/>
      <c r="R429" s="1355"/>
      <c r="S429" s="1350"/>
      <c r="T429" s="1349"/>
      <c r="U429" s="1348"/>
      <c r="V429" s="1348"/>
      <c r="W429" s="1349"/>
      <c r="X429" s="1350"/>
      <c r="Y429" s="1350"/>
      <c r="Z429" s="1349"/>
      <c r="AA429" s="1351"/>
      <c r="AB429" s="1350"/>
      <c r="AC429" s="1350"/>
      <c r="AD429" s="1350"/>
      <c r="AE429" s="1350"/>
      <c r="AF429" s="1350"/>
      <c r="AG429" s="1350"/>
      <c r="AH429" s="1350"/>
      <c r="AI429" s="1350"/>
      <c r="AJ429" s="1350"/>
      <c r="AK429" s="1350"/>
    </row>
    <row r="430">
      <c r="A430" s="1350"/>
      <c r="B430" s="1350"/>
      <c r="C430" s="1350"/>
      <c r="D430" s="1350"/>
      <c r="E430" s="1350"/>
      <c r="F430" s="1350"/>
      <c r="G430" s="1350"/>
      <c r="H430" s="1350"/>
      <c r="I430" s="1350"/>
      <c r="J430" s="1350"/>
      <c r="K430" s="1350"/>
      <c r="L430" s="1350"/>
      <c r="M430" s="1350"/>
      <c r="N430" s="1350"/>
      <c r="O430" s="1350"/>
      <c r="P430" s="1354"/>
      <c r="Q430" s="1355"/>
      <c r="R430" s="1355"/>
      <c r="S430" s="1350"/>
      <c r="T430" s="1349"/>
      <c r="U430" s="1348"/>
      <c r="V430" s="1348"/>
      <c r="W430" s="1349"/>
      <c r="X430" s="1350"/>
      <c r="Y430" s="1350"/>
      <c r="Z430" s="1349"/>
      <c r="AA430" s="1351"/>
      <c r="AB430" s="1350"/>
      <c r="AC430" s="1350"/>
      <c r="AD430" s="1350"/>
      <c r="AE430" s="1350"/>
      <c r="AF430" s="1350"/>
      <c r="AG430" s="1350"/>
      <c r="AH430" s="1350"/>
      <c r="AI430" s="1350"/>
      <c r="AJ430" s="1350"/>
      <c r="AK430" s="1350"/>
    </row>
    <row r="431">
      <c r="A431" s="1350"/>
      <c r="B431" s="1350"/>
      <c r="C431" s="1350"/>
      <c r="D431" s="1350"/>
      <c r="E431" s="1350"/>
      <c r="F431" s="1350"/>
      <c r="G431" s="1350"/>
      <c r="H431" s="1350"/>
      <c r="I431" s="1350"/>
      <c r="J431" s="1350"/>
      <c r="K431" s="1350"/>
      <c r="L431" s="1350"/>
      <c r="M431" s="1350"/>
      <c r="N431" s="1350"/>
      <c r="O431" s="1350"/>
      <c r="P431" s="1354"/>
      <c r="Q431" s="1355"/>
      <c r="R431" s="1355"/>
      <c r="S431" s="1350"/>
      <c r="T431" s="1349"/>
      <c r="U431" s="1348"/>
      <c r="V431" s="1348"/>
      <c r="W431" s="1349"/>
      <c r="X431" s="1350"/>
      <c r="Y431" s="1350"/>
      <c r="Z431" s="1349"/>
      <c r="AA431" s="1351"/>
      <c r="AB431" s="1350"/>
      <c r="AC431" s="1350"/>
      <c r="AD431" s="1350"/>
      <c r="AE431" s="1350"/>
      <c r="AF431" s="1350"/>
      <c r="AG431" s="1350"/>
      <c r="AH431" s="1350"/>
      <c r="AI431" s="1350"/>
      <c r="AJ431" s="1350"/>
      <c r="AK431" s="1350"/>
    </row>
    <row r="432">
      <c r="A432" s="1350"/>
      <c r="B432" s="1350"/>
      <c r="C432" s="1350"/>
      <c r="D432" s="1350"/>
      <c r="E432" s="1350"/>
      <c r="F432" s="1350"/>
      <c r="G432" s="1350"/>
      <c r="H432" s="1350"/>
      <c r="I432" s="1350"/>
      <c r="J432" s="1350"/>
      <c r="K432" s="1350"/>
      <c r="L432" s="1350"/>
      <c r="M432" s="1350"/>
      <c r="N432" s="1350"/>
      <c r="O432" s="1350"/>
      <c r="P432" s="1354"/>
      <c r="Q432" s="1355"/>
      <c r="R432" s="1355"/>
      <c r="S432" s="1350"/>
      <c r="T432" s="1349"/>
      <c r="U432" s="1348"/>
      <c r="V432" s="1348"/>
      <c r="W432" s="1349"/>
      <c r="X432" s="1350"/>
      <c r="Y432" s="1350"/>
      <c r="Z432" s="1349"/>
      <c r="AA432" s="1351"/>
      <c r="AB432" s="1350"/>
      <c r="AC432" s="1350"/>
      <c r="AD432" s="1350"/>
      <c r="AE432" s="1350"/>
      <c r="AF432" s="1350"/>
      <c r="AG432" s="1350"/>
      <c r="AH432" s="1350"/>
      <c r="AI432" s="1350"/>
      <c r="AJ432" s="1350"/>
      <c r="AK432" s="1350"/>
    </row>
    <row r="433">
      <c r="A433" s="1350"/>
      <c r="B433" s="1350"/>
      <c r="C433" s="1350"/>
      <c r="D433" s="1350"/>
      <c r="E433" s="1350"/>
      <c r="F433" s="1350"/>
      <c r="G433" s="1350"/>
      <c r="H433" s="1350"/>
      <c r="I433" s="1350"/>
      <c r="J433" s="1350"/>
      <c r="K433" s="1350"/>
      <c r="L433" s="1350"/>
      <c r="M433" s="1350"/>
      <c r="N433" s="1350"/>
      <c r="O433" s="1350"/>
      <c r="P433" s="1354"/>
      <c r="Q433" s="1355"/>
      <c r="R433" s="1355"/>
      <c r="S433" s="1350"/>
      <c r="T433" s="1349"/>
      <c r="U433" s="1348"/>
      <c r="V433" s="1348"/>
      <c r="W433" s="1349"/>
      <c r="X433" s="1350"/>
      <c r="Y433" s="1350"/>
      <c r="Z433" s="1349"/>
      <c r="AA433" s="1351"/>
      <c r="AB433" s="1350"/>
      <c r="AC433" s="1350"/>
      <c r="AD433" s="1350"/>
      <c r="AE433" s="1350"/>
      <c r="AF433" s="1350"/>
      <c r="AG433" s="1350"/>
      <c r="AH433" s="1350"/>
      <c r="AI433" s="1350"/>
      <c r="AJ433" s="1350"/>
      <c r="AK433" s="1350"/>
    </row>
    <row r="434">
      <c r="A434" s="1350"/>
      <c r="B434" s="1350"/>
      <c r="C434" s="1350"/>
      <c r="D434" s="1350"/>
      <c r="E434" s="1350"/>
      <c r="F434" s="1350"/>
      <c r="G434" s="1350"/>
      <c r="H434" s="1350"/>
      <c r="I434" s="1350"/>
      <c r="J434" s="1350"/>
      <c r="K434" s="1350"/>
      <c r="L434" s="1350"/>
      <c r="M434" s="1350"/>
      <c r="N434" s="1350"/>
      <c r="O434" s="1350"/>
      <c r="P434" s="1354"/>
      <c r="Q434" s="1355"/>
      <c r="R434" s="1355"/>
      <c r="S434" s="1350"/>
      <c r="T434" s="1349"/>
      <c r="U434" s="1348"/>
      <c r="V434" s="1348"/>
      <c r="W434" s="1349"/>
      <c r="X434" s="1350"/>
      <c r="Y434" s="1350"/>
      <c r="Z434" s="1349"/>
      <c r="AA434" s="1351"/>
      <c r="AB434" s="1350"/>
      <c r="AC434" s="1350"/>
      <c r="AD434" s="1350"/>
      <c r="AE434" s="1350"/>
      <c r="AF434" s="1350"/>
      <c r="AG434" s="1350"/>
      <c r="AH434" s="1350"/>
      <c r="AI434" s="1350"/>
      <c r="AJ434" s="1350"/>
      <c r="AK434" s="1350"/>
    </row>
    <row r="435">
      <c r="A435" s="1350"/>
      <c r="B435" s="1350"/>
      <c r="C435" s="1350"/>
      <c r="D435" s="1350"/>
      <c r="E435" s="1350"/>
      <c r="F435" s="1350"/>
      <c r="G435" s="1350"/>
      <c r="H435" s="1350"/>
      <c r="I435" s="1350"/>
      <c r="J435" s="1350"/>
      <c r="K435" s="1350"/>
      <c r="L435" s="1350"/>
      <c r="M435" s="1350"/>
      <c r="N435" s="1350"/>
      <c r="O435" s="1350"/>
      <c r="P435" s="1354"/>
      <c r="Q435" s="1355"/>
      <c r="R435" s="1355"/>
      <c r="S435" s="1350"/>
      <c r="T435" s="1349"/>
      <c r="U435" s="1348"/>
      <c r="V435" s="1348"/>
      <c r="W435" s="1349"/>
      <c r="X435" s="1350"/>
      <c r="Y435" s="1350"/>
      <c r="Z435" s="1349"/>
      <c r="AA435" s="1351"/>
      <c r="AB435" s="1350"/>
      <c r="AC435" s="1350"/>
      <c r="AD435" s="1350"/>
      <c r="AE435" s="1350"/>
      <c r="AF435" s="1350"/>
      <c r="AG435" s="1350"/>
      <c r="AH435" s="1350"/>
      <c r="AI435" s="1350"/>
      <c r="AJ435" s="1350"/>
      <c r="AK435" s="1350"/>
    </row>
    <row r="436">
      <c r="A436" s="1350"/>
      <c r="B436" s="1350"/>
      <c r="C436" s="1350"/>
      <c r="D436" s="1350"/>
      <c r="E436" s="1350"/>
      <c r="F436" s="1350"/>
      <c r="G436" s="1350"/>
      <c r="H436" s="1350"/>
      <c r="I436" s="1350"/>
      <c r="J436" s="1350"/>
      <c r="K436" s="1350"/>
      <c r="L436" s="1350"/>
      <c r="M436" s="1350"/>
      <c r="N436" s="1350"/>
      <c r="O436" s="1350"/>
      <c r="P436" s="1354"/>
      <c r="Q436" s="1355"/>
      <c r="R436" s="1355"/>
      <c r="S436" s="1350"/>
      <c r="T436" s="1349"/>
      <c r="U436" s="1348"/>
      <c r="V436" s="1348"/>
      <c r="W436" s="1349"/>
      <c r="X436" s="1350"/>
      <c r="Y436" s="1350"/>
      <c r="Z436" s="1349"/>
      <c r="AA436" s="1351"/>
      <c r="AB436" s="1350"/>
      <c r="AC436" s="1350"/>
      <c r="AD436" s="1350"/>
      <c r="AE436" s="1350"/>
      <c r="AF436" s="1350"/>
      <c r="AG436" s="1350"/>
      <c r="AH436" s="1350"/>
      <c r="AI436" s="1350"/>
      <c r="AJ436" s="1350"/>
      <c r="AK436" s="1350"/>
    </row>
    <row r="437">
      <c r="A437" s="1350"/>
      <c r="B437" s="1350"/>
      <c r="C437" s="1350"/>
      <c r="D437" s="1350"/>
      <c r="E437" s="1350"/>
      <c r="F437" s="1350"/>
      <c r="G437" s="1350"/>
      <c r="H437" s="1350"/>
      <c r="I437" s="1350"/>
      <c r="J437" s="1350"/>
      <c r="K437" s="1350"/>
      <c r="L437" s="1350"/>
      <c r="M437" s="1350"/>
      <c r="N437" s="1350"/>
      <c r="O437" s="1350"/>
      <c r="P437" s="1354"/>
      <c r="Q437" s="1355"/>
      <c r="R437" s="1355"/>
      <c r="S437" s="1350"/>
      <c r="T437" s="1349"/>
      <c r="U437" s="1348"/>
      <c r="V437" s="1348"/>
      <c r="W437" s="1349"/>
      <c r="X437" s="1350"/>
      <c r="Y437" s="1350"/>
      <c r="Z437" s="1349"/>
      <c r="AA437" s="1351"/>
      <c r="AB437" s="1350"/>
      <c r="AC437" s="1350"/>
      <c r="AD437" s="1350"/>
      <c r="AE437" s="1350"/>
      <c r="AF437" s="1350"/>
      <c r="AG437" s="1350"/>
      <c r="AH437" s="1350"/>
      <c r="AI437" s="1350"/>
      <c r="AJ437" s="1350"/>
      <c r="AK437" s="1350"/>
    </row>
    <row r="438">
      <c r="A438" s="1350"/>
      <c r="B438" s="1350"/>
      <c r="C438" s="1350"/>
      <c r="D438" s="1350"/>
      <c r="E438" s="1350"/>
      <c r="F438" s="1350"/>
      <c r="G438" s="1350"/>
      <c r="H438" s="1350"/>
      <c r="I438" s="1350"/>
      <c r="J438" s="1350"/>
      <c r="K438" s="1350"/>
      <c r="L438" s="1350"/>
      <c r="M438" s="1350"/>
      <c r="N438" s="1350"/>
      <c r="O438" s="1350"/>
      <c r="P438" s="1354"/>
      <c r="Q438" s="1355"/>
      <c r="R438" s="1355"/>
      <c r="S438" s="1350"/>
      <c r="T438" s="1349"/>
      <c r="U438" s="1348"/>
      <c r="V438" s="1348"/>
      <c r="W438" s="1349"/>
      <c r="X438" s="1350"/>
      <c r="Y438" s="1350"/>
      <c r="Z438" s="1349"/>
      <c r="AA438" s="1351"/>
      <c r="AB438" s="1350"/>
      <c r="AC438" s="1350"/>
      <c r="AD438" s="1350"/>
      <c r="AE438" s="1350"/>
      <c r="AF438" s="1350"/>
      <c r="AG438" s="1350"/>
      <c r="AH438" s="1350"/>
      <c r="AI438" s="1350"/>
      <c r="AJ438" s="1350"/>
      <c r="AK438" s="1350"/>
    </row>
    <row r="439">
      <c r="A439" s="1350"/>
      <c r="B439" s="1350"/>
      <c r="C439" s="1350"/>
      <c r="D439" s="1350"/>
      <c r="E439" s="1350"/>
      <c r="F439" s="1350"/>
      <c r="G439" s="1350"/>
      <c r="H439" s="1350"/>
      <c r="I439" s="1350"/>
      <c r="J439" s="1350"/>
      <c r="K439" s="1350"/>
      <c r="L439" s="1350"/>
      <c r="M439" s="1350"/>
      <c r="N439" s="1350"/>
      <c r="O439" s="1350"/>
      <c r="P439" s="1354"/>
      <c r="Q439" s="1355"/>
      <c r="R439" s="1355"/>
      <c r="S439" s="1350"/>
      <c r="T439" s="1349"/>
      <c r="U439" s="1348"/>
      <c r="V439" s="1348"/>
      <c r="W439" s="1349"/>
      <c r="X439" s="1350"/>
      <c r="Y439" s="1350"/>
      <c r="Z439" s="1349"/>
      <c r="AA439" s="1351"/>
      <c r="AB439" s="1350"/>
      <c r="AC439" s="1350"/>
      <c r="AD439" s="1350"/>
      <c r="AE439" s="1350"/>
      <c r="AF439" s="1350"/>
      <c r="AG439" s="1350"/>
      <c r="AH439" s="1350"/>
      <c r="AI439" s="1350"/>
      <c r="AJ439" s="1350"/>
      <c r="AK439" s="1350"/>
    </row>
    <row r="440">
      <c r="A440" s="1350"/>
      <c r="B440" s="1350"/>
      <c r="C440" s="1350"/>
      <c r="D440" s="1350"/>
      <c r="E440" s="1350"/>
      <c r="F440" s="1350"/>
      <c r="G440" s="1350"/>
      <c r="H440" s="1350"/>
      <c r="I440" s="1350"/>
      <c r="J440" s="1350"/>
      <c r="K440" s="1350"/>
      <c r="L440" s="1350"/>
      <c r="M440" s="1350"/>
      <c r="N440" s="1350"/>
      <c r="O440" s="1350"/>
      <c r="P440" s="1354"/>
      <c r="Q440" s="1355"/>
      <c r="R440" s="1355"/>
      <c r="S440" s="1350"/>
      <c r="T440" s="1349"/>
      <c r="U440" s="1348"/>
      <c r="V440" s="1348"/>
      <c r="W440" s="1349"/>
      <c r="X440" s="1350"/>
      <c r="Y440" s="1350"/>
      <c r="Z440" s="1349"/>
      <c r="AA440" s="1351"/>
      <c r="AB440" s="1350"/>
      <c r="AC440" s="1350"/>
      <c r="AD440" s="1350"/>
      <c r="AE440" s="1350"/>
      <c r="AF440" s="1350"/>
      <c r="AG440" s="1350"/>
      <c r="AH440" s="1350"/>
      <c r="AI440" s="1350"/>
      <c r="AJ440" s="1350"/>
      <c r="AK440" s="1350"/>
    </row>
    <row r="441">
      <c r="A441" s="1350"/>
      <c r="B441" s="1350"/>
      <c r="C441" s="1350"/>
      <c r="D441" s="1350"/>
      <c r="E441" s="1350"/>
      <c r="F441" s="1350"/>
      <c r="G441" s="1350"/>
      <c r="H441" s="1350"/>
      <c r="I441" s="1350"/>
      <c r="J441" s="1350"/>
      <c r="K441" s="1350"/>
      <c r="L441" s="1350"/>
      <c r="M441" s="1350"/>
      <c r="N441" s="1350"/>
      <c r="O441" s="1350"/>
      <c r="P441" s="1354"/>
      <c r="Q441" s="1355"/>
      <c r="R441" s="1355"/>
      <c r="S441" s="1350"/>
      <c r="T441" s="1349"/>
      <c r="U441" s="1348"/>
      <c r="V441" s="1348"/>
      <c r="W441" s="1349"/>
      <c r="X441" s="1350"/>
      <c r="Y441" s="1350"/>
      <c r="Z441" s="1349"/>
      <c r="AA441" s="1351"/>
      <c r="AB441" s="1350"/>
      <c r="AC441" s="1350"/>
      <c r="AD441" s="1350"/>
      <c r="AE441" s="1350"/>
      <c r="AF441" s="1350"/>
      <c r="AG441" s="1350"/>
      <c r="AH441" s="1350"/>
      <c r="AI441" s="1350"/>
      <c r="AJ441" s="1350"/>
      <c r="AK441" s="1350"/>
    </row>
    <row r="442">
      <c r="A442" s="1350"/>
      <c r="B442" s="1350"/>
      <c r="C442" s="1350"/>
      <c r="D442" s="1350"/>
      <c r="E442" s="1350"/>
      <c r="F442" s="1350"/>
      <c r="G442" s="1350"/>
      <c r="H442" s="1350"/>
      <c r="I442" s="1350"/>
      <c r="J442" s="1350"/>
      <c r="K442" s="1350"/>
      <c r="L442" s="1350"/>
      <c r="M442" s="1350"/>
      <c r="N442" s="1350"/>
      <c r="O442" s="1350"/>
      <c r="P442" s="1354"/>
      <c r="Q442" s="1355"/>
      <c r="R442" s="1355"/>
      <c r="S442" s="1350"/>
      <c r="T442" s="1349"/>
      <c r="U442" s="1348"/>
      <c r="V442" s="1348"/>
      <c r="W442" s="1349"/>
      <c r="X442" s="1350"/>
      <c r="Y442" s="1350"/>
      <c r="Z442" s="1349"/>
      <c r="AA442" s="1351"/>
      <c r="AB442" s="1350"/>
      <c r="AC442" s="1350"/>
      <c r="AD442" s="1350"/>
      <c r="AE442" s="1350"/>
      <c r="AF442" s="1350"/>
      <c r="AG442" s="1350"/>
      <c r="AH442" s="1350"/>
      <c r="AI442" s="1350"/>
      <c r="AJ442" s="1350"/>
      <c r="AK442" s="1350"/>
    </row>
    <row r="443">
      <c r="A443" s="1350"/>
      <c r="B443" s="1350"/>
      <c r="C443" s="1350"/>
      <c r="D443" s="1350"/>
      <c r="E443" s="1350"/>
      <c r="F443" s="1350"/>
      <c r="G443" s="1350"/>
      <c r="H443" s="1350"/>
      <c r="I443" s="1350"/>
      <c r="J443" s="1350"/>
      <c r="K443" s="1350"/>
      <c r="L443" s="1350"/>
      <c r="M443" s="1350"/>
      <c r="N443" s="1350"/>
      <c r="O443" s="1350"/>
      <c r="P443" s="1354"/>
      <c r="Q443" s="1355"/>
      <c r="R443" s="1355"/>
      <c r="S443" s="1350"/>
      <c r="T443" s="1349"/>
      <c r="U443" s="1348"/>
      <c r="V443" s="1348"/>
      <c r="W443" s="1349"/>
      <c r="X443" s="1350"/>
      <c r="Y443" s="1350"/>
      <c r="Z443" s="1349"/>
      <c r="AA443" s="1351"/>
      <c r="AB443" s="1350"/>
      <c r="AC443" s="1350"/>
      <c r="AD443" s="1350"/>
      <c r="AE443" s="1350"/>
      <c r="AF443" s="1350"/>
      <c r="AG443" s="1350"/>
      <c r="AH443" s="1350"/>
      <c r="AI443" s="1350"/>
      <c r="AJ443" s="1350"/>
      <c r="AK443" s="1350"/>
    </row>
    <row r="444">
      <c r="A444" s="1350"/>
      <c r="B444" s="1350"/>
      <c r="C444" s="1350"/>
      <c r="D444" s="1350"/>
      <c r="E444" s="1350"/>
      <c r="F444" s="1350"/>
      <c r="G444" s="1350"/>
      <c r="H444" s="1350"/>
      <c r="I444" s="1350"/>
      <c r="J444" s="1350"/>
      <c r="K444" s="1350"/>
      <c r="L444" s="1350"/>
      <c r="M444" s="1350"/>
      <c r="N444" s="1350"/>
      <c r="O444" s="1350"/>
      <c r="P444" s="1354"/>
      <c r="Q444" s="1355"/>
      <c r="R444" s="1355"/>
      <c r="S444" s="1350"/>
      <c r="T444" s="1349"/>
      <c r="U444" s="1348"/>
      <c r="V444" s="1348"/>
      <c r="W444" s="1349"/>
      <c r="X444" s="1350"/>
      <c r="Y444" s="1350"/>
      <c r="Z444" s="1349"/>
      <c r="AA444" s="1351"/>
      <c r="AB444" s="1350"/>
      <c r="AC444" s="1350"/>
      <c r="AD444" s="1350"/>
      <c r="AE444" s="1350"/>
      <c r="AF444" s="1350"/>
      <c r="AG444" s="1350"/>
      <c r="AH444" s="1350"/>
      <c r="AI444" s="1350"/>
      <c r="AJ444" s="1350"/>
      <c r="AK444" s="1350"/>
    </row>
    <row r="445">
      <c r="A445" s="1350"/>
      <c r="B445" s="1350"/>
      <c r="C445" s="1350"/>
      <c r="D445" s="1350"/>
      <c r="E445" s="1350"/>
      <c r="F445" s="1350"/>
      <c r="G445" s="1350"/>
      <c r="H445" s="1350"/>
      <c r="I445" s="1350"/>
      <c r="J445" s="1350"/>
      <c r="K445" s="1350"/>
      <c r="L445" s="1350"/>
      <c r="M445" s="1350"/>
      <c r="N445" s="1350"/>
      <c r="O445" s="1350"/>
      <c r="P445" s="1354"/>
      <c r="Q445" s="1355"/>
      <c r="R445" s="1355"/>
      <c r="S445" s="1350"/>
      <c r="T445" s="1349"/>
      <c r="U445" s="1348"/>
      <c r="V445" s="1348"/>
      <c r="W445" s="1349"/>
      <c r="X445" s="1350"/>
      <c r="Y445" s="1350"/>
      <c r="Z445" s="1349"/>
      <c r="AA445" s="1351"/>
      <c r="AB445" s="1350"/>
      <c r="AC445" s="1350"/>
      <c r="AD445" s="1350"/>
      <c r="AE445" s="1350"/>
      <c r="AF445" s="1350"/>
      <c r="AG445" s="1350"/>
      <c r="AH445" s="1350"/>
      <c r="AI445" s="1350"/>
      <c r="AJ445" s="1350"/>
      <c r="AK445" s="1350"/>
    </row>
    <row r="446">
      <c r="A446" s="1350"/>
      <c r="B446" s="1350"/>
      <c r="C446" s="1350"/>
      <c r="D446" s="1350"/>
      <c r="E446" s="1350"/>
      <c r="F446" s="1350"/>
      <c r="G446" s="1350"/>
      <c r="H446" s="1350"/>
      <c r="I446" s="1350"/>
      <c r="J446" s="1350"/>
      <c r="K446" s="1350"/>
      <c r="L446" s="1350"/>
      <c r="M446" s="1350"/>
      <c r="N446" s="1350"/>
      <c r="O446" s="1350"/>
      <c r="P446" s="1354"/>
      <c r="Q446" s="1355"/>
      <c r="R446" s="1355"/>
      <c r="S446" s="1350"/>
      <c r="T446" s="1349"/>
      <c r="U446" s="1348"/>
      <c r="V446" s="1348"/>
      <c r="W446" s="1349"/>
      <c r="X446" s="1350"/>
      <c r="Y446" s="1350"/>
      <c r="Z446" s="1349"/>
      <c r="AA446" s="1351"/>
      <c r="AB446" s="1350"/>
      <c r="AC446" s="1350"/>
      <c r="AD446" s="1350"/>
      <c r="AE446" s="1350"/>
      <c r="AF446" s="1350"/>
      <c r="AG446" s="1350"/>
      <c r="AH446" s="1350"/>
      <c r="AI446" s="1350"/>
      <c r="AJ446" s="1350"/>
      <c r="AK446" s="1350"/>
    </row>
    <row r="447">
      <c r="A447" s="1350"/>
      <c r="B447" s="1350"/>
      <c r="C447" s="1350"/>
      <c r="D447" s="1350"/>
      <c r="E447" s="1350"/>
      <c r="F447" s="1350"/>
      <c r="G447" s="1350"/>
      <c r="H447" s="1350"/>
      <c r="I447" s="1350"/>
      <c r="J447" s="1350"/>
      <c r="K447" s="1350"/>
      <c r="L447" s="1350"/>
      <c r="M447" s="1350"/>
      <c r="N447" s="1350"/>
      <c r="O447" s="1350"/>
      <c r="P447" s="1354"/>
      <c r="Q447" s="1355"/>
      <c r="R447" s="1355"/>
      <c r="S447" s="1350"/>
      <c r="T447" s="1349"/>
      <c r="U447" s="1348"/>
      <c r="V447" s="1348"/>
      <c r="W447" s="1349"/>
      <c r="X447" s="1350"/>
      <c r="Y447" s="1350"/>
      <c r="Z447" s="1349"/>
      <c r="AA447" s="1351"/>
      <c r="AB447" s="1350"/>
      <c r="AC447" s="1350"/>
      <c r="AD447" s="1350"/>
      <c r="AE447" s="1350"/>
      <c r="AF447" s="1350"/>
      <c r="AG447" s="1350"/>
      <c r="AH447" s="1350"/>
      <c r="AI447" s="1350"/>
      <c r="AJ447" s="1350"/>
      <c r="AK447" s="1350"/>
    </row>
    <row r="448">
      <c r="A448" s="1350"/>
      <c r="B448" s="1350"/>
      <c r="C448" s="1350"/>
      <c r="D448" s="1350"/>
      <c r="E448" s="1350"/>
      <c r="F448" s="1350"/>
      <c r="G448" s="1350"/>
      <c r="H448" s="1350"/>
      <c r="I448" s="1350"/>
      <c r="J448" s="1350"/>
      <c r="K448" s="1350"/>
      <c r="L448" s="1350"/>
      <c r="M448" s="1350"/>
      <c r="N448" s="1350"/>
      <c r="O448" s="1350"/>
      <c r="P448" s="1354"/>
      <c r="Q448" s="1355"/>
      <c r="R448" s="1355"/>
      <c r="S448" s="1350"/>
      <c r="T448" s="1349"/>
      <c r="U448" s="1348"/>
      <c r="V448" s="1348"/>
      <c r="W448" s="1349"/>
      <c r="X448" s="1350"/>
      <c r="Y448" s="1350"/>
      <c r="Z448" s="1349"/>
      <c r="AA448" s="1351"/>
      <c r="AB448" s="1350"/>
      <c r="AC448" s="1350"/>
      <c r="AD448" s="1350"/>
      <c r="AE448" s="1350"/>
      <c r="AF448" s="1350"/>
      <c r="AG448" s="1350"/>
      <c r="AH448" s="1350"/>
      <c r="AI448" s="1350"/>
      <c r="AJ448" s="1350"/>
      <c r="AK448" s="1350"/>
    </row>
    <row r="449">
      <c r="A449" s="1350"/>
      <c r="B449" s="1350"/>
      <c r="C449" s="1350"/>
      <c r="D449" s="1350"/>
      <c r="E449" s="1350"/>
      <c r="F449" s="1350"/>
      <c r="G449" s="1350"/>
      <c r="H449" s="1350"/>
      <c r="I449" s="1350"/>
      <c r="J449" s="1350"/>
      <c r="K449" s="1350"/>
      <c r="L449" s="1350"/>
      <c r="M449" s="1350"/>
      <c r="N449" s="1350"/>
      <c r="O449" s="1350"/>
      <c r="P449" s="1354"/>
      <c r="Q449" s="1355"/>
      <c r="R449" s="1355"/>
      <c r="S449" s="1350"/>
      <c r="T449" s="1349"/>
      <c r="U449" s="1348"/>
      <c r="V449" s="1348"/>
      <c r="W449" s="1349"/>
      <c r="X449" s="1350"/>
      <c r="Y449" s="1350"/>
      <c r="Z449" s="1349"/>
      <c r="AA449" s="1351"/>
      <c r="AB449" s="1350"/>
      <c r="AC449" s="1350"/>
      <c r="AD449" s="1350"/>
      <c r="AE449" s="1350"/>
      <c r="AF449" s="1350"/>
      <c r="AG449" s="1350"/>
      <c r="AH449" s="1350"/>
      <c r="AI449" s="1350"/>
      <c r="AJ449" s="1350"/>
      <c r="AK449" s="1350"/>
    </row>
    <row r="450">
      <c r="A450" s="1350"/>
      <c r="B450" s="1350"/>
      <c r="C450" s="1350"/>
      <c r="D450" s="1350"/>
      <c r="E450" s="1350"/>
      <c r="F450" s="1350"/>
      <c r="G450" s="1350"/>
      <c r="H450" s="1350"/>
      <c r="I450" s="1350"/>
      <c r="J450" s="1350"/>
      <c r="K450" s="1350"/>
      <c r="L450" s="1350"/>
      <c r="M450" s="1350"/>
      <c r="N450" s="1350"/>
      <c r="O450" s="1350"/>
      <c r="P450" s="1354"/>
      <c r="Q450" s="1355"/>
      <c r="R450" s="1355"/>
      <c r="S450" s="1350"/>
      <c r="T450" s="1349"/>
      <c r="U450" s="1348"/>
      <c r="V450" s="1348"/>
      <c r="W450" s="1349"/>
      <c r="X450" s="1350"/>
      <c r="Y450" s="1350"/>
      <c r="Z450" s="1349"/>
      <c r="AA450" s="1351"/>
      <c r="AB450" s="1350"/>
      <c r="AC450" s="1350"/>
      <c r="AD450" s="1350"/>
      <c r="AE450" s="1350"/>
      <c r="AF450" s="1350"/>
      <c r="AG450" s="1350"/>
      <c r="AH450" s="1350"/>
      <c r="AI450" s="1350"/>
      <c r="AJ450" s="1350"/>
      <c r="AK450" s="1350"/>
    </row>
    <row r="451">
      <c r="A451" s="1350"/>
      <c r="B451" s="1350"/>
      <c r="C451" s="1350"/>
      <c r="D451" s="1350"/>
      <c r="E451" s="1350"/>
      <c r="F451" s="1350"/>
      <c r="G451" s="1350"/>
      <c r="H451" s="1350"/>
      <c r="I451" s="1350"/>
      <c r="J451" s="1350"/>
      <c r="K451" s="1350"/>
      <c r="L451" s="1350"/>
      <c r="M451" s="1350"/>
      <c r="N451" s="1350"/>
      <c r="O451" s="1350"/>
      <c r="P451" s="1354"/>
      <c r="Q451" s="1355"/>
      <c r="R451" s="1355"/>
      <c r="S451" s="1350"/>
      <c r="T451" s="1349"/>
      <c r="U451" s="1348"/>
      <c r="V451" s="1348"/>
      <c r="W451" s="1349"/>
      <c r="X451" s="1350"/>
      <c r="Y451" s="1350"/>
      <c r="Z451" s="1349"/>
      <c r="AA451" s="1351"/>
      <c r="AB451" s="1350"/>
      <c r="AC451" s="1350"/>
      <c r="AD451" s="1350"/>
      <c r="AE451" s="1350"/>
      <c r="AF451" s="1350"/>
      <c r="AG451" s="1350"/>
      <c r="AH451" s="1350"/>
      <c r="AI451" s="1350"/>
      <c r="AJ451" s="1350"/>
      <c r="AK451" s="1350"/>
    </row>
    <row r="452">
      <c r="A452" s="1350"/>
      <c r="B452" s="1350"/>
      <c r="C452" s="1350"/>
      <c r="D452" s="1350"/>
      <c r="E452" s="1350"/>
      <c r="F452" s="1350"/>
      <c r="G452" s="1350"/>
      <c r="H452" s="1350"/>
      <c r="I452" s="1350"/>
      <c r="J452" s="1350"/>
      <c r="K452" s="1350"/>
      <c r="L452" s="1350"/>
      <c r="M452" s="1350"/>
      <c r="N452" s="1350"/>
      <c r="O452" s="1350"/>
      <c r="P452" s="1354"/>
      <c r="Q452" s="1355"/>
      <c r="R452" s="1355"/>
      <c r="S452" s="1350"/>
      <c r="T452" s="1349"/>
      <c r="U452" s="1348"/>
      <c r="V452" s="1348"/>
      <c r="W452" s="1349"/>
      <c r="X452" s="1350"/>
      <c r="Y452" s="1350"/>
      <c r="Z452" s="1349"/>
      <c r="AA452" s="1351"/>
      <c r="AB452" s="1350"/>
      <c r="AC452" s="1350"/>
      <c r="AD452" s="1350"/>
      <c r="AE452" s="1350"/>
      <c r="AF452" s="1350"/>
      <c r="AG452" s="1350"/>
      <c r="AH452" s="1350"/>
      <c r="AI452" s="1350"/>
      <c r="AJ452" s="1350"/>
      <c r="AK452" s="1350"/>
    </row>
    <row r="453">
      <c r="A453" s="1350"/>
      <c r="B453" s="1350"/>
      <c r="C453" s="1350"/>
      <c r="D453" s="1350"/>
      <c r="E453" s="1350"/>
      <c r="F453" s="1350"/>
      <c r="G453" s="1350"/>
      <c r="H453" s="1350"/>
      <c r="I453" s="1350"/>
      <c r="J453" s="1350"/>
      <c r="K453" s="1350"/>
      <c r="L453" s="1350"/>
      <c r="M453" s="1350"/>
      <c r="N453" s="1350"/>
      <c r="O453" s="1350"/>
      <c r="P453" s="1354"/>
      <c r="Q453" s="1355"/>
      <c r="R453" s="1355"/>
      <c r="S453" s="1350"/>
      <c r="T453" s="1349"/>
      <c r="U453" s="1348"/>
      <c r="V453" s="1348"/>
      <c r="W453" s="1349"/>
      <c r="X453" s="1350"/>
      <c r="Y453" s="1350"/>
      <c r="Z453" s="1349"/>
      <c r="AA453" s="1351"/>
      <c r="AB453" s="1350"/>
      <c r="AC453" s="1350"/>
      <c r="AD453" s="1350"/>
      <c r="AE453" s="1350"/>
      <c r="AF453" s="1350"/>
      <c r="AG453" s="1350"/>
      <c r="AH453" s="1350"/>
      <c r="AI453" s="1350"/>
      <c r="AJ453" s="1350"/>
      <c r="AK453" s="1350"/>
    </row>
    <row r="454">
      <c r="A454" s="1350"/>
      <c r="B454" s="1350"/>
      <c r="C454" s="1350"/>
      <c r="D454" s="1350"/>
      <c r="E454" s="1350"/>
      <c r="F454" s="1350"/>
      <c r="G454" s="1350"/>
      <c r="H454" s="1350"/>
      <c r="I454" s="1350"/>
      <c r="J454" s="1350"/>
      <c r="K454" s="1350"/>
      <c r="L454" s="1350"/>
      <c r="M454" s="1350"/>
      <c r="N454" s="1350"/>
      <c r="O454" s="1350"/>
      <c r="P454" s="1354"/>
      <c r="Q454" s="1355"/>
      <c r="R454" s="1355"/>
      <c r="S454" s="1350"/>
      <c r="T454" s="1349"/>
      <c r="U454" s="1348"/>
      <c r="V454" s="1348"/>
      <c r="W454" s="1349"/>
      <c r="X454" s="1350"/>
      <c r="Y454" s="1350"/>
      <c r="Z454" s="1349"/>
      <c r="AA454" s="1351"/>
      <c r="AB454" s="1350"/>
      <c r="AC454" s="1350"/>
      <c r="AD454" s="1350"/>
      <c r="AE454" s="1350"/>
      <c r="AF454" s="1350"/>
      <c r="AG454" s="1350"/>
      <c r="AH454" s="1350"/>
      <c r="AI454" s="1350"/>
      <c r="AJ454" s="1350"/>
      <c r="AK454" s="1350"/>
    </row>
    <row r="455">
      <c r="A455" s="1350"/>
      <c r="B455" s="1350"/>
      <c r="C455" s="1350"/>
      <c r="D455" s="1350"/>
      <c r="E455" s="1350"/>
      <c r="F455" s="1350"/>
      <c r="G455" s="1350"/>
      <c r="H455" s="1350"/>
      <c r="I455" s="1350"/>
      <c r="J455" s="1350"/>
      <c r="K455" s="1350"/>
      <c r="L455" s="1350"/>
      <c r="M455" s="1350"/>
      <c r="N455" s="1350"/>
      <c r="O455" s="1350"/>
      <c r="P455" s="1354"/>
      <c r="Q455" s="1355"/>
      <c r="R455" s="1355"/>
      <c r="S455" s="1350"/>
      <c r="T455" s="1349"/>
      <c r="U455" s="1348"/>
      <c r="V455" s="1348"/>
      <c r="W455" s="1349"/>
      <c r="X455" s="1350"/>
      <c r="Y455" s="1350"/>
      <c r="Z455" s="1349"/>
      <c r="AA455" s="1351"/>
      <c r="AB455" s="1350"/>
      <c r="AC455" s="1350"/>
      <c r="AD455" s="1350"/>
      <c r="AE455" s="1350"/>
      <c r="AF455" s="1350"/>
      <c r="AG455" s="1350"/>
      <c r="AH455" s="1350"/>
      <c r="AI455" s="1350"/>
      <c r="AJ455" s="1350"/>
      <c r="AK455" s="1350"/>
    </row>
    <row r="456">
      <c r="A456" s="1350"/>
      <c r="B456" s="1350"/>
      <c r="C456" s="1350"/>
      <c r="D456" s="1350"/>
      <c r="E456" s="1350"/>
      <c r="F456" s="1350"/>
      <c r="G456" s="1350"/>
      <c r="H456" s="1350"/>
      <c r="I456" s="1350"/>
      <c r="J456" s="1350"/>
      <c r="K456" s="1350"/>
      <c r="L456" s="1350"/>
      <c r="M456" s="1350"/>
      <c r="N456" s="1350"/>
      <c r="O456" s="1350"/>
      <c r="P456" s="1354"/>
      <c r="Q456" s="1355"/>
      <c r="R456" s="1355"/>
      <c r="S456" s="1350"/>
      <c r="T456" s="1349"/>
      <c r="U456" s="1348"/>
      <c r="V456" s="1348"/>
      <c r="W456" s="1349"/>
      <c r="X456" s="1350"/>
      <c r="Y456" s="1350"/>
      <c r="Z456" s="1349"/>
      <c r="AA456" s="1351"/>
      <c r="AB456" s="1350"/>
      <c r="AC456" s="1350"/>
      <c r="AD456" s="1350"/>
      <c r="AE456" s="1350"/>
      <c r="AF456" s="1350"/>
      <c r="AG456" s="1350"/>
      <c r="AH456" s="1350"/>
      <c r="AI456" s="1350"/>
      <c r="AJ456" s="1350"/>
      <c r="AK456" s="1350"/>
    </row>
    <row r="457">
      <c r="A457" s="1350"/>
      <c r="B457" s="1350"/>
      <c r="C457" s="1350"/>
      <c r="D457" s="1350"/>
      <c r="E457" s="1350"/>
      <c r="F457" s="1350"/>
      <c r="G457" s="1350"/>
      <c r="H457" s="1350"/>
      <c r="I457" s="1350"/>
      <c r="J457" s="1350"/>
      <c r="K457" s="1350"/>
      <c r="L457" s="1350"/>
      <c r="M457" s="1350"/>
      <c r="N457" s="1350"/>
      <c r="O457" s="1350"/>
      <c r="P457" s="1354"/>
      <c r="Q457" s="1355"/>
      <c r="R457" s="1355"/>
      <c r="S457" s="1350"/>
      <c r="T457" s="1349"/>
      <c r="U457" s="1348"/>
      <c r="V457" s="1348"/>
      <c r="W457" s="1349"/>
      <c r="X457" s="1350"/>
      <c r="Y457" s="1350"/>
      <c r="Z457" s="1349"/>
      <c r="AA457" s="1351"/>
      <c r="AB457" s="1350"/>
      <c r="AC457" s="1350"/>
      <c r="AD457" s="1350"/>
      <c r="AE457" s="1350"/>
      <c r="AF457" s="1350"/>
      <c r="AG457" s="1350"/>
      <c r="AH457" s="1350"/>
      <c r="AI457" s="1350"/>
      <c r="AJ457" s="1350"/>
      <c r="AK457" s="1350"/>
    </row>
    <row r="458">
      <c r="A458" s="1350"/>
      <c r="B458" s="1350"/>
      <c r="C458" s="1350"/>
      <c r="D458" s="1350"/>
      <c r="E458" s="1350"/>
      <c r="F458" s="1350"/>
      <c r="G458" s="1350"/>
      <c r="H458" s="1350"/>
      <c r="I458" s="1350"/>
      <c r="J458" s="1350"/>
      <c r="K458" s="1350"/>
      <c r="L458" s="1350"/>
      <c r="M458" s="1350"/>
      <c r="N458" s="1350"/>
      <c r="O458" s="1350"/>
      <c r="P458" s="1354"/>
      <c r="Q458" s="1355"/>
      <c r="R458" s="1355"/>
      <c r="S458" s="1350"/>
      <c r="T458" s="1349"/>
      <c r="U458" s="1348"/>
      <c r="V458" s="1348"/>
      <c r="W458" s="1349"/>
      <c r="X458" s="1350"/>
      <c r="Y458" s="1350"/>
      <c r="Z458" s="1349"/>
      <c r="AA458" s="1351"/>
      <c r="AB458" s="1350"/>
      <c r="AC458" s="1350"/>
      <c r="AD458" s="1350"/>
      <c r="AE458" s="1350"/>
      <c r="AF458" s="1350"/>
      <c r="AG458" s="1350"/>
      <c r="AH458" s="1350"/>
      <c r="AI458" s="1350"/>
      <c r="AJ458" s="1350"/>
      <c r="AK458" s="1350"/>
    </row>
    <row r="459">
      <c r="A459" s="1350"/>
      <c r="B459" s="1350"/>
      <c r="C459" s="1350"/>
      <c r="D459" s="1350"/>
      <c r="E459" s="1350"/>
      <c r="F459" s="1350"/>
      <c r="G459" s="1350"/>
      <c r="H459" s="1350"/>
      <c r="I459" s="1350"/>
      <c r="J459" s="1350"/>
      <c r="K459" s="1350"/>
      <c r="L459" s="1350"/>
      <c r="M459" s="1350"/>
      <c r="N459" s="1350"/>
      <c r="O459" s="1350"/>
      <c r="P459" s="1354"/>
      <c r="Q459" s="1355"/>
      <c r="R459" s="1355"/>
      <c r="S459" s="1350"/>
      <c r="T459" s="1349"/>
      <c r="U459" s="1348"/>
      <c r="V459" s="1348"/>
      <c r="W459" s="1349"/>
      <c r="X459" s="1350"/>
      <c r="Y459" s="1350"/>
      <c r="Z459" s="1349"/>
      <c r="AA459" s="1351"/>
      <c r="AB459" s="1350"/>
      <c r="AC459" s="1350"/>
      <c r="AD459" s="1350"/>
      <c r="AE459" s="1350"/>
      <c r="AF459" s="1350"/>
      <c r="AG459" s="1350"/>
      <c r="AH459" s="1350"/>
      <c r="AI459" s="1350"/>
      <c r="AJ459" s="1350"/>
      <c r="AK459" s="1350"/>
    </row>
    <row r="460">
      <c r="A460" s="1350"/>
      <c r="B460" s="1350"/>
      <c r="C460" s="1350"/>
      <c r="D460" s="1350"/>
      <c r="E460" s="1350"/>
      <c r="F460" s="1350"/>
      <c r="G460" s="1350"/>
      <c r="H460" s="1350"/>
      <c r="I460" s="1350"/>
      <c r="J460" s="1350"/>
      <c r="K460" s="1350"/>
      <c r="L460" s="1350"/>
      <c r="M460" s="1350"/>
      <c r="N460" s="1350"/>
      <c r="O460" s="1350"/>
      <c r="P460" s="1354"/>
      <c r="Q460" s="1355"/>
      <c r="R460" s="1355"/>
      <c r="S460" s="1350"/>
      <c r="T460" s="1349"/>
      <c r="U460" s="1348"/>
      <c r="V460" s="1348"/>
      <c r="W460" s="1349"/>
      <c r="X460" s="1350"/>
      <c r="Y460" s="1350"/>
      <c r="Z460" s="1349"/>
      <c r="AA460" s="1351"/>
      <c r="AB460" s="1350"/>
      <c r="AC460" s="1350"/>
      <c r="AD460" s="1350"/>
      <c r="AE460" s="1350"/>
      <c r="AF460" s="1350"/>
      <c r="AG460" s="1350"/>
      <c r="AH460" s="1350"/>
      <c r="AI460" s="1350"/>
      <c r="AJ460" s="1350"/>
      <c r="AK460" s="1350"/>
    </row>
    <row r="461">
      <c r="A461" s="1350"/>
      <c r="B461" s="1350"/>
      <c r="C461" s="1350"/>
      <c r="D461" s="1350"/>
      <c r="E461" s="1350"/>
      <c r="F461" s="1350"/>
      <c r="G461" s="1350"/>
      <c r="H461" s="1350"/>
      <c r="I461" s="1350"/>
      <c r="J461" s="1350"/>
      <c r="K461" s="1350"/>
      <c r="L461" s="1350"/>
      <c r="M461" s="1350"/>
      <c r="N461" s="1350"/>
      <c r="O461" s="1350"/>
      <c r="P461" s="1354"/>
      <c r="Q461" s="1355"/>
      <c r="R461" s="1355"/>
      <c r="S461" s="1350"/>
      <c r="T461" s="1349"/>
      <c r="U461" s="1348"/>
      <c r="V461" s="1348"/>
      <c r="W461" s="1349"/>
      <c r="X461" s="1350"/>
      <c r="Y461" s="1350"/>
      <c r="Z461" s="1349"/>
      <c r="AA461" s="1351"/>
      <c r="AB461" s="1350"/>
      <c r="AC461" s="1350"/>
      <c r="AD461" s="1350"/>
      <c r="AE461" s="1350"/>
      <c r="AF461" s="1350"/>
      <c r="AG461" s="1350"/>
      <c r="AH461" s="1350"/>
      <c r="AI461" s="1350"/>
      <c r="AJ461" s="1350"/>
      <c r="AK461" s="1350"/>
    </row>
    <row r="462">
      <c r="A462" s="1350"/>
      <c r="B462" s="1350"/>
      <c r="C462" s="1350"/>
      <c r="D462" s="1350"/>
      <c r="E462" s="1350"/>
      <c r="F462" s="1350"/>
      <c r="G462" s="1350"/>
      <c r="H462" s="1350"/>
      <c r="I462" s="1350"/>
      <c r="J462" s="1350"/>
      <c r="K462" s="1350"/>
      <c r="L462" s="1350"/>
      <c r="M462" s="1350"/>
      <c r="N462" s="1350"/>
      <c r="O462" s="1350"/>
      <c r="P462" s="1354"/>
      <c r="Q462" s="1355"/>
      <c r="R462" s="1355"/>
      <c r="S462" s="1350"/>
      <c r="T462" s="1349"/>
      <c r="U462" s="1348"/>
      <c r="V462" s="1348"/>
      <c r="W462" s="1349"/>
      <c r="X462" s="1350"/>
      <c r="Y462" s="1350"/>
      <c r="Z462" s="1349"/>
      <c r="AA462" s="1351"/>
      <c r="AB462" s="1350"/>
      <c r="AC462" s="1350"/>
      <c r="AD462" s="1350"/>
      <c r="AE462" s="1350"/>
      <c r="AF462" s="1350"/>
      <c r="AG462" s="1350"/>
      <c r="AH462" s="1350"/>
      <c r="AI462" s="1350"/>
      <c r="AJ462" s="1350"/>
      <c r="AK462" s="1350"/>
    </row>
    <row r="463">
      <c r="A463" s="1350"/>
      <c r="B463" s="1350"/>
      <c r="C463" s="1350"/>
      <c r="D463" s="1350"/>
      <c r="E463" s="1350"/>
      <c r="F463" s="1350"/>
      <c r="G463" s="1350"/>
      <c r="H463" s="1350"/>
      <c r="I463" s="1350"/>
      <c r="J463" s="1350"/>
      <c r="K463" s="1350"/>
      <c r="L463" s="1350"/>
      <c r="M463" s="1350"/>
      <c r="N463" s="1350"/>
      <c r="O463" s="1350"/>
      <c r="P463" s="1354"/>
      <c r="Q463" s="1355"/>
      <c r="R463" s="1355"/>
      <c r="S463" s="1350"/>
      <c r="T463" s="1349"/>
      <c r="U463" s="1348"/>
      <c r="V463" s="1348"/>
      <c r="W463" s="1349"/>
      <c r="X463" s="1350"/>
      <c r="Y463" s="1350"/>
      <c r="Z463" s="1349"/>
      <c r="AA463" s="1351"/>
      <c r="AB463" s="1350"/>
      <c r="AC463" s="1350"/>
      <c r="AD463" s="1350"/>
      <c r="AE463" s="1350"/>
      <c r="AF463" s="1350"/>
      <c r="AG463" s="1350"/>
      <c r="AH463" s="1350"/>
      <c r="AI463" s="1350"/>
      <c r="AJ463" s="1350"/>
      <c r="AK463" s="1350"/>
    </row>
    <row r="464">
      <c r="A464" s="1350"/>
      <c r="B464" s="1350"/>
      <c r="C464" s="1350"/>
      <c r="D464" s="1350"/>
      <c r="E464" s="1350"/>
      <c r="F464" s="1350"/>
      <c r="G464" s="1350"/>
      <c r="H464" s="1350"/>
      <c r="I464" s="1350"/>
      <c r="J464" s="1350"/>
      <c r="K464" s="1350"/>
      <c r="L464" s="1350"/>
      <c r="M464" s="1350"/>
      <c r="N464" s="1350"/>
      <c r="O464" s="1350"/>
      <c r="P464" s="1354"/>
      <c r="Q464" s="1355"/>
      <c r="R464" s="1355"/>
      <c r="S464" s="1350"/>
      <c r="T464" s="1349"/>
      <c r="U464" s="1348"/>
      <c r="V464" s="1348"/>
      <c r="W464" s="1349"/>
      <c r="X464" s="1350"/>
      <c r="Y464" s="1350"/>
      <c r="Z464" s="1349"/>
      <c r="AA464" s="1351"/>
      <c r="AB464" s="1350"/>
      <c r="AC464" s="1350"/>
      <c r="AD464" s="1350"/>
      <c r="AE464" s="1350"/>
      <c r="AF464" s="1350"/>
      <c r="AG464" s="1350"/>
      <c r="AH464" s="1350"/>
      <c r="AI464" s="1350"/>
      <c r="AJ464" s="1350"/>
      <c r="AK464" s="1350"/>
    </row>
    <row r="465">
      <c r="A465" s="1350"/>
      <c r="B465" s="1350"/>
      <c r="C465" s="1350"/>
      <c r="D465" s="1350"/>
      <c r="E465" s="1350"/>
      <c r="F465" s="1350"/>
      <c r="G465" s="1350"/>
      <c r="H465" s="1350"/>
      <c r="I465" s="1350"/>
      <c r="J465" s="1350"/>
      <c r="K465" s="1350"/>
      <c r="L465" s="1350"/>
      <c r="M465" s="1350"/>
      <c r="N465" s="1350"/>
      <c r="O465" s="1350"/>
      <c r="P465" s="1354"/>
      <c r="Q465" s="1355"/>
      <c r="R465" s="1355"/>
      <c r="S465" s="1350"/>
      <c r="T465" s="1349"/>
      <c r="U465" s="1348"/>
      <c r="V465" s="1348"/>
      <c r="W465" s="1349"/>
      <c r="X465" s="1350"/>
      <c r="Y465" s="1350"/>
      <c r="Z465" s="1349"/>
      <c r="AA465" s="1351"/>
      <c r="AB465" s="1350"/>
      <c r="AC465" s="1350"/>
      <c r="AD465" s="1350"/>
      <c r="AE465" s="1350"/>
      <c r="AF465" s="1350"/>
      <c r="AG465" s="1350"/>
      <c r="AH465" s="1350"/>
      <c r="AI465" s="1350"/>
      <c r="AJ465" s="1350"/>
      <c r="AK465" s="1350"/>
    </row>
    <row r="466">
      <c r="A466" s="1350"/>
      <c r="B466" s="1350"/>
      <c r="C466" s="1350"/>
      <c r="D466" s="1350"/>
      <c r="E466" s="1350"/>
      <c r="F466" s="1350"/>
      <c r="G466" s="1350"/>
      <c r="H466" s="1350"/>
      <c r="I466" s="1350"/>
      <c r="J466" s="1350"/>
      <c r="K466" s="1350"/>
      <c r="L466" s="1350"/>
      <c r="M466" s="1350"/>
      <c r="N466" s="1350"/>
      <c r="O466" s="1350"/>
      <c r="P466" s="1354"/>
      <c r="Q466" s="1355"/>
      <c r="R466" s="1355"/>
      <c r="S466" s="1350"/>
      <c r="T466" s="1349"/>
      <c r="U466" s="1348"/>
      <c r="V466" s="1348"/>
      <c r="W466" s="1349"/>
      <c r="X466" s="1350"/>
      <c r="Y466" s="1350"/>
      <c r="Z466" s="1349"/>
      <c r="AA466" s="1351"/>
      <c r="AB466" s="1350"/>
      <c r="AC466" s="1350"/>
      <c r="AD466" s="1350"/>
      <c r="AE466" s="1350"/>
      <c r="AF466" s="1350"/>
      <c r="AG466" s="1350"/>
      <c r="AH466" s="1350"/>
      <c r="AI466" s="1350"/>
      <c r="AJ466" s="1350"/>
      <c r="AK466" s="1350"/>
    </row>
    <row r="467">
      <c r="A467" s="1350"/>
      <c r="B467" s="1350"/>
      <c r="C467" s="1350"/>
      <c r="D467" s="1350"/>
      <c r="E467" s="1350"/>
      <c r="F467" s="1350"/>
      <c r="G467" s="1350"/>
      <c r="H467" s="1350"/>
      <c r="I467" s="1350"/>
      <c r="J467" s="1350"/>
      <c r="K467" s="1350"/>
      <c r="L467" s="1350"/>
      <c r="M467" s="1350"/>
      <c r="N467" s="1350"/>
      <c r="O467" s="1350"/>
      <c r="P467" s="1354"/>
      <c r="Q467" s="1355"/>
      <c r="R467" s="1355"/>
      <c r="S467" s="1350"/>
      <c r="T467" s="1349"/>
      <c r="U467" s="1348"/>
      <c r="V467" s="1348"/>
      <c r="W467" s="1349"/>
      <c r="X467" s="1350"/>
      <c r="Y467" s="1350"/>
      <c r="Z467" s="1349"/>
      <c r="AA467" s="1351"/>
      <c r="AB467" s="1350"/>
      <c r="AC467" s="1350"/>
      <c r="AD467" s="1350"/>
      <c r="AE467" s="1350"/>
      <c r="AF467" s="1350"/>
      <c r="AG467" s="1350"/>
      <c r="AH467" s="1350"/>
      <c r="AI467" s="1350"/>
      <c r="AJ467" s="1350"/>
      <c r="AK467" s="1350"/>
    </row>
    <row r="468">
      <c r="A468" s="1350"/>
      <c r="B468" s="1350"/>
      <c r="C468" s="1350"/>
      <c r="D468" s="1350"/>
      <c r="E468" s="1350"/>
      <c r="F468" s="1350"/>
      <c r="G468" s="1350"/>
      <c r="H468" s="1350"/>
      <c r="I468" s="1350"/>
      <c r="J468" s="1350"/>
      <c r="K468" s="1350"/>
      <c r="L468" s="1350"/>
      <c r="M468" s="1350"/>
      <c r="N468" s="1350"/>
      <c r="O468" s="1350"/>
      <c r="P468" s="1354"/>
      <c r="Q468" s="1355"/>
      <c r="R468" s="1355"/>
      <c r="S468" s="1350"/>
      <c r="T468" s="1349"/>
      <c r="U468" s="1348"/>
      <c r="V468" s="1348"/>
      <c r="W468" s="1349"/>
      <c r="X468" s="1350"/>
      <c r="Y468" s="1350"/>
      <c r="Z468" s="1349"/>
      <c r="AA468" s="1351"/>
      <c r="AB468" s="1350"/>
      <c r="AC468" s="1350"/>
      <c r="AD468" s="1350"/>
      <c r="AE468" s="1350"/>
      <c r="AF468" s="1350"/>
      <c r="AG468" s="1350"/>
      <c r="AH468" s="1350"/>
      <c r="AI468" s="1350"/>
      <c r="AJ468" s="1350"/>
      <c r="AK468" s="1350"/>
    </row>
    <row r="469">
      <c r="A469" s="1350"/>
      <c r="B469" s="1350"/>
      <c r="C469" s="1350"/>
      <c r="D469" s="1350"/>
      <c r="E469" s="1350"/>
      <c r="F469" s="1350"/>
      <c r="G469" s="1350"/>
      <c r="H469" s="1350"/>
      <c r="I469" s="1350"/>
      <c r="J469" s="1350"/>
      <c r="K469" s="1350"/>
      <c r="L469" s="1350"/>
      <c r="M469" s="1350"/>
      <c r="N469" s="1350"/>
      <c r="O469" s="1350"/>
      <c r="P469" s="1354"/>
      <c r="Q469" s="1355"/>
      <c r="R469" s="1355"/>
      <c r="S469" s="1350"/>
      <c r="T469" s="1349"/>
      <c r="U469" s="1348"/>
      <c r="V469" s="1348"/>
      <c r="W469" s="1349"/>
      <c r="X469" s="1350"/>
      <c r="Y469" s="1350"/>
      <c r="Z469" s="1349"/>
      <c r="AA469" s="1351"/>
      <c r="AB469" s="1350"/>
      <c r="AC469" s="1350"/>
      <c r="AD469" s="1350"/>
      <c r="AE469" s="1350"/>
      <c r="AF469" s="1350"/>
      <c r="AG469" s="1350"/>
      <c r="AH469" s="1350"/>
      <c r="AI469" s="1350"/>
      <c r="AJ469" s="1350"/>
      <c r="AK469" s="1350"/>
    </row>
    <row r="470">
      <c r="A470" s="1350"/>
      <c r="B470" s="1350"/>
      <c r="C470" s="1350"/>
      <c r="D470" s="1350"/>
      <c r="E470" s="1350"/>
      <c r="F470" s="1350"/>
      <c r="G470" s="1350"/>
      <c r="H470" s="1350"/>
      <c r="I470" s="1350"/>
      <c r="J470" s="1350"/>
      <c r="K470" s="1350"/>
      <c r="L470" s="1350"/>
      <c r="M470" s="1350"/>
      <c r="N470" s="1350"/>
      <c r="O470" s="1350"/>
      <c r="P470" s="1354"/>
      <c r="Q470" s="1355"/>
      <c r="R470" s="1355"/>
      <c r="S470" s="1350"/>
      <c r="T470" s="1349"/>
      <c r="U470" s="1348"/>
      <c r="V470" s="1348"/>
      <c r="W470" s="1349"/>
      <c r="X470" s="1350"/>
      <c r="Y470" s="1350"/>
      <c r="Z470" s="1349"/>
      <c r="AA470" s="1351"/>
      <c r="AB470" s="1350"/>
      <c r="AC470" s="1350"/>
      <c r="AD470" s="1350"/>
      <c r="AE470" s="1350"/>
      <c r="AF470" s="1350"/>
      <c r="AG470" s="1350"/>
      <c r="AH470" s="1350"/>
      <c r="AI470" s="1350"/>
      <c r="AJ470" s="1350"/>
      <c r="AK470" s="1350"/>
    </row>
    <row r="471">
      <c r="A471" s="1350"/>
      <c r="B471" s="1350"/>
      <c r="C471" s="1350"/>
      <c r="D471" s="1350"/>
      <c r="E471" s="1350"/>
      <c r="F471" s="1350"/>
      <c r="G471" s="1350"/>
      <c r="H471" s="1350"/>
      <c r="I471" s="1350"/>
      <c r="J471" s="1350"/>
      <c r="K471" s="1350"/>
      <c r="L471" s="1350"/>
      <c r="M471" s="1350"/>
      <c r="N471" s="1350"/>
      <c r="O471" s="1350"/>
      <c r="P471" s="1354"/>
      <c r="Q471" s="1355"/>
      <c r="R471" s="1355"/>
      <c r="S471" s="1350"/>
      <c r="T471" s="1349"/>
      <c r="U471" s="1348"/>
      <c r="V471" s="1348"/>
      <c r="W471" s="1349"/>
      <c r="X471" s="1350"/>
      <c r="Y471" s="1350"/>
      <c r="Z471" s="1349"/>
      <c r="AA471" s="1351"/>
      <c r="AB471" s="1350"/>
      <c r="AC471" s="1350"/>
      <c r="AD471" s="1350"/>
      <c r="AE471" s="1350"/>
      <c r="AF471" s="1350"/>
      <c r="AG471" s="1350"/>
      <c r="AH471" s="1350"/>
      <c r="AI471" s="1350"/>
      <c r="AJ471" s="1350"/>
      <c r="AK471" s="1350"/>
    </row>
    <row r="472">
      <c r="A472" s="1350"/>
      <c r="B472" s="1350"/>
      <c r="C472" s="1350"/>
      <c r="D472" s="1350"/>
      <c r="E472" s="1350"/>
      <c r="F472" s="1350"/>
      <c r="G472" s="1350"/>
      <c r="H472" s="1350"/>
      <c r="I472" s="1350"/>
      <c r="J472" s="1350"/>
      <c r="K472" s="1350"/>
      <c r="L472" s="1350"/>
      <c r="M472" s="1350"/>
      <c r="N472" s="1350"/>
      <c r="O472" s="1350"/>
      <c r="P472" s="1354"/>
      <c r="Q472" s="1355"/>
      <c r="R472" s="1355"/>
      <c r="S472" s="1350"/>
      <c r="T472" s="1349"/>
      <c r="U472" s="1348"/>
      <c r="V472" s="1348"/>
      <c r="W472" s="1349"/>
      <c r="X472" s="1350"/>
      <c r="Y472" s="1350"/>
      <c r="Z472" s="1349"/>
      <c r="AA472" s="1351"/>
      <c r="AB472" s="1350"/>
      <c r="AC472" s="1350"/>
      <c r="AD472" s="1350"/>
      <c r="AE472" s="1350"/>
      <c r="AF472" s="1350"/>
      <c r="AG472" s="1350"/>
      <c r="AH472" s="1350"/>
      <c r="AI472" s="1350"/>
      <c r="AJ472" s="1350"/>
      <c r="AK472" s="1350"/>
    </row>
    <row r="473">
      <c r="A473" s="1350"/>
      <c r="B473" s="1350"/>
      <c r="C473" s="1350"/>
      <c r="D473" s="1350"/>
      <c r="E473" s="1350"/>
      <c r="F473" s="1350"/>
      <c r="G473" s="1350"/>
      <c r="H473" s="1350"/>
      <c r="I473" s="1350"/>
      <c r="J473" s="1350"/>
      <c r="K473" s="1350"/>
      <c r="L473" s="1350"/>
      <c r="M473" s="1350"/>
      <c r="N473" s="1350"/>
      <c r="O473" s="1350"/>
      <c r="P473" s="1354"/>
      <c r="Q473" s="1355"/>
      <c r="R473" s="1355"/>
      <c r="S473" s="1350"/>
      <c r="T473" s="1349"/>
      <c r="U473" s="1348"/>
      <c r="V473" s="1348"/>
      <c r="W473" s="1349"/>
      <c r="X473" s="1350"/>
      <c r="Y473" s="1350"/>
      <c r="Z473" s="1349"/>
      <c r="AA473" s="1351"/>
      <c r="AB473" s="1350"/>
      <c r="AC473" s="1350"/>
      <c r="AD473" s="1350"/>
      <c r="AE473" s="1350"/>
      <c r="AF473" s="1350"/>
      <c r="AG473" s="1350"/>
      <c r="AH473" s="1350"/>
      <c r="AI473" s="1350"/>
      <c r="AJ473" s="1350"/>
      <c r="AK473" s="1350"/>
    </row>
    <row r="474">
      <c r="A474" s="1350"/>
      <c r="B474" s="1350"/>
      <c r="C474" s="1350"/>
      <c r="D474" s="1350"/>
      <c r="E474" s="1350"/>
      <c r="F474" s="1350"/>
      <c r="G474" s="1350"/>
      <c r="H474" s="1350"/>
      <c r="I474" s="1350"/>
      <c r="J474" s="1350"/>
      <c r="K474" s="1350"/>
      <c r="L474" s="1350"/>
      <c r="M474" s="1350"/>
      <c r="N474" s="1350"/>
      <c r="O474" s="1350"/>
      <c r="P474" s="1354"/>
      <c r="Q474" s="1355"/>
      <c r="R474" s="1355"/>
      <c r="S474" s="1350"/>
      <c r="T474" s="1349"/>
      <c r="U474" s="1348"/>
      <c r="V474" s="1348"/>
      <c r="W474" s="1349"/>
      <c r="X474" s="1350"/>
      <c r="Y474" s="1350"/>
      <c r="Z474" s="1349"/>
      <c r="AA474" s="1351"/>
      <c r="AB474" s="1350"/>
      <c r="AC474" s="1350"/>
      <c r="AD474" s="1350"/>
      <c r="AE474" s="1350"/>
      <c r="AF474" s="1350"/>
      <c r="AG474" s="1350"/>
      <c r="AH474" s="1350"/>
      <c r="AI474" s="1350"/>
      <c r="AJ474" s="1350"/>
      <c r="AK474" s="1350"/>
    </row>
    <row r="475">
      <c r="A475" s="1350"/>
      <c r="B475" s="1350"/>
      <c r="C475" s="1350"/>
      <c r="D475" s="1350"/>
      <c r="E475" s="1350"/>
      <c r="F475" s="1350"/>
      <c r="G475" s="1350"/>
      <c r="H475" s="1350"/>
      <c r="I475" s="1350"/>
      <c r="J475" s="1350"/>
      <c r="K475" s="1350"/>
      <c r="L475" s="1350"/>
      <c r="M475" s="1350"/>
      <c r="N475" s="1350"/>
      <c r="O475" s="1350"/>
      <c r="P475" s="1354"/>
      <c r="Q475" s="1355"/>
      <c r="R475" s="1355"/>
      <c r="S475" s="1350"/>
      <c r="T475" s="1349"/>
      <c r="U475" s="1348"/>
      <c r="V475" s="1348"/>
      <c r="W475" s="1349"/>
      <c r="X475" s="1350"/>
      <c r="Y475" s="1350"/>
      <c r="Z475" s="1349"/>
      <c r="AA475" s="1351"/>
      <c r="AB475" s="1350"/>
      <c r="AC475" s="1350"/>
      <c r="AD475" s="1350"/>
      <c r="AE475" s="1350"/>
      <c r="AF475" s="1350"/>
      <c r="AG475" s="1350"/>
      <c r="AH475" s="1350"/>
      <c r="AI475" s="1350"/>
      <c r="AJ475" s="1350"/>
      <c r="AK475" s="1350"/>
    </row>
    <row r="476">
      <c r="A476" s="1350"/>
      <c r="B476" s="1350"/>
      <c r="C476" s="1350"/>
      <c r="D476" s="1350"/>
      <c r="E476" s="1350"/>
      <c r="F476" s="1350"/>
      <c r="G476" s="1350"/>
      <c r="H476" s="1350"/>
      <c r="I476" s="1350"/>
      <c r="J476" s="1350"/>
      <c r="K476" s="1350"/>
      <c r="L476" s="1350"/>
      <c r="M476" s="1350"/>
      <c r="N476" s="1350"/>
      <c r="O476" s="1350"/>
      <c r="P476" s="1354"/>
      <c r="Q476" s="1355"/>
      <c r="R476" s="1355"/>
      <c r="S476" s="1350"/>
      <c r="T476" s="1349"/>
      <c r="U476" s="1348"/>
      <c r="V476" s="1348"/>
      <c r="W476" s="1349"/>
      <c r="X476" s="1350"/>
      <c r="Y476" s="1350"/>
      <c r="Z476" s="1349"/>
      <c r="AA476" s="1351"/>
      <c r="AB476" s="1350"/>
      <c r="AC476" s="1350"/>
      <c r="AD476" s="1350"/>
      <c r="AE476" s="1350"/>
      <c r="AF476" s="1350"/>
      <c r="AG476" s="1350"/>
      <c r="AH476" s="1350"/>
      <c r="AI476" s="1350"/>
      <c r="AJ476" s="1350"/>
      <c r="AK476" s="1350"/>
    </row>
    <row r="477">
      <c r="A477" s="1350"/>
      <c r="B477" s="1350"/>
      <c r="C477" s="1350"/>
      <c r="D477" s="1350"/>
      <c r="E477" s="1350"/>
      <c r="F477" s="1350"/>
      <c r="G477" s="1350"/>
      <c r="H477" s="1350"/>
      <c r="I477" s="1350"/>
      <c r="J477" s="1350"/>
      <c r="K477" s="1350"/>
      <c r="L477" s="1350"/>
      <c r="M477" s="1350"/>
      <c r="N477" s="1350"/>
      <c r="O477" s="1350"/>
      <c r="P477" s="1354"/>
      <c r="Q477" s="1355"/>
      <c r="R477" s="1355"/>
      <c r="S477" s="1350"/>
      <c r="T477" s="1349"/>
      <c r="U477" s="1348"/>
      <c r="V477" s="1348"/>
      <c r="W477" s="1349"/>
      <c r="X477" s="1350"/>
      <c r="Y477" s="1350"/>
      <c r="Z477" s="1349"/>
      <c r="AA477" s="1351"/>
      <c r="AB477" s="1350"/>
      <c r="AC477" s="1350"/>
      <c r="AD477" s="1350"/>
      <c r="AE477" s="1350"/>
      <c r="AF477" s="1350"/>
      <c r="AG477" s="1350"/>
      <c r="AH477" s="1350"/>
      <c r="AI477" s="1350"/>
      <c r="AJ477" s="1350"/>
      <c r="AK477" s="1350"/>
    </row>
    <row r="478">
      <c r="A478" s="1350"/>
      <c r="B478" s="1350"/>
      <c r="C478" s="1350"/>
      <c r="D478" s="1350"/>
      <c r="E478" s="1350"/>
      <c r="F478" s="1350"/>
      <c r="G478" s="1350"/>
      <c r="H478" s="1350"/>
      <c r="I478" s="1350"/>
      <c r="J478" s="1350"/>
      <c r="K478" s="1350"/>
      <c r="L478" s="1350"/>
      <c r="M478" s="1350"/>
      <c r="N478" s="1350"/>
      <c r="O478" s="1350"/>
      <c r="P478" s="1354"/>
      <c r="Q478" s="1355"/>
      <c r="R478" s="1355"/>
      <c r="S478" s="1350"/>
      <c r="T478" s="1349"/>
      <c r="U478" s="1348"/>
      <c r="V478" s="1348"/>
      <c r="W478" s="1349"/>
      <c r="X478" s="1350"/>
      <c r="Y478" s="1350"/>
      <c r="Z478" s="1349"/>
      <c r="AA478" s="1351"/>
      <c r="AB478" s="1350"/>
      <c r="AC478" s="1350"/>
      <c r="AD478" s="1350"/>
      <c r="AE478" s="1350"/>
      <c r="AF478" s="1350"/>
      <c r="AG478" s="1350"/>
      <c r="AH478" s="1350"/>
      <c r="AI478" s="1350"/>
      <c r="AJ478" s="1350"/>
      <c r="AK478" s="1350"/>
    </row>
    <row r="479">
      <c r="A479" s="1350"/>
      <c r="B479" s="1350"/>
      <c r="C479" s="1350"/>
      <c r="D479" s="1350"/>
      <c r="E479" s="1350"/>
      <c r="F479" s="1350"/>
      <c r="G479" s="1350"/>
      <c r="H479" s="1350"/>
      <c r="I479" s="1350"/>
      <c r="J479" s="1350"/>
      <c r="K479" s="1350"/>
      <c r="L479" s="1350"/>
      <c r="M479" s="1350"/>
      <c r="N479" s="1350"/>
      <c r="O479" s="1350"/>
      <c r="P479" s="1354"/>
      <c r="Q479" s="1355"/>
      <c r="R479" s="1355"/>
      <c r="S479" s="1350"/>
      <c r="T479" s="1349"/>
      <c r="U479" s="1348"/>
      <c r="V479" s="1348"/>
      <c r="W479" s="1349"/>
      <c r="X479" s="1350"/>
      <c r="Y479" s="1350"/>
      <c r="Z479" s="1349"/>
      <c r="AA479" s="1351"/>
      <c r="AB479" s="1350"/>
      <c r="AC479" s="1350"/>
      <c r="AD479" s="1350"/>
      <c r="AE479" s="1350"/>
      <c r="AF479" s="1350"/>
      <c r="AG479" s="1350"/>
      <c r="AH479" s="1350"/>
      <c r="AI479" s="1350"/>
      <c r="AJ479" s="1350"/>
      <c r="AK479" s="1350"/>
    </row>
    <row r="480">
      <c r="A480" s="1350"/>
      <c r="B480" s="1350"/>
      <c r="C480" s="1350"/>
      <c r="D480" s="1350"/>
      <c r="E480" s="1350"/>
      <c r="F480" s="1350"/>
      <c r="G480" s="1350"/>
      <c r="H480" s="1350"/>
      <c r="I480" s="1350"/>
      <c r="J480" s="1350"/>
      <c r="K480" s="1350"/>
      <c r="L480" s="1350"/>
      <c r="M480" s="1350"/>
      <c r="N480" s="1350"/>
      <c r="O480" s="1350"/>
      <c r="P480" s="1354"/>
      <c r="Q480" s="1355"/>
      <c r="R480" s="1355"/>
      <c r="S480" s="1350"/>
      <c r="T480" s="1349"/>
      <c r="U480" s="1348"/>
      <c r="V480" s="1348"/>
      <c r="W480" s="1349"/>
      <c r="X480" s="1350"/>
      <c r="Y480" s="1350"/>
      <c r="Z480" s="1349"/>
      <c r="AA480" s="1351"/>
      <c r="AB480" s="1350"/>
      <c r="AC480" s="1350"/>
      <c r="AD480" s="1350"/>
      <c r="AE480" s="1350"/>
      <c r="AF480" s="1350"/>
      <c r="AG480" s="1350"/>
      <c r="AH480" s="1350"/>
      <c r="AI480" s="1350"/>
      <c r="AJ480" s="1350"/>
      <c r="AK480" s="1350"/>
    </row>
    <row r="481">
      <c r="A481" s="1350"/>
      <c r="B481" s="1350"/>
      <c r="C481" s="1350"/>
      <c r="D481" s="1350"/>
      <c r="E481" s="1350"/>
      <c r="F481" s="1350"/>
      <c r="G481" s="1350"/>
      <c r="H481" s="1350"/>
      <c r="I481" s="1350"/>
      <c r="J481" s="1350"/>
      <c r="K481" s="1350"/>
      <c r="L481" s="1350"/>
      <c r="M481" s="1350"/>
      <c r="N481" s="1350"/>
      <c r="O481" s="1350"/>
      <c r="P481" s="1354"/>
      <c r="Q481" s="1355"/>
      <c r="R481" s="1355"/>
      <c r="S481" s="1350"/>
      <c r="T481" s="1349"/>
      <c r="U481" s="1348"/>
      <c r="V481" s="1348"/>
      <c r="W481" s="1349"/>
      <c r="X481" s="1350"/>
      <c r="Y481" s="1350"/>
      <c r="Z481" s="1349"/>
      <c r="AA481" s="1351"/>
      <c r="AB481" s="1350"/>
      <c r="AC481" s="1350"/>
      <c r="AD481" s="1350"/>
      <c r="AE481" s="1350"/>
      <c r="AF481" s="1350"/>
      <c r="AG481" s="1350"/>
      <c r="AH481" s="1350"/>
      <c r="AI481" s="1350"/>
      <c r="AJ481" s="1350"/>
      <c r="AK481" s="1350"/>
    </row>
    <row r="482">
      <c r="A482" s="1350"/>
      <c r="B482" s="1350"/>
      <c r="C482" s="1350"/>
      <c r="D482" s="1350"/>
      <c r="E482" s="1350"/>
      <c r="F482" s="1350"/>
      <c r="G482" s="1350"/>
      <c r="H482" s="1350"/>
      <c r="I482" s="1350"/>
      <c r="J482" s="1350"/>
      <c r="K482" s="1350"/>
      <c r="L482" s="1350"/>
      <c r="M482" s="1350"/>
      <c r="N482" s="1350"/>
      <c r="O482" s="1350"/>
      <c r="P482" s="1354"/>
      <c r="Q482" s="1355"/>
      <c r="R482" s="1355"/>
      <c r="S482" s="1350"/>
      <c r="T482" s="1349"/>
      <c r="U482" s="1348"/>
      <c r="V482" s="1348"/>
      <c r="W482" s="1349"/>
      <c r="X482" s="1350"/>
      <c r="Y482" s="1350"/>
      <c r="Z482" s="1349"/>
      <c r="AA482" s="1351"/>
      <c r="AB482" s="1350"/>
      <c r="AC482" s="1350"/>
      <c r="AD482" s="1350"/>
      <c r="AE482" s="1350"/>
      <c r="AF482" s="1350"/>
      <c r="AG482" s="1350"/>
      <c r="AH482" s="1350"/>
      <c r="AI482" s="1350"/>
      <c r="AJ482" s="1350"/>
      <c r="AK482" s="1350"/>
    </row>
    <row r="483">
      <c r="A483" s="1350"/>
      <c r="B483" s="1350"/>
      <c r="C483" s="1350"/>
      <c r="D483" s="1350"/>
      <c r="E483" s="1350"/>
      <c r="F483" s="1350"/>
      <c r="G483" s="1350"/>
      <c r="H483" s="1350"/>
      <c r="I483" s="1350"/>
      <c r="J483" s="1350"/>
      <c r="K483" s="1350"/>
      <c r="L483" s="1350"/>
      <c r="M483" s="1350"/>
      <c r="N483" s="1350"/>
      <c r="O483" s="1350"/>
      <c r="P483" s="1354"/>
      <c r="Q483" s="1355"/>
      <c r="R483" s="1355"/>
      <c r="S483" s="1350"/>
      <c r="T483" s="1349"/>
      <c r="U483" s="1348"/>
      <c r="V483" s="1348"/>
      <c r="W483" s="1349"/>
      <c r="X483" s="1350"/>
      <c r="Y483" s="1350"/>
      <c r="Z483" s="1349"/>
      <c r="AA483" s="1351"/>
      <c r="AB483" s="1350"/>
      <c r="AC483" s="1350"/>
      <c r="AD483" s="1350"/>
      <c r="AE483" s="1350"/>
      <c r="AF483" s="1350"/>
      <c r="AG483" s="1350"/>
      <c r="AH483" s="1350"/>
      <c r="AI483" s="1350"/>
      <c r="AJ483" s="1350"/>
      <c r="AK483" s="1350"/>
    </row>
    <row r="484">
      <c r="A484" s="1350"/>
      <c r="B484" s="1350"/>
      <c r="C484" s="1350"/>
      <c r="D484" s="1350"/>
      <c r="E484" s="1350"/>
      <c r="F484" s="1350"/>
      <c r="G484" s="1350"/>
      <c r="H484" s="1350"/>
      <c r="I484" s="1350"/>
      <c r="J484" s="1350"/>
      <c r="K484" s="1350"/>
      <c r="L484" s="1350"/>
      <c r="M484" s="1350"/>
      <c r="N484" s="1350"/>
      <c r="O484" s="1350"/>
      <c r="P484" s="1354"/>
      <c r="Q484" s="1355"/>
      <c r="R484" s="1355"/>
      <c r="S484" s="1350"/>
      <c r="T484" s="1349"/>
      <c r="U484" s="1348"/>
      <c r="V484" s="1348"/>
      <c r="W484" s="1349"/>
      <c r="X484" s="1350"/>
      <c r="Y484" s="1350"/>
      <c r="Z484" s="1349"/>
      <c r="AA484" s="1351"/>
      <c r="AB484" s="1350"/>
      <c r="AC484" s="1350"/>
      <c r="AD484" s="1350"/>
      <c r="AE484" s="1350"/>
      <c r="AF484" s="1350"/>
      <c r="AG484" s="1350"/>
      <c r="AH484" s="1350"/>
      <c r="AI484" s="1350"/>
      <c r="AJ484" s="1350"/>
      <c r="AK484" s="1350"/>
    </row>
    <row r="485">
      <c r="A485" s="1350"/>
      <c r="B485" s="1350"/>
      <c r="C485" s="1350"/>
      <c r="D485" s="1350"/>
      <c r="E485" s="1350"/>
      <c r="F485" s="1350"/>
      <c r="G485" s="1350"/>
      <c r="H485" s="1350"/>
      <c r="I485" s="1350"/>
      <c r="J485" s="1350"/>
      <c r="K485" s="1350"/>
      <c r="L485" s="1350"/>
      <c r="M485" s="1350"/>
      <c r="N485" s="1350"/>
      <c r="O485" s="1350"/>
      <c r="P485" s="1354"/>
      <c r="Q485" s="1355"/>
      <c r="R485" s="1355"/>
      <c r="S485" s="1350"/>
      <c r="T485" s="1349"/>
      <c r="U485" s="1348"/>
      <c r="V485" s="1348"/>
      <c r="W485" s="1349"/>
      <c r="X485" s="1350"/>
      <c r="Y485" s="1350"/>
      <c r="Z485" s="1349"/>
      <c r="AA485" s="1351"/>
      <c r="AB485" s="1350"/>
      <c r="AC485" s="1350"/>
      <c r="AD485" s="1350"/>
      <c r="AE485" s="1350"/>
      <c r="AF485" s="1350"/>
      <c r="AG485" s="1350"/>
      <c r="AH485" s="1350"/>
      <c r="AI485" s="1350"/>
      <c r="AJ485" s="1350"/>
      <c r="AK485" s="1350"/>
    </row>
    <row r="486">
      <c r="A486" s="1350"/>
      <c r="B486" s="1350"/>
      <c r="C486" s="1350"/>
      <c r="D486" s="1350"/>
      <c r="E486" s="1350"/>
      <c r="F486" s="1350"/>
      <c r="G486" s="1350"/>
      <c r="H486" s="1350"/>
      <c r="I486" s="1350"/>
      <c r="J486" s="1350"/>
      <c r="K486" s="1350"/>
      <c r="L486" s="1350"/>
      <c r="M486" s="1350"/>
      <c r="N486" s="1350"/>
      <c r="O486" s="1350"/>
      <c r="P486" s="1354"/>
      <c r="Q486" s="1355"/>
      <c r="R486" s="1355"/>
      <c r="S486" s="1350"/>
      <c r="T486" s="1349"/>
      <c r="U486" s="1348"/>
      <c r="V486" s="1348"/>
      <c r="W486" s="1349"/>
      <c r="X486" s="1350"/>
      <c r="Y486" s="1350"/>
      <c r="Z486" s="1349"/>
      <c r="AA486" s="1351"/>
      <c r="AB486" s="1350"/>
      <c r="AC486" s="1350"/>
      <c r="AD486" s="1350"/>
      <c r="AE486" s="1350"/>
      <c r="AF486" s="1350"/>
      <c r="AG486" s="1350"/>
      <c r="AH486" s="1350"/>
      <c r="AI486" s="1350"/>
      <c r="AJ486" s="1350"/>
      <c r="AK486" s="1350"/>
    </row>
    <row r="487">
      <c r="A487" s="1350"/>
      <c r="B487" s="1350"/>
      <c r="C487" s="1350"/>
      <c r="D487" s="1350"/>
      <c r="E487" s="1350"/>
      <c r="F487" s="1350"/>
      <c r="G487" s="1350"/>
      <c r="H487" s="1350"/>
      <c r="I487" s="1350"/>
      <c r="J487" s="1350"/>
      <c r="K487" s="1350"/>
      <c r="L487" s="1350"/>
      <c r="M487" s="1350"/>
      <c r="N487" s="1350"/>
      <c r="O487" s="1350"/>
      <c r="P487" s="1354"/>
      <c r="Q487" s="1355"/>
      <c r="R487" s="1355"/>
      <c r="S487" s="1350"/>
      <c r="T487" s="1349"/>
      <c r="U487" s="1348"/>
      <c r="V487" s="1348"/>
      <c r="W487" s="1349"/>
      <c r="X487" s="1350"/>
      <c r="Y487" s="1350"/>
      <c r="Z487" s="1349"/>
      <c r="AA487" s="1351"/>
      <c r="AB487" s="1350"/>
      <c r="AC487" s="1350"/>
      <c r="AD487" s="1350"/>
      <c r="AE487" s="1350"/>
      <c r="AF487" s="1350"/>
      <c r="AG487" s="1350"/>
      <c r="AH487" s="1350"/>
      <c r="AI487" s="1350"/>
      <c r="AJ487" s="1350"/>
      <c r="AK487" s="1350"/>
    </row>
    <row r="488">
      <c r="A488" s="1350"/>
      <c r="B488" s="1350"/>
      <c r="C488" s="1350"/>
      <c r="D488" s="1350"/>
      <c r="E488" s="1350"/>
      <c r="F488" s="1350"/>
      <c r="G488" s="1350"/>
      <c r="H488" s="1350"/>
      <c r="I488" s="1350"/>
      <c r="J488" s="1350"/>
      <c r="K488" s="1350"/>
      <c r="L488" s="1350"/>
      <c r="M488" s="1350"/>
      <c r="N488" s="1350"/>
      <c r="O488" s="1350"/>
      <c r="P488" s="1354"/>
      <c r="Q488" s="1355"/>
      <c r="R488" s="1355"/>
      <c r="S488" s="1350"/>
      <c r="T488" s="1349"/>
      <c r="U488" s="1348"/>
      <c r="V488" s="1348"/>
      <c r="W488" s="1349"/>
      <c r="X488" s="1350"/>
      <c r="Y488" s="1350"/>
      <c r="Z488" s="1349"/>
      <c r="AA488" s="1351"/>
      <c r="AB488" s="1350"/>
      <c r="AC488" s="1350"/>
      <c r="AD488" s="1350"/>
      <c r="AE488" s="1350"/>
      <c r="AF488" s="1350"/>
      <c r="AG488" s="1350"/>
      <c r="AH488" s="1350"/>
      <c r="AI488" s="1350"/>
      <c r="AJ488" s="1350"/>
      <c r="AK488" s="1350"/>
    </row>
    <row r="489">
      <c r="A489" s="1350"/>
      <c r="B489" s="1350"/>
      <c r="C489" s="1350"/>
      <c r="D489" s="1350"/>
      <c r="E489" s="1350"/>
      <c r="F489" s="1350"/>
      <c r="G489" s="1350"/>
      <c r="H489" s="1350"/>
      <c r="I489" s="1350"/>
      <c r="J489" s="1350"/>
      <c r="K489" s="1350"/>
      <c r="L489" s="1350"/>
      <c r="M489" s="1350"/>
      <c r="N489" s="1350"/>
      <c r="O489" s="1350"/>
      <c r="P489" s="1354"/>
      <c r="Q489" s="1355"/>
      <c r="R489" s="1355"/>
      <c r="S489" s="1350"/>
      <c r="T489" s="1349"/>
      <c r="U489" s="1348"/>
      <c r="V489" s="1348"/>
      <c r="W489" s="1349"/>
      <c r="X489" s="1350"/>
      <c r="Y489" s="1350"/>
      <c r="Z489" s="1349"/>
      <c r="AA489" s="1351"/>
      <c r="AB489" s="1350"/>
      <c r="AC489" s="1350"/>
      <c r="AD489" s="1350"/>
      <c r="AE489" s="1350"/>
      <c r="AF489" s="1350"/>
      <c r="AG489" s="1350"/>
      <c r="AH489" s="1350"/>
      <c r="AI489" s="1350"/>
      <c r="AJ489" s="1350"/>
      <c r="AK489" s="1350"/>
    </row>
    <row r="490">
      <c r="A490" s="1350"/>
      <c r="B490" s="1350"/>
      <c r="C490" s="1350"/>
      <c r="D490" s="1350"/>
      <c r="E490" s="1350"/>
      <c r="F490" s="1350"/>
      <c r="G490" s="1350"/>
      <c r="H490" s="1350"/>
      <c r="I490" s="1350"/>
      <c r="J490" s="1350"/>
      <c r="K490" s="1350"/>
      <c r="L490" s="1350"/>
      <c r="M490" s="1350"/>
      <c r="N490" s="1350"/>
      <c r="O490" s="1350"/>
      <c r="P490" s="1354"/>
      <c r="Q490" s="1355"/>
      <c r="R490" s="1355"/>
      <c r="S490" s="1350"/>
      <c r="T490" s="1349"/>
      <c r="U490" s="1348"/>
      <c r="V490" s="1348"/>
      <c r="W490" s="1349"/>
      <c r="X490" s="1350"/>
      <c r="Y490" s="1350"/>
      <c r="Z490" s="1349"/>
      <c r="AA490" s="1351"/>
      <c r="AB490" s="1350"/>
      <c r="AC490" s="1350"/>
      <c r="AD490" s="1350"/>
      <c r="AE490" s="1350"/>
      <c r="AF490" s="1350"/>
      <c r="AG490" s="1350"/>
      <c r="AH490" s="1350"/>
      <c r="AI490" s="1350"/>
      <c r="AJ490" s="1350"/>
      <c r="AK490" s="1350"/>
    </row>
    <row r="491">
      <c r="A491" s="1350"/>
      <c r="B491" s="1350"/>
      <c r="C491" s="1350"/>
      <c r="D491" s="1350"/>
      <c r="E491" s="1350"/>
      <c r="F491" s="1350"/>
      <c r="G491" s="1350"/>
      <c r="H491" s="1350"/>
      <c r="I491" s="1350"/>
      <c r="J491" s="1350"/>
      <c r="K491" s="1350"/>
      <c r="L491" s="1350"/>
      <c r="M491" s="1350"/>
      <c r="N491" s="1350"/>
      <c r="O491" s="1350"/>
      <c r="P491" s="1354"/>
      <c r="Q491" s="1355"/>
      <c r="R491" s="1355"/>
      <c r="S491" s="1350"/>
      <c r="T491" s="1349"/>
      <c r="U491" s="1348"/>
      <c r="V491" s="1348"/>
      <c r="W491" s="1349"/>
      <c r="X491" s="1350"/>
      <c r="Y491" s="1350"/>
      <c r="Z491" s="1349"/>
      <c r="AA491" s="1351"/>
      <c r="AB491" s="1350"/>
      <c r="AC491" s="1350"/>
      <c r="AD491" s="1350"/>
      <c r="AE491" s="1350"/>
      <c r="AF491" s="1350"/>
      <c r="AG491" s="1350"/>
      <c r="AH491" s="1350"/>
      <c r="AI491" s="1350"/>
      <c r="AJ491" s="1350"/>
      <c r="AK491" s="1350"/>
    </row>
    <row r="492">
      <c r="A492" s="1350"/>
      <c r="B492" s="1350"/>
      <c r="C492" s="1350"/>
      <c r="D492" s="1350"/>
      <c r="E492" s="1350"/>
      <c r="F492" s="1350"/>
      <c r="G492" s="1350"/>
      <c r="H492" s="1350"/>
      <c r="I492" s="1350"/>
      <c r="J492" s="1350"/>
      <c r="K492" s="1350"/>
      <c r="L492" s="1350"/>
      <c r="M492" s="1350"/>
      <c r="N492" s="1350"/>
      <c r="O492" s="1350"/>
      <c r="P492" s="1354"/>
      <c r="Q492" s="1355"/>
      <c r="R492" s="1355"/>
      <c r="S492" s="1350"/>
      <c r="T492" s="1349"/>
      <c r="U492" s="1348"/>
      <c r="V492" s="1348"/>
      <c r="W492" s="1349"/>
      <c r="X492" s="1350"/>
      <c r="Y492" s="1350"/>
      <c r="Z492" s="1349"/>
      <c r="AA492" s="1351"/>
      <c r="AB492" s="1350"/>
      <c r="AC492" s="1350"/>
      <c r="AD492" s="1350"/>
      <c r="AE492" s="1350"/>
      <c r="AF492" s="1350"/>
      <c r="AG492" s="1350"/>
      <c r="AH492" s="1350"/>
      <c r="AI492" s="1350"/>
      <c r="AJ492" s="1350"/>
      <c r="AK492" s="1350"/>
    </row>
    <row r="493">
      <c r="A493" s="1350"/>
      <c r="B493" s="1350"/>
      <c r="C493" s="1350"/>
      <c r="D493" s="1350"/>
      <c r="E493" s="1350"/>
      <c r="F493" s="1350"/>
      <c r="G493" s="1350"/>
      <c r="H493" s="1350"/>
      <c r="I493" s="1350"/>
      <c r="J493" s="1350"/>
      <c r="K493" s="1350"/>
      <c r="L493" s="1350"/>
      <c r="M493" s="1350"/>
      <c r="N493" s="1350"/>
      <c r="O493" s="1350"/>
      <c r="P493" s="1354"/>
      <c r="Q493" s="1355"/>
      <c r="R493" s="1355"/>
      <c r="S493" s="1350"/>
      <c r="T493" s="1349"/>
      <c r="U493" s="1348"/>
      <c r="V493" s="1348"/>
      <c r="W493" s="1349"/>
      <c r="X493" s="1350"/>
      <c r="Y493" s="1350"/>
      <c r="Z493" s="1349"/>
      <c r="AA493" s="1351"/>
      <c r="AB493" s="1350"/>
      <c r="AC493" s="1350"/>
      <c r="AD493" s="1350"/>
      <c r="AE493" s="1350"/>
      <c r="AF493" s="1350"/>
      <c r="AG493" s="1350"/>
      <c r="AH493" s="1350"/>
      <c r="AI493" s="1350"/>
      <c r="AJ493" s="1350"/>
      <c r="AK493" s="1350"/>
    </row>
    <row r="494">
      <c r="A494" s="1350"/>
      <c r="B494" s="1350"/>
      <c r="C494" s="1350"/>
      <c r="D494" s="1350"/>
      <c r="E494" s="1350"/>
      <c r="F494" s="1350"/>
      <c r="G494" s="1350"/>
      <c r="H494" s="1350"/>
      <c r="I494" s="1350"/>
      <c r="J494" s="1350"/>
      <c r="K494" s="1350"/>
      <c r="L494" s="1350"/>
      <c r="M494" s="1350"/>
      <c r="N494" s="1350"/>
      <c r="O494" s="1350"/>
      <c r="P494" s="1354"/>
      <c r="Q494" s="1355"/>
      <c r="R494" s="1355"/>
      <c r="S494" s="1350"/>
      <c r="T494" s="1349"/>
      <c r="U494" s="1348"/>
      <c r="V494" s="1348"/>
      <c r="W494" s="1349"/>
      <c r="X494" s="1350"/>
      <c r="Y494" s="1350"/>
      <c r="Z494" s="1349"/>
      <c r="AA494" s="1351"/>
      <c r="AB494" s="1350"/>
      <c r="AC494" s="1350"/>
      <c r="AD494" s="1350"/>
      <c r="AE494" s="1350"/>
      <c r="AF494" s="1350"/>
      <c r="AG494" s="1350"/>
      <c r="AH494" s="1350"/>
      <c r="AI494" s="1350"/>
      <c r="AJ494" s="1350"/>
      <c r="AK494" s="1350"/>
    </row>
    <row r="495">
      <c r="A495" s="1350"/>
      <c r="B495" s="1350"/>
      <c r="C495" s="1350"/>
      <c r="D495" s="1350"/>
      <c r="E495" s="1350"/>
      <c r="F495" s="1350"/>
      <c r="G495" s="1350"/>
      <c r="H495" s="1350"/>
      <c r="I495" s="1350"/>
      <c r="J495" s="1350"/>
      <c r="K495" s="1350"/>
      <c r="L495" s="1350"/>
      <c r="M495" s="1350"/>
      <c r="N495" s="1350"/>
      <c r="O495" s="1350"/>
      <c r="P495" s="1354"/>
      <c r="Q495" s="1355"/>
      <c r="R495" s="1355"/>
      <c r="S495" s="1350"/>
      <c r="T495" s="1349"/>
      <c r="U495" s="1348"/>
      <c r="V495" s="1348"/>
      <c r="W495" s="1349"/>
      <c r="X495" s="1350"/>
      <c r="Y495" s="1350"/>
      <c r="Z495" s="1349"/>
      <c r="AA495" s="1351"/>
      <c r="AB495" s="1350"/>
      <c r="AC495" s="1350"/>
      <c r="AD495" s="1350"/>
      <c r="AE495" s="1350"/>
      <c r="AF495" s="1350"/>
      <c r="AG495" s="1350"/>
      <c r="AH495" s="1350"/>
      <c r="AI495" s="1350"/>
      <c r="AJ495" s="1350"/>
      <c r="AK495" s="1350"/>
    </row>
    <row r="496">
      <c r="A496" s="1350"/>
      <c r="B496" s="1350"/>
      <c r="C496" s="1350"/>
      <c r="D496" s="1350"/>
      <c r="E496" s="1350"/>
      <c r="F496" s="1350"/>
      <c r="G496" s="1350"/>
      <c r="H496" s="1350"/>
      <c r="I496" s="1350"/>
      <c r="J496" s="1350"/>
      <c r="K496" s="1350"/>
      <c r="L496" s="1350"/>
      <c r="M496" s="1350"/>
      <c r="N496" s="1350"/>
      <c r="O496" s="1350"/>
      <c r="P496" s="1354"/>
      <c r="Q496" s="1355"/>
      <c r="R496" s="1355"/>
      <c r="S496" s="1350"/>
      <c r="T496" s="1349"/>
      <c r="U496" s="1348"/>
      <c r="V496" s="1348"/>
      <c r="W496" s="1349"/>
      <c r="X496" s="1350"/>
      <c r="Y496" s="1350"/>
      <c r="Z496" s="1349"/>
      <c r="AA496" s="1351"/>
      <c r="AB496" s="1350"/>
      <c r="AC496" s="1350"/>
      <c r="AD496" s="1350"/>
      <c r="AE496" s="1350"/>
      <c r="AF496" s="1350"/>
      <c r="AG496" s="1350"/>
      <c r="AH496" s="1350"/>
      <c r="AI496" s="1350"/>
      <c r="AJ496" s="1350"/>
      <c r="AK496" s="1350"/>
    </row>
    <row r="497">
      <c r="A497" s="1350"/>
      <c r="B497" s="1350"/>
      <c r="C497" s="1350"/>
      <c r="D497" s="1350"/>
      <c r="E497" s="1350"/>
      <c r="F497" s="1350"/>
      <c r="G497" s="1350"/>
      <c r="H497" s="1350"/>
      <c r="I497" s="1350"/>
      <c r="J497" s="1350"/>
      <c r="K497" s="1350"/>
      <c r="L497" s="1350"/>
      <c r="M497" s="1350"/>
      <c r="N497" s="1350"/>
      <c r="O497" s="1350"/>
      <c r="P497" s="1354"/>
      <c r="Q497" s="1355"/>
      <c r="R497" s="1355"/>
      <c r="S497" s="1350"/>
      <c r="T497" s="1349"/>
      <c r="U497" s="1348"/>
      <c r="V497" s="1348"/>
      <c r="W497" s="1349"/>
      <c r="X497" s="1350"/>
      <c r="Y497" s="1350"/>
      <c r="Z497" s="1349"/>
      <c r="AA497" s="1351"/>
      <c r="AB497" s="1350"/>
      <c r="AC497" s="1350"/>
      <c r="AD497" s="1350"/>
      <c r="AE497" s="1350"/>
      <c r="AF497" s="1350"/>
      <c r="AG497" s="1350"/>
      <c r="AH497" s="1350"/>
      <c r="AI497" s="1350"/>
      <c r="AJ497" s="1350"/>
      <c r="AK497" s="1350"/>
    </row>
    <row r="498">
      <c r="A498" s="1350"/>
      <c r="B498" s="1350"/>
      <c r="C498" s="1350"/>
      <c r="D498" s="1350"/>
      <c r="E498" s="1350"/>
      <c r="F498" s="1350"/>
      <c r="G498" s="1350"/>
      <c r="H498" s="1350"/>
      <c r="I498" s="1350"/>
      <c r="J498" s="1350"/>
      <c r="K498" s="1350"/>
      <c r="L498" s="1350"/>
      <c r="M498" s="1350"/>
      <c r="N498" s="1350"/>
      <c r="O498" s="1350"/>
      <c r="P498" s="1354"/>
      <c r="Q498" s="1355"/>
      <c r="R498" s="1355"/>
      <c r="S498" s="1350"/>
      <c r="T498" s="1349"/>
      <c r="U498" s="1348"/>
      <c r="V498" s="1348"/>
      <c r="W498" s="1349"/>
      <c r="X498" s="1350"/>
      <c r="Y498" s="1350"/>
      <c r="Z498" s="1349"/>
      <c r="AA498" s="1351"/>
      <c r="AB498" s="1350"/>
      <c r="AC498" s="1350"/>
      <c r="AD498" s="1350"/>
      <c r="AE498" s="1350"/>
      <c r="AF498" s="1350"/>
      <c r="AG498" s="1350"/>
      <c r="AH498" s="1350"/>
      <c r="AI498" s="1350"/>
      <c r="AJ498" s="1350"/>
      <c r="AK498" s="1350"/>
    </row>
    <row r="499">
      <c r="A499" s="1350"/>
      <c r="B499" s="1350"/>
      <c r="C499" s="1350"/>
      <c r="D499" s="1350"/>
      <c r="E499" s="1350"/>
      <c r="F499" s="1350"/>
      <c r="G499" s="1350"/>
      <c r="H499" s="1350"/>
      <c r="I499" s="1350"/>
      <c r="J499" s="1350"/>
      <c r="K499" s="1350"/>
      <c r="L499" s="1350"/>
      <c r="M499" s="1350"/>
      <c r="N499" s="1350"/>
      <c r="O499" s="1350"/>
      <c r="P499" s="1354"/>
      <c r="Q499" s="1355"/>
      <c r="R499" s="1355"/>
      <c r="S499" s="1350"/>
      <c r="T499" s="1349"/>
      <c r="U499" s="1348"/>
      <c r="V499" s="1348"/>
      <c r="W499" s="1349"/>
      <c r="X499" s="1350"/>
      <c r="Y499" s="1350"/>
      <c r="Z499" s="1349"/>
      <c r="AA499" s="1351"/>
      <c r="AB499" s="1350"/>
      <c r="AC499" s="1350"/>
      <c r="AD499" s="1350"/>
      <c r="AE499" s="1350"/>
      <c r="AF499" s="1350"/>
      <c r="AG499" s="1350"/>
      <c r="AH499" s="1350"/>
      <c r="AI499" s="1350"/>
      <c r="AJ499" s="1350"/>
      <c r="AK499" s="1350"/>
    </row>
    <row r="500">
      <c r="A500" s="1350"/>
      <c r="B500" s="1350"/>
      <c r="C500" s="1350"/>
      <c r="D500" s="1350"/>
      <c r="E500" s="1350"/>
      <c r="F500" s="1350"/>
      <c r="G500" s="1350"/>
      <c r="H500" s="1350"/>
      <c r="I500" s="1350"/>
      <c r="J500" s="1350"/>
      <c r="K500" s="1350"/>
      <c r="L500" s="1350"/>
      <c r="M500" s="1350"/>
      <c r="N500" s="1350"/>
      <c r="O500" s="1350"/>
      <c r="P500" s="1354"/>
      <c r="Q500" s="1355"/>
      <c r="R500" s="1355"/>
      <c r="S500" s="1350"/>
      <c r="T500" s="1349"/>
      <c r="U500" s="1348"/>
      <c r="V500" s="1348"/>
      <c r="W500" s="1349"/>
      <c r="X500" s="1350"/>
      <c r="Y500" s="1350"/>
      <c r="Z500" s="1349"/>
      <c r="AA500" s="1351"/>
      <c r="AB500" s="1350"/>
      <c r="AC500" s="1350"/>
      <c r="AD500" s="1350"/>
      <c r="AE500" s="1350"/>
      <c r="AF500" s="1350"/>
      <c r="AG500" s="1350"/>
      <c r="AH500" s="1350"/>
      <c r="AI500" s="1350"/>
      <c r="AJ500" s="1350"/>
      <c r="AK500" s="1350"/>
    </row>
    <row r="501">
      <c r="A501" s="1350"/>
      <c r="B501" s="1350"/>
      <c r="C501" s="1350"/>
      <c r="D501" s="1350"/>
      <c r="E501" s="1350"/>
      <c r="F501" s="1350"/>
      <c r="G501" s="1350"/>
      <c r="H501" s="1350"/>
      <c r="I501" s="1350"/>
      <c r="J501" s="1350"/>
      <c r="K501" s="1350"/>
      <c r="L501" s="1350"/>
      <c r="M501" s="1350"/>
      <c r="N501" s="1350"/>
      <c r="O501" s="1350"/>
      <c r="P501" s="1354"/>
      <c r="Q501" s="1355"/>
      <c r="R501" s="1355"/>
      <c r="S501" s="1350"/>
      <c r="T501" s="1349"/>
      <c r="U501" s="1348"/>
      <c r="V501" s="1348"/>
      <c r="W501" s="1349"/>
      <c r="X501" s="1350"/>
      <c r="Y501" s="1350"/>
      <c r="Z501" s="1349"/>
      <c r="AA501" s="1351"/>
      <c r="AB501" s="1350"/>
      <c r="AC501" s="1350"/>
      <c r="AD501" s="1350"/>
      <c r="AE501" s="1350"/>
      <c r="AF501" s="1350"/>
      <c r="AG501" s="1350"/>
      <c r="AH501" s="1350"/>
      <c r="AI501" s="1350"/>
      <c r="AJ501" s="1350"/>
      <c r="AK501" s="1350"/>
    </row>
    <row r="502">
      <c r="A502" s="1350"/>
      <c r="B502" s="1350"/>
      <c r="C502" s="1350"/>
      <c r="D502" s="1350"/>
      <c r="E502" s="1350"/>
      <c r="F502" s="1350"/>
      <c r="G502" s="1350"/>
      <c r="H502" s="1350"/>
      <c r="I502" s="1350"/>
      <c r="J502" s="1350"/>
      <c r="K502" s="1350"/>
      <c r="L502" s="1350"/>
      <c r="M502" s="1350"/>
      <c r="N502" s="1350"/>
      <c r="O502" s="1350"/>
      <c r="P502" s="1354"/>
      <c r="Q502" s="1355"/>
      <c r="R502" s="1355"/>
      <c r="S502" s="1350"/>
      <c r="T502" s="1349"/>
      <c r="U502" s="1348"/>
      <c r="V502" s="1348"/>
      <c r="W502" s="1349"/>
      <c r="X502" s="1350"/>
      <c r="Y502" s="1350"/>
      <c r="Z502" s="1349"/>
      <c r="AA502" s="1351"/>
      <c r="AB502" s="1350"/>
      <c r="AC502" s="1350"/>
      <c r="AD502" s="1350"/>
      <c r="AE502" s="1350"/>
      <c r="AF502" s="1350"/>
      <c r="AG502" s="1350"/>
      <c r="AH502" s="1350"/>
      <c r="AI502" s="1350"/>
      <c r="AJ502" s="1350"/>
      <c r="AK502" s="1350"/>
    </row>
    <row r="503">
      <c r="A503" s="1350"/>
      <c r="B503" s="1350"/>
      <c r="C503" s="1350"/>
      <c r="D503" s="1350"/>
      <c r="E503" s="1350"/>
      <c r="F503" s="1350"/>
      <c r="G503" s="1350"/>
      <c r="H503" s="1350"/>
      <c r="I503" s="1350"/>
      <c r="J503" s="1350"/>
      <c r="K503" s="1350"/>
      <c r="L503" s="1350"/>
      <c r="M503" s="1350"/>
      <c r="N503" s="1350"/>
      <c r="O503" s="1350"/>
      <c r="P503" s="1354"/>
      <c r="Q503" s="1355"/>
      <c r="R503" s="1355"/>
      <c r="S503" s="1350"/>
      <c r="T503" s="1349"/>
      <c r="U503" s="1348"/>
      <c r="V503" s="1348"/>
      <c r="W503" s="1349"/>
      <c r="X503" s="1350"/>
      <c r="Y503" s="1350"/>
      <c r="Z503" s="1349"/>
      <c r="AA503" s="1351"/>
      <c r="AB503" s="1350"/>
      <c r="AC503" s="1350"/>
      <c r="AD503" s="1350"/>
      <c r="AE503" s="1350"/>
      <c r="AF503" s="1350"/>
      <c r="AG503" s="1350"/>
      <c r="AH503" s="1350"/>
      <c r="AI503" s="1350"/>
      <c r="AJ503" s="1350"/>
      <c r="AK503" s="1350"/>
    </row>
    <row r="504">
      <c r="A504" s="1350"/>
      <c r="B504" s="1350"/>
      <c r="C504" s="1350"/>
      <c r="D504" s="1350"/>
      <c r="E504" s="1350"/>
      <c r="F504" s="1350"/>
      <c r="G504" s="1350"/>
      <c r="H504" s="1350"/>
      <c r="I504" s="1350"/>
      <c r="J504" s="1350"/>
      <c r="K504" s="1350"/>
      <c r="L504" s="1350"/>
      <c r="M504" s="1350"/>
      <c r="N504" s="1350"/>
      <c r="O504" s="1350"/>
      <c r="P504" s="1354"/>
      <c r="Q504" s="1355"/>
      <c r="R504" s="1355"/>
      <c r="S504" s="1350"/>
      <c r="T504" s="1349"/>
      <c r="U504" s="1348"/>
      <c r="V504" s="1348"/>
      <c r="W504" s="1349"/>
      <c r="X504" s="1350"/>
      <c r="Y504" s="1350"/>
      <c r="Z504" s="1349"/>
      <c r="AA504" s="1351"/>
      <c r="AB504" s="1350"/>
      <c r="AC504" s="1350"/>
      <c r="AD504" s="1350"/>
      <c r="AE504" s="1350"/>
      <c r="AF504" s="1350"/>
      <c r="AG504" s="1350"/>
      <c r="AH504" s="1350"/>
      <c r="AI504" s="1350"/>
      <c r="AJ504" s="1350"/>
      <c r="AK504" s="1350"/>
    </row>
    <row r="505">
      <c r="A505" s="1350"/>
      <c r="B505" s="1350"/>
      <c r="C505" s="1350"/>
      <c r="D505" s="1350"/>
      <c r="E505" s="1350"/>
      <c r="F505" s="1350"/>
      <c r="G505" s="1350"/>
      <c r="H505" s="1350"/>
      <c r="I505" s="1350"/>
      <c r="J505" s="1350"/>
      <c r="K505" s="1350"/>
      <c r="L505" s="1350"/>
      <c r="M505" s="1350"/>
      <c r="N505" s="1350"/>
      <c r="O505" s="1350"/>
      <c r="P505" s="1354"/>
      <c r="Q505" s="1355"/>
      <c r="R505" s="1355"/>
      <c r="S505" s="1350"/>
      <c r="T505" s="1349"/>
      <c r="U505" s="1348"/>
      <c r="V505" s="1348"/>
      <c r="W505" s="1349"/>
      <c r="X505" s="1350"/>
      <c r="Y505" s="1350"/>
      <c r="Z505" s="1349"/>
      <c r="AA505" s="1351"/>
      <c r="AB505" s="1350"/>
      <c r="AC505" s="1350"/>
      <c r="AD505" s="1350"/>
      <c r="AE505" s="1350"/>
      <c r="AF505" s="1350"/>
      <c r="AG505" s="1350"/>
      <c r="AH505" s="1350"/>
      <c r="AI505" s="1350"/>
      <c r="AJ505" s="1350"/>
      <c r="AK505" s="1350"/>
    </row>
    <row r="506">
      <c r="A506" s="1350"/>
      <c r="B506" s="1350"/>
      <c r="C506" s="1350"/>
      <c r="D506" s="1350"/>
      <c r="E506" s="1350"/>
      <c r="F506" s="1350"/>
      <c r="G506" s="1350"/>
      <c r="H506" s="1350"/>
      <c r="I506" s="1350"/>
      <c r="J506" s="1350"/>
      <c r="K506" s="1350"/>
      <c r="L506" s="1350"/>
      <c r="M506" s="1350"/>
      <c r="N506" s="1350"/>
      <c r="O506" s="1350"/>
      <c r="P506" s="1354"/>
      <c r="Q506" s="1355"/>
      <c r="R506" s="1355"/>
      <c r="S506" s="1350"/>
      <c r="T506" s="1349"/>
      <c r="U506" s="1348"/>
      <c r="V506" s="1348"/>
      <c r="W506" s="1349"/>
      <c r="X506" s="1350"/>
      <c r="Y506" s="1350"/>
      <c r="Z506" s="1349"/>
      <c r="AA506" s="1351"/>
      <c r="AB506" s="1350"/>
      <c r="AC506" s="1350"/>
      <c r="AD506" s="1350"/>
      <c r="AE506" s="1350"/>
      <c r="AF506" s="1350"/>
      <c r="AG506" s="1350"/>
      <c r="AH506" s="1350"/>
      <c r="AI506" s="1350"/>
      <c r="AJ506" s="1350"/>
      <c r="AK506" s="1350"/>
    </row>
    <row r="507">
      <c r="A507" s="1350"/>
      <c r="B507" s="1350"/>
      <c r="C507" s="1350"/>
      <c r="D507" s="1350"/>
      <c r="E507" s="1350"/>
      <c r="F507" s="1350"/>
      <c r="G507" s="1350"/>
      <c r="H507" s="1350"/>
      <c r="I507" s="1350"/>
      <c r="J507" s="1350"/>
      <c r="K507" s="1350"/>
      <c r="L507" s="1350"/>
      <c r="M507" s="1350"/>
      <c r="N507" s="1350"/>
      <c r="O507" s="1350"/>
      <c r="P507" s="1354"/>
      <c r="Q507" s="1355"/>
      <c r="R507" s="1355"/>
      <c r="S507" s="1350"/>
      <c r="T507" s="1349"/>
      <c r="U507" s="1348"/>
      <c r="V507" s="1348"/>
      <c r="W507" s="1349"/>
      <c r="X507" s="1350"/>
      <c r="Y507" s="1350"/>
      <c r="Z507" s="1349"/>
      <c r="AA507" s="1351"/>
      <c r="AB507" s="1350"/>
      <c r="AC507" s="1350"/>
      <c r="AD507" s="1350"/>
      <c r="AE507" s="1350"/>
      <c r="AF507" s="1350"/>
      <c r="AG507" s="1350"/>
      <c r="AH507" s="1350"/>
      <c r="AI507" s="1350"/>
      <c r="AJ507" s="1350"/>
      <c r="AK507" s="1350"/>
    </row>
    <row r="508">
      <c r="A508" s="1350"/>
      <c r="B508" s="1350"/>
      <c r="C508" s="1350"/>
      <c r="D508" s="1350"/>
      <c r="E508" s="1350"/>
      <c r="F508" s="1350"/>
      <c r="G508" s="1350"/>
      <c r="H508" s="1350"/>
      <c r="I508" s="1350"/>
      <c r="J508" s="1350"/>
      <c r="K508" s="1350"/>
      <c r="L508" s="1350"/>
      <c r="M508" s="1350"/>
      <c r="N508" s="1350"/>
      <c r="O508" s="1350"/>
      <c r="P508" s="1354"/>
      <c r="Q508" s="1355"/>
      <c r="R508" s="1355"/>
      <c r="S508" s="1350"/>
      <c r="T508" s="1349"/>
      <c r="U508" s="1348"/>
      <c r="V508" s="1348"/>
      <c r="W508" s="1349"/>
      <c r="X508" s="1350"/>
      <c r="Y508" s="1350"/>
      <c r="Z508" s="1349"/>
      <c r="AA508" s="1351"/>
      <c r="AB508" s="1350"/>
      <c r="AC508" s="1350"/>
      <c r="AD508" s="1350"/>
      <c r="AE508" s="1350"/>
      <c r="AF508" s="1350"/>
      <c r="AG508" s="1350"/>
      <c r="AH508" s="1350"/>
      <c r="AI508" s="1350"/>
      <c r="AJ508" s="1350"/>
      <c r="AK508" s="1350"/>
    </row>
    <row r="509">
      <c r="A509" s="1350"/>
      <c r="B509" s="1350"/>
      <c r="C509" s="1350"/>
      <c r="D509" s="1350"/>
      <c r="E509" s="1350"/>
      <c r="F509" s="1350"/>
      <c r="G509" s="1350"/>
      <c r="H509" s="1350"/>
      <c r="I509" s="1350"/>
      <c r="J509" s="1350"/>
      <c r="K509" s="1350"/>
      <c r="L509" s="1350"/>
      <c r="M509" s="1350"/>
      <c r="N509" s="1350"/>
      <c r="O509" s="1350"/>
      <c r="P509" s="1354"/>
      <c r="Q509" s="1355"/>
      <c r="R509" s="1355"/>
      <c r="S509" s="1350"/>
      <c r="T509" s="1349"/>
      <c r="U509" s="1348"/>
      <c r="V509" s="1348"/>
      <c r="W509" s="1349"/>
      <c r="X509" s="1350"/>
      <c r="Y509" s="1350"/>
      <c r="Z509" s="1349"/>
      <c r="AA509" s="1351"/>
      <c r="AB509" s="1350"/>
      <c r="AC509" s="1350"/>
      <c r="AD509" s="1350"/>
      <c r="AE509" s="1350"/>
      <c r="AF509" s="1350"/>
      <c r="AG509" s="1350"/>
      <c r="AH509" s="1350"/>
      <c r="AI509" s="1350"/>
      <c r="AJ509" s="1350"/>
      <c r="AK509" s="1350"/>
    </row>
    <row r="510">
      <c r="A510" s="1350"/>
      <c r="B510" s="1350"/>
      <c r="C510" s="1350"/>
      <c r="D510" s="1350"/>
      <c r="E510" s="1350"/>
      <c r="F510" s="1350"/>
      <c r="G510" s="1350"/>
      <c r="H510" s="1350"/>
      <c r="I510" s="1350"/>
      <c r="J510" s="1350"/>
      <c r="K510" s="1350"/>
      <c r="L510" s="1350"/>
      <c r="M510" s="1350"/>
      <c r="N510" s="1350"/>
      <c r="O510" s="1350"/>
      <c r="P510" s="1354"/>
      <c r="Q510" s="1355"/>
      <c r="R510" s="1355"/>
      <c r="S510" s="1350"/>
      <c r="T510" s="1349"/>
      <c r="U510" s="1348"/>
      <c r="V510" s="1348"/>
      <c r="W510" s="1349"/>
      <c r="X510" s="1350"/>
      <c r="Y510" s="1350"/>
      <c r="Z510" s="1349"/>
      <c r="AA510" s="1351"/>
      <c r="AB510" s="1350"/>
      <c r="AC510" s="1350"/>
      <c r="AD510" s="1350"/>
      <c r="AE510" s="1350"/>
      <c r="AF510" s="1350"/>
      <c r="AG510" s="1350"/>
      <c r="AH510" s="1350"/>
      <c r="AI510" s="1350"/>
      <c r="AJ510" s="1350"/>
      <c r="AK510" s="1350"/>
    </row>
    <row r="511">
      <c r="A511" s="1350"/>
      <c r="B511" s="1350"/>
      <c r="C511" s="1350"/>
      <c r="D511" s="1350"/>
      <c r="E511" s="1350"/>
      <c r="F511" s="1350"/>
      <c r="G511" s="1350"/>
      <c r="H511" s="1350"/>
      <c r="I511" s="1350"/>
      <c r="J511" s="1350"/>
      <c r="K511" s="1350"/>
      <c r="L511" s="1350"/>
      <c r="M511" s="1350"/>
      <c r="N511" s="1350"/>
      <c r="O511" s="1350"/>
      <c r="P511" s="1354"/>
      <c r="Q511" s="1355"/>
      <c r="R511" s="1355"/>
      <c r="S511" s="1350"/>
      <c r="T511" s="1349"/>
      <c r="U511" s="1348"/>
      <c r="V511" s="1348"/>
      <c r="W511" s="1349"/>
      <c r="X511" s="1350"/>
      <c r="Y511" s="1350"/>
      <c r="Z511" s="1349"/>
      <c r="AA511" s="1351"/>
      <c r="AB511" s="1350"/>
      <c r="AC511" s="1350"/>
      <c r="AD511" s="1350"/>
      <c r="AE511" s="1350"/>
      <c r="AF511" s="1350"/>
      <c r="AG511" s="1350"/>
      <c r="AH511" s="1350"/>
      <c r="AI511" s="1350"/>
      <c r="AJ511" s="1350"/>
      <c r="AK511" s="1350"/>
    </row>
    <row r="512">
      <c r="A512" s="1350"/>
      <c r="B512" s="1350"/>
      <c r="C512" s="1350"/>
      <c r="D512" s="1350"/>
      <c r="E512" s="1350"/>
      <c r="F512" s="1350"/>
      <c r="G512" s="1350"/>
      <c r="H512" s="1350"/>
      <c r="I512" s="1350"/>
      <c r="J512" s="1350"/>
      <c r="K512" s="1350"/>
      <c r="L512" s="1350"/>
      <c r="M512" s="1350"/>
      <c r="N512" s="1350"/>
      <c r="O512" s="1350"/>
      <c r="P512" s="1354"/>
      <c r="Q512" s="1355"/>
      <c r="R512" s="1355"/>
      <c r="S512" s="1350"/>
      <c r="T512" s="1349"/>
      <c r="U512" s="1348"/>
      <c r="V512" s="1348"/>
      <c r="W512" s="1349"/>
      <c r="X512" s="1350"/>
      <c r="Y512" s="1350"/>
      <c r="Z512" s="1349"/>
      <c r="AA512" s="1351"/>
      <c r="AB512" s="1350"/>
      <c r="AC512" s="1350"/>
      <c r="AD512" s="1350"/>
      <c r="AE512" s="1350"/>
      <c r="AF512" s="1350"/>
      <c r="AG512" s="1350"/>
      <c r="AH512" s="1350"/>
      <c r="AI512" s="1350"/>
      <c r="AJ512" s="1350"/>
      <c r="AK512" s="1350"/>
    </row>
    <row r="513">
      <c r="A513" s="1350"/>
      <c r="B513" s="1350"/>
      <c r="C513" s="1350"/>
      <c r="D513" s="1350"/>
      <c r="E513" s="1350"/>
      <c r="F513" s="1350"/>
      <c r="G513" s="1350"/>
      <c r="H513" s="1350"/>
      <c r="I513" s="1350"/>
      <c r="J513" s="1350"/>
      <c r="K513" s="1350"/>
      <c r="L513" s="1350"/>
      <c r="M513" s="1350"/>
      <c r="N513" s="1350"/>
      <c r="O513" s="1350"/>
      <c r="P513" s="1354"/>
      <c r="Q513" s="1355"/>
      <c r="R513" s="1355"/>
      <c r="S513" s="1350"/>
      <c r="T513" s="1349"/>
      <c r="U513" s="1348"/>
      <c r="V513" s="1348"/>
      <c r="W513" s="1349"/>
      <c r="X513" s="1350"/>
      <c r="Y513" s="1350"/>
      <c r="Z513" s="1349"/>
      <c r="AA513" s="1351"/>
      <c r="AB513" s="1350"/>
      <c r="AC513" s="1350"/>
      <c r="AD513" s="1350"/>
      <c r="AE513" s="1350"/>
      <c r="AF513" s="1350"/>
      <c r="AG513" s="1350"/>
      <c r="AH513" s="1350"/>
      <c r="AI513" s="1350"/>
      <c r="AJ513" s="1350"/>
      <c r="AK513" s="1350"/>
    </row>
    <row r="514">
      <c r="A514" s="1350"/>
      <c r="B514" s="1350"/>
      <c r="C514" s="1350"/>
      <c r="D514" s="1350"/>
      <c r="E514" s="1350"/>
      <c r="F514" s="1350"/>
      <c r="G514" s="1350"/>
      <c r="H514" s="1350"/>
      <c r="I514" s="1350"/>
      <c r="J514" s="1350"/>
      <c r="K514" s="1350"/>
      <c r="L514" s="1350"/>
      <c r="M514" s="1350"/>
      <c r="N514" s="1350"/>
      <c r="O514" s="1350"/>
      <c r="P514" s="1354"/>
      <c r="Q514" s="1355"/>
      <c r="R514" s="1355"/>
      <c r="S514" s="1350"/>
      <c r="T514" s="1349"/>
      <c r="U514" s="1348"/>
      <c r="V514" s="1348"/>
      <c r="W514" s="1349"/>
      <c r="X514" s="1350"/>
      <c r="Y514" s="1350"/>
      <c r="Z514" s="1349"/>
      <c r="AA514" s="1351"/>
      <c r="AB514" s="1350"/>
      <c r="AC514" s="1350"/>
      <c r="AD514" s="1350"/>
      <c r="AE514" s="1350"/>
      <c r="AF514" s="1350"/>
      <c r="AG514" s="1350"/>
      <c r="AH514" s="1350"/>
      <c r="AI514" s="1350"/>
      <c r="AJ514" s="1350"/>
      <c r="AK514" s="1350"/>
    </row>
    <row r="515">
      <c r="A515" s="1350"/>
      <c r="B515" s="1350"/>
      <c r="C515" s="1350"/>
      <c r="D515" s="1350"/>
      <c r="E515" s="1350"/>
      <c r="F515" s="1350"/>
      <c r="G515" s="1350"/>
      <c r="H515" s="1350"/>
      <c r="I515" s="1350"/>
      <c r="J515" s="1350"/>
      <c r="K515" s="1350"/>
      <c r="L515" s="1350"/>
      <c r="M515" s="1350"/>
      <c r="N515" s="1350"/>
      <c r="O515" s="1350"/>
      <c r="P515" s="1354"/>
      <c r="Q515" s="1355"/>
      <c r="R515" s="1355"/>
      <c r="S515" s="1350"/>
      <c r="T515" s="1349"/>
      <c r="U515" s="1348"/>
      <c r="V515" s="1348"/>
      <c r="W515" s="1349"/>
      <c r="X515" s="1350"/>
      <c r="Y515" s="1350"/>
      <c r="Z515" s="1349"/>
      <c r="AA515" s="1351"/>
      <c r="AB515" s="1350"/>
      <c r="AC515" s="1350"/>
      <c r="AD515" s="1350"/>
      <c r="AE515" s="1350"/>
      <c r="AF515" s="1350"/>
      <c r="AG515" s="1350"/>
      <c r="AH515" s="1350"/>
      <c r="AI515" s="1350"/>
      <c r="AJ515" s="1350"/>
      <c r="AK515" s="1350"/>
    </row>
    <row r="516">
      <c r="A516" s="1350"/>
      <c r="B516" s="1350"/>
      <c r="C516" s="1350"/>
      <c r="D516" s="1350"/>
      <c r="E516" s="1350"/>
      <c r="F516" s="1350"/>
      <c r="G516" s="1350"/>
      <c r="H516" s="1350"/>
      <c r="I516" s="1350"/>
      <c r="J516" s="1350"/>
      <c r="K516" s="1350"/>
      <c r="L516" s="1350"/>
      <c r="M516" s="1350"/>
      <c r="N516" s="1350"/>
      <c r="O516" s="1350"/>
      <c r="P516" s="1354"/>
      <c r="Q516" s="1355"/>
      <c r="R516" s="1355"/>
      <c r="S516" s="1350"/>
      <c r="T516" s="1349"/>
      <c r="U516" s="1348"/>
      <c r="V516" s="1348"/>
      <c r="W516" s="1349"/>
      <c r="X516" s="1350"/>
      <c r="Y516" s="1350"/>
      <c r="Z516" s="1349"/>
      <c r="AA516" s="1351"/>
      <c r="AB516" s="1350"/>
      <c r="AC516" s="1350"/>
      <c r="AD516" s="1350"/>
      <c r="AE516" s="1350"/>
      <c r="AF516" s="1350"/>
      <c r="AG516" s="1350"/>
      <c r="AH516" s="1350"/>
      <c r="AI516" s="1350"/>
      <c r="AJ516" s="1350"/>
      <c r="AK516" s="1350"/>
    </row>
    <row r="517">
      <c r="A517" s="1350"/>
      <c r="B517" s="1350"/>
      <c r="C517" s="1350"/>
      <c r="D517" s="1350"/>
      <c r="E517" s="1350"/>
      <c r="F517" s="1350"/>
      <c r="G517" s="1350"/>
      <c r="H517" s="1350"/>
      <c r="I517" s="1350"/>
      <c r="J517" s="1350"/>
      <c r="K517" s="1350"/>
      <c r="L517" s="1350"/>
      <c r="M517" s="1350"/>
      <c r="N517" s="1350"/>
      <c r="O517" s="1350"/>
      <c r="P517" s="1354"/>
      <c r="Q517" s="1355"/>
      <c r="R517" s="1355"/>
      <c r="S517" s="1350"/>
      <c r="T517" s="1349"/>
      <c r="U517" s="1348"/>
      <c r="V517" s="1348"/>
      <c r="W517" s="1349"/>
      <c r="X517" s="1350"/>
      <c r="Y517" s="1350"/>
      <c r="Z517" s="1349"/>
      <c r="AA517" s="1351"/>
      <c r="AB517" s="1350"/>
      <c r="AC517" s="1350"/>
      <c r="AD517" s="1350"/>
      <c r="AE517" s="1350"/>
      <c r="AF517" s="1350"/>
      <c r="AG517" s="1350"/>
      <c r="AH517" s="1350"/>
      <c r="AI517" s="1350"/>
      <c r="AJ517" s="1350"/>
      <c r="AK517" s="1350"/>
    </row>
    <row r="518">
      <c r="A518" s="1350"/>
      <c r="B518" s="1350"/>
      <c r="C518" s="1350"/>
      <c r="D518" s="1350"/>
      <c r="E518" s="1350"/>
      <c r="F518" s="1350"/>
      <c r="G518" s="1350"/>
      <c r="H518" s="1350"/>
      <c r="I518" s="1350"/>
      <c r="J518" s="1350"/>
      <c r="K518" s="1350"/>
      <c r="L518" s="1350"/>
      <c r="M518" s="1350"/>
      <c r="N518" s="1350"/>
      <c r="O518" s="1350"/>
      <c r="P518" s="1354"/>
      <c r="Q518" s="1355"/>
      <c r="R518" s="1355"/>
      <c r="S518" s="1350"/>
      <c r="T518" s="1349"/>
      <c r="U518" s="1348"/>
      <c r="V518" s="1348"/>
      <c r="W518" s="1349"/>
      <c r="X518" s="1350"/>
      <c r="Y518" s="1350"/>
      <c r="Z518" s="1349"/>
      <c r="AA518" s="1351"/>
      <c r="AB518" s="1350"/>
      <c r="AC518" s="1350"/>
      <c r="AD518" s="1350"/>
      <c r="AE518" s="1350"/>
      <c r="AF518" s="1350"/>
      <c r="AG518" s="1350"/>
      <c r="AH518" s="1350"/>
      <c r="AI518" s="1350"/>
      <c r="AJ518" s="1350"/>
      <c r="AK518" s="1350"/>
    </row>
    <row r="519">
      <c r="A519" s="1350"/>
      <c r="B519" s="1350"/>
      <c r="C519" s="1350"/>
      <c r="D519" s="1350"/>
      <c r="E519" s="1350"/>
      <c r="F519" s="1350"/>
      <c r="G519" s="1350"/>
      <c r="H519" s="1350"/>
      <c r="I519" s="1350"/>
      <c r="J519" s="1350"/>
      <c r="K519" s="1350"/>
      <c r="L519" s="1350"/>
      <c r="M519" s="1350"/>
      <c r="N519" s="1350"/>
      <c r="O519" s="1350"/>
      <c r="P519" s="1354"/>
      <c r="Q519" s="1355"/>
      <c r="R519" s="1355"/>
      <c r="S519" s="1350"/>
      <c r="T519" s="1349"/>
      <c r="U519" s="1348"/>
      <c r="V519" s="1348"/>
      <c r="W519" s="1349"/>
      <c r="X519" s="1350"/>
      <c r="Y519" s="1350"/>
      <c r="Z519" s="1349"/>
      <c r="AA519" s="1351"/>
      <c r="AB519" s="1350"/>
      <c r="AC519" s="1350"/>
      <c r="AD519" s="1350"/>
      <c r="AE519" s="1350"/>
      <c r="AF519" s="1350"/>
      <c r="AG519" s="1350"/>
      <c r="AH519" s="1350"/>
      <c r="AI519" s="1350"/>
      <c r="AJ519" s="1350"/>
      <c r="AK519" s="1350"/>
    </row>
    <row r="520">
      <c r="A520" s="1350"/>
      <c r="B520" s="1350"/>
      <c r="C520" s="1350"/>
      <c r="D520" s="1350"/>
      <c r="E520" s="1350"/>
      <c r="F520" s="1350"/>
      <c r="G520" s="1350"/>
      <c r="H520" s="1350"/>
      <c r="I520" s="1350"/>
      <c r="J520" s="1350"/>
      <c r="K520" s="1350"/>
      <c r="L520" s="1350"/>
      <c r="M520" s="1350"/>
      <c r="N520" s="1350"/>
      <c r="O520" s="1350"/>
      <c r="P520" s="1354"/>
      <c r="Q520" s="1355"/>
      <c r="R520" s="1355"/>
      <c r="S520" s="1350"/>
      <c r="T520" s="1349"/>
      <c r="U520" s="1348"/>
      <c r="V520" s="1348"/>
      <c r="W520" s="1349"/>
      <c r="X520" s="1350"/>
      <c r="Y520" s="1350"/>
      <c r="Z520" s="1349"/>
      <c r="AA520" s="1351"/>
      <c r="AB520" s="1350"/>
      <c r="AC520" s="1350"/>
      <c r="AD520" s="1350"/>
      <c r="AE520" s="1350"/>
      <c r="AF520" s="1350"/>
      <c r="AG520" s="1350"/>
      <c r="AH520" s="1350"/>
      <c r="AI520" s="1350"/>
      <c r="AJ520" s="1350"/>
      <c r="AK520" s="1350"/>
    </row>
    <row r="521">
      <c r="A521" s="1350"/>
      <c r="B521" s="1350"/>
      <c r="C521" s="1350"/>
      <c r="D521" s="1350"/>
      <c r="E521" s="1350"/>
      <c r="F521" s="1350"/>
      <c r="G521" s="1350"/>
      <c r="H521" s="1350"/>
      <c r="I521" s="1350"/>
      <c r="J521" s="1350"/>
      <c r="K521" s="1350"/>
      <c r="L521" s="1350"/>
      <c r="M521" s="1350"/>
      <c r="N521" s="1350"/>
      <c r="O521" s="1350"/>
      <c r="P521" s="1354"/>
      <c r="Q521" s="1355"/>
      <c r="R521" s="1355"/>
      <c r="S521" s="1350"/>
      <c r="T521" s="1349"/>
      <c r="U521" s="1348"/>
      <c r="V521" s="1348"/>
      <c r="W521" s="1349"/>
      <c r="X521" s="1350"/>
      <c r="Y521" s="1350"/>
      <c r="Z521" s="1349"/>
      <c r="AA521" s="1351"/>
      <c r="AB521" s="1350"/>
      <c r="AC521" s="1350"/>
      <c r="AD521" s="1350"/>
      <c r="AE521" s="1350"/>
      <c r="AF521" s="1350"/>
      <c r="AG521" s="1350"/>
      <c r="AH521" s="1350"/>
      <c r="AI521" s="1350"/>
      <c r="AJ521" s="1350"/>
      <c r="AK521" s="1350"/>
    </row>
    <row r="522">
      <c r="A522" s="1350"/>
      <c r="B522" s="1350"/>
      <c r="C522" s="1350"/>
      <c r="D522" s="1350"/>
      <c r="E522" s="1350"/>
      <c r="F522" s="1350"/>
      <c r="G522" s="1350"/>
      <c r="H522" s="1350"/>
      <c r="I522" s="1350"/>
      <c r="J522" s="1350"/>
      <c r="K522" s="1350"/>
      <c r="L522" s="1350"/>
      <c r="M522" s="1350"/>
      <c r="N522" s="1350"/>
      <c r="O522" s="1350"/>
      <c r="P522" s="1354"/>
      <c r="Q522" s="1355"/>
      <c r="R522" s="1355"/>
      <c r="S522" s="1350"/>
      <c r="T522" s="1349"/>
      <c r="U522" s="1348"/>
      <c r="V522" s="1348"/>
      <c r="W522" s="1349"/>
      <c r="X522" s="1350"/>
      <c r="Y522" s="1350"/>
      <c r="Z522" s="1349"/>
      <c r="AA522" s="1351"/>
      <c r="AB522" s="1350"/>
      <c r="AC522" s="1350"/>
      <c r="AD522" s="1350"/>
      <c r="AE522" s="1350"/>
      <c r="AF522" s="1350"/>
      <c r="AG522" s="1350"/>
      <c r="AH522" s="1350"/>
      <c r="AI522" s="1350"/>
      <c r="AJ522" s="1350"/>
      <c r="AK522" s="1350"/>
    </row>
    <row r="523">
      <c r="A523" s="1350"/>
      <c r="B523" s="1350"/>
      <c r="C523" s="1350"/>
      <c r="D523" s="1350"/>
      <c r="E523" s="1350"/>
      <c r="F523" s="1350"/>
      <c r="G523" s="1350"/>
      <c r="H523" s="1350"/>
      <c r="I523" s="1350"/>
      <c r="J523" s="1350"/>
      <c r="K523" s="1350"/>
      <c r="L523" s="1350"/>
      <c r="M523" s="1350"/>
      <c r="N523" s="1350"/>
      <c r="O523" s="1350"/>
      <c r="P523" s="1354"/>
      <c r="Q523" s="1355"/>
      <c r="R523" s="1355"/>
      <c r="S523" s="1350"/>
      <c r="T523" s="1349"/>
      <c r="U523" s="1348"/>
      <c r="V523" s="1348"/>
      <c r="W523" s="1349"/>
      <c r="X523" s="1350"/>
      <c r="Y523" s="1350"/>
      <c r="Z523" s="1349"/>
      <c r="AA523" s="1351"/>
      <c r="AB523" s="1350"/>
      <c r="AC523" s="1350"/>
      <c r="AD523" s="1350"/>
      <c r="AE523" s="1350"/>
      <c r="AF523" s="1350"/>
      <c r="AG523" s="1350"/>
      <c r="AH523" s="1350"/>
      <c r="AI523" s="1350"/>
      <c r="AJ523" s="1350"/>
      <c r="AK523" s="1350"/>
    </row>
    <row r="524">
      <c r="A524" s="1350"/>
      <c r="B524" s="1350"/>
      <c r="C524" s="1350"/>
      <c r="D524" s="1350"/>
      <c r="E524" s="1350"/>
      <c r="F524" s="1350"/>
      <c r="G524" s="1350"/>
      <c r="H524" s="1350"/>
      <c r="I524" s="1350"/>
      <c r="J524" s="1350"/>
      <c r="K524" s="1350"/>
      <c r="L524" s="1350"/>
      <c r="M524" s="1350"/>
      <c r="N524" s="1350"/>
      <c r="O524" s="1350"/>
      <c r="P524" s="1354"/>
      <c r="Q524" s="1355"/>
      <c r="R524" s="1355"/>
      <c r="S524" s="1350"/>
      <c r="T524" s="1349"/>
      <c r="U524" s="1348"/>
      <c r="V524" s="1348"/>
      <c r="W524" s="1349"/>
      <c r="X524" s="1350"/>
      <c r="Y524" s="1350"/>
      <c r="Z524" s="1349"/>
      <c r="AA524" s="1351"/>
      <c r="AB524" s="1350"/>
      <c r="AC524" s="1350"/>
      <c r="AD524" s="1350"/>
      <c r="AE524" s="1350"/>
      <c r="AF524" s="1350"/>
      <c r="AG524" s="1350"/>
      <c r="AH524" s="1350"/>
      <c r="AI524" s="1350"/>
      <c r="AJ524" s="1350"/>
      <c r="AK524" s="1350"/>
    </row>
    <row r="525">
      <c r="A525" s="1350"/>
      <c r="B525" s="1350"/>
      <c r="C525" s="1350"/>
      <c r="D525" s="1350"/>
      <c r="E525" s="1350"/>
      <c r="F525" s="1350"/>
      <c r="G525" s="1350"/>
      <c r="H525" s="1350"/>
      <c r="I525" s="1350"/>
      <c r="J525" s="1350"/>
      <c r="K525" s="1350"/>
      <c r="L525" s="1350"/>
      <c r="M525" s="1350"/>
      <c r="N525" s="1350"/>
      <c r="O525" s="1350"/>
      <c r="P525" s="1354"/>
      <c r="Q525" s="1355"/>
      <c r="R525" s="1355"/>
      <c r="S525" s="1350"/>
      <c r="T525" s="1349"/>
      <c r="U525" s="1348"/>
      <c r="V525" s="1348"/>
      <c r="W525" s="1349"/>
      <c r="X525" s="1350"/>
      <c r="Y525" s="1350"/>
      <c r="Z525" s="1349"/>
      <c r="AA525" s="1351"/>
      <c r="AB525" s="1350"/>
      <c r="AC525" s="1350"/>
      <c r="AD525" s="1350"/>
      <c r="AE525" s="1350"/>
      <c r="AF525" s="1350"/>
      <c r="AG525" s="1350"/>
      <c r="AH525" s="1350"/>
      <c r="AI525" s="1350"/>
      <c r="AJ525" s="1350"/>
      <c r="AK525" s="1350"/>
    </row>
    <row r="526">
      <c r="A526" s="1350"/>
      <c r="B526" s="1350"/>
      <c r="C526" s="1350"/>
      <c r="D526" s="1350"/>
      <c r="E526" s="1350"/>
      <c r="F526" s="1350"/>
      <c r="G526" s="1350"/>
      <c r="H526" s="1350"/>
      <c r="I526" s="1350"/>
      <c r="J526" s="1350"/>
      <c r="K526" s="1350"/>
      <c r="L526" s="1350"/>
      <c r="M526" s="1350"/>
      <c r="N526" s="1350"/>
      <c r="O526" s="1350"/>
      <c r="P526" s="1354"/>
      <c r="Q526" s="1355"/>
      <c r="R526" s="1355"/>
      <c r="S526" s="1350"/>
      <c r="T526" s="1349"/>
      <c r="U526" s="1348"/>
      <c r="V526" s="1348"/>
      <c r="W526" s="1349"/>
      <c r="X526" s="1350"/>
      <c r="Y526" s="1350"/>
      <c r="Z526" s="1349"/>
      <c r="AA526" s="1351"/>
      <c r="AB526" s="1350"/>
      <c r="AC526" s="1350"/>
      <c r="AD526" s="1350"/>
      <c r="AE526" s="1350"/>
      <c r="AF526" s="1350"/>
      <c r="AG526" s="1350"/>
      <c r="AH526" s="1350"/>
      <c r="AI526" s="1350"/>
      <c r="AJ526" s="1350"/>
      <c r="AK526" s="1350"/>
    </row>
    <row r="527">
      <c r="A527" s="1350"/>
      <c r="B527" s="1350"/>
      <c r="C527" s="1350"/>
      <c r="D527" s="1350"/>
      <c r="E527" s="1350"/>
      <c r="F527" s="1350"/>
      <c r="G527" s="1350"/>
      <c r="H527" s="1350"/>
      <c r="I527" s="1350"/>
      <c r="J527" s="1350"/>
      <c r="K527" s="1350"/>
      <c r="L527" s="1350"/>
      <c r="M527" s="1350"/>
      <c r="N527" s="1350"/>
      <c r="O527" s="1350"/>
      <c r="P527" s="1354"/>
      <c r="Q527" s="1355"/>
      <c r="R527" s="1355"/>
      <c r="S527" s="1350"/>
      <c r="T527" s="1349"/>
      <c r="U527" s="1348"/>
      <c r="V527" s="1348"/>
      <c r="W527" s="1349"/>
      <c r="X527" s="1350"/>
      <c r="Y527" s="1350"/>
      <c r="Z527" s="1349"/>
      <c r="AA527" s="1351"/>
      <c r="AB527" s="1350"/>
      <c r="AC527" s="1350"/>
      <c r="AD527" s="1350"/>
      <c r="AE527" s="1350"/>
      <c r="AF527" s="1350"/>
      <c r="AG527" s="1350"/>
      <c r="AH527" s="1350"/>
      <c r="AI527" s="1350"/>
      <c r="AJ527" s="1350"/>
      <c r="AK527" s="1350"/>
    </row>
    <row r="528">
      <c r="A528" s="1350"/>
      <c r="B528" s="1350"/>
      <c r="C528" s="1350"/>
      <c r="D528" s="1350"/>
      <c r="E528" s="1350"/>
      <c r="F528" s="1350"/>
      <c r="G528" s="1350"/>
      <c r="H528" s="1350"/>
      <c r="I528" s="1350"/>
      <c r="J528" s="1350"/>
      <c r="K528" s="1350"/>
      <c r="L528" s="1350"/>
      <c r="M528" s="1350"/>
      <c r="N528" s="1350"/>
      <c r="O528" s="1350"/>
      <c r="P528" s="1354"/>
      <c r="Q528" s="1355"/>
      <c r="R528" s="1355"/>
      <c r="S528" s="1350"/>
      <c r="T528" s="1349"/>
      <c r="U528" s="1348"/>
      <c r="V528" s="1348"/>
      <c r="W528" s="1349"/>
      <c r="X528" s="1350"/>
      <c r="Y528" s="1350"/>
      <c r="Z528" s="1349"/>
      <c r="AA528" s="1351"/>
      <c r="AB528" s="1350"/>
      <c r="AC528" s="1350"/>
      <c r="AD528" s="1350"/>
      <c r="AE528" s="1350"/>
      <c r="AF528" s="1350"/>
      <c r="AG528" s="1350"/>
      <c r="AH528" s="1350"/>
      <c r="AI528" s="1350"/>
      <c r="AJ528" s="1350"/>
      <c r="AK528" s="1350"/>
    </row>
    <row r="529">
      <c r="A529" s="1350"/>
      <c r="B529" s="1350"/>
      <c r="C529" s="1350"/>
      <c r="D529" s="1350"/>
      <c r="E529" s="1350"/>
      <c r="F529" s="1350"/>
      <c r="G529" s="1350"/>
      <c r="H529" s="1350"/>
      <c r="I529" s="1350"/>
      <c r="J529" s="1350"/>
      <c r="K529" s="1350"/>
      <c r="L529" s="1350"/>
      <c r="M529" s="1350"/>
      <c r="N529" s="1350"/>
      <c r="O529" s="1350"/>
      <c r="P529" s="1354"/>
      <c r="Q529" s="1355"/>
      <c r="R529" s="1355"/>
      <c r="S529" s="1350"/>
      <c r="T529" s="1349"/>
      <c r="U529" s="1348"/>
      <c r="V529" s="1348"/>
      <c r="W529" s="1349"/>
      <c r="X529" s="1350"/>
      <c r="Y529" s="1350"/>
      <c r="Z529" s="1349"/>
      <c r="AA529" s="1351"/>
      <c r="AB529" s="1350"/>
      <c r="AC529" s="1350"/>
      <c r="AD529" s="1350"/>
      <c r="AE529" s="1350"/>
      <c r="AF529" s="1350"/>
      <c r="AG529" s="1350"/>
      <c r="AH529" s="1350"/>
      <c r="AI529" s="1350"/>
      <c r="AJ529" s="1350"/>
      <c r="AK529" s="1350"/>
    </row>
    <row r="530">
      <c r="A530" s="1350"/>
      <c r="B530" s="1350"/>
      <c r="C530" s="1350"/>
      <c r="D530" s="1350"/>
      <c r="E530" s="1350"/>
      <c r="F530" s="1350"/>
      <c r="G530" s="1350"/>
      <c r="H530" s="1350"/>
      <c r="I530" s="1350"/>
      <c r="J530" s="1350"/>
      <c r="K530" s="1350"/>
      <c r="L530" s="1350"/>
      <c r="M530" s="1350"/>
      <c r="N530" s="1350"/>
      <c r="O530" s="1350"/>
      <c r="P530" s="1354"/>
      <c r="Q530" s="1355"/>
      <c r="R530" s="1355"/>
      <c r="S530" s="1350"/>
      <c r="T530" s="1349"/>
      <c r="U530" s="1348"/>
      <c r="V530" s="1348"/>
      <c r="W530" s="1349"/>
      <c r="X530" s="1350"/>
      <c r="Y530" s="1350"/>
      <c r="Z530" s="1349"/>
      <c r="AA530" s="1351"/>
      <c r="AB530" s="1350"/>
      <c r="AC530" s="1350"/>
      <c r="AD530" s="1350"/>
      <c r="AE530" s="1350"/>
      <c r="AF530" s="1350"/>
      <c r="AG530" s="1350"/>
      <c r="AH530" s="1350"/>
      <c r="AI530" s="1350"/>
      <c r="AJ530" s="1350"/>
      <c r="AK530" s="1350"/>
    </row>
    <row r="531">
      <c r="A531" s="1350"/>
      <c r="B531" s="1350"/>
      <c r="C531" s="1350"/>
      <c r="D531" s="1350"/>
      <c r="E531" s="1350"/>
      <c r="F531" s="1350"/>
      <c r="G531" s="1350"/>
      <c r="H531" s="1350"/>
      <c r="I531" s="1350"/>
      <c r="J531" s="1350"/>
      <c r="K531" s="1350"/>
      <c r="L531" s="1350"/>
      <c r="M531" s="1350"/>
      <c r="N531" s="1350"/>
      <c r="O531" s="1350"/>
      <c r="P531" s="1354"/>
      <c r="Q531" s="1355"/>
      <c r="R531" s="1355"/>
      <c r="S531" s="1350"/>
      <c r="T531" s="1349"/>
      <c r="U531" s="1348"/>
      <c r="V531" s="1348"/>
      <c r="W531" s="1349"/>
      <c r="X531" s="1350"/>
      <c r="Y531" s="1350"/>
      <c r="Z531" s="1349"/>
      <c r="AA531" s="1351"/>
      <c r="AB531" s="1350"/>
      <c r="AC531" s="1350"/>
      <c r="AD531" s="1350"/>
      <c r="AE531" s="1350"/>
      <c r="AF531" s="1350"/>
      <c r="AG531" s="1350"/>
      <c r="AH531" s="1350"/>
      <c r="AI531" s="1350"/>
      <c r="AJ531" s="1350"/>
      <c r="AK531" s="1350"/>
    </row>
    <row r="532">
      <c r="A532" s="1350"/>
      <c r="B532" s="1350"/>
      <c r="C532" s="1350"/>
      <c r="D532" s="1350"/>
      <c r="E532" s="1350"/>
      <c r="F532" s="1350"/>
      <c r="G532" s="1350"/>
      <c r="H532" s="1350"/>
      <c r="I532" s="1350"/>
      <c r="J532" s="1350"/>
      <c r="K532" s="1350"/>
      <c r="L532" s="1350"/>
      <c r="M532" s="1350"/>
      <c r="N532" s="1350"/>
      <c r="O532" s="1350"/>
      <c r="P532" s="1354"/>
      <c r="Q532" s="1355"/>
      <c r="R532" s="1355"/>
      <c r="S532" s="1350"/>
      <c r="T532" s="1349"/>
      <c r="U532" s="1348"/>
      <c r="V532" s="1348"/>
      <c r="W532" s="1349"/>
      <c r="X532" s="1350"/>
      <c r="Y532" s="1350"/>
      <c r="Z532" s="1349"/>
      <c r="AA532" s="1351"/>
      <c r="AB532" s="1350"/>
      <c r="AC532" s="1350"/>
      <c r="AD532" s="1350"/>
      <c r="AE532" s="1350"/>
      <c r="AF532" s="1350"/>
      <c r="AG532" s="1350"/>
      <c r="AH532" s="1350"/>
      <c r="AI532" s="1350"/>
      <c r="AJ532" s="1350"/>
      <c r="AK532" s="1350"/>
    </row>
    <row r="533">
      <c r="A533" s="1350"/>
      <c r="B533" s="1350"/>
      <c r="C533" s="1350"/>
      <c r="D533" s="1350"/>
      <c r="E533" s="1350"/>
      <c r="F533" s="1350"/>
      <c r="G533" s="1350"/>
      <c r="H533" s="1350"/>
      <c r="I533" s="1350"/>
      <c r="J533" s="1350"/>
      <c r="K533" s="1350"/>
      <c r="L533" s="1350"/>
      <c r="M533" s="1350"/>
      <c r="N533" s="1350"/>
      <c r="O533" s="1350"/>
      <c r="P533" s="1354"/>
      <c r="Q533" s="1355"/>
      <c r="R533" s="1355"/>
      <c r="S533" s="1350"/>
      <c r="T533" s="1349"/>
      <c r="U533" s="1348"/>
      <c r="V533" s="1348"/>
      <c r="W533" s="1349"/>
      <c r="X533" s="1350"/>
      <c r="Y533" s="1350"/>
      <c r="Z533" s="1349"/>
      <c r="AA533" s="1351"/>
      <c r="AB533" s="1350"/>
      <c r="AC533" s="1350"/>
      <c r="AD533" s="1350"/>
      <c r="AE533" s="1350"/>
      <c r="AF533" s="1350"/>
      <c r="AG533" s="1350"/>
      <c r="AH533" s="1350"/>
      <c r="AI533" s="1350"/>
      <c r="AJ533" s="1350"/>
      <c r="AK533" s="1350"/>
    </row>
    <row r="534">
      <c r="A534" s="1350"/>
      <c r="B534" s="1350"/>
      <c r="C534" s="1350"/>
      <c r="D534" s="1350"/>
      <c r="E534" s="1350"/>
      <c r="F534" s="1350"/>
      <c r="G534" s="1350"/>
      <c r="H534" s="1350"/>
      <c r="I534" s="1350"/>
      <c r="J534" s="1350"/>
      <c r="K534" s="1350"/>
      <c r="L534" s="1350"/>
      <c r="M534" s="1350"/>
      <c r="N534" s="1350"/>
      <c r="O534" s="1350"/>
      <c r="P534" s="1354"/>
      <c r="Q534" s="1355"/>
      <c r="R534" s="1355"/>
      <c r="S534" s="1350"/>
      <c r="T534" s="1349"/>
      <c r="U534" s="1348"/>
      <c r="V534" s="1348"/>
      <c r="W534" s="1349"/>
      <c r="X534" s="1350"/>
      <c r="Y534" s="1350"/>
      <c r="Z534" s="1349"/>
      <c r="AA534" s="1351"/>
      <c r="AB534" s="1350"/>
      <c r="AC534" s="1350"/>
      <c r="AD534" s="1350"/>
      <c r="AE534" s="1350"/>
      <c r="AF534" s="1350"/>
      <c r="AG534" s="1350"/>
      <c r="AH534" s="1350"/>
      <c r="AI534" s="1350"/>
      <c r="AJ534" s="1350"/>
      <c r="AK534" s="1350"/>
    </row>
    <row r="535">
      <c r="A535" s="1350"/>
      <c r="B535" s="1350"/>
      <c r="C535" s="1350"/>
      <c r="D535" s="1350"/>
      <c r="E535" s="1350"/>
      <c r="F535" s="1350"/>
      <c r="G535" s="1350"/>
      <c r="H535" s="1350"/>
      <c r="I535" s="1350"/>
      <c r="J535" s="1350"/>
      <c r="K535" s="1350"/>
      <c r="L535" s="1350"/>
      <c r="M535" s="1350"/>
      <c r="N535" s="1350"/>
      <c r="O535" s="1350"/>
      <c r="P535" s="1354"/>
      <c r="Q535" s="1355"/>
      <c r="R535" s="1355"/>
      <c r="S535" s="1350"/>
      <c r="T535" s="1349"/>
      <c r="U535" s="1348"/>
      <c r="V535" s="1348"/>
      <c r="W535" s="1349"/>
      <c r="X535" s="1350"/>
      <c r="Y535" s="1350"/>
      <c r="Z535" s="1349"/>
      <c r="AA535" s="1351"/>
      <c r="AB535" s="1350"/>
      <c r="AC535" s="1350"/>
      <c r="AD535" s="1350"/>
      <c r="AE535" s="1350"/>
      <c r="AF535" s="1350"/>
      <c r="AG535" s="1350"/>
      <c r="AH535" s="1350"/>
      <c r="AI535" s="1350"/>
      <c r="AJ535" s="1350"/>
      <c r="AK535" s="1350"/>
    </row>
    <row r="536">
      <c r="A536" s="1350"/>
      <c r="B536" s="1350"/>
      <c r="C536" s="1350"/>
      <c r="D536" s="1350"/>
      <c r="E536" s="1350"/>
      <c r="F536" s="1350"/>
      <c r="G536" s="1350"/>
      <c r="H536" s="1350"/>
      <c r="I536" s="1350"/>
      <c r="J536" s="1350"/>
      <c r="K536" s="1350"/>
      <c r="L536" s="1350"/>
      <c r="M536" s="1350"/>
      <c r="N536" s="1350"/>
      <c r="O536" s="1350"/>
      <c r="P536" s="1354"/>
      <c r="Q536" s="1355"/>
      <c r="R536" s="1355"/>
      <c r="S536" s="1350"/>
      <c r="T536" s="1349"/>
      <c r="U536" s="1348"/>
      <c r="V536" s="1348"/>
      <c r="W536" s="1349"/>
      <c r="X536" s="1350"/>
      <c r="Y536" s="1350"/>
      <c r="Z536" s="1349"/>
      <c r="AA536" s="1351"/>
      <c r="AB536" s="1350"/>
      <c r="AC536" s="1350"/>
      <c r="AD536" s="1350"/>
      <c r="AE536" s="1350"/>
      <c r="AF536" s="1350"/>
      <c r="AG536" s="1350"/>
      <c r="AH536" s="1350"/>
      <c r="AI536" s="1350"/>
      <c r="AJ536" s="1350"/>
      <c r="AK536" s="1350"/>
    </row>
    <row r="537">
      <c r="A537" s="1350"/>
      <c r="B537" s="1350"/>
      <c r="C537" s="1350"/>
      <c r="D537" s="1350"/>
      <c r="E537" s="1350"/>
      <c r="F537" s="1350"/>
      <c r="G537" s="1350"/>
      <c r="H537" s="1350"/>
      <c r="I537" s="1350"/>
      <c r="J537" s="1350"/>
      <c r="K537" s="1350"/>
      <c r="L537" s="1350"/>
      <c r="M537" s="1350"/>
      <c r="N537" s="1350"/>
      <c r="O537" s="1350"/>
      <c r="P537" s="1354"/>
      <c r="Q537" s="1355"/>
      <c r="R537" s="1355"/>
      <c r="S537" s="1350"/>
      <c r="T537" s="1349"/>
      <c r="U537" s="1348"/>
      <c r="V537" s="1348"/>
      <c r="W537" s="1349"/>
      <c r="X537" s="1350"/>
      <c r="Y537" s="1350"/>
      <c r="Z537" s="1349"/>
      <c r="AA537" s="1351"/>
      <c r="AB537" s="1350"/>
      <c r="AC537" s="1350"/>
      <c r="AD537" s="1350"/>
      <c r="AE537" s="1350"/>
      <c r="AF537" s="1350"/>
      <c r="AG537" s="1350"/>
      <c r="AH537" s="1350"/>
      <c r="AI537" s="1350"/>
      <c r="AJ537" s="1350"/>
      <c r="AK537" s="1350"/>
    </row>
    <row r="538">
      <c r="A538" s="1350"/>
      <c r="B538" s="1350"/>
      <c r="C538" s="1350"/>
      <c r="D538" s="1350"/>
      <c r="E538" s="1350"/>
      <c r="F538" s="1350"/>
      <c r="G538" s="1350"/>
      <c r="H538" s="1350"/>
      <c r="I538" s="1350"/>
      <c r="J538" s="1350"/>
      <c r="K538" s="1350"/>
      <c r="L538" s="1350"/>
      <c r="M538" s="1350"/>
      <c r="N538" s="1350"/>
      <c r="O538" s="1350"/>
      <c r="P538" s="1354"/>
      <c r="Q538" s="1355"/>
      <c r="R538" s="1355"/>
      <c r="S538" s="1350"/>
      <c r="T538" s="1349"/>
      <c r="U538" s="1348"/>
      <c r="V538" s="1348"/>
      <c r="W538" s="1349"/>
      <c r="X538" s="1350"/>
      <c r="Y538" s="1350"/>
      <c r="Z538" s="1349"/>
      <c r="AA538" s="1351"/>
      <c r="AB538" s="1350"/>
      <c r="AC538" s="1350"/>
      <c r="AD538" s="1350"/>
      <c r="AE538" s="1350"/>
      <c r="AF538" s="1350"/>
      <c r="AG538" s="1350"/>
      <c r="AH538" s="1350"/>
      <c r="AI538" s="1350"/>
      <c r="AJ538" s="1350"/>
      <c r="AK538" s="1350"/>
    </row>
    <row r="539">
      <c r="A539" s="1350"/>
      <c r="B539" s="1350"/>
      <c r="C539" s="1350"/>
      <c r="D539" s="1350"/>
      <c r="E539" s="1350"/>
      <c r="F539" s="1350"/>
      <c r="G539" s="1350"/>
      <c r="H539" s="1350"/>
      <c r="I539" s="1350"/>
      <c r="J539" s="1350"/>
      <c r="K539" s="1350"/>
      <c r="L539" s="1350"/>
      <c r="M539" s="1350"/>
      <c r="N539" s="1350"/>
      <c r="O539" s="1350"/>
      <c r="P539" s="1354"/>
      <c r="Q539" s="1355"/>
      <c r="R539" s="1355"/>
      <c r="S539" s="1350"/>
      <c r="T539" s="1349"/>
      <c r="U539" s="1348"/>
      <c r="V539" s="1348"/>
      <c r="W539" s="1349"/>
      <c r="X539" s="1350"/>
      <c r="Y539" s="1350"/>
      <c r="Z539" s="1349"/>
      <c r="AA539" s="1351"/>
      <c r="AB539" s="1350"/>
      <c r="AC539" s="1350"/>
      <c r="AD539" s="1350"/>
      <c r="AE539" s="1350"/>
      <c r="AF539" s="1350"/>
      <c r="AG539" s="1350"/>
      <c r="AH539" s="1350"/>
      <c r="AI539" s="1350"/>
      <c r="AJ539" s="1350"/>
      <c r="AK539" s="1350"/>
    </row>
    <row r="540">
      <c r="A540" s="1350"/>
      <c r="B540" s="1350"/>
      <c r="C540" s="1350"/>
      <c r="D540" s="1350"/>
      <c r="E540" s="1350"/>
      <c r="F540" s="1350"/>
      <c r="G540" s="1350"/>
      <c r="H540" s="1350"/>
      <c r="I540" s="1350"/>
      <c r="J540" s="1350"/>
      <c r="K540" s="1350"/>
      <c r="L540" s="1350"/>
      <c r="M540" s="1350"/>
      <c r="N540" s="1350"/>
      <c r="O540" s="1350"/>
      <c r="P540" s="1354"/>
      <c r="Q540" s="1355"/>
      <c r="R540" s="1355"/>
      <c r="S540" s="1350"/>
      <c r="T540" s="1349"/>
      <c r="U540" s="1348"/>
      <c r="V540" s="1348"/>
      <c r="W540" s="1349"/>
      <c r="X540" s="1350"/>
      <c r="Y540" s="1350"/>
      <c r="Z540" s="1349"/>
      <c r="AA540" s="1351"/>
      <c r="AB540" s="1350"/>
      <c r="AC540" s="1350"/>
      <c r="AD540" s="1350"/>
      <c r="AE540" s="1350"/>
      <c r="AF540" s="1350"/>
      <c r="AG540" s="1350"/>
      <c r="AH540" s="1350"/>
      <c r="AI540" s="1350"/>
      <c r="AJ540" s="1350"/>
      <c r="AK540" s="1350"/>
    </row>
    <row r="541">
      <c r="A541" s="1350"/>
      <c r="B541" s="1350"/>
      <c r="C541" s="1350"/>
      <c r="D541" s="1350"/>
      <c r="E541" s="1350"/>
      <c r="F541" s="1350"/>
      <c r="G541" s="1350"/>
      <c r="H541" s="1350"/>
      <c r="I541" s="1350"/>
      <c r="J541" s="1350"/>
      <c r="K541" s="1350"/>
      <c r="L541" s="1350"/>
      <c r="M541" s="1350"/>
      <c r="N541" s="1350"/>
      <c r="O541" s="1350"/>
      <c r="P541" s="1354"/>
      <c r="Q541" s="1355"/>
      <c r="R541" s="1355"/>
      <c r="S541" s="1350"/>
      <c r="T541" s="1349"/>
      <c r="U541" s="1348"/>
      <c r="V541" s="1348"/>
      <c r="W541" s="1349"/>
      <c r="X541" s="1350"/>
      <c r="Y541" s="1350"/>
      <c r="Z541" s="1349"/>
      <c r="AA541" s="1351"/>
      <c r="AB541" s="1350"/>
      <c r="AC541" s="1350"/>
      <c r="AD541" s="1350"/>
      <c r="AE541" s="1350"/>
      <c r="AF541" s="1350"/>
      <c r="AG541" s="1350"/>
      <c r="AH541" s="1350"/>
      <c r="AI541" s="1350"/>
      <c r="AJ541" s="1350"/>
      <c r="AK541" s="1350"/>
    </row>
    <row r="542">
      <c r="A542" s="1350"/>
      <c r="B542" s="1350"/>
      <c r="C542" s="1350"/>
      <c r="D542" s="1350"/>
      <c r="E542" s="1350"/>
      <c r="F542" s="1350"/>
      <c r="G542" s="1350"/>
      <c r="H542" s="1350"/>
      <c r="I542" s="1350"/>
      <c r="J542" s="1350"/>
      <c r="K542" s="1350"/>
      <c r="L542" s="1350"/>
      <c r="M542" s="1350"/>
      <c r="N542" s="1350"/>
      <c r="O542" s="1350"/>
      <c r="P542" s="1354"/>
      <c r="Q542" s="1355"/>
      <c r="R542" s="1355"/>
      <c r="S542" s="1350"/>
      <c r="T542" s="1349"/>
      <c r="U542" s="1348"/>
      <c r="V542" s="1348"/>
      <c r="W542" s="1349"/>
      <c r="X542" s="1350"/>
      <c r="Y542" s="1350"/>
      <c r="Z542" s="1349"/>
      <c r="AA542" s="1351"/>
      <c r="AB542" s="1350"/>
      <c r="AC542" s="1350"/>
      <c r="AD542" s="1350"/>
      <c r="AE542" s="1350"/>
      <c r="AF542" s="1350"/>
      <c r="AG542" s="1350"/>
      <c r="AH542" s="1350"/>
      <c r="AI542" s="1350"/>
      <c r="AJ542" s="1350"/>
      <c r="AK542" s="1350"/>
    </row>
    <row r="543">
      <c r="A543" s="1350"/>
      <c r="B543" s="1350"/>
      <c r="C543" s="1350"/>
      <c r="D543" s="1350"/>
      <c r="E543" s="1350"/>
      <c r="F543" s="1350"/>
      <c r="G543" s="1350"/>
      <c r="H543" s="1350"/>
      <c r="I543" s="1350"/>
      <c r="J543" s="1350"/>
      <c r="K543" s="1350"/>
      <c r="L543" s="1350"/>
      <c r="M543" s="1350"/>
      <c r="N543" s="1350"/>
      <c r="O543" s="1350"/>
      <c r="P543" s="1354"/>
      <c r="Q543" s="1355"/>
      <c r="R543" s="1355"/>
      <c r="S543" s="1350"/>
      <c r="T543" s="1349"/>
      <c r="U543" s="1348"/>
      <c r="V543" s="1348"/>
      <c r="W543" s="1349"/>
      <c r="X543" s="1350"/>
      <c r="Y543" s="1350"/>
      <c r="Z543" s="1349"/>
      <c r="AA543" s="1351"/>
      <c r="AB543" s="1350"/>
      <c r="AC543" s="1350"/>
      <c r="AD543" s="1350"/>
      <c r="AE543" s="1350"/>
      <c r="AF543" s="1350"/>
      <c r="AG543" s="1350"/>
      <c r="AH543" s="1350"/>
      <c r="AI543" s="1350"/>
      <c r="AJ543" s="1350"/>
      <c r="AK543" s="1350"/>
    </row>
    <row r="544">
      <c r="A544" s="1350"/>
      <c r="B544" s="1350"/>
      <c r="C544" s="1350"/>
      <c r="D544" s="1350"/>
      <c r="E544" s="1350"/>
      <c r="F544" s="1350"/>
      <c r="G544" s="1350"/>
      <c r="H544" s="1350"/>
      <c r="I544" s="1350"/>
      <c r="J544" s="1350"/>
      <c r="K544" s="1350"/>
      <c r="L544" s="1350"/>
      <c r="M544" s="1350"/>
      <c r="N544" s="1350"/>
      <c r="O544" s="1350"/>
      <c r="P544" s="1354"/>
      <c r="Q544" s="1355"/>
      <c r="R544" s="1355"/>
      <c r="S544" s="1350"/>
      <c r="T544" s="1349"/>
      <c r="U544" s="1348"/>
      <c r="V544" s="1348"/>
      <c r="W544" s="1349"/>
      <c r="X544" s="1350"/>
      <c r="Y544" s="1350"/>
      <c r="Z544" s="1349"/>
      <c r="AA544" s="1351"/>
      <c r="AB544" s="1350"/>
      <c r="AC544" s="1350"/>
      <c r="AD544" s="1350"/>
      <c r="AE544" s="1350"/>
      <c r="AF544" s="1350"/>
      <c r="AG544" s="1350"/>
      <c r="AH544" s="1350"/>
      <c r="AI544" s="1350"/>
      <c r="AJ544" s="1350"/>
      <c r="AK544" s="1350"/>
    </row>
    <row r="545">
      <c r="A545" s="1350"/>
      <c r="B545" s="1350"/>
      <c r="C545" s="1350"/>
      <c r="D545" s="1350"/>
      <c r="E545" s="1350"/>
      <c r="F545" s="1350"/>
      <c r="G545" s="1350"/>
      <c r="H545" s="1350"/>
      <c r="I545" s="1350"/>
      <c r="J545" s="1350"/>
      <c r="K545" s="1350"/>
      <c r="L545" s="1350"/>
      <c r="M545" s="1350"/>
      <c r="N545" s="1350"/>
      <c r="O545" s="1350"/>
      <c r="P545" s="1354"/>
      <c r="Q545" s="1355"/>
      <c r="R545" s="1355"/>
      <c r="S545" s="1350"/>
      <c r="T545" s="1349"/>
      <c r="U545" s="1348"/>
      <c r="V545" s="1348"/>
      <c r="W545" s="1349"/>
      <c r="X545" s="1350"/>
      <c r="Y545" s="1350"/>
      <c r="Z545" s="1349"/>
      <c r="AA545" s="1351"/>
      <c r="AB545" s="1350"/>
      <c r="AC545" s="1350"/>
      <c r="AD545" s="1350"/>
      <c r="AE545" s="1350"/>
      <c r="AF545" s="1350"/>
      <c r="AG545" s="1350"/>
      <c r="AH545" s="1350"/>
      <c r="AI545" s="1350"/>
      <c r="AJ545" s="1350"/>
      <c r="AK545" s="1350"/>
    </row>
    <row r="546">
      <c r="A546" s="1350"/>
      <c r="B546" s="1350"/>
      <c r="C546" s="1350"/>
      <c r="D546" s="1350"/>
      <c r="E546" s="1350"/>
      <c r="F546" s="1350"/>
      <c r="G546" s="1350"/>
      <c r="H546" s="1350"/>
      <c r="I546" s="1350"/>
      <c r="J546" s="1350"/>
      <c r="K546" s="1350"/>
      <c r="L546" s="1350"/>
      <c r="M546" s="1350"/>
      <c r="N546" s="1350"/>
      <c r="O546" s="1350"/>
      <c r="P546" s="1354"/>
      <c r="Q546" s="1355"/>
      <c r="R546" s="1355"/>
      <c r="S546" s="1350"/>
      <c r="T546" s="1349"/>
      <c r="U546" s="1348"/>
      <c r="V546" s="1348"/>
      <c r="W546" s="1349"/>
      <c r="X546" s="1350"/>
      <c r="Y546" s="1350"/>
      <c r="Z546" s="1349"/>
      <c r="AA546" s="1351"/>
      <c r="AB546" s="1350"/>
      <c r="AC546" s="1350"/>
      <c r="AD546" s="1350"/>
      <c r="AE546" s="1350"/>
      <c r="AF546" s="1350"/>
      <c r="AG546" s="1350"/>
      <c r="AH546" s="1350"/>
      <c r="AI546" s="1350"/>
      <c r="AJ546" s="1350"/>
      <c r="AK546" s="1350"/>
    </row>
    <row r="547">
      <c r="A547" s="1350"/>
      <c r="B547" s="1350"/>
      <c r="C547" s="1350"/>
      <c r="D547" s="1350"/>
      <c r="E547" s="1350"/>
      <c r="F547" s="1350"/>
      <c r="G547" s="1350"/>
      <c r="H547" s="1350"/>
      <c r="I547" s="1350"/>
      <c r="J547" s="1350"/>
      <c r="K547" s="1350"/>
      <c r="L547" s="1350"/>
      <c r="M547" s="1350"/>
      <c r="N547" s="1350"/>
      <c r="O547" s="1350"/>
      <c r="P547" s="1354"/>
      <c r="Q547" s="1355"/>
      <c r="R547" s="1355"/>
      <c r="S547" s="1350"/>
      <c r="T547" s="1349"/>
      <c r="U547" s="1348"/>
      <c r="V547" s="1348"/>
      <c r="W547" s="1349"/>
      <c r="X547" s="1350"/>
      <c r="Y547" s="1350"/>
      <c r="Z547" s="1349"/>
      <c r="AA547" s="1351"/>
      <c r="AB547" s="1350"/>
      <c r="AC547" s="1350"/>
      <c r="AD547" s="1350"/>
      <c r="AE547" s="1350"/>
      <c r="AF547" s="1350"/>
      <c r="AG547" s="1350"/>
      <c r="AH547" s="1350"/>
      <c r="AI547" s="1350"/>
      <c r="AJ547" s="1350"/>
      <c r="AK547" s="1350"/>
    </row>
    <row r="548">
      <c r="A548" s="1350"/>
      <c r="B548" s="1350"/>
      <c r="C548" s="1350"/>
      <c r="D548" s="1350"/>
      <c r="E548" s="1350"/>
      <c r="F548" s="1350"/>
      <c r="G548" s="1350"/>
      <c r="H548" s="1350"/>
      <c r="I548" s="1350"/>
      <c r="J548" s="1350"/>
      <c r="K548" s="1350"/>
      <c r="L548" s="1350"/>
      <c r="M548" s="1350"/>
      <c r="N548" s="1350"/>
      <c r="O548" s="1350"/>
      <c r="P548" s="1354"/>
      <c r="Q548" s="1355"/>
      <c r="R548" s="1355"/>
      <c r="S548" s="1350"/>
      <c r="T548" s="1349"/>
      <c r="U548" s="1348"/>
      <c r="V548" s="1348"/>
      <c r="W548" s="1349"/>
      <c r="X548" s="1350"/>
      <c r="Y548" s="1350"/>
      <c r="Z548" s="1349"/>
      <c r="AA548" s="1351"/>
      <c r="AB548" s="1350"/>
      <c r="AC548" s="1350"/>
      <c r="AD548" s="1350"/>
      <c r="AE548" s="1350"/>
      <c r="AF548" s="1350"/>
      <c r="AG548" s="1350"/>
      <c r="AH548" s="1350"/>
      <c r="AI548" s="1350"/>
      <c r="AJ548" s="1350"/>
      <c r="AK548" s="1350"/>
    </row>
    <row r="549">
      <c r="A549" s="1350"/>
      <c r="B549" s="1350"/>
      <c r="C549" s="1350"/>
      <c r="D549" s="1350"/>
      <c r="E549" s="1350"/>
      <c r="F549" s="1350"/>
      <c r="G549" s="1350"/>
      <c r="H549" s="1350"/>
      <c r="I549" s="1350"/>
      <c r="J549" s="1350"/>
      <c r="K549" s="1350"/>
      <c r="L549" s="1350"/>
      <c r="M549" s="1350"/>
      <c r="N549" s="1350"/>
      <c r="O549" s="1350"/>
      <c r="P549" s="1354"/>
      <c r="Q549" s="1355"/>
      <c r="R549" s="1355"/>
      <c r="S549" s="1350"/>
      <c r="T549" s="1349"/>
      <c r="U549" s="1348"/>
      <c r="V549" s="1348"/>
      <c r="W549" s="1349"/>
      <c r="X549" s="1350"/>
      <c r="Y549" s="1350"/>
      <c r="Z549" s="1349"/>
      <c r="AA549" s="1351"/>
      <c r="AB549" s="1350"/>
      <c r="AC549" s="1350"/>
      <c r="AD549" s="1350"/>
      <c r="AE549" s="1350"/>
      <c r="AF549" s="1350"/>
      <c r="AG549" s="1350"/>
      <c r="AH549" s="1350"/>
      <c r="AI549" s="1350"/>
      <c r="AJ549" s="1350"/>
      <c r="AK549" s="1350"/>
    </row>
    <row r="550">
      <c r="A550" s="1350"/>
      <c r="B550" s="1350"/>
      <c r="C550" s="1350"/>
      <c r="D550" s="1350"/>
      <c r="E550" s="1350"/>
      <c r="F550" s="1350"/>
      <c r="G550" s="1350"/>
      <c r="H550" s="1350"/>
      <c r="I550" s="1350"/>
      <c r="J550" s="1350"/>
      <c r="K550" s="1350"/>
      <c r="L550" s="1350"/>
      <c r="M550" s="1350"/>
      <c r="N550" s="1350"/>
      <c r="O550" s="1350"/>
      <c r="P550" s="1354"/>
      <c r="Q550" s="1355"/>
      <c r="R550" s="1355"/>
      <c r="S550" s="1350"/>
      <c r="T550" s="1349"/>
      <c r="U550" s="1348"/>
      <c r="V550" s="1348"/>
      <c r="W550" s="1349"/>
      <c r="X550" s="1350"/>
      <c r="Y550" s="1350"/>
      <c r="Z550" s="1349"/>
      <c r="AA550" s="1351"/>
      <c r="AB550" s="1350"/>
      <c r="AC550" s="1350"/>
      <c r="AD550" s="1350"/>
      <c r="AE550" s="1350"/>
      <c r="AF550" s="1350"/>
      <c r="AG550" s="1350"/>
      <c r="AH550" s="1350"/>
      <c r="AI550" s="1350"/>
      <c r="AJ550" s="1350"/>
      <c r="AK550" s="1350"/>
    </row>
    <row r="551">
      <c r="A551" s="1350"/>
      <c r="B551" s="1350"/>
      <c r="C551" s="1350"/>
      <c r="D551" s="1350"/>
      <c r="E551" s="1350"/>
      <c r="F551" s="1350"/>
      <c r="G551" s="1350"/>
      <c r="H551" s="1350"/>
      <c r="I551" s="1350"/>
      <c r="J551" s="1350"/>
      <c r="K551" s="1350"/>
      <c r="L551" s="1350"/>
      <c r="M551" s="1350"/>
      <c r="N551" s="1350"/>
      <c r="O551" s="1350"/>
      <c r="P551" s="1354"/>
      <c r="Q551" s="1355"/>
      <c r="R551" s="1355"/>
      <c r="S551" s="1350"/>
      <c r="T551" s="1349"/>
      <c r="U551" s="1348"/>
      <c r="V551" s="1348"/>
      <c r="W551" s="1349"/>
      <c r="X551" s="1350"/>
      <c r="Y551" s="1350"/>
      <c r="Z551" s="1349"/>
      <c r="AA551" s="1351"/>
      <c r="AB551" s="1350"/>
      <c r="AC551" s="1350"/>
      <c r="AD551" s="1350"/>
      <c r="AE551" s="1350"/>
      <c r="AF551" s="1350"/>
      <c r="AG551" s="1350"/>
      <c r="AH551" s="1350"/>
      <c r="AI551" s="1350"/>
      <c r="AJ551" s="1350"/>
      <c r="AK551" s="1350"/>
    </row>
    <row r="552">
      <c r="A552" s="1350"/>
      <c r="B552" s="1350"/>
      <c r="C552" s="1350"/>
      <c r="D552" s="1350"/>
      <c r="E552" s="1350"/>
      <c r="F552" s="1350"/>
      <c r="G552" s="1350"/>
      <c r="H552" s="1350"/>
      <c r="I552" s="1350"/>
      <c r="J552" s="1350"/>
      <c r="K552" s="1350"/>
      <c r="L552" s="1350"/>
      <c r="M552" s="1350"/>
      <c r="N552" s="1350"/>
      <c r="O552" s="1350"/>
      <c r="P552" s="1354"/>
      <c r="Q552" s="1355"/>
      <c r="R552" s="1355"/>
      <c r="S552" s="1350"/>
      <c r="T552" s="1349"/>
      <c r="U552" s="1348"/>
      <c r="V552" s="1348"/>
      <c r="W552" s="1349"/>
      <c r="X552" s="1350"/>
      <c r="Y552" s="1350"/>
      <c r="Z552" s="1349"/>
      <c r="AA552" s="1351"/>
      <c r="AB552" s="1350"/>
      <c r="AC552" s="1350"/>
      <c r="AD552" s="1350"/>
      <c r="AE552" s="1350"/>
      <c r="AF552" s="1350"/>
      <c r="AG552" s="1350"/>
      <c r="AH552" s="1350"/>
      <c r="AI552" s="1350"/>
      <c r="AJ552" s="1350"/>
      <c r="AK552" s="1350"/>
    </row>
    <row r="553">
      <c r="A553" s="1350"/>
      <c r="B553" s="1350"/>
      <c r="C553" s="1350"/>
      <c r="D553" s="1350"/>
      <c r="E553" s="1350"/>
      <c r="F553" s="1350"/>
      <c r="G553" s="1350"/>
      <c r="H553" s="1350"/>
      <c r="I553" s="1350"/>
      <c r="J553" s="1350"/>
      <c r="K553" s="1350"/>
      <c r="L553" s="1350"/>
      <c r="M553" s="1350"/>
      <c r="N553" s="1350"/>
      <c r="O553" s="1350"/>
      <c r="P553" s="1354"/>
      <c r="Q553" s="1355"/>
      <c r="R553" s="1355"/>
      <c r="S553" s="1350"/>
      <c r="T553" s="1349"/>
      <c r="U553" s="1348"/>
      <c r="V553" s="1348"/>
      <c r="W553" s="1349"/>
      <c r="X553" s="1350"/>
      <c r="Y553" s="1350"/>
      <c r="Z553" s="1349"/>
      <c r="AA553" s="1351"/>
      <c r="AB553" s="1350"/>
      <c r="AC553" s="1350"/>
      <c r="AD553" s="1350"/>
      <c r="AE553" s="1350"/>
      <c r="AF553" s="1350"/>
      <c r="AG553" s="1350"/>
      <c r="AH553" s="1350"/>
      <c r="AI553" s="1350"/>
      <c r="AJ553" s="1350"/>
      <c r="AK553" s="1350"/>
    </row>
    <row r="554">
      <c r="A554" s="1350"/>
      <c r="B554" s="1350"/>
      <c r="C554" s="1350"/>
      <c r="D554" s="1350"/>
      <c r="E554" s="1350"/>
      <c r="F554" s="1350"/>
      <c r="G554" s="1350"/>
      <c r="H554" s="1350"/>
      <c r="I554" s="1350"/>
      <c r="J554" s="1350"/>
      <c r="K554" s="1350"/>
      <c r="L554" s="1350"/>
      <c r="M554" s="1350"/>
      <c r="N554" s="1350"/>
      <c r="O554" s="1350"/>
      <c r="P554" s="1354"/>
      <c r="Q554" s="1355"/>
      <c r="R554" s="1355"/>
      <c r="S554" s="1350"/>
      <c r="T554" s="1349"/>
      <c r="U554" s="1348"/>
      <c r="V554" s="1348"/>
      <c r="W554" s="1349"/>
      <c r="X554" s="1350"/>
      <c r="Y554" s="1350"/>
      <c r="Z554" s="1349"/>
      <c r="AA554" s="1351"/>
      <c r="AB554" s="1350"/>
      <c r="AC554" s="1350"/>
      <c r="AD554" s="1350"/>
      <c r="AE554" s="1350"/>
      <c r="AF554" s="1350"/>
      <c r="AG554" s="1350"/>
      <c r="AH554" s="1350"/>
      <c r="AI554" s="1350"/>
      <c r="AJ554" s="1350"/>
      <c r="AK554" s="1350"/>
    </row>
    <row r="555">
      <c r="A555" s="1350"/>
      <c r="B555" s="1350"/>
      <c r="C555" s="1350"/>
      <c r="D555" s="1350"/>
      <c r="E555" s="1350"/>
      <c r="F555" s="1350"/>
      <c r="G555" s="1350"/>
      <c r="H555" s="1350"/>
      <c r="I555" s="1350"/>
      <c r="J555" s="1350"/>
      <c r="K555" s="1350"/>
      <c r="L555" s="1350"/>
      <c r="M555" s="1350"/>
      <c r="N555" s="1350"/>
      <c r="O555" s="1350"/>
      <c r="P555" s="1354"/>
      <c r="Q555" s="1355"/>
      <c r="R555" s="1355"/>
      <c r="S555" s="1350"/>
      <c r="T555" s="1349"/>
      <c r="U555" s="1348"/>
      <c r="V555" s="1348"/>
      <c r="W555" s="1349"/>
      <c r="X555" s="1350"/>
      <c r="Y555" s="1350"/>
      <c r="Z555" s="1349"/>
      <c r="AA555" s="1351"/>
      <c r="AB555" s="1350"/>
      <c r="AC555" s="1350"/>
      <c r="AD555" s="1350"/>
      <c r="AE555" s="1350"/>
      <c r="AF555" s="1350"/>
      <c r="AG555" s="1350"/>
      <c r="AH555" s="1350"/>
      <c r="AI555" s="1350"/>
      <c r="AJ555" s="1350"/>
      <c r="AK555" s="1350"/>
    </row>
    <row r="556">
      <c r="A556" s="1350"/>
      <c r="B556" s="1350"/>
      <c r="C556" s="1350"/>
      <c r="D556" s="1350"/>
      <c r="E556" s="1350"/>
      <c r="F556" s="1350"/>
      <c r="G556" s="1350"/>
      <c r="H556" s="1350"/>
      <c r="I556" s="1350"/>
      <c r="J556" s="1350"/>
      <c r="K556" s="1350"/>
      <c r="L556" s="1350"/>
      <c r="M556" s="1350"/>
      <c r="N556" s="1350"/>
      <c r="O556" s="1350"/>
      <c r="P556" s="1354"/>
      <c r="Q556" s="1355"/>
      <c r="R556" s="1355"/>
      <c r="S556" s="1350"/>
      <c r="T556" s="1349"/>
      <c r="U556" s="1348"/>
      <c r="V556" s="1348"/>
      <c r="W556" s="1349"/>
      <c r="X556" s="1350"/>
      <c r="Y556" s="1350"/>
      <c r="Z556" s="1349"/>
      <c r="AA556" s="1351"/>
      <c r="AB556" s="1350"/>
      <c r="AC556" s="1350"/>
      <c r="AD556" s="1350"/>
      <c r="AE556" s="1350"/>
      <c r="AF556" s="1350"/>
      <c r="AG556" s="1350"/>
      <c r="AH556" s="1350"/>
      <c r="AI556" s="1350"/>
      <c r="AJ556" s="1350"/>
      <c r="AK556" s="1350"/>
    </row>
    <row r="557">
      <c r="A557" s="1350"/>
      <c r="B557" s="1350"/>
      <c r="C557" s="1350"/>
      <c r="D557" s="1350"/>
      <c r="E557" s="1350"/>
      <c r="F557" s="1350"/>
      <c r="G557" s="1350"/>
      <c r="H557" s="1350"/>
      <c r="I557" s="1350"/>
      <c r="J557" s="1350"/>
      <c r="K557" s="1350"/>
      <c r="L557" s="1350"/>
      <c r="M557" s="1350"/>
      <c r="N557" s="1350"/>
      <c r="O557" s="1350"/>
      <c r="P557" s="1354"/>
      <c r="Q557" s="1355"/>
      <c r="R557" s="1355"/>
      <c r="S557" s="1350"/>
      <c r="T557" s="1349"/>
      <c r="U557" s="1348"/>
      <c r="V557" s="1348"/>
      <c r="W557" s="1349"/>
      <c r="X557" s="1350"/>
      <c r="Y557" s="1350"/>
      <c r="Z557" s="1349"/>
      <c r="AA557" s="1351"/>
      <c r="AB557" s="1350"/>
      <c r="AC557" s="1350"/>
      <c r="AD557" s="1350"/>
      <c r="AE557" s="1350"/>
      <c r="AF557" s="1350"/>
      <c r="AG557" s="1350"/>
      <c r="AH557" s="1350"/>
      <c r="AI557" s="1350"/>
      <c r="AJ557" s="1350"/>
      <c r="AK557" s="1350"/>
    </row>
    <row r="558">
      <c r="A558" s="1350"/>
      <c r="B558" s="1350"/>
      <c r="C558" s="1350"/>
      <c r="D558" s="1350"/>
      <c r="E558" s="1350"/>
      <c r="F558" s="1350"/>
      <c r="G558" s="1350"/>
      <c r="H558" s="1350"/>
      <c r="I558" s="1350"/>
      <c r="J558" s="1350"/>
      <c r="K558" s="1350"/>
      <c r="L558" s="1350"/>
      <c r="M558" s="1350"/>
      <c r="N558" s="1350"/>
      <c r="O558" s="1350"/>
      <c r="P558" s="1354"/>
      <c r="Q558" s="1355"/>
      <c r="R558" s="1355"/>
      <c r="S558" s="1350"/>
      <c r="T558" s="1349"/>
      <c r="U558" s="1348"/>
      <c r="V558" s="1348"/>
      <c r="W558" s="1349"/>
      <c r="X558" s="1350"/>
      <c r="Y558" s="1350"/>
      <c r="Z558" s="1349"/>
      <c r="AA558" s="1351"/>
      <c r="AB558" s="1350"/>
      <c r="AC558" s="1350"/>
      <c r="AD558" s="1350"/>
      <c r="AE558" s="1350"/>
      <c r="AF558" s="1350"/>
      <c r="AG558" s="1350"/>
      <c r="AH558" s="1350"/>
      <c r="AI558" s="1350"/>
      <c r="AJ558" s="1350"/>
      <c r="AK558" s="1350"/>
    </row>
    <row r="559">
      <c r="A559" s="1350"/>
      <c r="B559" s="1350"/>
      <c r="C559" s="1350"/>
      <c r="D559" s="1350"/>
      <c r="E559" s="1350"/>
      <c r="F559" s="1350"/>
      <c r="G559" s="1350"/>
      <c r="H559" s="1350"/>
      <c r="I559" s="1350"/>
      <c r="J559" s="1350"/>
      <c r="K559" s="1350"/>
      <c r="L559" s="1350"/>
      <c r="M559" s="1350"/>
      <c r="N559" s="1350"/>
      <c r="O559" s="1350"/>
      <c r="P559" s="1354"/>
      <c r="Q559" s="1355"/>
      <c r="R559" s="1355"/>
      <c r="S559" s="1350"/>
      <c r="T559" s="1349"/>
      <c r="U559" s="1348"/>
      <c r="V559" s="1348"/>
      <c r="W559" s="1349"/>
      <c r="X559" s="1350"/>
      <c r="Y559" s="1350"/>
      <c r="Z559" s="1349"/>
      <c r="AA559" s="1351"/>
      <c r="AB559" s="1350"/>
      <c r="AC559" s="1350"/>
      <c r="AD559" s="1350"/>
      <c r="AE559" s="1350"/>
      <c r="AF559" s="1350"/>
      <c r="AG559" s="1350"/>
      <c r="AH559" s="1350"/>
      <c r="AI559" s="1350"/>
      <c r="AJ559" s="1350"/>
      <c r="AK559" s="1350"/>
    </row>
    <row r="560">
      <c r="A560" s="1350"/>
      <c r="B560" s="1350"/>
      <c r="C560" s="1350"/>
      <c r="D560" s="1350"/>
      <c r="E560" s="1350"/>
      <c r="F560" s="1350"/>
      <c r="G560" s="1350"/>
      <c r="H560" s="1350"/>
      <c r="I560" s="1350"/>
      <c r="J560" s="1350"/>
      <c r="K560" s="1350"/>
      <c r="L560" s="1350"/>
      <c r="M560" s="1350"/>
      <c r="N560" s="1350"/>
      <c r="O560" s="1350"/>
      <c r="P560" s="1354"/>
      <c r="Q560" s="1355"/>
      <c r="R560" s="1355"/>
      <c r="S560" s="1350"/>
      <c r="T560" s="1349"/>
      <c r="U560" s="1348"/>
      <c r="V560" s="1348"/>
      <c r="W560" s="1349"/>
      <c r="X560" s="1350"/>
      <c r="Y560" s="1350"/>
      <c r="Z560" s="1349"/>
      <c r="AA560" s="1351"/>
      <c r="AB560" s="1350"/>
      <c r="AC560" s="1350"/>
      <c r="AD560" s="1350"/>
      <c r="AE560" s="1350"/>
      <c r="AF560" s="1350"/>
      <c r="AG560" s="1350"/>
      <c r="AH560" s="1350"/>
      <c r="AI560" s="1350"/>
      <c r="AJ560" s="1350"/>
      <c r="AK560" s="1350"/>
    </row>
    <row r="561">
      <c r="A561" s="1350"/>
      <c r="B561" s="1350"/>
      <c r="C561" s="1350"/>
      <c r="D561" s="1350"/>
      <c r="E561" s="1350"/>
      <c r="F561" s="1350"/>
      <c r="G561" s="1350"/>
      <c r="H561" s="1350"/>
      <c r="I561" s="1350"/>
      <c r="J561" s="1350"/>
      <c r="K561" s="1350"/>
      <c r="L561" s="1350"/>
      <c r="M561" s="1350"/>
      <c r="N561" s="1350"/>
      <c r="O561" s="1350"/>
      <c r="P561" s="1354"/>
      <c r="Q561" s="1355"/>
      <c r="R561" s="1355"/>
      <c r="S561" s="1350"/>
      <c r="T561" s="1349"/>
      <c r="U561" s="1348"/>
      <c r="V561" s="1348"/>
      <c r="W561" s="1349"/>
      <c r="X561" s="1350"/>
      <c r="Y561" s="1350"/>
      <c r="Z561" s="1349"/>
      <c r="AA561" s="1351"/>
      <c r="AB561" s="1350"/>
      <c r="AC561" s="1350"/>
      <c r="AD561" s="1350"/>
      <c r="AE561" s="1350"/>
      <c r="AF561" s="1350"/>
      <c r="AG561" s="1350"/>
      <c r="AH561" s="1350"/>
      <c r="AI561" s="1350"/>
      <c r="AJ561" s="1350"/>
      <c r="AK561" s="1350"/>
    </row>
    <row r="562">
      <c r="A562" s="1350"/>
      <c r="B562" s="1350"/>
      <c r="C562" s="1350"/>
      <c r="D562" s="1350"/>
      <c r="E562" s="1350"/>
      <c r="F562" s="1350"/>
      <c r="G562" s="1350"/>
      <c r="H562" s="1350"/>
      <c r="I562" s="1350"/>
      <c r="J562" s="1350"/>
      <c r="K562" s="1350"/>
      <c r="L562" s="1350"/>
      <c r="M562" s="1350"/>
      <c r="N562" s="1350"/>
      <c r="O562" s="1350"/>
      <c r="P562" s="1354"/>
      <c r="Q562" s="1355"/>
      <c r="R562" s="1355"/>
      <c r="S562" s="1350"/>
      <c r="T562" s="1349"/>
      <c r="U562" s="1348"/>
      <c r="V562" s="1348"/>
      <c r="W562" s="1349"/>
      <c r="X562" s="1350"/>
      <c r="Y562" s="1350"/>
      <c r="Z562" s="1349"/>
      <c r="AA562" s="1351"/>
      <c r="AB562" s="1350"/>
      <c r="AC562" s="1350"/>
      <c r="AD562" s="1350"/>
      <c r="AE562" s="1350"/>
      <c r="AF562" s="1350"/>
      <c r="AG562" s="1350"/>
      <c r="AH562" s="1350"/>
      <c r="AI562" s="1350"/>
      <c r="AJ562" s="1350"/>
      <c r="AK562" s="1350"/>
    </row>
    <row r="563">
      <c r="A563" s="1350"/>
      <c r="B563" s="1350"/>
      <c r="C563" s="1350"/>
      <c r="D563" s="1350"/>
      <c r="E563" s="1350"/>
      <c r="F563" s="1350"/>
      <c r="G563" s="1350"/>
      <c r="H563" s="1350"/>
      <c r="I563" s="1350"/>
      <c r="J563" s="1350"/>
      <c r="K563" s="1350"/>
      <c r="L563" s="1350"/>
      <c r="M563" s="1350"/>
      <c r="N563" s="1350"/>
      <c r="O563" s="1350"/>
      <c r="P563" s="1354"/>
      <c r="Q563" s="1355"/>
      <c r="R563" s="1355"/>
      <c r="S563" s="1350"/>
      <c r="T563" s="1349"/>
      <c r="U563" s="1348"/>
      <c r="V563" s="1348"/>
      <c r="W563" s="1349"/>
      <c r="X563" s="1350"/>
      <c r="Y563" s="1350"/>
      <c r="Z563" s="1349"/>
      <c r="AA563" s="1351"/>
      <c r="AB563" s="1350"/>
      <c r="AC563" s="1350"/>
      <c r="AD563" s="1350"/>
      <c r="AE563" s="1350"/>
      <c r="AF563" s="1350"/>
      <c r="AG563" s="1350"/>
      <c r="AH563" s="1350"/>
      <c r="AI563" s="1350"/>
      <c r="AJ563" s="1350"/>
      <c r="AK563" s="1350"/>
    </row>
    <row r="564">
      <c r="A564" s="1350"/>
      <c r="B564" s="1350"/>
      <c r="C564" s="1350"/>
      <c r="D564" s="1350"/>
      <c r="E564" s="1350"/>
      <c r="F564" s="1350"/>
      <c r="G564" s="1350"/>
      <c r="H564" s="1350"/>
      <c r="I564" s="1350"/>
      <c r="J564" s="1350"/>
      <c r="K564" s="1350"/>
      <c r="L564" s="1350"/>
      <c r="M564" s="1350"/>
      <c r="N564" s="1350"/>
      <c r="O564" s="1350"/>
      <c r="P564" s="1354"/>
      <c r="Q564" s="1355"/>
      <c r="R564" s="1355"/>
      <c r="S564" s="1350"/>
      <c r="T564" s="1349"/>
      <c r="U564" s="1348"/>
      <c r="V564" s="1348"/>
      <c r="W564" s="1349"/>
      <c r="X564" s="1350"/>
      <c r="Y564" s="1350"/>
      <c r="Z564" s="1349"/>
      <c r="AA564" s="1351"/>
      <c r="AB564" s="1350"/>
      <c r="AC564" s="1350"/>
      <c r="AD564" s="1350"/>
      <c r="AE564" s="1350"/>
      <c r="AF564" s="1350"/>
      <c r="AG564" s="1350"/>
      <c r="AH564" s="1350"/>
      <c r="AI564" s="1350"/>
      <c r="AJ564" s="1350"/>
      <c r="AK564" s="1350"/>
    </row>
    <row r="565">
      <c r="A565" s="1350"/>
      <c r="B565" s="1350"/>
      <c r="C565" s="1350"/>
      <c r="D565" s="1350"/>
      <c r="E565" s="1350"/>
      <c r="F565" s="1350"/>
      <c r="G565" s="1350"/>
      <c r="H565" s="1350"/>
      <c r="I565" s="1350"/>
      <c r="J565" s="1350"/>
      <c r="K565" s="1350"/>
      <c r="L565" s="1350"/>
      <c r="M565" s="1350"/>
      <c r="N565" s="1350"/>
      <c r="O565" s="1350"/>
      <c r="P565" s="1354"/>
      <c r="Q565" s="1355"/>
      <c r="R565" s="1355"/>
      <c r="S565" s="1350"/>
      <c r="T565" s="1349"/>
      <c r="U565" s="1348"/>
      <c r="V565" s="1348"/>
      <c r="W565" s="1349"/>
      <c r="X565" s="1350"/>
      <c r="Y565" s="1350"/>
      <c r="Z565" s="1349"/>
      <c r="AA565" s="1351"/>
      <c r="AB565" s="1350"/>
      <c r="AC565" s="1350"/>
      <c r="AD565" s="1350"/>
      <c r="AE565" s="1350"/>
      <c r="AF565" s="1350"/>
      <c r="AG565" s="1350"/>
      <c r="AH565" s="1350"/>
      <c r="AI565" s="1350"/>
      <c r="AJ565" s="1350"/>
      <c r="AK565" s="1350"/>
    </row>
    <row r="566">
      <c r="A566" s="1350"/>
      <c r="B566" s="1350"/>
      <c r="C566" s="1350"/>
      <c r="D566" s="1350"/>
      <c r="E566" s="1350"/>
      <c r="F566" s="1350"/>
      <c r="G566" s="1350"/>
      <c r="H566" s="1350"/>
      <c r="I566" s="1350"/>
      <c r="J566" s="1350"/>
      <c r="K566" s="1350"/>
      <c r="L566" s="1350"/>
      <c r="M566" s="1350"/>
      <c r="N566" s="1350"/>
      <c r="O566" s="1350"/>
      <c r="P566" s="1354"/>
      <c r="Q566" s="1355"/>
      <c r="R566" s="1355"/>
      <c r="S566" s="1350"/>
      <c r="T566" s="1349"/>
      <c r="U566" s="1348"/>
      <c r="V566" s="1348"/>
      <c r="W566" s="1349"/>
      <c r="X566" s="1350"/>
      <c r="Y566" s="1350"/>
      <c r="Z566" s="1349"/>
      <c r="AA566" s="1351"/>
      <c r="AB566" s="1350"/>
      <c r="AC566" s="1350"/>
      <c r="AD566" s="1350"/>
      <c r="AE566" s="1350"/>
      <c r="AF566" s="1350"/>
      <c r="AG566" s="1350"/>
      <c r="AH566" s="1350"/>
      <c r="AI566" s="1350"/>
      <c r="AJ566" s="1350"/>
      <c r="AK566" s="1350"/>
    </row>
    <row r="567">
      <c r="A567" s="1350"/>
      <c r="B567" s="1350"/>
      <c r="C567" s="1350"/>
      <c r="D567" s="1350"/>
      <c r="E567" s="1350"/>
      <c r="F567" s="1350"/>
      <c r="G567" s="1350"/>
      <c r="H567" s="1350"/>
      <c r="I567" s="1350"/>
      <c r="J567" s="1350"/>
      <c r="K567" s="1350"/>
      <c r="L567" s="1350"/>
      <c r="M567" s="1350"/>
      <c r="N567" s="1350"/>
      <c r="O567" s="1350"/>
      <c r="P567" s="1354"/>
      <c r="Q567" s="1355"/>
      <c r="R567" s="1355"/>
      <c r="S567" s="1350"/>
      <c r="T567" s="1349"/>
      <c r="U567" s="1348"/>
      <c r="V567" s="1348"/>
      <c r="W567" s="1349"/>
      <c r="X567" s="1350"/>
      <c r="Y567" s="1350"/>
      <c r="Z567" s="1349"/>
      <c r="AA567" s="1351"/>
      <c r="AB567" s="1350"/>
      <c r="AC567" s="1350"/>
      <c r="AD567" s="1350"/>
      <c r="AE567" s="1350"/>
      <c r="AF567" s="1350"/>
      <c r="AG567" s="1350"/>
      <c r="AH567" s="1350"/>
      <c r="AI567" s="1350"/>
      <c r="AJ567" s="1350"/>
      <c r="AK567" s="1350"/>
    </row>
    <row r="568">
      <c r="A568" s="1350"/>
      <c r="B568" s="1350"/>
      <c r="C568" s="1350"/>
      <c r="D568" s="1350"/>
      <c r="E568" s="1350"/>
      <c r="F568" s="1350"/>
      <c r="G568" s="1350"/>
      <c r="H568" s="1350"/>
      <c r="I568" s="1350"/>
      <c r="J568" s="1350"/>
      <c r="K568" s="1350"/>
      <c r="L568" s="1350"/>
      <c r="M568" s="1350"/>
      <c r="N568" s="1350"/>
      <c r="O568" s="1350"/>
      <c r="P568" s="1354"/>
      <c r="Q568" s="1355"/>
      <c r="R568" s="1355"/>
      <c r="S568" s="1350"/>
      <c r="T568" s="1349"/>
      <c r="U568" s="1348"/>
      <c r="V568" s="1348"/>
      <c r="W568" s="1349"/>
      <c r="X568" s="1350"/>
      <c r="Y568" s="1350"/>
      <c r="Z568" s="1349"/>
      <c r="AA568" s="1351"/>
      <c r="AB568" s="1350"/>
      <c r="AC568" s="1350"/>
      <c r="AD568" s="1350"/>
      <c r="AE568" s="1350"/>
      <c r="AF568" s="1350"/>
      <c r="AG568" s="1350"/>
      <c r="AH568" s="1350"/>
      <c r="AI568" s="1350"/>
      <c r="AJ568" s="1350"/>
      <c r="AK568" s="1350"/>
    </row>
    <row r="569">
      <c r="A569" s="1350"/>
      <c r="B569" s="1350"/>
      <c r="C569" s="1350"/>
      <c r="D569" s="1350"/>
      <c r="E569" s="1350"/>
      <c r="F569" s="1350"/>
      <c r="G569" s="1350"/>
      <c r="H569" s="1350"/>
      <c r="I569" s="1350"/>
      <c r="J569" s="1350"/>
      <c r="K569" s="1350"/>
      <c r="L569" s="1350"/>
      <c r="M569" s="1350"/>
      <c r="N569" s="1350"/>
      <c r="O569" s="1350"/>
      <c r="P569" s="1354"/>
      <c r="Q569" s="1355"/>
      <c r="R569" s="1355"/>
      <c r="S569" s="1350"/>
      <c r="T569" s="1349"/>
      <c r="U569" s="1348"/>
      <c r="V569" s="1348"/>
      <c r="W569" s="1349"/>
      <c r="X569" s="1350"/>
      <c r="Y569" s="1350"/>
      <c r="Z569" s="1349"/>
      <c r="AA569" s="1351"/>
      <c r="AB569" s="1350"/>
      <c r="AC569" s="1350"/>
      <c r="AD569" s="1350"/>
      <c r="AE569" s="1350"/>
      <c r="AF569" s="1350"/>
      <c r="AG569" s="1350"/>
      <c r="AH569" s="1350"/>
      <c r="AI569" s="1350"/>
      <c r="AJ569" s="1350"/>
      <c r="AK569" s="1350"/>
    </row>
    <row r="570">
      <c r="A570" s="1350"/>
      <c r="B570" s="1350"/>
      <c r="C570" s="1350"/>
      <c r="D570" s="1350"/>
      <c r="E570" s="1350"/>
      <c r="F570" s="1350"/>
      <c r="G570" s="1350"/>
      <c r="H570" s="1350"/>
      <c r="I570" s="1350"/>
      <c r="J570" s="1350"/>
      <c r="K570" s="1350"/>
      <c r="L570" s="1350"/>
      <c r="M570" s="1350"/>
      <c r="N570" s="1350"/>
      <c r="O570" s="1350"/>
      <c r="P570" s="1354"/>
      <c r="Q570" s="1355"/>
      <c r="R570" s="1355"/>
      <c r="S570" s="1350"/>
      <c r="T570" s="1349"/>
      <c r="U570" s="1348"/>
      <c r="V570" s="1348"/>
      <c r="W570" s="1349"/>
      <c r="X570" s="1350"/>
      <c r="Y570" s="1350"/>
      <c r="Z570" s="1349"/>
      <c r="AA570" s="1351"/>
      <c r="AB570" s="1350"/>
      <c r="AC570" s="1350"/>
      <c r="AD570" s="1350"/>
      <c r="AE570" s="1350"/>
      <c r="AF570" s="1350"/>
      <c r="AG570" s="1350"/>
      <c r="AH570" s="1350"/>
      <c r="AI570" s="1350"/>
      <c r="AJ570" s="1350"/>
      <c r="AK570" s="1350"/>
    </row>
    <row r="571">
      <c r="A571" s="1350"/>
      <c r="B571" s="1350"/>
      <c r="C571" s="1350"/>
      <c r="D571" s="1350"/>
      <c r="E571" s="1350"/>
      <c r="F571" s="1350"/>
      <c r="G571" s="1350"/>
      <c r="H571" s="1350"/>
      <c r="I571" s="1350"/>
      <c r="J571" s="1350"/>
      <c r="K571" s="1350"/>
      <c r="L571" s="1350"/>
      <c r="M571" s="1350"/>
      <c r="N571" s="1350"/>
      <c r="O571" s="1350"/>
      <c r="P571" s="1354"/>
      <c r="Q571" s="1355"/>
      <c r="R571" s="1355"/>
      <c r="S571" s="1350"/>
      <c r="T571" s="1349"/>
      <c r="U571" s="1348"/>
      <c r="V571" s="1348"/>
      <c r="W571" s="1349"/>
      <c r="X571" s="1350"/>
      <c r="Y571" s="1350"/>
      <c r="Z571" s="1349"/>
      <c r="AA571" s="1351"/>
      <c r="AB571" s="1350"/>
      <c r="AC571" s="1350"/>
      <c r="AD571" s="1350"/>
      <c r="AE571" s="1350"/>
      <c r="AF571" s="1350"/>
      <c r="AG571" s="1350"/>
      <c r="AH571" s="1350"/>
      <c r="AI571" s="1350"/>
      <c r="AJ571" s="1350"/>
      <c r="AK571" s="1350"/>
    </row>
    <row r="572">
      <c r="A572" s="1350"/>
      <c r="B572" s="1350"/>
      <c r="C572" s="1350"/>
      <c r="D572" s="1350"/>
      <c r="E572" s="1350"/>
      <c r="F572" s="1350"/>
      <c r="G572" s="1350"/>
      <c r="H572" s="1350"/>
      <c r="I572" s="1350"/>
      <c r="J572" s="1350"/>
      <c r="K572" s="1350"/>
      <c r="L572" s="1350"/>
      <c r="M572" s="1350"/>
      <c r="N572" s="1350"/>
      <c r="O572" s="1350"/>
      <c r="P572" s="1354"/>
      <c r="Q572" s="1355"/>
      <c r="R572" s="1355"/>
      <c r="S572" s="1350"/>
      <c r="T572" s="1349"/>
      <c r="U572" s="1348"/>
      <c r="V572" s="1348"/>
      <c r="W572" s="1349"/>
      <c r="X572" s="1350"/>
      <c r="Y572" s="1350"/>
      <c r="Z572" s="1349"/>
      <c r="AA572" s="1351"/>
      <c r="AB572" s="1350"/>
      <c r="AC572" s="1350"/>
      <c r="AD572" s="1350"/>
      <c r="AE572" s="1350"/>
      <c r="AF572" s="1350"/>
      <c r="AG572" s="1350"/>
      <c r="AH572" s="1350"/>
      <c r="AI572" s="1350"/>
      <c r="AJ572" s="1350"/>
      <c r="AK572" s="1350"/>
    </row>
    <row r="573">
      <c r="A573" s="1350"/>
      <c r="B573" s="1350"/>
      <c r="C573" s="1350"/>
      <c r="D573" s="1350"/>
      <c r="E573" s="1350"/>
      <c r="F573" s="1350"/>
      <c r="G573" s="1350"/>
      <c r="H573" s="1350"/>
      <c r="I573" s="1350"/>
      <c r="J573" s="1350"/>
      <c r="K573" s="1350"/>
      <c r="L573" s="1350"/>
      <c r="M573" s="1350"/>
      <c r="N573" s="1350"/>
      <c r="O573" s="1350"/>
      <c r="P573" s="1354"/>
      <c r="Q573" s="1355"/>
      <c r="R573" s="1355"/>
      <c r="S573" s="1350"/>
      <c r="T573" s="1349"/>
      <c r="U573" s="1348"/>
      <c r="V573" s="1348"/>
      <c r="W573" s="1349"/>
      <c r="X573" s="1350"/>
      <c r="Y573" s="1350"/>
      <c r="Z573" s="1349"/>
      <c r="AA573" s="1351"/>
      <c r="AB573" s="1350"/>
      <c r="AC573" s="1350"/>
      <c r="AD573" s="1350"/>
      <c r="AE573" s="1350"/>
      <c r="AF573" s="1350"/>
      <c r="AG573" s="1350"/>
      <c r="AH573" s="1350"/>
      <c r="AI573" s="1350"/>
      <c r="AJ573" s="1350"/>
      <c r="AK573" s="1350"/>
    </row>
    <row r="574">
      <c r="A574" s="1350"/>
      <c r="B574" s="1350"/>
      <c r="C574" s="1350"/>
      <c r="D574" s="1350"/>
      <c r="E574" s="1350"/>
      <c r="F574" s="1350"/>
      <c r="G574" s="1350"/>
      <c r="H574" s="1350"/>
      <c r="I574" s="1350"/>
      <c r="J574" s="1350"/>
      <c r="K574" s="1350"/>
      <c r="L574" s="1350"/>
      <c r="M574" s="1350"/>
      <c r="N574" s="1350"/>
      <c r="O574" s="1350"/>
      <c r="P574" s="1354"/>
      <c r="Q574" s="1355"/>
      <c r="R574" s="1355"/>
      <c r="S574" s="1350"/>
      <c r="T574" s="1349"/>
      <c r="U574" s="1348"/>
      <c r="V574" s="1348"/>
      <c r="W574" s="1349"/>
      <c r="X574" s="1350"/>
      <c r="Y574" s="1350"/>
      <c r="Z574" s="1349"/>
      <c r="AA574" s="1351"/>
      <c r="AB574" s="1350"/>
      <c r="AC574" s="1350"/>
      <c r="AD574" s="1350"/>
      <c r="AE574" s="1350"/>
      <c r="AF574" s="1350"/>
      <c r="AG574" s="1350"/>
      <c r="AH574" s="1350"/>
      <c r="AI574" s="1350"/>
      <c r="AJ574" s="1350"/>
      <c r="AK574" s="1350"/>
    </row>
    <row r="575">
      <c r="A575" s="1350"/>
      <c r="B575" s="1350"/>
      <c r="C575" s="1350"/>
      <c r="D575" s="1350"/>
      <c r="E575" s="1350"/>
      <c r="F575" s="1350"/>
      <c r="G575" s="1350"/>
      <c r="H575" s="1350"/>
      <c r="I575" s="1350"/>
      <c r="J575" s="1350"/>
      <c r="K575" s="1350"/>
      <c r="L575" s="1350"/>
      <c r="M575" s="1350"/>
      <c r="N575" s="1350"/>
      <c r="O575" s="1350"/>
      <c r="P575" s="1354"/>
      <c r="Q575" s="1355"/>
      <c r="R575" s="1355"/>
      <c r="S575" s="1350"/>
      <c r="T575" s="1349"/>
      <c r="U575" s="1348"/>
      <c r="V575" s="1348"/>
      <c r="W575" s="1349"/>
      <c r="X575" s="1350"/>
      <c r="Y575" s="1350"/>
      <c r="Z575" s="1349"/>
      <c r="AA575" s="1351"/>
      <c r="AB575" s="1350"/>
      <c r="AC575" s="1350"/>
      <c r="AD575" s="1350"/>
      <c r="AE575" s="1350"/>
      <c r="AF575" s="1350"/>
      <c r="AG575" s="1350"/>
      <c r="AH575" s="1350"/>
      <c r="AI575" s="1350"/>
      <c r="AJ575" s="1350"/>
      <c r="AK575" s="1350"/>
    </row>
    <row r="576">
      <c r="A576" s="1350"/>
      <c r="B576" s="1350"/>
      <c r="C576" s="1350"/>
      <c r="D576" s="1350"/>
      <c r="E576" s="1350"/>
      <c r="F576" s="1350"/>
      <c r="G576" s="1350"/>
      <c r="H576" s="1350"/>
      <c r="I576" s="1350"/>
      <c r="J576" s="1350"/>
      <c r="K576" s="1350"/>
      <c r="L576" s="1350"/>
      <c r="M576" s="1350"/>
      <c r="N576" s="1350"/>
      <c r="O576" s="1350"/>
      <c r="P576" s="1354"/>
      <c r="Q576" s="1355"/>
      <c r="R576" s="1355"/>
      <c r="S576" s="1350"/>
      <c r="T576" s="1349"/>
      <c r="U576" s="1348"/>
      <c r="V576" s="1348"/>
      <c r="W576" s="1349"/>
      <c r="X576" s="1350"/>
      <c r="Y576" s="1350"/>
      <c r="Z576" s="1349"/>
      <c r="AA576" s="1351"/>
      <c r="AB576" s="1350"/>
      <c r="AC576" s="1350"/>
      <c r="AD576" s="1350"/>
      <c r="AE576" s="1350"/>
      <c r="AF576" s="1350"/>
      <c r="AG576" s="1350"/>
      <c r="AH576" s="1350"/>
      <c r="AI576" s="1350"/>
      <c r="AJ576" s="1350"/>
      <c r="AK576" s="1350"/>
    </row>
    <row r="577">
      <c r="A577" s="1350"/>
      <c r="B577" s="1350"/>
      <c r="C577" s="1350"/>
      <c r="D577" s="1350"/>
      <c r="E577" s="1350"/>
      <c r="F577" s="1350"/>
      <c r="G577" s="1350"/>
      <c r="H577" s="1350"/>
      <c r="I577" s="1350"/>
      <c r="J577" s="1350"/>
      <c r="K577" s="1350"/>
      <c r="L577" s="1350"/>
      <c r="M577" s="1350"/>
      <c r="N577" s="1350"/>
      <c r="O577" s="1350"/>
      <c r="P577" s="1354"/>
      <c r="Q577" s="1355"/>
      <c r="R577" s="1355"/>
      <c r="S577" s="1350"/>
      <c r="T577" s="1349"/>
      <c r="U577" s="1348"/>
      <c r="V577" s="1348"/>
      <c r="W577" s="1349"/>
      <c r="X577" s="1350"/>
      <c r="Y577" s="1350"/>
      <c r="Z577" s="1349"/>
      <c r="AA577" s="1351"/>
      <c r="AB577" s="1350"/>
      <c r="AC577" s="1350"/>
      <c r="AD577" s="1350"/>
      <c r="AE577" s="1350"/>
      <c r="AF577" s="1350"/>
      <c r="AG577" s="1350"/>
      <c r="AH577" s="1350"/>
      <c r="AI577" s="1350"/>
      <c r="AJ577" s="1350"/>
      <c r="AK577" s="1350"/>
    </row>
    <row r="578">
      <c r="A578" s="1350"/>
      <c r="B578" s="1350"/>
      <c r="C578" s="1350"/>
      <c r="D578" s="1350"/>
      <c r="E578" s="1350"/>
      <c r="F578" s="1350"/>
      <c r="G578" s="1350"/>
      <c r="H578" s="1350"/>
      <c r="I578" s="1350"/>
      <c r="J578" s="1350"/>
      <c r="K578" s="1350"/>
      <c r="L578" s="1350"/>
      <c r="M578" s="1350"/>
      <c r="N578" s="1350"/>
      <c r="O578" s="1350"/>
      <c r="P578" s="1354"/>
      <c r="Q578" s="1355"/>
      <c r="R578" s="1355"/>
      <c r="S578" s="1350"/>
      <c r="T578" s="1349"/>
      <c r="U578" s="1348"/>
      <c r="V578" s="1348"/>
      <c r="W578" s="1349"/>
      <c r="X578" s="1350"/>
      <c r="Y578" s="1350"/>
      <c r="Z578" s="1349"/>
      <c r="AA578" s="1351"/>
      <c r="AB578" s="1350"/>
      <c r="AC578" s="1350"/>
      <c r="AD578" s="1350"/>
      <c r="AE578" s="1350"/>
      <c r="AF578" s="1350"/>
      <c r="AG578" s="1350"/>
      <c r="AH578" s="1350"/>
      <c r="AI578" s="1350"/>
      <c r="AJ578" s="1350"/>
      <c r="AK578" s="1350"/>
    </row>
    <row r="579">
      <c r="A579" s="1350"/>
      <c r="B579" s="1350"/>
      <c r="C579" s="1350"/>
      <c r="D579" s="1350"/>
      <c r="E579" s="1350"/>
      <c r="F579" s="1350"/>
      <c r="G579" s="1350"/>
      <c r="H579" s="1350"/>
      <c r="I579" s="1350"/>
      <c r="J579" s="1350"/>
      <c r="K579" s="1350"/>
      <c r="L579" s="1350"/>
      <c r="M579" s="1350"/>
      <c r="N579" s="1350"/>
      <c r="O579" s="1350"/>
      <c r="P579" s="1354"/>
      <c r="Q579" s="1355"/>
      <c r="R579" s="1355"/>
      <c r="S579" s="1350"/>
      <c r="T579" s="1349"/>
      <c r="U579" s="1348"/>
      <c r="V579" s="1348"/>
      <c r="W579" s="1349"/>
      <c r="X579" s="1350"/>
      <c r="Y579" s="1350"/>
      <c r="Z579" s="1349"/>
      <c r="AA579" s="1351"/>
      <c r="AB579" s="1350"/>
      <c r="AC579" s="1350"/>
      <c r="AD579" s="1350"/>
      <c r="AE579" s="1350"/>
      <c r="AF579" s="1350"/>
      <c r="AG579" s="1350"/>
      <c r="AH579" s="1350"/>
      <c r="AI579" s="1350"/>
      <c r="AJ579" s="1350"/>
      <c r="AK579" s="1350"/>
    </row>
    <row r="580">
      <c r="A580" s="1350"/>
      <c r="B580" s="1350"/>
      <c r="C580" s="1350"/>
      <c r="D580" s="1350"/>
      <c r="E580" s="1350"/>
      <c r="F580" s="1350"/>
      <c r="G580" s="1350"/>
      <c r="H580" s="1350"/>
      <c r="I580" s="1350"/>
      <c r="J580" s="1350"/>
      <c r="K580" s="1350"/>
      <c r="L580" s="1350"/>
      <c r="M580" s="1350"/>
      <c r="N580" s="1350"/>
      <c r="O580" s="1350"/>
      <c r="P580" s="1354"/>
      <c r="Q580" s="1355"/>
      <c r="R580" s="1355"/>
      <c r="S580" s="1350"/>
      <c r="T580" s="1349"/>
      <c r="U580" s="1348"/>
      <c r="V580" s="1348"/>
      <c r="W580" s="1349"/>
      <c r="X580" s="1350"/>
      <c r="Y580" s="1350"/>
      <c r="Z580" s="1349"/>
      <c r="AA580" s="1351"/>
      <c r="AB580" s="1350"/>
      <c r="AC580" s="1350"/>
      <c r="AD580" s="1350"/>
      <c r="AE580" s="1350"/>
      <c r="AF580" s="1350"/>
      <c r="AG580" s="1350"/>
      <c r="AH580" s="1350"/>
      <c r="AI580" s="1350"/>
      <c r="AJ580" s="1350"/>
      <c r="AK580" s="1350"/>
    </row>
    <row r="581">
      <c r="A581" s="1350"/>
      <c r="B581" s="1350"/>
      <c r="C581" s="1350"/>
      <c r="D581" s="1350"/>
      <c r="E581" s="1350"/>
      <c r="F581" s="1350"/>
      <c r="G581" s="1350"/>
      <c r="H581" s="1350"/>
      <c r="I581" s="1350"/>
      <c r="J581" s="1350"/>
      <c r="K581" s="1350"/>
      <c r="L581" s="1350"/>
      <c r="M581" s="1350"/>
      <c r="N581" s="1350"/>
      <c r="O581" s="1350"/>
      <c r="P581" s="1354"/>
      <c r="Q581" s="1355"/>
      <c r="R581" s="1355"/>
      <c r="S581" s="1350"/>
      <c r="T581" s="1349"/>
      <c r="U581" s="1348"/>
      <c r="V581" s="1348"/>
      <c r="W581" s="1349"/>
      <c r="X581" s="1350"/>
      <c r="Y581" s="1350"/>
      <c r="Z581" s="1349"/>
      <c r="AA581" s="1351"/>
      <c r="AB581" s="1350"/>
      <c r="AC581" s="1350"/>
      <c r="AD581" s="1350"/>
      <c r="AE581" s="1350"/>
      <c r="AF581" s="1350"/>
      <c r="AG581" s="1350"/>
      <c r="AH581" s="1350"/>
      <c r="AI581" s="1350"/>
      <c r="AJ581" s="1350"/>
      <c r="AK581" s="1350"/>
    </row>
    <row r="582">
      <c r="A582" s="1350"/>
      <c r="B582" s="1350"/>
      <c r="C582" s="1350"/>
      <c r="D582" s="1350"/>
      <c r="E582" s="1350"/>
      <c r="F582" s="1350"/>
      <c r="G582" s="1350"/>
      <c r="H582" s="1350"/>
      <c r="I582" s="1350"/>
      <c r="J582" s="1350"/>
      <c r="K582" s="1350"/>
      <c r="L582" s="1350"/>
      <c r="M582" s="1350"/>
      <c r="N582" s="1350"/>
      <c r="O582" s="1350"/>
      <c r="P582" s="1354"/>
      <c r="Q582" s="1355"/>
      <c r="R582" s="1355"/>
      <c r="S582" s="1350"/>
      <c r="T582" s="1349"/>
      <c r="U582" s="1348"/>
      <c r="V582" s="1348"/>
      <c r="W582" s="1349"/>
      <c r="X582" s="1350"/>
      <c r="Y582" s="1350"/>
      <c r="Z582" s="1349"/>
      <c r="AA582" s="1351"/>
      <c r="AB582" s="1350"/>
      <c r="AC582" s="1350"/>
      <c r="AD582" s="1350"/>
      <c r="AE582" s="1350"/>
      <c r="AF582" s="1350"/>
      <c r="AG582" s="1350"/>
      <c r="AH582" s="1350"/>
      <c r="AI582" s="1350"/>
      <c r="AJ582" s="1350"/>
      <c r="AK582" s="1350"/>
    </row>
    <row r="583">
      <c r="A583" s="1350"/>
      <c r="B583" s="1350"/>
      <c r="C583" s="1350"/>
      <c r="D583" s="1350"/>
      <c r="E583" s="1350"/>
      <c r="F583" s="1350"/>
      <c r="G583" s="1350"/>
      <c r="H583" s="1350"/>
      <c r="I583" s="1350"/>
      <c r="J583" s="1350"/>
      <c r="K583" s="1350"/>
      <c r="L583" s="1350"/>
      <c r="M583" s="1350"/>
      <c r="N583" s="1350"/>
      <c r="O583" s="1350"/>
      <c r="P583" s="1354"/>
      <c r="Q583" s="1355"/>
      <c r="R583" s="1355"/>
      <c r="S583" s="1350"/>
      <c r="T583" s="1349"/>
      <c r="U583" s="1348"/>
      <c r="V583" s="1348"/>
      <c r="W583" s="1349"/>
      <c r="X583" s="1350"/>
      <c r="Y583" s="1350"/>
      <c r="Z583" s="1349"/>
      <c r="AA583" s="1351"/>
      <c r="AB583" s="1350"/>
      <c r="AC583" s="1350"/>
      <c r="AD583" s="1350"/>
      <c r="AE583" s="1350"/>
      <c r="AF583" s="1350"/>
      <c r="AG583" s="1350"/>
      <c r="AH583" s="1350"/>
      <c r="AI583" s="1350"/>
      <c r="AJ583" s="1350"/>
      <c r="AK583" s="1350"/>
    </row>
    <row r="584">
      <c r="A584" s="1350"/>
      <c r="B584" s="1350"/>
      <c r="C584" s="1350"/>
      <c r="D584" s="1350"/>
      <c r="E584" s="1350"/>
      <c r="F584" s="1350"/>
      <c r="G584" s="1350"/>
      <c r="H584" s="1350"/>
      <c r="I584" s="1350"/>
      <c r="J584" s="1350"/>
      <c r="K584" s="1350"/>
      <c r="L584" s="1350"/>
      <c r="M584" s="1350"/>
      <c r="N584" s="1350"/>
      <c r="O584" s="1350"/>
      <c r="P584" s="1354"/>
      <c r="Q584" s="1355"/>
      <c r="R584" s="1355"/>
      <c r="S584" s="1350"/>
      <c r="T584" s="1349"/>
      <c r="U584" s="1348"/>
      <c r="V584" s="1348"/>
      <c r="W584" s="1349"/>
      <c r="X584" s="1350"/>
      <c r="Y584" s="1350"/>
      <c r="Z584" s="1349"/>
      <c r="AA584" s="1351"/>
      <c r="AB584" s="1350"/>
      <c r="AC584" s="1350"/>
      <c r="AD584" s="1350"/>
      <c r="AE584" s="1350"/>
      <c r="AF584" s="1350"/>
      <c r="AG584" s="1350"/>
      <c r="AH584" s="1350"/>
      <c r="AI584" s="1350"/>
      <c r="AJ584" s="1350"/>
      <c r="AK584" s="1350"/>
    </row>
    <row r="585">
      <c r="A585" s="1350"/>
      <c r="B585" s="1350"/>
      <c r="C585" s="1350"/>
      <c r="D585" s="1350"/>
      <c r="E585" s="1350"/>
      <c r="F585" s="1350"/>
      <c r="G585" s="1350"/>
      <c r="H585" s="1350"/>
      <c r="I585" s="1350"/>
      <c r="J585" s="1350"/>
      <c r="K585" s="1350"/>
      <c r="L585" s="1350"/>
      <c r="M585" s="1350"/>
      <c r="N585" s="1350"/>
      <c r="O585" s="1350"/>
      <c r="P585" s="1354"/>
      <c r="Q585" s="1355"/>
      <c r="R585" s="1355"/>
      <c r="S585" s="1350"/>
      <c r="T585" s="1349"/>
      <c r="U585" s="1348"/>
      <c r="V585" s="1348"/>
      <c r="W585" s="1349"/>
      <c r="X585" s="1350"/>
      <c r="Y585" s="1350"/>
      <c r="Z585" s="1349"/>
      <c r="AA585" s="1351"/>
      <c r="AB585" s="1350"/>
      <c r="AC585" s="1350"/>
      <c r="AD585" s="1350"/>
      <c r="AE585" s="1350"/>
      <c r="AF585" s="1350"/>
      <c r="AG585" s="1350"/>
      <c r="AH585" s="1350"/>
      <c r="AI585" s="1350"/>
      <c r="AJ585" s="1350"/>
      <c r="AK585" s="1350"/>
    </row>
    <row r="586">
      <c r="A586" s="1350"/>
      <c r="B586" s="1350"/>
      <c r="C586" s="1350"/>
      <c r="D586" s="1350"/>
      <c r="E586" s="1350"/>
      <c r="F586" s="1350"/>
      <c r="G586" s="1350"/>
      <c r="H586" s="1350"/>
      <c r="I586" s="1350"/>
      <c r="J586" s="1350"/>
      <c r="K586" s="1350"/>
      <c r="L586" s="1350"/>
      <c r="M586" s="1350"/>
      <c r="N586" s="1350"/>
      <c r="O586" s="1350"/>
      <c r="P586" s="1354"/>
      <c r="Q586" s="1355"/>
      <c r="R586" s="1355"/>
      <c r="S586" s="1350"/>
      <c r="T586" s="1349"/>
      <c r="U586" s="1348"/>
      <c r="V586" s="1348"/>
      <c r="W586" s="1349"/>
      <c r="X586" s="1350"/>
      <c r="Y586" s="1350"/>
      <c r="Z586" s="1349"/>
      <c r="AA586" s="1351"/>
      <c r="AB586" s="1350"/>
      <c r="AC586" s="1350"/>
      <c r="AD586" s="1350"/>
      <c r="AE586" s="1350"/>
      <c r="AF586" s="1350"/>
      <c r="AG586" s="1350"/>
      <c r="AH586" s="1350"/>
      <c r="AI586" s="1350"/>
      <c r="AJ586" s="1350"/>
      <c r="AK586" s="1350"/>
    </row>
    <row r="587">
      <c r="A587" s="1350"/>
      <c r="B587" s="1350"/>
      <c r="C587" s="1350"/>
      <c r="D587" s="1350"/>
      <c r="E587" s="1350"/>
      <c r="F587" s="1350"/>
      <c r="G587" s="1350"/>
      <c r="H587" s="1350"/>
      <c r="I587" s="1350"/>
      <c r="J587" s="1350"/>
      <c r="K587" s="1350"/>
      <c r="L587" s="1350"/>
      <c r="M587" s="1350"/>
      <c r="N587" s="1350"/>
      <c r="O587" s="1350"/>
      <c r="P587" s="1354"/>
      <c r="Q587" s="1355"/>
      <c r="R587" s="1355"/>
      <c r="S587" s="1350"/>
      <c r="T587" s="1349"/>
      <c r="U587" s="1348"/>
      <c r="V587" s="1348"/>
      <c r="W587" s="1349"/>
      <c r="X587" s="1350"/>
      <c r="Y587" s="1350"/>
      <c r="Z587" s="1349"/>
      <c r="AA587" s="1351"/>
      <c r="AB587" s="1350"/>
      <c r="AC587" s="1350"/>
      <c r="AD587" s="1350"/>
      <c r="AE587" s="1350"/>
      <c r="AF587" s="1350"/>
      <c r="AG587" s="1350"/>
      <c r="AH587" s="1350"/>
      <c r="AI587" s="1350"/>
      <c r="AJ587" s="1350"/>
      <c r="AK587" s="1350"/>
    </row>
    <row r="588">
      <c r="A588" s="1350"/>
      <c r="B588" s="1350"/>
      <c r="C588" s="1350"/>
      <c r="D588" s="1350"/>
      <c r="E588" s="1350"/>
      <c r="F588" s="1350"/>
      <c r="G588" s="1350"/>
      <c r="H588" s="1350"/>
      <c r="I588" s="1350"/>
      <c r="J588" s="1350"/>
      <c r="K588" s="1350"/>
      <c r="L588" s="1350"/>
      <c r="M588" s="1350"/>
      <c r="N588" s="1350"/>
      <c r="O588" s="1350"/>
      <c r="P588" s="1354"/>
      <c r="Q588" s="1355"/>
      <c r="R588" s="1355"/>
      <c r="S588" s="1350"/>
      <c r="T588" s="1349"/>
      <c r="U588" s="1348"/>
      <c r="V588" s="1348"/>
      <c r="W588" s="1349"/>
      <c r="X588" s="1350"/>
      <c r="Y588" s="1350"/>
      <c r="Z588" s="1349"/>
      <c r="AA588" s="1351"/>
      <c r="AB588" s="1350"/>
      <c r="AC588" s="1350"/>
      <c r="AD588" s="1350"/>
      <c r="AE588" s="1350"/>
      <c r="AF588" s="1350"/>
      <c r="AG588" s="1350"/>
      <c r="AH588" s="1350"/>
      <c r="AI588" s="1350"/>
      <c r="AJ588" s="1350"/>
      <c r="AK588" s="1350"/>
    </row>
    <row r="589">
      <c r="A589" s="1350"/>
      <c r="B589" s="1350"/>
      <c r="C589" s="1350"/>
      <c r="D589" s="1350"/>
      <c r="E589" s="1350"/>
      <c r="F589" s="1350"/>
      <c r="G589" s="1350"/>
      <c r="H589" s="1350"/>
      <c r="I589" s="1350"/>
      <c r="J589" s="1350"/>
      <c r="K589" s="1350"/>
      <c r="L589" s="1350"/>
      <c r="M589" s="1350"/>
      <c r="N589" s="1350"/>
      <c r="O589" s="1350"/>
      <c r="P589" s="1354"/>
      <c r="Q589" s="1355"/>
      <c r="R589" s="1355"/>
      <c r="S589" s="1350"/>
      <c r="T589" s="1349"/>
      <c r="U589" s="1348"/>
      <c r="V589" s="1348"/>
      <c r="W589" s="1349"/>
      <c r="X589" s="1350"/>
      <c r="Y589" s="1350"/>
      <c r="Z589" s="1349"/>
      <c r="AA589" s="1351"/>
      <c r="AB589" s="1350"/>
      <c r="AC589" s="1350"/>
      <c r="AD589" s="1350"/>
      <c r="AE589" s="1350"/>
      <c r="AF589" s="1350"/>
      <c r="AG589" s="1350"/>
      <c r="AH589" s="1350"/>
      <c r="AI589" s="1350"/>
      <c r="AJ589" s="1350"/>
      <c r="AK589" s="1350"/>
    </row>
    <row r="590">
      <c r="A590" s="1350"/>
      <c r="B590" s="1350"/>
      <c r="C590" s="1350"/>
      <c r="D590" s="1350"/>
      <c r="E590" s="1350"/>
      <c r="F590" s="1350"/>
      <c r="G590" s="1350"/>
      <c r="H590" s="1350"/>
      <c r="I590" s="1350"/>
      <c r="J590" s="1350"/>
      <c r="K590" s="1350"/>
      <c r="L590" s="1350"/>
      <c r="M590" s="1350"/>
      <c r="N590" s="1350"/>
      <c r="O590" s="1350"/>
      <c r="P590" s="1354"/>
      <c r="Q590" s="1355"/>
      <c r="R590" s="1355"/>
      <c r="S590" s="1350"/>
      <c r="T590" s="1349"/>
      <c r="U590" s="1348"/>
      <c r="V590" s="1348"/>
      <c r="W590" s="1349"/>
      <c r="X590" s="1350"/>
      <c r="Y590" s="1350"/>
      <c r="Z590" s="1349"/>
      <c r="AA590" s="1351"/>
      <c r="AB590" s="1350"/>
      <c r="AC590" s="1350"/>
      <c r="AD590" s="1350"/>
      <c r="AE590" s="1350"/>
      <c r="AF590" s="1350"/>
      <c r="AG590" s="1350"/>
      <c r="AH590" s="1350"/>
      <c r="AI590" s="1350"/>
      <c r="AJ590" s="1350"/>
      <c r="AK590" s="1350"/>
    </row>
    <row r="591">
      <c r="A591" s="1350"/>
      <c r="B591" s="1350"/>
      <c r="C591" s="1350"/>
      <c r="D591" s="1350"/>
      <c r="E591" s="1350"/>
      <c r="F591" s="1350"/>
      <c r="G591" s="1350"/>
      <c r="H591" s="1350"/>
      <c r="I591" s="1350"/>
      <c r="J591" s="1350"/>
      <c r="K591" s="1350"/>
      <c r="L591" s="1350"/>
      <c r="M591" s="1350"/>
      <c r="N591" s="1350"/>
      <c r="O591" s="1350"/>
      <c r="P591" s="1354"/>
      <c r="Q591" s="1355"/>
      <c r="R591" s="1355"/>
      <c r="S591" s="1350"/>
      <c r="T591" s="1349"/>
      <c r="U591" s="1348"/>
      <c r="V591" s="1348"/>
      <c r="W591" s="1349"/>
      <c r="X591" s="1350"/>
      <c r="Y591" s="1350"/>
      <c r="Z591" s="1349"/>
      <c r="AA591" s="1351"/>
      <c r="AB591" s="1350"/>
      <c r="AC591" s="1350"/>
      <c r="AD591" s="1350"/>
      <c r="AE591" s="1350"/>
      <c r="AF591" s="1350"/>
      <c r="AG591" s="1350"/>
      <c r="AH591" s="1350"/>
      <c r="AI591" s="1350"/>
      <c r="AJ591" s="1350"/>
      <c r="AK591" s="1350"/>
    </row>
    <row r="592">
      <c r="A592" s="1350"/>
      <c r="B592" s="1350"/>
      <c r="C592" s="1350"/>
      <c r="D592" s="1350"/>
      <c r="E592" s="1350"/>
      <c r="F592" s="1350"/>
      <c r="G592" s="1350"/>
      <c r="H592" s="1350"/>
      <c r="I592" s="1350"/>
      <c r="J592" s="1350"/>
      <c r="K592" s="1350"/>
      <c r="L592" s="1350"/>
      <c r="M592" s="1350"/>
      <c r="N592" s="1350"/>
      <c r="O592" s="1350"/>
      <c r="P592" s="1354"/>
      <c r="Q592" s="1355"/>
      <c r="R592" s="1355"/>
      <c r="S592" s="1350"/>
      <c r="T592" s="1349"/>
      <c r="U592" s="1348"/>
      <c r="V592" s="1348"/>
      <c r="W592" s="1349"/>
      <c r="X592" s="1350"/>
      <c r="Y592" s="1350"/>
      <c r="Z592" s="1349"/>
      <c r="AA592" s="1351"/>
      <c r="AB592" s="1350"/>
      <c r="AC592" s="1350"/>
      <c r="AD592" s="1350"/>
      <c r="AE592" s="1350"/>
      <c r="AF592" s="1350"/>
      <c r="AG592" s="1350"/>
      <c r="AH592" s="1350"/>
      <c r="AI592" s="1350"/>
      <c r="AJ592" s="1350"/>
      <c r="AK592" s="1350"/>
    </row>
    <row r="593">
      <c r="A593" s="1350"/>
      <c r="B593" s="1350"/>
      <c r="C593" s="1350"/>
      <c r="D593" s="1350"/>
      <c r="E593" s="1350"/>
      <c r="F593" s="1350"/>
      <c r="G593" s="1350"/>
      <c r="H593" s="1350"/>
      <c r="I593" s="1350"/>
      <c r="J593" s="1350"/>
      <c r="K593" s="1350"/>
      <c r="L593" s="1350"/>
      <c r="M593" s="1350"/>
      <c r="N593" s="1350"/>
      <c r="O593" s="1350"/>
      <c r="P593" s="1354"/>
      <c r="Q593" s="1355"/>
      <c r="R593" s="1355"/>
      <c r="S593" s="1350"/>
      <c r="T593" s="1349"/>
      <c r="U593" s="1348"/>
      <c r="V593" s="1348"/>
      <c r="W593" s="1349"/>
      <c r="X593" s="1350"/>
      <c r="Y593" s="1350"/>
      <c r="Z593" s="1349"/>
      <c r="AA593" s="1351"/>
      <c r="AB593" s="1350"/>
      <c r="AC593" s="1350"/>
      <c r="AD593" s="1350"/>
      <c r="AE593" s="1350"/>
      <c r="AF593" s="1350"/>
      <c r="AG593" s="1350"/>
      <c r="AH593" s="1350"/>
      <c r="AI593" s="1350"/>
      <c r="AJ593" s="1350"/>
      <c r="AK593" s="1350"/>
    </row>
    <row r="594">
      <c r="A594" s="1350"/>
      <c r="B594" s="1350"/>
      <c r="C594" s="1350"/>
      <c r="D594" s="1350"/>
      <c r="E594" s="1350"/>
      <c r="F594" s="1350"/>
      <c r="G594" s="1350"/>
      <c r="H594" s="1350"/>
      <c r="I594" s="1350"/>
      <c r="J594" s="1350"/>
      <c r="K594" s="1350"/>
      <c r="L594" s="1350"/>
      <c r="M594" s="1350"/>
      <c r="N594" s="1350"/>
      <c r="O594" s="1350"/>
      <c r="P594" s="1354"/>
      <c r="Q594" s="1355"/>
      <c r="R594" s="1355"/>
      <c r="S594" s="1350"/>
      <c r="T594" s="1349"/>
      <c r="U594" s="1348"/>
      <c r="V594" s="1348"/>
      <c r="W594" s="1349"/>
      <c r="X594" s="1350"/>
      <c r="Y594" s="1350"/>
      <c r="Z594" s="1349"/>
      <c r="AA594" s="1351"/>
      <c r="AB594" s="1350"/>
      <c r="AC594" s="1350"/>
      <c r="AD594" s="1350"/>
      <c r="AE594" s="1350"/>
      <c r="AF594" s="1350"/>
      <c r="AG594" s="1350"/>
      <c r="AH594" s="1350"/>
      <c r="AI594" s="1350"/>
      <c r="AJ594" s="1350"/>
      <c r="AK594" s="1350"/>
    </row>
    <row r="595">
      <c r="A595" s="1350"/>
      <c r="B595" s="1350"/>
      <c r="C595" s="1350"/>
      <c r="D595" s="1350"/>
      <c r="E595" s="1350"/>
      <c r="F595" s="1350"/>
      <c r="G595" s="1350"/>
      <c r="H595" s="1350"/>
      <c r="I595" s="1350"/>
      <c r="J595" s="1350"/>
      <c r="K595" s="1350"/>
      <c r="L595" s="1350"/>
      <c r="M595" s="1350"/>
      <c r="N595" s="1350"/>
      <c r="O595" s="1350"/>
      <c r="P595" s="1354"/>
      <c r="Q595" s="1355"/>
      <c r="R595" s="1355"/>
      <c r="S595" s="1350"/>
      <c r="T595" s="1349"/>
      <c r="U595" s="1348"/>
      <c r="V595" s="1348"/>
      <c r="W595" s="1349"/>
      <c r="X595" s="1350"/>
      <c r="Y595" s="1350"/>
      <c r="Z595" s="1349"/>
      <c r="AA595" s="1351"/>
      <c r="AB595" s="1350"/>
      <c r="AC595" s="1350"/>
      <c r="AD595" s="1350"/>
      <c r="AE595" s="1350"/>
      <c r="AF595" s="1350"/>
      <c r="AG595" s="1350"/>
      <c r="AH595" s="1350"/>
      <c r="AI595" s="1350"/>
      <c r="AJ595" s="1350"/>
      <c r="AK595" s="1350"/>
    </row>
    <row r="596">
      <c r="A596" s="1350"/>
      <c r="B596" s="1350"/>
      <c r="C596" s="1350"/>
      <c r="D596" s="1350"/>
      <c r="E596" s="1350"/>
      <c r="F596" s="1350"/>
      <c r="G596" s="1350"/>
      <c r="H596" s="1350"/>
      <c r="I596" s="1350"/>
      <c r="J596" s="1350"/>
      <c r="K596" s="1350"/>
      <c r="L596" s="1350"/>
      <c r="M596" s="1350"/>
      <c r="N596" s="1350"/>
      <c r="O596" s="1350"/>
      <c r="P596" s="1354"/>
      <c r="Q596" s="1355"/>
      <c r="R596" s="1355"/>
      <c r="S596" s="1350"/>
      <c r="T596" s="1349"/>
      <c r="U596" s="1348"/>
      <c r="V596" s="1348"/>
      <c r="W596" s="1349"/>
      <c r="X596" s="1350"/>
      <c r="Y596" s="1350"/>
      <c r="Z596" s="1349"/>
      <c r="AA596" s="1351"/>
      <c r="AB596" s="1350"/>
      <c r="AC596" s="1350"/>
      <c r="AD596" s="1350"/>
      <c r="AE596" s="1350"/>
      <c r="AF596" s="1350"/>
      <c r="AG596" s="1350"/>
      <c r="AH596" s="1350"/>
      <c r="AI596" s="1350"/>
      <c r="AJ596" s="1350"/>
      <c r="AK596" s="1350"/>
    </row>
    <row r="597">
      <c r="A597" s="1350"/>
      <c r="B597" s="1350"/>
      <c r="C597" s="1350"/>
      <c r="D597" s="1350"/>
      <c r="E597" s="1350"/>
      <c r="F597" s="1350"/>
      <c r="G597" s="1350"/>
      <c r="H597" s="1350"/>
      <c r="I597" s="1350"/>
      <c r="J597" s="1350"/>
      <c r="K597" s="1350"/>
      <c r="L597" s="1350"/>
      <c r="M597" s="1350"/>
      <c r="N597" s="1350"/>
      <c r="O597" s="1350"/>
      <c r="P597" s="1354"/>
      <c r="Q597" s="1355"/>
      <c r="R597" s="1355"/>
      <c r="S597" s="1350"/>
      <c r="T597" s="1349"/>
      <c r="U597" s="1348"/>
      <c r="V597" s="1348"/>
      <c r="W597" s="1349"/>
      <c r="X597" s="1350"/>
      <c r="Y597" s="1350"/>
      <c r="Z597" s="1349"/>
      <c r="AA597" s="1351"/>
      <c r="AB597" s="1350"/>
      <c r="AC597" s="1350"/>
      <c r="AD597" s="1350"/>
      <c r="AE597" s="1350"/>
      <c r="AF597" s="1350"/>
      <c r="AG597" s="1350"/>
      <c r="AH597" s="1350"/>
      <c r="AI597" s="1350"/>
      <c r="AJ597" s="1350"/>
      <c r="AK597" s="1350"/>
    </row>
    <row r="598">
      <c r="A598" s="1350"/>
      <c r="B598" s="1350"/>
      <c r="C598" s="1350"/>
      <c r="D598" s="1350"/>
      <c r="E598" s="1350"/>
      <c r="F598" s="1350"/>
      <c r="G598" s="1350"/>
      <c r="H598" s="1350"/>
      <c r="I598" s="1350"/>
      <c r="J598" s="1350"/>
      <c r="K598" s="1350"/>
      <c r="L598" s="1350"/>
      <c r="M598" s="1350"/>
      <c r="N598" s="1350"/>
      <c r="O598" s="1350"/>
      <c r="P598" s="1354"/>
      <c r="Q598" s="1355"/>
      <c r="R598" s="1355"/>
      <c r="S598" s="1350"/>
      <c r="T598" s="1349"/>
      <c r="U598" s="1348"/>
      <c r="V598" s="1348"/>
      <c r="W598" s="1349"/>
      <c r="X598" s="1350"/>
      <c r="Y598" s="1350"/>
      <c r="Z598" s="1349"/>
      <c r="AA598" s="1351"/>
      <c r="AB598" s="1350"/>
      <c r="AC598" s="1350"/>
      <c r="AD598" s="1350"/>
      <c r="AE598" s="1350"/>
      <c r="AF598" s="1350"/>
      <c r="AG598" s="1350"/>
      <c r="AH598" s="1350"/>
      <c r="AI598" s="1350"/>
      <c r="AJ598" s="1350"/>
      <c r="AK598" s="1350"/>
    </row>
    <row r="599">
      <c r="A599" s="1350"/>
      <c r="B599" s="1350"/>
      <c r="C599" s="1350"/>
      <c r="D599" s="1350"/>
      <c r="E599" s="1350"/>
      <c r="F599" s="1350"/>
      <c r="G599" s="1350"/>
      <c r="H599" s="1350"/>
      <c r="I599" s="1350"/>
      <c r="J599" s="1350"/>
      <c r="K599" s="1350"/>
      <c r="L599" s="1350"/>
      <c r="M599" s="1350"/>
      <c r="N599" s="1350"/>
      <c r="O599" s="1350"/>
      <c r="P599" s="1354"/>
      <c r="Q599" s="1355"/>
      <c r="R599" s="1355"/>
      <c r="S599" s="1350"/>
      <c r="T599" s="1349"/>
      <c r="U599" s="1348"/>
      <c r="V599" s="1348"/>
      <c r="W599" s="1349"/>
      <c r="X599" s="1350"/>
      <c r="Y599" s="1350"/>
      <c r="Z599" s="1349"/>
      <c r="AA599" s="1351"/>
      <c r="AB599" s="1350"/>
      <c r="AC599" s="1350"/>
      <c r="AD599" s="1350"/>
      <c r="AE599" s="1350"/>
      <c r="AF599" s="1350"/>
      <c r="AG599" s="1350"/>
      <c r="AH599" s="1350"/>
      <c r="AI599" s="1350"/>
      <c r="AJ599" s="1350"/>
      <c r="AK599" s="1350"/>
    </row>
    <row r="600">
      <c r="A600" s="1350"/>
      <c r="B600" s="1350"/>
      <c r="C600" s="1350"/>
      <c r="D600" s="1350"/>
      <c r="E600" s="1350"/>
      <c r="F600" s="1350"/>
      <c r="G600" s="1350"/>
      <c r="H600" s="1350"/>
      <c r="I600" s="1350"/>
      <c r="J600" s="1350"/>
      <c r="K600" s="1350"/>
      <c r="L600" s="1350"/>
      <c r="M600" s="1350"/>
      <c r="N600" s="1350"/>
      <c r="O600" s="1350"/>
      <c r="P600" s="1354"/>
      <c r="Q600" s="1355"/>
      <c r="R600" s="1355"/>
      <c r="S600" s="1350"/>
      <c r="T600" s="1349"/>
      <c r="U600" s="1348"/>
      <c r="V600" s="1348"/>
      <c r="W600" s="1349"/>
      <c r="X600" s="1350"/>
      <c r="Y600" s="1350"/>
      <c r="Z600" s="1349"/>
      <c r="AA600" s="1351"/>
      <c r="AB600" s="1350"/>
      <c r="AC600" s="1350"/>
      <c r="AD600" s="1350"/>
      <c r="AE600" s="1350"/>
      <c r="AF600" s="1350"/>
      <c r="AG600" s="1350"/>
      <c r="AH600" s="1350"/>
      <c r="AI600" s="1350"/>
      <c r="AJ600" s="1350"/>
      <c r="AK600" s="1350"/>
    </row>
    <row r="601">
      <c r="A601" s="1350"/>
      <c r="B601" s="1350"/>
      <c r="C601" s="1350"/>
      <c r="D601" s="1350"/>
      <c r="E601" s="1350"/>
      <c r="F601" s="1350"/>
      <c r="G601" s="1350"/>
      <c r="H601" s="1350"/>
      <c r="I601" s="1350"/>
      <c r="J601" s="1350"/>
      <c r="K601" s="1350"/>
      <c r="L601" s="1350"/>
      <c r="M601" s="1350"/>
      <c r="N601" s="1350"/>
      <c r="O601" s="1350"/>
      <c r="P601" s="1354"/>
      <c r="Q601" s="1355"/>
      <c r="R601" s="1355"/>
      <c r="S601" s="1350"/>
      <c r="T601" s="1349"/>
      <c r="U601" s="1348"/>
      <c r="V601" s="1348"/>
      <c r="W601" s="1349"/>
      <c r="X601" s="1350"/>
      <c r="Y601" s="1350"/>
      <c r="Z601" s="1349"/>
      <c r="AA601" s="1351"/>
      <c r="AB601" s="1350"/>
      <c r="AC601" s="1350"/>
      <c r="AD601" s="1350"/>
      <c r="AE601" s="1350"/>
      <c r="AF601" s="1350"/>
      <c r="AG601" s="1350"/>
      <c r="AH601" s="1350"/>
      <c r="AI601" s="1350"/>
      <c r="AJ601" s="1350"/>
      <c r="AK601" s="1350"/>
    </row>
    <row r="602">
      <c r="A602" s="1350"/>
      <c r="B602" s="1350"/>
      <c r="C602" s="1350"/>
      <c r="D602" s="1350"/>
      <c r="E602" s="1350"/>
      <c r="F602" s="1350"/>
      <c r="G602" s="1350"/>
      <c r="H602" s="1350"/>
      <c r="I602" s="1350"/>
      <c r="J602" s="1350"/>
      <c r="K602" s="1350"/>
      <c r="L602" s="1350"/>
      <c r="M602" s="1350"/>
      <c r="N602" s="1350"/>
      <c r="O602" s="1350"/>
      <c r="P602" s="1354"/>
      <c r="Q602" s="1355"/>
      <c r="R602" s="1355"/>
      <c r="S602" s="1350"/>
      <c r="T602" s="1349"/>
      <c r="U602" s="1348"/>
      <c r="V602" s="1348"/>
      <c r="W602" s="1349"/>
      <c r="X602" s="1350"/>
      <c r="Y602" s="1350"/>
      <c r="Z602" s="1349"/>
      <c r="AA602" s="1351"/>
      <c r="AB602" s="1350"/>
      <c r="AC602" s="1350"/>
      <c r="AD602" s="1350"/>
      <c r="AE602" s="1350"/>
      <c r="AF602" s="1350"/>
      <c r="AG602" s="1350"/>
      <c r="AH602" s="1350"/>
      <c r="AI602" s="1350"/>
      <c r="AJ602" s="1350"/>
      <c r="AK602" s="1350"/>
    </row>
    <row r="603">
      <c r="A603" s="1350"/>
      <c r="B603" s="1350"/>
      <c r="C603" s="1350"/>
      <c r="D603" s="1350"/>
      <c r="E603" s="1350"/>
      <c r="F603" s="1350"/>
      <c r="G603" s="1350"/>
      <c r="H603" s="1350"/>
      <c r="I603" s="1350"/>
      <c r="J603" s="1350"/>
      <c r="K603" s="1350"/>
      <c r="L603" s="1350"/>
      <c r="M603" s="1350"/>
      <c r="N603" s="1350"/>
      <c r="O603" s="1350"/>
      <c r="P603" s="1354"/>
      <c r="Q603" s="1355"/>
      <c r="R603" s="1355"/>
      <c r="S603" s="1350"/>
      <c r="T603" s="1349"/>
      <c r="U603" s="1348"/>
      <c r="V603" s="1348"/>
      <c r="W603" s="1349"/>
      <c r="X603" s="1350"/>
      <c r="Y603" s="1350"/>
      <c r="Z603" s="1349"/>
      <c r="AA603" s="1351"/>
      <c r="AB603" s="1350"/>
      <c r="AC603" s="1350"/>
      <c r="AD603" s="1350"/>
      <c r="AE603" s="1350"/>
      <c r="AF603" s="1350"/>
      <c r="AG603" s="1350"/>
      <c r="AH603" s="1350"/>
      <c r="AI603" s="1350"/>
      <c r="AJ603" s="1350"/>
      <c r="AK603" s="1350"/>
    </row>
    <row r="604">
      <c r="A604" s="1350"/>
      <c r="B604" s="1350"/>
      <c r="C604" s="1350"/>
      <c r="D604" s="1350"/>
      <c r="E604" s="1350"/>
      <c r="F604" s="1350"/>
      <c r="G604" s="1350"/>
      <c r="H604" s="1350"/>
      <c r="I604" s="1350"/>
      <c r="J604" s="1350"/>
      <c r="K604" s="1350"/>
      <c r="L604" s="1350"/>
      <c r="M604" s="1350"/>
      <c r="N604" s="1350"/>
      <c r="O604" s="1350"/>
      <c r="P604" s="1354"/>
      <c r="Q604" s="1355"/>
      <c r="R604" s="1355"/>
      <c r="S604" s="1350"/>
      <c r="T604" s="1349"/>
      <c r="U604" s="1348"/>
      <c r="V604" s="1348"/>
      <c r="W604" s="1349"/>
      <c r="X604" s="1350"/>
      <c r="Y604" s="1350"/>
      <c r="Z604" s="1349"/>
      <c r="AA604" s="1351"/>
      <c r="AB604" s="1350"/>
      <c r="AC604" s="1350"/>
      <c r="AD604" s="1350"/>
      <c r="AE604" s="1350"/>
      <c r="AF604" s="1350"/>
      <c r="AG604" s="1350"/>
      <c r="AH604" s="1350"/>
      <c r="AI604" s="1350"/>
      <c r="AJ604" s="1350"/>
      <c r="AK604" s="1350"/>
    </row>
    <row r="605">
      <c r="A605" s="1350"/>
      <c r="B605" s="1350"/>
      <c r="C605" s="1350"/>
      <c r="D605" s="1350"/>
      <c r="E605" s="1350"/>
      <c r="F605" s="1350"/>
      <c r="G605" s="1350"/>
      <c r="H605" s="1350"/>
      <c r="I605" s="1350"/>
      <c r="J605" s="1350"/>
      <c r="K605" s="1350"/>
      <c r="L605" s="1350"/>
      <c r="M605" s="1350"/>
      <c r="N605" s="1350"/>
      <c r="O605" s="1350"/>
      <c r="P605" s="1354"/>
      <c r="Q605" s="1355"/>
      <c r="R605" s="1355"/>
      <c r="S605" s="1350"/>
      <c r="T605" s="1349"/>
      <c r="U605" s="1348"/>
      <c r="V605" s="1348"/>
      <c r="W605" s="1349"/>
      <c r="X605" s="1350"/>
      <c r="Y605" s="1350"/>
      <c r="Z605" s="1349"/>
      <c r="AA605" s="1351"/>
      <c r="AB605" s="1350"/>
      <c r="AC605" s="1350"/>
      <c r="AD605" s="1350"/>
      <c r="AE605" s="1350"/>
      <c r="AF605" s="1350"/>
      <c r="AG605" s="1350"/>
      <c r="AH605" s="1350"/>
      <c r="AI605" s="1350"/>
      <c r="AJ605" s="1350"/>
      <c r="AK605" s="1350"/>
    </row>
    <row r="606">
      <c r="A606" s="1350"/>
      <c r="B606" s="1350"/>
      <c r="C606" s="1350"/>
      <c r="D606" s="1350"/>
      <c r="E606" s="1350"/>
      <c r="F606" s="1350"/>
      <c r="G606" s="1350"/>
      <c r="H606" s="1350"/>
      <c r="I606" s="1350"/>
      <c r="J606" s="1350"/>
      <c r="K606" s="1350"/>
      <c r="L606" s="1350"/>
      <c r="M606" s="1350"/>
      <c r="N606" s="1350"/>
      <c r="O606" s="1350"/>
      <c r="P606" s="1354"/>
      <c r="Q606" s="1355"/>
      <c r="R606" s="1355"/>
      <c r="S606" s="1350"/>
      <c r="T606" s="1349"/>
      <c r="U606" s="1348"/>
      <c r="V606" s="1348"/>
      <c r="W606" s="1349"/>
      <c r="X606" s="1350"/>
      <c r="Y606" s="1350"/>
      <c r="Z606" s="1349"/>
      <c r="AA606" s="1351"/>
      <c r="AB606" s="1350"/>
      <c r="AC606" s="1350"/>
      <c r="AD606" s="1350"/>
      <c r="AE606" s="1350"/>
      <c r="AF606" s="1350"/>
      <c r="AG606" s="1350"/>
      <c r="AH606" s="1350"/>
      <c r="AI606" s="1350"/>
      <c r="AJ606" s="1350"/>
      <c r="AK606" s="1350"/>
    </row>
    <row r="607">
      <c r="A607" s="1350"/>
      <c r="B607" s="1350"/>
      <c r="C607" s="1350"/>
      <c r="D607" s="1350"/>
      <c r="E607" s="1350"/>
      <c r="F607" s="1350"/>
      <c r="G607" s="1350"/>
      <c r="H607" s="1350"/>
      <c r="I607" s="1350"/>
      <c r="J607" s="1350"/>
      <c r="K607" s="1350"/>
      <c r="L607" s="1350"/>
      <c r="M607" s="1350"/>
      <c r="N607" s="1350"/>
      <c r="O607" s="1350"/>
      <c r="P607" s="1354"/>
      <c r="Q607" s="1355"/>
      <c r="R607" s="1355"/>
      <c r="S607" s="1350"/>
      <c r="T607" s="1349"/>
      <c r="U607" s="1348"/>
      <c r="V607" s="1348"/>
      <c r="W607" s="1349"/>
      <c r="X607" s="1350"/>
      <c r="Y607" s="1350"/>
      <c r="Z607" s="1349"/>
      <c r="AA607" s="1351"/>
      <c r="AB607" s="1350"/>
      <c r="AC607" s="1350"/>
      <c r="AD607" s="1350"/>
      <c r="AE607" s="1350"/>
      <c r="AF607" s="1350"/>
      <c r="AG607" s="1350"/>
      <c r="AH607" s="1350"/>
      <c r="AI607" s="1350"/>
      <c r="AJ607" s="1350"/>
      <c r="AK607" s="1350"/>
    </row>
    <row r="608">
      <c r="A608" s="1350"/>
      <c r="B608" s="1350"/>
      <c r="C608" s="1350"/>
      <c r="D608" s="1350"/>
      <c r="E608" s="1350"/>
      <c r="F608" s="1350"/>
      <c r="G608" s="1350"/>
      <c r="H608" s="1350"/>
      <c r="I608" s="1350"/>
      <c r="J608" s="1350"/>
      <c r="K608" s="1350"/>
      <c r="L608" s="1350"/>
      <c r="M608" s="1350"/>
      <c r="N608" s="1350"/>
      <c r="O608" s="1350"/>
      <c r="P608" s="1354"/>
      <c r="Q608" s="1355"/>
      <c r="R608" s="1355"/>
      <c r="S608" s="1350"/>
      <c r="T608" s="1349"/>
      <c r="U608" s="1348"/>
      <c r="V608" s="1348"/>
      <c r="W608" s="1349"/>
      <c r="X608" s="1350"/>
      <c r="Y608" s="1350"/>
      <c r="Z608" s="1349"/>
      <c r="AA608" s="1351"/>
      <c r="AB608" s="1350"/>
      <c r="AC608" s="1350"/>
      <c r="AD608" s="1350"/>
      <c r="AE608" s="1350"/>
      <c r="AF608" s="1350"/>
      <c r="AG608" s="1350"/>
      <c r="AH608" s="1350"/>
      <c r="AI608" s="1350"/>
      <c r="AJ608" s="1350"/>
      <c r="AK608" s="1350"/>
    </row>
    <row r="609">
      <c r="A609" s="1350"/>
      <c r="B609" s="1350"/>
      <c r="C609" s="1350"/>
      <c r="D609" s="1350"/>
      <c r="E609" s="1350"/>
      <c r="F609" s="1350"/>
      <c r="G609" s="1350"/>
      <c r="H609" s="1350"/>
      <c r="I609" s="1350"/>
      <c r="J609" s="1350"/>
      <c r="K609" s="1350"/>
      <c r="L609" s="1350"/>
      <c r="M609" s="1350"/>
      <c r="N609" s="1350"/>
      <c r="O609" s="1350"/>
      <c r="P609" s="1354"/>
      <c r="Q609" s="1355"/>
      <c r="R609" s="1355"/>
      <c r="S609" s="1350"/>
      <c r="T609" s="1349"/>
      <c r="U609" s="1348"/>
      <c r="V609" s="1348"/>
      <c r="W609" s="1349"/>
      <c r="X609" s="1350"/>
      <c r="Y609" s="1350"/>
      <c r="Z609" s="1349"/>
      <c r="AA609" s="1351"/>
      <c r="AB609" s="1350"/>
      <c r="AC609" s="1350"/>
      <c r="AD609" s="1350"/>
      <c r="AE609" s="1350"/>
      <c r="AF609" s="1350"/>
      <c r="AG609" s="1350"/>
      <c r="AH609" s="1350"/>
      <c r="AI609" s="1350"/>
      <c r="AJ609" s="1350"/>
      <c r="AK609" s="1350"/>
    </row>
    <row r="610">
      <c r="A610" s="1350"/>
      <c r="B610" s="1350"/>
      <c r="C610" s="1350"/>
      <c r="D610" s="1350"/>
      <c r="E610" s="1350"/>
      <c r="F610" s="1350"/>
      <c r="G610" s="1350"/>
      <c r="H610" s="1350"/>
      <c r="I610" s="1350"/>
      <c r="J610" s="1350"/>
      <c r="K610" s="1350"/>
      <c r="L610" s="1350"/>
      <c r="M610" s="1350"/>
      <c r="N610" s="1350"/>
      <c r="O610" s="1350"/>
      <c r="P610" s="1354"/>
      <c r="Q610" s="1355"/>
      <c r="R610" s="1355"/>
      <c r="S610" s="1350"/>
      <c r="T610" s="1349"/>
      <c r="U610" s="1348"/>
      <c r="V610" s="1348"/>
      <c r="W610" s="1349"/>
      <c r="X610" s="1350"/>
      <c r="Y610" s="1350"/>
      <c r="Z610" s="1349"/>
      <c r="AA610" s="1351"/>
      <c r="AB610" s="1350"/>
      <c r="AC610" s="1350"/>
      <c r="AD610" s="1350"/>
      <c r="AE610" s="1350"/>
      <c r="AF610" s="1350"/>
      <c r="AG610" s="1350"/>
      <c r="AH610" s="1350"/>
      <c r="AI610" s="1350"/>
      <c r="AJ610" s="1350"/>
      <c r="AK610" s="1350"/>
    </row>
    <row r="611">
      <c r="A611" s="1350"/>
      <c r="B611" s="1350"/>
      <c r="C611" s="1350"/>
      <c r="D611" s="1350"/>
      <c r="E611" s="1350"/>
      <c r="F611" s="1350"/>
      <c r="G611" s="1350"/>
      <c r="H611" s="1350"/>
      <c r="I611" s="1350"/>
      <c r="J611" s="1350"/>
      <c r="K611" s="1350"/>
      <c r="L611" s="1350"/>
      <c r="M611" s="1350"/>
      <c r="N611" s="1350"/>
      <c r="O611" s="1350"/>
      <c r="P611" s="1354"/>
      <c r="Q611" s="1355"/>
      <c r="R611" s="1355"/>
      <c r="S611" s="1350"/>
      <c r="T611" s="1349"/>
      <c r="U611" s="1348"/>
      <c r="V611" s="1348"/>
      <c r="W611" s="1349"/>
      <c r="X611" s="1350"/>
      <c r="Y611" s="1350"/>
      <c r="Z611" s="1349"/>
      <c r="AA611" s="1351"/>
      <c r="AB611" s="1350"/>
      <c r="AC611" s="1350"/>
      <c r="AD611" s="1350"/>
      <c r="AE611" s="1350"/>
      <c r="AF611" s="1350"/>
      <c r="AG611" s="1350"/>
      <c r="AH611" s="1350"/>
      <c r="AI611" s="1350"/>
      <c r="AJ611" s="1350"/>
      <c r="AK611" s="1350"/>
    </row>
    <row r="612">
      <c r="A612" s="1350"/>
      <c r="B612" s="1350"/>
      <c r="C612" s="1350"/>
      <c r="D612" s="1350"/>
      <c r="E612" s="1350"/>
      <c r="F612" s="1350"/>
      <c r="G612" s="1350"/>
      <c r="H612" s="1350"/>
      <c r="I612" s="1350"/>
      <c r="J612" s="1350"/>
      <c r="K612" s="1350"/>
      <c r="L612" s="1350"/>
      <c r="M612" s="1350"/>
      <c r="N612" s="1350"/>
      <c r="O612" s="1350"/>
      <c r="P612" s="1354"/>
      <c r="Q612" s="1355"/>
      <c r="R612" s="1355"/>
      <c r="S612" s="1350"/>
      <c r="T612" s="1349"/>
      <c r="U612" s="1348"/>
      <c r="V612" s="1348"/>
      <c r="W612" s="1349"/>
      <c r="X612" s="1350"/>
      <c r="Y612" s="1350"/>
      <c r="Z612" s="1349"/>
      <c r="AA612" s="1351"/>
      <c r="AB612" s="1350"/>
      <c r="AC612" s="1350"/>
      <c r="AD612" s="1350"/>
      <c r="AE612" s="1350"/>
      <c r="AF612" s="1350"/>
      <c r="AG612" s="1350"/>
      <c r="AH612" s="1350"/>
      <c r="AI612" s="1350"/>
      <c r="AJ612" s="1350"/>
      <c r="AK612" s="1350"/>
    </row>
    <row r="613">
      <c r="A613" s="1350"/>
      <c r="B613" s="1350"/>
      <c r="C613" s="1350"/>
      <c r="D613" s="1350"/>
      <c r="E613" s="1350"/>
      <c r="F613" s="1350"/>
      <c r="G613" s="1350"/>
      <c r="H613" s="1350"/>
      <c r="I613" s="1350"/>
      <c r="J613" s="1350"/>
      <c r="K613" s="1350"/>
      <c r="L613" s="1350"/>
      <c r="M613" s="1350"/>
      <c r="N613" s="1350"/>
      <c r="O613" s="1350"/>
      <c r="P613" s="1354"/>
      <c r="Q613" s="1355"/>
      <c r="R613" s="1355"/>
      <c r="S613" s="1350"/>
      <c r="T613" s="1349"/>
      <c r="U613" s="1348"/>
      <c r="V613" s="1348"/>
      <c r="W613" s="1349"/>
      <c r="X613" s="1350"/>
      <c r="Y613" s="1350"/>
      <c r="Z613" s="1349"/>
      <c r="AA613" s="1351"/>
      <c r="AB613" s="1350"/>
      <c r="AC613" s="1350"/>
      <c r="AD613" s="1350"/>
      <c r="AE613" s="1350"/>
      <c r="AF613" s="1350"/>
      <c r="AG613" s="1350"/>
      <c r="AH613" s="1350"/>
      <c r="AI613" s="1350"/>
      <c r="AJ613" s="1350"/>
      <c r="AK613" s="1350"/>
    </row>
    <row r="614">
      <c r="A614" s="1350"/>
      <c r="B614" s="1350"/>
      <c r="C614" s="1350"/>
      <c r="D614" s="1350"/>
      <c r="E614" s="1350"/>
      <c r="F614" s="1350"/>
      <c r="G614" s="1350"/>
      <c r="H614" s="1350"/>
      <c r="I614" s="1350"/>
      <c r="J614" s="1350"/>
      <c r="K614" s="1350"/>
      <c r="L614" s="1350"/>
      <c r="M614" s="1350"/>
      <c r="N614" s="1350"/>
      <c r="O614" s="1350"/>
      <c r="P614" s="1354"/>
      <c r="Q614" s="1355"/>
      <c r="R614" s="1355"/>
      <c r="S614" s="1350"/>
      <c r="T614" s="1349"/>
      <c r="U614" s="1348"/>
      <c r="V614" s="1348"/>
      <c r="W614" s="1349"/>
      <c r="X614" s="1350"/>
      <c r="Y614" s="1350"/>
      <c r="Z614" s="1349"/>
      <c r="AA614" s="1351"/>
      <c r="AB614" s="1350"/>
      <c r="AC614" s="1350"/>
      <c r="AD614" s="1350"/>
      <c r="AE614" s="1350"/>
      <c r="AF614" s="1350"/>
      <c r="AG614" s="1350"/>
      <c r="AH614" s="1350"/>
      <c r="AI614" s="1350"/>
      <c r="AJ614" s="1350"/>
      <c r="AK614" s="1350"/>
    </row>
    <row r="615">
      <c r="A615" s="1350"/>
      <c r="B615" s="1350"/>
      <c r="C615" s="1350"/>
      <c r="D615" s="1350"/>
      <c r="E615" s="1350"/>
      <c r="F615" s="1350"/>
      <c r="G615" s="1350"/>
      <c r="H615" s="1350"/>
      <c r="I615" s="1350"/>
      <c r="J615" s="1350"/>
      <c r="K615" s="1350"/>
      <c r="L615" s="1350"/>
      <c r="M615" s="1350"/>
      <c r="N615" s="1350"/>
      <c r="O615" s="1350"/>
      <c r="P615" s="1354"/>
      <c r="Q615" s="1355"/>
      <c r="R615" s="1355"/>
      <c r="S615" s="1350"/>
      <c r="T615" s="1349"/>
      <c r="U615" s="1348"/>
      <c r="V615" s="1348"/>
      <c r="W615" s="1349"/>
      <c r="X615" s="1350"/>
      <c r="Y615" s="1350"/>
      <c r="Z615" s="1349"/>
      <c r="AA615" s="1351"/>
      <c r="AB615" s="1350"/>
      <c r="AC615" s="1350"/>
      <c r="AD615" s="1350"/>
      <c r="AE615" s="1350"/>
      <c r="AF615" s="1350"/>
      <c r="AG615" s="1350"/>
      <c r="AH615" s="1350"/>
      <c r="AI615" s="1350"/>
      <c r="AJ615" s="1350"/>
      <c r="AK615" s="1350"/>
    </row>
    <row r="616">
      <c r="A616" s="1350"/>
      <c r="B616" s="1350"/>
      <c r="C616" s="1350"/>
      <c r="D616" s="1350"/>
      <c r="E616" s="1350"/>
      <c r="F616" s="1350"/>
      <c r="G616" s="1350"/>
      <c r="H616" s="1350"/>
      <c r="I616" s="1350"/>
      <c r="J616" s="1350"/>
      <c r="K616" s="1350"/>
      <c r="L616" s="1350"/>
      <c r="M616" s="1350"/>
      <c r="N616" s="1350"/>
      <c r="O616" s="1350"/>
      <c r="P616" s="1354"/>
      <c r="Q616" s="1355"/>
      <c r="R616" s="1355"/>
      <c r="S616" s="1350"/>
      <c r="T616" s="1349"/>
      <c r="U616" s="1348"/>
      <c r="V616" s="1348"/>
      <c r="W616" s="1349"/>
      <c r="X616" s="1350"/>
      <c r="Y616" s="1350"/>
      <c r="Z616" s="1349"/>
      <c r="AA616" s="1351"/>
      <c r="AB616" s="1350"/>
      <c r="AC616" s="1350"/>
      <c r="AD616" s="1350"/>
      <c r="AE616" s="1350"/>
      <c r="AF616" s="1350"/>
      <c r="AG616" s="1350"/>
      <c r="AH616" s="1350"/>
      <c r="AI616" s="1350"/>
      <c r="AJ616" s="1350"/>
      <c r="AK616" s="1350"/>
    </row>
    <row r="617">
      <c r="A617" s="1350"/>
      <c r="B617" s="1350"/>
      <c r="C617" s="1350"/>
      <c r="D617" s="1350"/>
      <c r="E617" s="1350"/>
      <c r="F617" s="1350"/>
      <c r="G617" s="1350"/>
      <c r="H617" s="1350"/>
      <c r="I617" s="1350"/>
      <c r="J617" s="1350"/>
      <c r="K617" s="1350"/>
      <c r="L617" s="1350"/>
      <c r="M617" s="1350"/>
      <c r="N617" s="1350"/>
      <c r="O617" s="1350"/>
      <c r="P617" s="1354"/>
      <c r="Q617" s="1355"/>
      <c r="R617" s="1355"/>
      <c r="S617" s="1350"/>
      <c r="T617" s="1349"/>
      <c r="U617" s="1348"/>
      <c r="V617" s="1348"/>
      <c r="W617" s="1349"/>
      <c r="X617" s="1350"/>
      <c r="Y617" s="1350"/>
      <c r="Z617" s="1349"/>
      <c r="AA617" s="1351"/>
      <c r="AB617" s="1350"/>
      <c r="AC617" s="1350"/>
      <c r="AD617" s="1350"/>
      <c r="AE617" s="1350"/>
      <c r="AF617" s="1350"/>
      <c r="AG617" s="1350"/>
      <c r="AH617" s="1350"/>
      <c r="AI617" s="1350"/>
      <c r="AJ617" s="1350"/>
      <c r="AK617" s="1350"/>
    </row>
    <row r="618">
      <c r="A618" s="1350"/>
      <c r="B618" s="1350"/>
      <c r="C618" s="1350"/>
      <c r="D618" s="1350"/>
      <c r="E618" s="1350"/>
      <c r="F618" s="1350"/>
      <c r="G618" s="1350"/>
      <c r="H618" s="1350"/>
      <c r="I618" s="1350"/>
      <c r="J618" s="1350"/>
      <c r="K618" s="1350"/>
      <c r="L618" s="1350"/>
      <c r="M618" s="1350"/>
      <c r="N618" s="1350"/>
      <c r="O618" s="1350"/>
      <c r="P618" s="1354"/>
      <c r="Q618" s="1355"/>
      <c r="R618" s="1355"/>
      <c r="S618" s="1350"/>
      <c r="T618" s="1349"/>
      <c r="U618" s="1348"/>
      <c r="V618" s="1348"/>
      <c r="W618" s="1349"/>
      <c r="X618" s="1350"/>
      <c r="Y618" s="1350"/>
      <c r="Z618" s="1349"/>
      <c r="AA618" s="1351"/>
      <c r="AB618" s="1350"/>
      <c r="AC618" s="1350"/>
      <c r="AD618" s="1350"/>
      <c r="AE618" s="1350"/>
      <c r="AF618" s="1350"/>
      <c r="AG618" s="1350"/>
      <c r="AH618" s="1350"/>
      <c r="AI618" s="1350"/>
      <c r="AJ618" s="1350"/>
      <c r="AK618" s="1350"/>
    </row>
    <row r="619">
      <c r="A619" s="1350"/>
      <c r="B619" s="1350"/>
      <c r="C619" s="1350"/>
      <c r="D619" s="1350"/>
      <c r="E619" s="1350"/>
      <c r="F619" s="1350"/>
      <c r="G619" s="1350"/>
      <c r="H619" s="1350"/>
      <c r="I619" s="1350"/>
      <c r="J619" s="1350"/>
      <c r="K619" s="1350"/>
      <c r="L619" s="1350"/>
      <c r="M619" s="1350"/>
      <c r="N619" s="1350"/>
      <c r="O619" s="1350"/>
      <c r="P619" s="1354"/>
      <c r="Q619" s="1355"/>
      <c r="R619" s="1355"/>
      <c r="S619" s="1350"/>
      <c r="T619" s="1349"/>
      <c r="U619" s="1348"/>
      <c r="V619" s="1348"/>
      <c r="W619" s="1349"/>
      <c r="X619" s="1350"/>
      <c r="Y619" s="1350"/>
      <c r="Z619" s="1349"/>
      <c r="AA619" s="1351"/>
      <c r="AB619" s="1350"/>
      <c r="AC619" s="1350"/>
      <c r="AD619" s="1350"/>
      <c r="AE619" s="1350"/>
      <c r="AF619" s="1350"/>
      <c r="AG619" s="1350"/>
      <c r="AH619" s="1350"/>
      <c r="AI619" s="1350"/>
      <c r="AJ619" s="1350"/>
      <c r="AK619" s="1350"/>
    </row>
    <row r="620">
      <c r="A620" s="1350"/>
      <c r="B620" s="1350"/>
      <c r="C620" s="1350"/>
      <c r="D620" s="1350"/>
      <c r="E620" s="1350"/>
      <c r="F620" s="1350"/>
      <c r="G620" s="1350"/>
      <c r="H620" s="1350"/>
      <c r="I620" s="1350"/>
      <c r="J620" s="1350"/>
      <c r="K620" s="1350"/>
      <c r="L620" s="1350"/>
      <c r="M620" s="1350"/>
      <c r="N620" s="1350"/>
      <c r="O620" s="1350"/>
      <c r="P620" s="1354"/>
      <c r="Q620" s="1355"/>
      <c r="R620" s="1355"/>
      <c r="S620" s="1350"/>
      <c r="T620" s="1349"/>
      <c r="U620" s="1348"/>
      <c r="V620" s="1348"/>
      <c r="W620" s="1349"/>
      <c r="X620" s="1350"/>
      <c r="Y620" s="1350"/>
      <c r="Z620" s="1349"/>
      <c r="AA620" s="1351"/>
      <c r="AB620" s="1350"/>
      <c r="AC620" s="1350"/>
      <c r="AD620" s="1350"/>
      <c r="AE620" s="1350"/>
      <c r="AF620" s="1350"/>
      <c r="AG620" s="1350"/>
      <c r="AH620" s="1350"/>
      <c r="AI620" s="1350"/>
      <c r="AJ620" s="1350"/>
      <c r="AK620" s="1350"/>
    </row>
    <row r="621">
      <c r="A621" s="1350"/>
      <c r="B621" s="1350"/>
      <c r="C621" s="1350"/>
      <c r="D621" s="1350"/>
      <c r="E621" s="1350"/>
      <c r="F621" s="1350"/>
      <c r="G621" s="1350"/>
      <c r="H621" s="1350"/>
      <c r="I621" s="1350"/>
      <c r="J621" s="1350"/>
      <c r="K621" s="1350"/>
      <c r="L621" s="1350"/>
      <c r="M621" s="1350"/>
      <c r="N621" s="1350"/>
      <c r="O621" s="1350"/>
      <c r="P621" s="1354"/>
      <c r="Q621" s="1355"/>
      <c r="R621" s="1355"/>
      <c r="S621" s="1350"/>
      <c r="T621" s="1349"/>
      <c r="U621" s="1348"/>
      <c r="V621" s="1348"/>
      <c r="W621" s="1349"/>
      <c r="X621" s="1350"/>
      <c r="Y621" s="1350"/>
      <c r="Z621" s="1349"/>
      <c r="AA621" s="1351"/>
      <c r="AB621" s="1350"/>
      <c r="AC621" s="1350"/>
      <c r="AD621" s="1350"/>
      <c r="AE621" s="1350"/>
      <c r="AF621" s="1350"/>
      <c r="AG621" s="1350"/>
      <c r="AH621" s="1350"/>
      <c r="AI621" s="1350"/>
      <c r="AJ621" s="1350"/>
      <c r="AK621" s="1350"/>
    </row>
    <row r="622">
      <c r="A622" s="1350"/>
      <c r="B622" s="1350"/>
      <c r="C622" s="1350"/>
      <c r="D622" s="1350"/>
      <c r="E622" s="1350"/>
      <c r="F622" s="1350"/>
      <c r="G622" s="1350"/>
      <c r="H622" s="1350"/>
      <c r="I622" s="1350"/>
      <c r="J622" s="1350"/>
      <c r="K622" s="1350"/>
      <c r="L622" s="1350"/>
      <c r="M622" s="1350"/>
      <c r="N622" s="1350"/>
      <c r="O622" s="1350"/>
      <c r="P622" s="1354"/>
      <c r="Q622" s="1355"/>
      <c r="R622" s="1355"/>
      <c r="S622" s="1350"/>
      <c r="T622" s="1349"/>
      <c r="U622" s="1348"/>
      <c r="V622" s="1348"/>
      <c r="W622" s="1349"/>
      <c r="X622" s="1350"/>
      <c r="Y622" s="1350"/>
      <c r="Z622" s="1349"/>
      <c r="AA622" s="1351"/>
      <c r="AB622" s="1350"/>
      <c r="AC622" s="1350"/>
      <c r="AD622" s="1350"/>
      <c r="AE622" s="1350"/>
      <c r="AF622" s="1350"/>
      <c r="AG622" s="1350"/>
      <c r="AH622" s="1350"/>
      <c r="AI622" s="1350"/>
      <c r="AJ622" s="1350"/>
      <c r="AK622" s="1350"/>
    </row>
    <row r="623">
      <c r="A623" s="1350"/>
      <c r="B623" s="1350"/>
      <c r="C623" s="1350"/>
      <c r="D623" s="1350"/>
      <c r="E623" s="1350"/>
      <c r="F623" s="1350"/>
      <c r="G623" s="1350"/>
      <c r="H623" s="1350"/>
      <c r="I623" s="1350"/>
      <c r="J623" s="1350"/>
      <c r="K623" s="1350"/>
      <c r="L623" s="1350"/>
      <c r="M623" s="1350"/>
      <c r="N623" s="1350"/>
      <c r="O623" s="1350"/>
      <c r="P623" s="1354"/>
      <c r="Q623" s="1355"/>
      <c r="R623" s="1355"/>
      <c r="S623" s="1350"/>
      <c r="T623" s="1349"/>
      <c r="U623" s="1348"/>
      <c r="V623" s="1348"/>
      <c r="W623" s="1349"/>
      <c r="X623" s="1350"/>
      <c r="Y623" s="1350"/>
      <c r="Z623" s="1349"/>
      <c r="AA623" s="1351"/>
      <c r="AB623" s="1350"/>
      <c r="AC623" s="1350"/>
      <c r="AD623" s="1350"/>
      <c r="AE623" s="1350"/>
      <c r="AF623" s="1350"/>
      <c r="AG623" s="1350"/>
      <c r="AH623" s="1350"/>
      <c r="AI623" s="1350"/>
      <c r="AJ623" s="1350"/>
      <c r="AK623" s="1350"/>
    </row>
    <row r="624">
      <c r="A624" s="1350"/>
      <c r="B624" s="1350"/>
      <c r="C624" s="1350"/>
      <c r="D624" s="1350"/>
      <c r="E624" s="1350"/>
      <c r="F624" s="1350"/>
      <c r="G624" s="1350"/>
      <c r="H624" s="1350"/>
      <c r="I624" s="1350"/>
      <c r="J624" s="1350"/>
      <c r="K624" s="1350"/>
      <c r="L624" s="1350"/>
      <c r="M624" s="1350"/>
      <c r="N624" s="1350"/>
      <c r="O624" s="1350"/>
      <c r="P624" s="1354"/>
      <c r="Q624" s="1355"/>
      <c r="R624" s="1355"/>
      <c r="S624" s="1350"/>
      <c r="T624" s="1349"/>
      <c r="U624" s="1348"/>
      <c r="V624" s="1348"/>
      <c r="W624" s="1349"/>
      <c r="X624" s="1350"/>
      <c r="Y624" s="1350"/>
      <c r="Z624" s="1349"/>
      <c r="AA624" s="1351"/>
      <c r="AB624" s="1350"/>
      <c r="AC624" s="1350"/>
      <c r="AD624" s="1350"/>
      <c r="AE624" s="1350"/>
      <c r="AF624" s="1350"/>
      <c r="AG624" s="1350"/>
      <c r="AH624" s="1350"/>
      <c r="AI624" s="1350"/>
      <c r="AJ624" s="1350"/>
      <c r="AK624" s="1350"/>
    </row>
    <row r="625">
      <c r="A625" s="1350"/>
      <c r="B625" s="1350"/>
      <c r="C625" s="1350"/>
      <c r="D625" s="1350"/>
      <c r="E625" s="1350"/>
      <c r="F625" s="1350"/>
      <c r="G625" s="1350"/>
      <c r="H625" s="1350"/>
      <c r="I625" s="1350"/>
      <c r="J625" s="1350"/>
      <c r="K625" s="1350"/>
      <c r="L625" s="1350"/>
      <c r="M625" s="1350"/>
      <c r="N625" s="1350"/>
      <c r="O625" s="1350"/>
      <c r="P625" s="1354"/>
      <c r="Q625" s="1355"/>
      <c r="R625" s="1355"/>
      <c r="S625" s="1350"/>
      <c r="T625" s="1349"/>
      <c r="U625" s="1348"/>
      <c r="V625" s="1348"/>
      <c r="W625" s="1349"/>
      <c r="X625" s="1350"/>
      <c r="Y625" s="1350"/>
      <c r="Z625" s="1349"/>
      <c r="AA625" s="1351"/>
      <c r="AB625" s="1350"/>
      <c r="AC625" s="1350"/>
      <c r="AD625" s="1350"/>
      <c r="AE625" s="1350"/>
      <c r="AF625" s="1350"/>
      <c r="AG625" s="1350"/>
      <c r="AH625" s="1350"/>
      <c r="AI625" s="1350"/>
      <c r="AJ625" s="1350"/>
      <c r="AK625" s="1350"/>
    </row>
    <row r="626">
      <c r="A626" s="1350"/>
      <c r="B626" s="1350"/>
      <c r="C626" s="1350"/>
      <c r="D626" s="1350"/>
      <c r="E626" s="1350"/>
      <c r="F626" s="1350"/>
      <c r="G626" s="1350"/>
      <c r="H626" s="1350"/>
      <c r="I626" s="1350"/>
      <c r="J626" s="1350"/>
      <c r="K626" s="1350"/>
      <c r="L626" s="1350"/>
      <c r="M626" s="1350"/>
      <c r="N626" s="1350"/>
      <c r="O626" s="1350"/>
      <c r="P626" s="1354"/>
      <c r="Q626" s="1355"/>
      <c r="R626" s="1355"/>
      <c r="S626" s="1350"/>
      <c r="T626" s="1349"/>
      <c r="U626" s="1348"/>
      <c r="V626" s="1348"/>
      <c r="W626" s="1349"/>
      <c r="X626" s="1350"/>
      <c r="Y626" s="1350"/>
      <c r="Z626" s="1349"/>
      <c r="AA626" s="1351"/>
      <c r="AB626" s="1350"/>
      <c r="AC626" s="1350"/>
      <c r="AD626" s="1350"/>
      <c r="AE626" s="1350"/>
      <c r="AF626" s="1350"/>
      <c r="AG626" s="1350"/>
      <c r="AH626" s="1350"/>
      <c r="AI626" s="1350"/>
      <c r="AJ626" s="1350"/>
      <c r="AK626" s="1350"/>
    </row>
    <row r="627">
      <c r="A627" s="1350"/>
      <c r="B627" s="1350"/>
      <c r="C627" s="1350"/>
      <c r="D627" s="1350"/>
      <c r="E627" s="1350"/>
      <c r="F627" s="1350"/>
      <c r="G627" s="1350"/>
      <c r="H627" s="1350"/>
      <c r="I627" s="1350"/>
      <c r="J627" s="1350"/>
      <c r="K627" s="1350"/>
      <c r="L627" s="1350"/>
      <c r="M627" s="1350"/>
      <c r="N627" s="1350"/>
      <c r="O627" s="1350"/>
      <c r="P627" s="1354"/>
      <c r="Q627" s="1355"/>
      <c r="R627" s="1355"/>
      <c r="S627" s="1350"/>
      <c r="T627" s="1349"/>
      <c r="U627" s="1348"/>
      <c r="V627" s="1348"/>
      <c r="W627" s="1349"/>
      <c r="X627" s="1350"/>
      <c r="Y627" s="1350"/>
      <c r="Z627" s="1349"/>
      <c r="AA627" s="1351"/>
      <c r="AB627" s="1350"/>
      <c r="AC627" s="1350"/>
      <c r="AD627" s="1350"/>
      <c r="AE627" s="1350"/>
      <c r="AF627" s="1350"/>
      <c r="AG627" s="1350"/>
      <c r="AH627" s="1350"/>
      <c r="AI627" s="1350"/>
      <c r="AJ627" s="1350"/>
      <c r="AK627" s="1350"/>
    </row>
    <row r="628">
      <c r="A628" s="1350"/>
      <c r="B628" s="1350"/>
      <c r="C628" s="1350"/>
      <c r="D628" s="1350"/>
      <c r="E628" s="1350"/>
      <c r="F628" s="1350"/>
      <c r="G628" s="1350"/>
      <c r="H628" s="1350"/>
      <c r="I628" s="1350"/>
      <c r="J628" s="1350"/>
      <c r="K628" s="1350"/>
      <c r="L628" s="1350"/>
      <c r="M628" s="1350"/>
      <c r="N628" s="1350"/>
      <c r="O628" s="1350"/>
      <c r="P628" s="1354"/>
      <c r="Q628" s="1355"/>
      <c r="R628" s="1355"/>
      <c r="S628" s="1350"/>
      <c r="T628" s="1349"/>
      <c r="U628" s="1348"/>
      <c r="V628" s="1348"/>
      <c r="W628" s="1349"/>
      <c r="X628" s="1350"/>
      <c r="Y628" s="1350"/>
      <c r="Z628" s="1349"/>
      <c r="AA628" s="1351"/>
      <c r="AB628" s="1350"/>
      <c r="AC628" s="1350"/>
      <c r="AD628" s="1350"/>
      <c r="AE628" s="1350"/>
      <c r="AF628" s="1350"/>
      <c r="AG628" s="1350"/>
      <c r="AH628" s="1350"/>
      <c r="AI628" s="1350"/>
      <c r="AJ628" s="1350"/>
      <c r="AK628" s="1350"/>
    </row>
    <row r="629">
      <c r="A629" s="1350"/>
      <c r="B629" s="1350"/>
      <c r="C629" s="1350"/>
      <c r="D629" s="1350"/>
      <c r="E629" s="1350"/>
      <c r="F629" s="1350"/>
      <c r="G629" s="1350"/>
      <c r="H629" s="1350"/>
      <c r="I629" s="1350"/>
      <c r="J629" s="1350"/>
      <c r="K629" s="1350"/>
      <c r="L629" s="1350"/>
      <c r="M629" s="1350"/>
      <c r="N629" s="1350"/>
      <c r="O629" s="1350"/>
      <c r="P629" s="1354"/>
      <c r="Q629" s="1355"/>
      <c r="R629" s="1355"/>
      <c r="S629" s="1350"/>
      <c r="T629" s="1349"/>
      <c r="U629" s="1348"/>
      <c r="V629" s="1348"/>
      <c r="W629" s="1349"/>
      <c r="X629" s="1350"/>
      <c r="Y629" s="1350"/>
      <c r="Z629" s="1349"/>
      <c r="AA629" s="1351"/>
      <c r="AB629" s="1350"/>
      <c r="AC629" s="1350"/>
      <c r="AD629" s="1350"/>
      <c r="AE629" s="1350"/>
      <c r="AF629" s="1350"/>
      <c r="AG629" s="1350"/>
      <c r="AH629" s="1350"/>
      <c r="AI629" s="1350"/>
      <c r="AJ629" s="1350"/>
      <c r="AK629" s="1350"/>
    </row>
    <row r="630">
      <c r="A630" s="1350"/>
      <c r="B630" s="1350"/>
      <c r="C630" s="1350"/>
      <c r="D630" s="1350"/>
      <c r="E630" s="1350"/>
      <c r="F630" s="1350"/>
      <c r="G630" s="1350"/>
      <c r="H630" s="1350"/>
      <c r="I630" s="1350"/>
      <c r="J630" s="1350"/>
      <c r="K630" s="1350"/>
      <c r="L630" s="1350"/>
      <c r="M630" s="1350"/>
      <c r="N630" s="1350"/>
      <c r="O630" s="1350"/>
      <c r="P630" s="1354"/>
      <c r="Q630" s="1355"/>
      <c r="R630" s="1355"/>
      <c r="S630" s="1350"/>
      <c r="T630" s="1349"/>
      <c r="U630" s="1348"/>
      <c r="V630" s="1348"/>
      <c r="W630" s="1349"/>
      <c r="X630" s="1350"/>
      <c r="Y630" s="1350"/>
      <c r="Z630" s="1349"/>
      <c r="AA630" s="1351"/>
      <c r="AB630" s="1350"/>
      <c r="AC630" s="1350"/>
      <c r="AD630" s="1350"/>
      <c r="AE630" s="1350"/>
      <c r="AF630" s="1350"/>
      <c r="AG630" s="1350"/>
      <c r="AH630" s="1350"/>
      <c r="AI630" s="1350"/>
      <c r="AJ630" s="1350"/>
      <c r="AK630" s="1350"/>
    </row>
    <row r="631">
      <c r="A631" s="1350"/>
      <c r="B631" s="1350"/>
      <c r="C631" s="1350"/>
      <c r="D631" s="1350"/>
      <c r="E631" s="1350"/>
      <c r="F631" s="1350"/>
      <c r="G631" s="1350"/>
      <c r="H631" s="1350"/>
      <c r="I631" s="1350"/>
      <c r="J631" s="1350"/>
      <c r="K631" s="1350"/>
      <c r="L631" s="1350"/>
      <c r="M631" s="1350"/>
      <c r="N631" s="1350"/>
      <c r="O631" s="1350"/>
      <c r="P631" s="1354"/>
      <c r="Q631" s="1355"/>
      <c r="R631" s="1355"/>
      <c r="S631" s="1350"/>
      <c r="T631" s="1349"/>
      <c r="U631" s="1348"/>
      <c r="V631" s="1348"/>
      <c r="W631" s="1349"/>
      <c r="X631" s="1350"/>
      <c r="Y631" s="1350"/>
      <c r="Z631" s="1349"/>
      <c r="AA631" s="1351"/>
      <c r="AB631" s="1350"/>
      <c r="AC631" s="1350"/>
      <c r="AD631" s="1350"/>
      <c r="AE631" s="1350"/>
      <c r="AF631" s="1350"/>
      <c r="AG631" s="1350"/>
      <c r="AH631" s="1350"/>
      <c r="AI631" s="1350"/>
      <c r="AJ631" s="1350"/>
      <c r="AK631" s="1350"/>
    </row>
    <row r="632">
      <c r="A632" s="1350"/>
      <c r="B632" s="1350"/>
      <c r="C632" s="1350"/>
      <c r="D632" s="1350"/>
      <c r="E632" s="1350"/>
      <c r="F632" s="1350"/>
      <c r="G632" s="1350"/>
      <c r="H632" s="1350"/>
      <c r="I632" s="1350"/>
      <c r="J632" s="1350"/>
      <c r="K632" s="1350"/>
      <c r="L632" s="1350"/>
      <c r="M632" s="1350"/>
      <c r="N632" s="1350"/>
      <c r="O632" s="1350"/>
      <c r="P632" s="1354"/>
      <c r="Q632" s="1355"/>
      <c r="R632" s="1355"/>
      <c r="S632" s="1350"/>
      <c r="T632" s="1349"/>
      <c r="U632" s="1348"/>
      <c r="V632" s="1348"/>
      <c r="W632" s="1349"/>
      <c r="X632" s="1350"/>
      <c r="Y632" s="1350"/>
      <c r="Z632" s="1349"/>
      <c r="AA632" s="1351"/>
      <c r="AB632" s="1350"/>
      <c r="AC632" s="1350"/>
      <c r="AD632" s="1350"/>
      <c r="AE632" s="1350"/>
      <c r="AF632" s="1350"/>
      <c r="AG632" s="1350"/>
      <c r="AH632" s="1350"/>
      <c r="AI632" s="1350"/>
      <c r="AJ632" s="1350"/>
      <c r="AK632" s="1350"/>
    </row>
    <row r="633">
      <c r="A633" s="1350"/>
      <c r="B633" s="1350"/>
      <c r="C633" s="1350"/>
      <c r="D633" s="1350"/>
      <c r="E633" s="1350"/>
      <c r="F633" s="1350"/>
      <c r="G633" s="1350"/>
      <c r="H633" s="1350"/>
      <c r="I633" s="1350"/>
      <c r="J633" s="1350"/>
      <c r="K633" s="1350"/>
      <c r="L633" s="1350"/>
      <c r="M633" s="1350"/>
      <c r="N633" s="1350"/>
      <c r="O633" s="1350"/>
      <c r="P633" s="1354"/>
      <c r="Q633" s="1355"/>
      <c r="R633" s="1355"/>
      <c r="S633" s="1350"/>
      <c r="T633" s="1349"/>
      <c r="U633" s="1348"/>
      <c r="V633" s="1348"/>
      <c r="W633" s="1349"/>
      <c r="X633" s="1350"/>
      <c r="Y633" s="1350"/>
      <c r="Z633" s="1349"/>
      <c r="AA633" s="1351"/>
      <c r="AB633" s="1350"/>
      <c r="AC633" s="1350"/>
      <c r="AD633" s="1350"/>
      <c r="AE633" s="1350"/>
      <c r="AF633" s="1350"/>
      <c r="AG633" s="1350"/>
      <c r="AH633" s="1350"/>
      <c r="AI633" s="1350"/>
      <c r="AJ633" s="1350"/>
      <c r="AK633" s="1350"/>
    </row>
    <row r="634">
      <c r="A634" s="1350"/>
      <c r="B634" s="1350"/>
      <c r="C634" s="1350"/>
      <c r="D634" s="1350"/>
      <c r="E634" s="1350"/>
      <c r="F634" s="1350"/>
      <c r="G634" s="1350"/>
      <c r="H634" s="1350"/>
      <c r="I634" s="1350"/>
      <c r="J634" s="1350"/>
      <c r="K634" s="1350"/>
      <c r="L634" s="1350"/>
      <c r="M634" s="1350"/>
      <c r="N634" s="1350"/>
      <c r="O634" s="1350"/>
      <c r="P634" s="1354"/>
      <c r="Q634" s="1355"/>
      <c r="R634" s="1355"/>
      <c r="S634" s="1350"/>
      <c r="T634" s="1349"/>
      <c r="U634" s="1348"/>
      <c r="V634" s="1348"/>
      <c r="W634" s="1349"/>
      <c r="X634" s="1350"/>
      <c r="Y634" s="1350"/>
      <c r="Z634" s="1349"/>
      <c r="AA634" s="1351"/>
      <c r="AB634" s="1350"/>
      <c r="AC634" s="1350"/>
      <c r="AD634" s="1350"/>
      <c r="AE634" s="1350"/>
      <c r="AF634" s="1350"/>
      <c r="AG634" s="1350"/>
      <c r="AH634" s="1350"/>
      <c r="AI634" s="1350"/>
      <c r="AJ634" s="1350"/>
      <c r="AK634" s="1350"/>
    </row>
    <row r="635">
      <c r="A635" s="1350"/>
      <c r="B635" s="1350"/>
      <c r="C635" s="1350"/>
      <c r="D635" s="1350"/>
      <c r="E635" s="1350"/>
      <c r="F635" s="1350"/>
      <c r="G635" s="1350"/>
      <c r="H635" s="1350"/>
      <c r="I635" s="1350"/>
      <c r="J635" s="1350"/>
      <c r="K635" s="1350"/>
      <c r="L635" s="1350"/>
      <c r="M635" s="1350"/>
      <c r="N635" s="1350"/>
      <c r="O635" s="1350"/>
      <c r="P635" s="1354"/>
      <c r="Q635" s="1355"/>
      <c r="R635" s="1355"/>
      <c r="S635" s="1350"/>
      <c r="T635" s="1349"/>
      <c r="U635" s="1348"/>
      <c r="V635" s="1348"/>
      <c r="W635" s="1349"/>
      <c r="X635" s="1350"/>
      <c r="Y635" s="1350"/>
      <c r="Z635" s="1349"/>
      <c r="AA635" s="1351"/>
      <c r="AB635" s="1350"/>
      <c r="AC635" s="1350"/>
      <c r="AD635" s="1350"/>
      <c r="AE635" s="1350"/>
      <c r="AF635" s="1350"/>
      <c r="AG635" s="1350"/>
      <c r="AH635" s="1350"/>
      <c r="AI635" s="1350"/>
      <c r="AJ635" s="1350"/>
      <c r="AK635" s="1350"/>
    </row>
    <row r="636">
      <c r="A636" s="1350"/>
      <c r="B636" s="1350"/>
      <c r="C636" s="1350"/>
      <c r="D636" s="1350"/>
      <c r="E636" s="1350"/>
      <c r="F636" s="1350"/>
      <c r="G636" s="1350"/>
      <c r="H636" s="1350"/>
      <c r="I636" s="1350"/>
      <c r="J636" s="1350"/>
      <c r="K636" s="1350"/>
      <c r="L636" s="1350"/>
      <c r="M636" s="1350"/>
      <c r="N636" s="1350"/>
      <c r="O636" s="1350"/>
      <c r="P636" s="1354"/>
      <c r="Q636" s="1355"/>
      <c r="R636" s="1355"/>
      <c r="S636" s="1350"/>
      <c r="T636" s="1349"/>
      <c r="U636" s="1348"/>
      <c r="V636" s="1348"/>
      <c r="W636" s="1349"/>
      <c r="X636" s="1350"/>
      <c r="Y636" s="1350"/>
      <c r="Z636" s="1349"/>
      <c r="AA636" s="1351"/>
      <c r="AB636" s="1350"/>
      <c r="AC636" s="1350"/>
      <c r="AD636" s="1350"/>
      <c r="AE636" s="1350"/>
      <c r="AF636" s="1350"/>
      <c r="AG636" s="1350"/>
      <c r="AH636" s="1350"/>
      <c r="AI636" s="1350"/>
      <c r="AJ636" s="1350"/>
      <c r="AK636" s="1350"/>
    </row>
    <row r="637">
      <c r="A637" s="1350"/>
      <c r="B637" s="1350"/>
      <c r="C637" s="1350"/>
      <c r="D637" s="1350"/>
      <c r="E637" s="1350"/>
      <c r="F637" s="1350"/>
      <c r="G637" s="1350"/>
      <c r="H637" s="1350"/>
      <c r="I637" s="1350"/>
      <c r="J637" s="1350"/>
      <c r="K637" s="1350"/>
      <c r="L637" s="1350"/>
      <c r="M637" s="1350"/>
      <c r="N637" s="1350"/>
      <c r="O637" s="1350"/>
      <c r="P637" s="1354"/>
      <c r="Q637" s="1355"/>
      <c r="R637" s="1355"/>
      <c r="S637" s="1350"/>
      <c r="T637" s="1349"/>
      <c r="U637" s="1348"/>
      <c r="V637" s="1348"/>
      <c r="W637" s="1349"/>
      <c r="X637" s="1350"/>
      <c r="Y637" s="1350"/>
      <c r="Z637" s="1349"/>
      <c r="AA637" s="1351"/>
      <c r="AB637" s="1350"/>
      <c r="AC637" s="1350"/>
      <c r="AD637" s="1350"/>
      <c r="AE637" s="1350"/>
      <c r="AF637" s="1350"/>
      <c r="AG637" s="1350"/>
      <c r="AH637" s="1350"/>
      <c r="AI637" s="1350"/>
      <c r="AJ637" s="1350"/>
      <c r="AK637" s="1350"/>
    </row>
    <row r="638">
      <c r="A638" s="1350"/>
      <c r="B638" s="1350"/>
      <c r="C638" s="1350"/>
      <c r="D638" s="1350"/>
      <c r="E638" s="1350"/>
      <c r="F638" s="1350"/>
      <c r="G638" s="1350"/>
      <c r="H638" s="1350"/>
      <c r="I638" s="1350"/>
      <c r="J638" s="1350"/>
      <c r="K638" s="1350"/>
      <c r="L638" s="1350"/>
      <c r="M638" s="1350"/>
      <c r="N638" s="1350"/>
      <c r="O638" s="1350"/>
      <c r="P638" s="1354"/>
      <c r="Q638" s="1355"/>
      <c r="R638" s="1355"/>
      <c r="S638" s="1350"/>
      <c r="T638" s="1349"/>
      <c r="U638" s="1348"/>
      <c r="V638" s="1348"/>
      <c r="W638" s="1349"/>
      <c r="X638" s="1350"/>
      <c r="Y638" s="1350"/>
      <c r="Z638" s="1349"/>
      <c r="AA638" s="1351"/>
      <c r="AB638" s="1350"/>
      <c r="AC638" s="1350"/>
      <c r="AD638" s="1350"/>
      <c r="AE638" s="1350"/>
      <c r="AF638" s="1350"/>
      <c r="AG638" s="1350"/>
      <c r="AH638" s="1350"/>
      <c r="AI638" s="1350"/>
      <c r="AJ638" s="1350"/>
      <c r="AK638" s="1350"/>
    </row>
    <row r="639">
      <c r="A639" s="1350"/>
      <c r="B639" s="1350"/>
      <c r="C639" s="1350"/>
      <c r="D639" s="1350"/>
      <c r="E639" s="1350"/>
      <c r="F639" s="1350"/>
      <c r="G639" s="1350"/>
      <c r="H639" s="1350"/>
      <c r="I639" s="1350"/>
      <c r="J639" s="1350"/>
      <c r="K639" s="1350"/>
      <c r="L639" s="1350"/>
      <c r="M639" s="1350"/>
      <c r="N639" s="1350"/>
      <c r="O639" s="1350"/>
      <c r="P639" s="1354"/>
      <c r="Q639" s="1355"/>
      <c r="R639" s="1355"/>
      <c r="S639" s="1350"/>
      <c r="T639" s="1349"/>
      <c r="U639" s="1348"/>
      <c r="V639" s="1348"/>
      <c r="W639" s="1349"/>
      <c r="X639" s="1350"/>
      <c r="Y639" s="1350"/>
      <c r="Z639" s="1349"/>
      <c r="AA639" s="1351"/>
      <c r="AB639" s="1350"/>
      <c r="AC639" s="1350"/>
      <c r="AD639" s="1350"/>
      <c r="AE639" s="1350"/>
      <c r="AF639" s="1350"/>
      <c r="AG639" s="1350"/>
      <c r="AH639" s="1350"/>
      <c r="AI639" s="1350"/>
      <c r="AJ639" s="1350"/>
      <c r="AK639" s="1350"/>
    </row>
    <row r="640">
      <c r="A640" s="1350"/>
      <c r="B640" s="1350"/>
      <c r="C640" s="1350"/>
      <c r="D640" s="1350"/>
      <c r="E640" s="1350"/>
      <c r="F640" s="1350"/>
      <c r="G640" s="1350"/>
      <c r="H640" s="1350"/>
      <c r="I640" s="1350"/>
      <c r="J640" s="1350"/>
      <c r="K640" s="1350"/>
      <c r="L640" s="1350"/>
      <c r="M640" s="1350"/>
      <c r="N640" s="1350"/>
      <c r="O640" s="1350"/>
      <c r="P640" s="1354"/>
      <c r="Q640" s="1355"/>
      <c r="R640" s="1355"/>
      <c r="S640" s="1350"/>
      <c r="T640" s="1349"/>
      <c r="U640" s="1348"/>
      <c r="V640" s="1348"/>
      <c r="W640" s="1349"/>
      <c r="X640" s="1350"/>
      <c r="Y640" s="1350"/>
      <c r="Z640" s="1349"/>
      <c r="AA640" s="1351"/>
      <c r="AB640" s="1350"/>
      <c r="AC640" s="1350"/>
      <c r="AD640" s="1350"/>
      <c r="AE640" s="1350"/>
      <c r="AF640" s="1350"/>
      <c r="AG640" s="1350"/>
      <c r="AH640" s="1350"/>
      <c r="AI640" s="1350"/>
      <c r="AJ640" s="1350"/>
      <c r="AK640" s="1350"/>
    </row>
    <row r="641">
      <c r="A641" s="1350"/>
      <c r="B641" s="1350"/>
      <c r="C641" s="1350"/>
      <c r="D641" s="1350"/>
      <c r="E641" s="1350"/>
      <c r="F641" s="1350"/>
      <c r="G641" s="1350"/>
      <c r="H641" s="1350"/>
      <c r="I641" s="1350"/>
      <c r="J641" s="1350"/>
      <c r="K641" s="1350"/>
      <c r="L641" s="1350"/>
      <c r="M641" s="1350"/>
      <c r="N641" s="1350"/>
      <c r="O641" s="1350"/>
      <c r="P641" s="1354"/>
      <c r="Q641" s="1355"/>
      <c r="R641" s="1355"/>
      <c r="S641" s="1350"/>
      <c r="T641" s="1349"/>
      <c r="U641" s="1348"/>
      <c r="V641" s="1348"/>
      <c r="W641" s="1349"/>
      <c r="X641" s="1350"/>
      <c r="Y641" s="1350"/>
      <c r="Z641" s="1349"/>
      <c r="AA641" s="1351"/>
      <c r="AB641" s="1350"/>
      <c r="AC641" s="1350"/>
      <c r="AD641" s="1350"/>
      <c r="AE641" s="1350"/>
      <c r="AF641" s="1350"/>
      <c r="AG641" s="1350"/>
      <c r="AH641" s="1350"/>
      <c r="AI641" s="1350"/>
      <c r="AJ641" s="1350"/>
      <c r="AK641" s="1350"/>
    </row>
    <row r="642">
      <c r="A642" s="1350"/>
      <c r="B642" s="1350"/>
      <c r="C642" s="1350"/>
      <c r="D642" s="1350"/>
      <c r="E642" s="1350"/>
      <c r="F642" s="1350"/>
      <c r="G642" s="1350"/>
      <c r="H642" s="1350"/>
      <c r="I642" s="1350"/>
      <c r="J642" s="1350"/>
      <c r="K642" s="1350"/>
      <c r="L642" s="1350"/>
      <c r="M642" s="1350"/>
      <c r="N642" s="1350"/>
      <c r="O642" s="1350"/>
      <c r="P642" s="1354"/>
      <c r="Q642" s="1355"/>
      <c r="R642" s="1355"/>
      <c r="S642" s="1350"/>
      <c r="T642" s="1349"/>
      <c r="U642" s="1348"/>
      <c r="V642" s="1348"/>
      <c r="W642" s="1349"/>
      <c r="X642" s="1350"/>
      <c r="Y642" s="1350"/>
      <c r="Z642" s="1349"/>
      <c r="AA642" s="1351"/>
      <c r="AB642" s="1350"/>
      <c r="AC642" s="1350"/>
      <c r="AD642" s="1350"/>
      <c r="AE642" s="1350"/>
      <c r="AF642" s="1350"/>
      <c r="AG642" s="1350"/>
      <c r="AH642" s="1350"/>
      <c r="AI642" s="1350"/>
      <c r="AJ642" s="1350"/>
      <c r="AK642" s="1350"/>
    </row>
    <row r="643">
      <c r="A643" s="1350"/>
      <c r="B643" s="1350"/>
      <c r="C643" s="1350"/>
      <c r="D643" s="1350"/>
      <c r="E643" s="1350"/>
      <c r="F643" s="1350"/>
      <c r="G643" s="1350"/>
      <c r="H643" s="1350"/>
      <c r="I643" s="1350"/>
      <c r="J643" s="1350"/>
      <c r="K643" s="1350"/>
      <c r="L643" s="1350"/>
      <c r="M643" s="1350"/>
      <c r="N643" s="1350"/>
      <c r="O643" s="1350"/>
      <c r="P643" s="1354"/>
      <c r="Q643" s="1355"/>
      <c r="R643" s="1355"/>
      <c r="S643" s="1350"/>
      <c r="T643" s="1349"/>
      <c r="U643" s="1348"/>
      <c r="V643" s="1348"/>
      <c r="W643" s="1349"/>
      <c r="X643" s="1350"/>
      <c r="Y643" s="1350"/>
      <c r="Z643" s="1349"/>
      <c r="AA643" s="1351"/>
      <c r="AB643" s="1350"/>
      <c r="AC643" s="1350"/>
      <c r="AD643" s="1350"/>
      <c r="AE643" s="1350"/>
      <c r="AF643" s="1350"/>
      <c r="AG643" s="1350"/>
      <c r="AH643" s="1350"/>
      <c r="AI643" s="1350"/>
      <c r="AJ643" s="1350"/>
      <c r="AK643" s="1350"/>
    </row>
    <row r="644">
      <c r="A644" s="1350"/>
      <c r="B644" s="1350"/>
      <c r="C644" s="1350"/>
      <c r="D644" s="1350"/>
      <c r="E644" s="1350"/>
      <c r="F644" s="1350"/>
      <c r="G644" s="1350"/>
      <c r="H644" s="1350"/>
      <c r="I644" s="1350"/>
      <c r="J644" s="1350"/>
      <c r="K644" s="1350"/>
      <c r="L644" s="1350"/>
      <c r="M644" s="1350"/>
      <c r="N644" s="1350"/>
      <c r="O644" s="1350"/>
      <c r="P644" s="1354"/>
      <c r="Q644" s="1355"/>
      <c r="R644" s="1355"/>
      <c r="S644" s="1350"/>
      <c r="T644" s="1349"/>
      <c r="U644" s="1348"/>
      <c r="V644" s="1348"/>
      <c r="W644" s="1349"/>
      <c r="X644" s="1350"/>
      <c r="Y644" s="1350"/>
      <c r="Z644" s="1349"/>
      <c r="AA644" s="1351"/>
      <c r="AB644" s="1350"/>
      <c r="AC644" s="1350"/>
      <c r="AD644" s="1350"/>
      <c r="AE644" s="1350"/>
      <c r="AF644" s="1350"/>
      <c r="AG644" s="1350"/>
      <c r="AH644" s="1350"/>
      <c r="AI644" s="1350"/>
      <c r="AJ644" s="1350"/>
      <c r="AK644" s="1350"/>
    </row>
    <row r="645">
      <c r="A645" s="1350"/>
      <c r="B645" s="1350"/>
      <c r="C645" s="1350"/>
      <c r="D645" s="1350"/>
      <c r="E645" s="1350"/>
      <c r="F645" s="1350"/>
      <c r="G645" s="1350"/>
      <c r="H645" s="1350"/>
      <c r="I645" s="1350"/>
      <c r="J645" s="1350"/>
      <c r="K645" s="1350"/>
      <c r="L645" s="1350"/>
      <c r="M645" s="1350"/>
      <c r="N645" s="1350"/>
      <c r="O645" s="1350"/>
      <c r="P645" s="1354"/>
      <c r="Q645" s="1355"/>
      <c r="R645" s="1355"/>
      <c r="S645" s="1350"/>
      <c r="T645" s="1349"/>
      <c r="U645" s="1348"/>
      <c r="V645" s="1348"/>
      <c r="W645" s="1349"/>
      <c r="X645" s="1350"/>
      <c r="Y645" s="1350"/>
      <c r="Z645" s="1349"/>
      <c r="AA645" s="1351"/>
      <c r="AB645" s="1350"/>
      <c r="AC645" s="1350"/>
      <c r="AD645" s="1350"/>
      <c r="AE645" s="1350"/>
      <c r="AF645" s="1350"/>
      <c r="AG645" s="1350"/>
      <c r="AH645" s="1350"/>
      <c r="AI645" s="1350"/>
      <c r="AJ645" s="1350"/>
      <c r="AK645" s="1350"/>
    </row>
    <row r="646">
      <c r="A646" s="1350"/>
      <c r="B646" s="1350"/>
      <c r="C646" s="1350"/>
      <c r="D646" s="1350"/>
      <c r="E646" s="1350"/>
      <c r="F646" s="1350"/>
      <c r="G646" s="1350"/>
      <c r="H646" s="1350"/>
      <c r="I646" s="1350"/>
      <c r="J646" s="1350"/>
      <c r="K646" s="1350"/>
      <c r="L646" s="1350"/>
      <c r="M646" s="1350"/>
      <c r="N646" s="1350"/>
      <c r="O646" s="1350"/>
      <c r="P646" s="1354"/>
      <c r="Q646" s="1355"/>
      <c r="R646" s="1355"/>
      <c r="S646" s="1350"/>
      <c r="T646" s="1349"/>
      <c r="U646" s="1348"/>
      <c r="V646" s="1348"/>
      <c r="W646" s="1349"/>
      <c r="X646" s="1350"/>
      <c r="Y646" s="1350"/>
      <c r="Z646" s="1349"/>
      <c r="AA646" s="1351"/>
      <c r="AB646" s="1350"/>
      <c r="AC646" s="1350"/>
      <c r="AD646" s="1350"/>
      <c r="AE646" s="1350"/>
      <c r="AF646" s="1350"/>
      <c r="AG646" s="1350"/>
      <c r="AH646" s="1350"/>
      <c r="AI646" s="1350"/>
      <c r="AJ646" s="1350"/>
      <c r="AK646" s="1350"/>
    </row>
    <row r="647">
      <c r="A647" s="1350"/>
      <c r="B647" s="1350"/>
      <c r="C647" s="1350"/>
      <c r="D647" s="1350"/>
      <c r="E647" s="1350"/>
      <c r="F647" s="1350"/>
      <c r="G647" s="1350"/>
      <c r="H647" s="1350"/>
      <c r="I647" s="1350"/>
      <c r="J647" s="1350"/>
      <c r="K647" s="1350"/>
      <c r="L647" s="1350"/>
      <c r="M647" s="1350"/>
      <c r="N647" s="1350"/>
      <c r="O647" s="1350"/>
      <c r="P647" s="1354"/>
      <c r="Q647" s="1355"/>
      <c r="R647" s="1355"/>
      <c r="S647" s="1350"/>
      <c r="T647" s="1349"/>
      <c r="U647" s="1348"/>
      <c r="V647" s="1348"/>
      <c r="W647" s="1349"/>
      <c r="X647" s="1350"/>
      <c r="Y647" s="1350"/>
      <c r="Z647" s="1349"/>
      <c r="AA647" s="1351"/>
      <c r="AB647" s="1350"/>
      <c r="AC647" s="1350"/>
      <c r="AD647" s="1350"/>
      <c r="AE647" s="1350"/>
      <c r="AF647" s="1350"/>
      <c r="AG647" s="1350"/>
      <c r="AH647" s="1350"/>
      <c r="AI647" s="1350"/>
      <c r="AJ647" s="1350"/>
      <c r="AK647" s="1350"/>
    </row>
    <row r="648">
      <c r="A648" s="1350"/>
      <c r="B648" s="1350"/>
      <c r="C648" s="1350"/>
      <c r="D648" s="1350"/>
      <c r="E648" s="1350"/>
      <c r="F648" s="1350"/>
      <c r="G648" s="1350"/>
      <c r="H648" s="1350"/>
      <c r="I648" s="1350"/>
      <c r="J648" s="1350"/>
      <c r="K648" s="1350"/>
      <c r="L648" s="1350"/>
      <c r="M648" s="1350"/>
      <c r="N648" s="1350"/>
      <c r="O648" s="1350"/>
      <c r="P648" s="1354"/>
      <c r="Q648" s="1355"/>
      <c r="R648" s="1355"/>
      <c r="S648" s="1350"/>
      <c r="T648" s="1349"/>
      <c r="U648" s="1348"/>
      <c r="V648" s="1348"/>
      <c r="W648" s="1349"/>
      <c r="X648" s="1350"/>
      <c r="Y648" s="1350"/>
      <c r="Z648" s="1349"/>
      <c r="AA648" s="1351"/>
      <c r="AB648" s="1350"/>
      <c r="AC648" s="1350"/>
      <c r="AD648" s="1350"/>
      <c r="AE648" s="1350"/>
      <c r="AF648" s="1350"/>
      <c r="AG648" s="1350"/>
      <c r="AH648" s="1350"/>
      <c r="AI648" s="1350"/>
      <c r="AJ648" s="1350"/>
      <c r="AK648" s="1350"/>
    </row>
    <row r="649">
      <c r="A649" s="1350"/>
      <c r="B649" s="1350"/>
      <c r="C649" s="1350"/>
      <c r="D649" s="1350"/>
      <c r="E649" s="1350"/>
      <c r="F649" s="1350"/>
      <c r="G649" s="1350"/>
      <c r="H649" s="1350"/>
      <c r="I649" s="1350"/>
      <c r="J649" s="1350"/>
      <c r="K649" s="1350"/>
      <c r="L649" s="1350"/>
      <c r="M649" s="1350"/>
      <c r="N649" s="1350"/>
      <c r="O649" s="1350"/>
      <c r="P649" s="1354"/>
      <c r="Q649" s="1355"/>
      <c r="R649" s="1355"/>
      <c r="S649" s="1350"/>
      <c r="T649" s="1349"/>
      <c r="U649" s="1348"/>
      <c r="V649" s="1348"/>
      <c r="W649" s="1349"/>
      <c r="X649" s="1350"/>
      <c r="Y649" s="1350"/>
      <c r="Z649" s="1349"/>
      <c r="AA649" s="1351"/>
      <c r="AB649" s="1350"/>
      <c r="AC649" s="1350"/>
      <c r="AD649" s="1350"/>
      <c r="AE649" s="1350"/>
      <c r="AF649" s="1350"/>
      <c r="AG649" s="1350"/>
      <c r="AH649" s="1350"/>
      <c r="AI649" s="1350"/>
      <c r="AJ649" s="1350"/>
      <c r="AK649" s="1350"/>
    </row>
    <row r="650">
      <c r="A650" s="1350"/>
      <c r="B650" s="1350"/>
      <c r="C650" s="1350"/>
      <c r="D650" s="1350"/>
      <c r="E650" s="1350"/>
      <c r="F650" s="1350"/>
      <c r="G650" s="1350"/>
      <c r="H650" s="1350"/>
      <c r="I650" s="1350"/>
      <c r="J650" s="1350"/>
      <c r="K650" s="1350"/>
      <c r="L650" s="1350"/>
      <c r="M650" s="1350"/>
      <c r="N650" s="1350"/>
      <c r="O650" s="1350"/>
      <c r="P650" s="1354"/>
      <c r="Q650" s="1355"/>
      <c r="R650" s="1355"/>
      <c r="S650" s="1350"/>
      <c r="T650" s="1349"/>
      <c r="U650" s="1348"/>
      <c r="V650" s="1348"/>
      <c r="W650" s="1349"/>
      <c r="X650" s="1350"/>
      <c r="Y650" s="1350"/>
      <c r="Z650" s="1349"/>
      <c r="AA650" s="1351"/>
      <c r="AB650" s="1350"/>
      <c r="AC650" s="1350"/>
      <c r="AD650" s="1350"/>
      <c r="AE650" s="1350"/>
      <c r="AF650" s="1350"/>
      <c r="AG650" s="1350"/>
      <c r="AH650" s="1350"/>
      <c r="AI650" s="1350"/>
      <c r="AJ650" s="1350"/>
      <c r="AK650" s="1350"/>
    </row>
    <row r="651">
      <c r="A651" s="1350"/>
      <c r="B651" s="1350"/>
      <c r="C651" s="1350"/>
      <c r="D651" s="1350"/>
      <c r="E651" s="1350"/>
      <c r="F651" s="1350"/>
      <c r="G651" s="1350"/>
      <c r="H651" s="1350"/>
      <c r="I651" s="1350"/>
      <c r="J651" s="1350"/>
      <c r="K651" s="1350"/>
      <c r="L651" s="1350"/>
      <c r="M651" s="1350"/>
      <c r="N651" s="1350"/>
      <c r="O651" s="1350"/>
      <c r="P651" s="1354"/>
      <c r="Q651" s="1355"/>
      <c r="R651" s="1355"/>
      <c r="S651" s="1350"/>
      <c r="T651" s="1349"/>
      <c r="U651" s="1348"/>
      <c r="V651" s="1348"/>
      <c r="W651" s="1349"/>
      <c r="X651" s="1350"/>
      <c r="Y651" s="1350"/>
      <c r="Z651" s="1349"/>
      <c r="AA651" s="1351"/>
      <c r="AB651" s="1350"/>
      <c r="AC651" s="1350"/>
      <c r="AD651" s="1350"/>
      <c r="AE651" s="1350"/>
      <c r="AF651" s="1350"/>
      <c r="AG651" s="1350"/>
      <c r="AH651" s="1350"/>
      <c r="AI651" s="1350"/>
      <c r="AJ651" s="1350"/>
      <c r="AK651" s="1350"/>
    </row>
    <row r="652">
      <c r="A652" s="1350"/>
      <c r="B652" s="1350"/>
      <c r="C652" s="1350"/>
      <c r="D652" s="1350"/>
      <c r="E652" s="1350"/>
      <c r="F652" s="1350"/>
      <c r="G652" s="1350"/>
      <c r="H652" s="1350"/>
      <c r="I652" s="1350"/>
      <c r="J652" s="1350"/>
      <c r="K652" s="1350"/>
      <c r="L652" s="1350"/>
      <c r="M652" s="1350"/>
      <c r="N652" s="1350"/>
      <c r="O652" s="1350"/>
      <c r="P652" s="1354"/>
      <c r="Q652" s="1355"/>
      <c r="R652" s="1355"/>
      <c r="S652" s="1350"/>
      <c r="T652" s="1349"/>
      <c r="U652" s="1348"/>
      <c r="V652" s="1348"/>
      <c r="W652" s="1349"/>
      <c r="X652" s="1350"/>
      <c r="Y652" s="1350"/>
      <c r="Z652" s="1349"/>
      <c r="AA652" s="1351"/>
      <c r="AB652" s="1350"/>
      <c r="AC652" s="1350"/>
      <c r="AD652" s="1350"/>
      <c r="AE652" s="1350"/>
      <c r="AF652" s="1350"/>
      <c r="AG652" s="1350"/>
      <c r="AH652" s="1350"/>
      <c r="AI652" s="1350"/>
      <c r="AJ652" s="1350"/>
      <c r="AK652" s="1350"/>
    </row>
    <row r="653">
      <c r="A653" s="1350"/>
      <c r="B653" s="1350"/>
      <c r="C653" s="1350"/>
      <c r="D653" s="1350"/>
      <c r="E653" s="1350"/>
      <c r="F653" s="1350"/>
      <c r="G653" s="1350"/>
      <c r="H653" s="1350"/>
      <c r="I653" s="1350"/>
      <c r="J653" s="1350"/>
      <c r="K653" s="1350"/>
      <c r="L653" s="1350"/>
      <c r="M653" s="1350"/>
      <c r="N653" s="1350"/>
      <c r="O653" s="1350"/>
      <c r="P653" s="1354"/>
      <c r="Q653" s="1355"/>
      <c r="R653" s="1355"/>
      <c r="S653" s="1350"/>
      <c r="T653" s="1349"/>
      <c r="U653" s="1348"/>
      <c r="V653" s="1348"/>
      <c r="W653" s="1349"/>
      <c r="X653" s="1350"/>
      <c r="Y653" s="1350"/>
      <c r="Z653" s="1349"/>
      <c r="AA653" s="1351"/>
      <c r="AB653" s="1350"/>
      <c r="AC653" s="1350"/>
      <c r="AD653" s="1350"/>
      <c r="AE653" s="1350"/>
      <c r="AF653" s="1350"/>
      <c r="AG653" s="1350"/>
      <c r="AH653" s="1350"/>
      <c r="AI653" s="1350"/>
      <c r="AJ653" s="1350"/>
      <c r="AK653" s="1350"/>
    </row>
    <row r="654">
      <c r="A654" s="1350"/>
      <c r="B654" s="1350"/>
      <c r="C654" s="1350"/>
      <c r="D654" s="1350"/>
      <c r="E654" s="1350"/>
      <c r="F654" s="1350"/>
      <c r="G654" s="1350"/>
      <c r="H654" s="1350"/>
      <c r="I654" s="1350"/>
      <c r="J654" s="1350"/>
      <c r="K654" s="1350"/>
      <c r="L654" s="1350"/>
      <c r="M654" s="1350"/>
      <c r="N654" s="1350"/>
      <c r="O654" s="1350"/>
      <c r="P654" s="1354"/>
      <c r="Q654" s="1355"/>
      <c r="R654" s="1355"/>
      <c r="S654" s="1350"/>
      <c r="T654" s="1349"/>
      <c r="U654" s="1348"/>
      <c r="V654" s="1348"/>
      <c r="W654" s="1349"/>
      <c r="X654" s="1350"/>
      <c r="Y654" s="1350"/>
      <c r="Z654" s="1349"/>
      <c r="AA654" s="1351"/>
      <c r="AB654" s="1350"/>
      <c r="AC654" s="1350"/>
      <c r="AD654" s="1350"/>
      <c r="AE654" s="1350"/>
      <c r="AF654" s="1350"/>
      <c r="AG654" s="1350"/>
      <c r="AH654" s="1350"/>
      <c r="AI654" s="1350"/>
      <c r="AJ654" s="1350"/>
      <c r="AK654" s="1350"/>
    </row>
    <row r="655">
      <c r="A655" s="1350"/>
      <c r="B655" s="1350"/>
      <c r="C655" s="1350"/>
      <c r="D655" s="1350"/>
      <c r="E655" s="1350"/>
      <c r="F655" s="1350"/>
      <c r="G655" s="1350"/>
      <c r="H655" s="1350"/>
      <c r="I655" s="1350"/>
      <c r="J655" s="1350"/>
      <c r="K655" s="1350"/>
      <c r="L655" s="1350"/>
      <c r="M655" s="1350"/>
      <c r="N655" s="1350"/>
      <c r="O655" s="1350"/>
      <c r="P655" s="1354"/>
      <c r="Q655" s="1355"/>
      <c r="R655" s="1355"/>
      <c r="S655" s="1350"/>
      <c r="T655" s="1349"/>
      <c r="U655" s="1348"/>
      <c r="V655" s="1348"/>
      <c r="W655" s="1349"/>
      <c r="X655" s="1350"/>
      <c r="Y655" s="1350"/>
      <c r="Z655" s="1349"/>
      <c r="AA655" s="1351"/>
      <c r="AB655" s="1350"/>
      <c r="AC655" s="1350"/>
      <c r="AD655" s="1350"/>
      <c r="AE655" s="1350"/>
      <c r="AF655" s="1350"/>
      <c r="AG655" s="1350"/>
      <c r="AH655" s="1350"/>
      <c r="AI655" s="1350"/>
      <c r="AJ655" s="1350"/>
      <c r="AK655" s="1350"/>
    </row>
    <row r="656">
      <c r="A656" s="1350"/>
      <c r="B656" s="1350"/>
      <c r="C656" s="1350"/>
      <c r="D656" s="1350"/>
      <c r="E656" s="1350"/>
      <c r="F656" s="1350"/>
      <c r="G656" s="1350"/>
      <c r="H656" s="1350"/>
      <c r="I656" s="1350"/>
      <c r="J656" s="1350"/>
      <c r="K656" s="1350"/>
      <c r="L656" s="1350"/>
      <c r="M656" s="1350"/>
      <c r="N656" s="1350"/>
      <c r="O656" s="1350"/>
      <c r="P656" s="1354"/>
      <c r="Q656" s="1355"/>
      <c r="R656" s="1355"/>
      <c r="S656" s="1350"/>
      <c r="T656" s="1349"/>
      <c r="U656" s="1348"/>
      <c r="V656" s="1348"/>
      <c r="W656" s="1349"/>
      <c r="X656" s="1350"/>
      <c r="Y656" s="1350"/>
      <c r="Z656" s="1349"/>
      <c r="AA656" s="1351"/>
      <c r="AB656" s="1350"/>
      <c r="AC656" s="1350"/>
      <c r="AD656" s="1350"/>
      <c r="AE656" s="1350"/>
      <c r="AF656" s="1350"/>
      <c r="AG656" s="1350"/>
      <c r="AH656" s="1350"/>
      <c r="AI656" s="1350"/>
      <c r="AJ656" s="1350"/>
      <c r="AK656" s="1350"/>
    </row>
    <row r="657">
      <c r="A657" s="1350"/>
      <c r="B657" s="1350"/>
      <c r="C657" s="1350"/>
      <c r="D657" s="1350"/>
      <c r="E657" s="1350"/>
      <c r="F657" s="1350"/>
      <c r="G657" s="1350"/>
      <c r="H657" s="1350"/>
      <c r="I657" s="1350"/>
      <c r="J657" s="1350"/>
      <c r="K657" s="1350"/>
      <c r="L657" s="1350"/>
      <c r="M657" s="1350"/>
      <c r="N657" s="1350"/>
      <c r="O657" s="1350"/>
      <c r="P657" s="1354"/>
      <c r="Q657" s="1355"/>
      <c r="R657" s="1355"/>
      <c r="S657" s="1350"/>
      <c r="T657" s="1349"/>
      <c r="U657" s="1348"/>
      <c r="V657" s="1348"/>
      <c r="W657" s="1349"/>
      <c r="X657" s="1350"/>
      <c r="Y657" s="1350"/>
      <c r="Z657" s="1349"/>
      <c r="AA657" s="1351"/>
      <c r="AB657" s="1350"/>
      <c r="AC657" s="1350"/>
      <c r="AD657" s="1350"/>
      <c r="AE657" s="1350"/>
      <c r="AF657" s="1350"/>
      <c r="AG657" s="1350"/>
      <c r="AH657" s="1350"/>
      <c r="AI657" s="1350"/>
      <c r="AJ657" s="1350"/>
      <c r="AK657" s="1350"/>
    </row>
    <row r="658">
      <c r="A658" s="1350"/>
      <c r="B658" s="1350"/>
      <c r="C658" s="1350"/>
      <c r="D658" s="1350"/>
      <c r="E658" s="1350"/>
      <c r="F658" s="1350"/>
      <c r="G658" s="1350"/>
      <c r="H658" s="1350"/>
      <c r="I658" s="1350"/>
      <c r="J658" s="1350"/>
      <c r="K658" s="1350"/>
      <c r="L658" s="1350"/>
      <c r="M658" s="1350"/>
      <c r="N658" s="1350"/>
      <c r="O658" s="1350"/>
      <c r="P658" s="1354"/>
      <c r="Q658" s="1355"/>
      <c r="R658" s="1355"/>
      <c r="S658" s="1350"/>
      <c r="T658" s="1349"/>
      <c r="U658" s="1348"/>
      <c r="V658" s="1348"/>
      <c r="W658" s="1349"/>
      <c r="X658" s="1350"/>
      <c r="Y658" s="1350"/>
      <c r="Z658" s="1349"/>
      <c r="AA658" s="1351"/>
      <c r="AB658" s="1350"/>
      <c r="AC658" s="1350"/>
      <c r="AD658" s="1350"/>
      <c r="AE658" s="1350"/>
      <c r="AF658" s="1350"/>
      <c r="AG658" s="1350"/>
      <c r="AH658" s="1350"/>
      <c r="AI658" s="1350"/>
      <c r="AJ658" s="1350"/>
      <c r="AK658" s="1350"/>
    </row>
    <row r="659">
      <c r="A659" s="1350"/>
      <c r="B659" s="1350"/>
      <c r="C659" s="1350"/>
      <c r="D659" s="1350"/>
      <c r="E659" s="1350"/>
      <c r="F659" s="1350"/>
      <c r="G659" s="1350"/>
      <c r="H659" s="1350"/>
      <c r="I659" s="1350"/>
      <c r="J659" s="1350"/>
      <c r="K659" s="1350"/>
      <c r="L659" s="1350"/>
      <c r="M659" s="1350"/>
      <c r="N659" s="1350"/>
      <c r="O659" s="1350"/>
      <c r="P659" s="1354"/>
      <c r="Q659" s="1355"/>
      <c r="R659" s="1355"/>
      <c r="S659" s="1350"/>
      <c r="T659" s="1349"/>
      <c r="U659" s="1348"/>
      <c r="V659" s="1348"/>
      <c r="W659" s="1349"/>
      <c r="X659" s="1350"/>
      <c r="Y659" s="1350"/>
      <c r="Z659" s="1349"/>
      <c r="AA659" s="1351"/>
      <c r="AB659" s="1350"/>
      <c r="AC659" s="1350"/>
      <c r="AD659" s="1350"/>
      <c r="AE659" s="1350"/>
      <c r="AF659" s="1350"/>
      <c r="AG659" s="1350"/>
      <c r="AH659" s="1350"/>
      <c r="AI659" s="1350"/>
      <c r="AJ659" s="1350"/>
      <c r="AK659" s="1350"/>
    </row>
    <row r="660">
      <c r="A660" s="1350"/>
      <c r="B660" s="1350"/>
      <c r="C660" s="1350"/>
      <c r="D660" s="1350"/>
      <c r="E660" s="1350"/>
      <c r="F660" s="1350"/>
      <c r="G660" s="1350"/>
      <c r="H660" s="1350"/>
      <c r="I660" s="1350"/>
      <c r="J660" s="1350"/>
      <c r="K660" s="1350"/>
      <c r="L660" s="1350"/>
      <c r="M660" s="1350"/>
      <c r="N660" s="1350"/>
      <c r="O660" s="1350"/>
      <c r="P660" s="1354"/>
      <c r="Q660" s="1355"/>
      <c r="R660" s="1355"/>
      <c r="S660" s="1350"/>
      <c r="T660" s="1349"/>
      <c r="U660" s="1348"/>
      <c r="V660" s="1348"/>
      <c r="W660" s="1349"/>
      <c r="X660" s="1350"/>
      <c r="Y660" s="1350"/>
      <c r="Z660" s="1349"/>
      <c r="AA660" s="1351"/>
      <c r="AB660" s="1350"/>
      <c r="AC660" s="1350"/>
      <c r="AD660" s="1350"/>
      <c r="AE660" s="1350"/>
      <c r="AF660" s="1350"/>
      <c r="AG660" s="1350"/>
      <c r="AH660" s="1350"/>
      <c r="AI660" s="1350"/>
      <c r="AJ660" s="1350"/>
      <c r="AK660" s="1350"/>
    </row>
    <row r="661">
      <c r="A661" s="1350"/>
      <c r="B661" s="1350"/>
      <c r="C661" s="1350"/>
      <c r="D661" s="1350"/>
      <c r="E661" s="1350"/>
      <c r="F661" s="1350"/>
      <c r="G661" s="1350"/>
      <c r="H661" s="1350"/>
      <c r="I661" s="1350"/>
      <c r="J661" s="1350"/>
      <c r="K661" s="1350"/>
      <c r="L661" s="1350"/>
      <c r="M661" s="1350"/>
      <c r="N661" s="1350"/>
      <c r="O661" s="1350"/>
      <c r="P661" s="1354"/>
      <c r="Q661" s="1355"/>
      <c r="R661" s="1355"/>
      <c r="S661" s="1350"/>
      <c r="T661" s="1349"/>
      <c r="U661" s="1348"/>
      <c r="V661" s="1348"/>
      <c r="W661" s="1349"/>
      <c r="X661" s="1350"/>
      <c r="Y661" s="1350"/>
      <c r="Z661" s="1349"/>
      <c r="AA661" s="1351"/>
      <c r="AB661" s="1350"/>
      <c r="AC661" s="1350"/>
      <c r="AD661" s="1350"/>
      <c r="AE661" s="1350"/>
      <c r="AF661" s="1350"/>
      <c r="AG661" s="1350"/>
      <c r="AH661" s="1350"/>
      <c r="AI661" s="1350"/>
      <c r="AJ661" s="1350"/>
      <c r="AK661" s="1350"/>
    </row>
    <row r="662">
      <c r="A662" s="1350"/>
      <c r="B662" s="1350"/>
      <c r="C662" s="1350"/>
      <c r="D662" s="1350"/>
      <c r="E662" s="1350"/>
      <c r="F662" s="1350"/>
      <c r="G662" s="1350"/>
      <c r="H662" s="1350"/>
      <c r="I662" s="1350"/>
      <c r="J662" s="1350"/>
      <c r="K662" s="1350"/>
      <c r="L662" s="1350"/>
      <c r="M662" s="1350"/>
      <c r="N662" s="1350"/>
      <c r="O662" s="1350"/>
      <c r="P662" s="1354"/>
      <c r="Q662" s="1355"/>
      <c r="R662" s="1355"/>
      <c r="S662" s="1350"/>
      <c r="T662" s="1349"/>
      <c r="U662" s="1348"/>
      <c r="V662" s="1348"/>
      <c r="W662" s="1349"/>
      <c r="X662" s="1350"/>
      <c r="Y662" s="1350"/>
      <c r="Z662" s="1349"/>
      <c r="AA662" s="1351"/>
      <c r="AB662" s="1350"/>
      <c r="AC662" s="1350"/>
      <c r="AD662" s="1350"/>
      <c r="AE662" s="1350"/>
      <c r="AF662" s="1350"/>
      <c r="AG662" s="1350"/>
      <c r="AH662" s="1350"/>
      <c r="AI662" s="1350"/>
      <c r="AJ662" s="1350"/>
      <c r="AK662" s="1350"/>
    </row>
    <row r="663">
      <c r="A663" s="1350"/>
      <c r="B663" s="1350"/>
      <c r="C663" s="1350"/>
      <c r="D663" s="1350"/>
      <c r="E663" s="1350"/>
      <c r="F663" s="1350"/>
      <c r="G663" s="1350"/>
      <c r="H663" s="1350"/>
      <c r="I663" s="1350"/>
      <c r="J663" s="1350"/>
      <c r="K663" s="1350"/>
      <c r="L663" s="1350"/>
      <c r="M663" s="1350"/>
      <c r="N663" s="1350"/>
      <c r="O663" s="1350"/>
      <c r="P663" s="1354"/>
      <c r="Q663" s="1355"/>
      <c r="R663" s="1355"/>
      <c r="S663" s="1350"/>
      <c r="T663" s="1349"/>
      <c r="U663" s="1348"/>
      <c r="V663" s="1348"/>
      <c r="W663" s="1349"/>
      <c r="X663" s="1350"/>
      <c r="Y663" s="1350"/>
      <c r="Z663" s="1349"/>
      <c r="AA663" s="1351"/>
      <c r="AB663" s="1350"/>
      <c r="AC663" s="1350"/>
      <c r="AD663" s="1350"/>
      <c r="AE663" s="1350"/>
      <c r="AF663" s="1350"/>
      <c r="AG663" s="1350"/>
      <c r="AH663" s="1350"/>
      <c r="AI663" s="1350"/>
      <c r="AJ663" s="1350"/>
      <c r="AK663" s="1350"/>
    </row>
    <row r="664">
      <c r="A664" s="1350"/>
      <c r="B664" s="1350"/>
      <c r="C664" s="1350"/>
      <c r="D664" s="1350"/>
      <c r="E664" s="1350"/>
      <c r="F664" s="1350"/>
      <c r="G664" s="1350"/>
      <c r="H664" s="1350"/>
      <c r="I664" s="1350"/>
      <c r="J664" s="1350"/>
      <c r="K664" s="1350"/>
      <c r="L664" s="1350"/>
      <c r="M664" s="1350"/>
      <c r="N664" s="1350"/>
      <c r="O664" s="1350"/>
      <c r="P664" s="1354"/>
      <c r="Q664" s="1355"/>
      <c r="R664" s="1355"/>
      <c r="S664" s="1350"/>
      <c r="T664" s="1349"/>
      <c r="U664" s="1348"/>
      <c r="V664" s="1348"/>
      <c r="W664" s="1349"/>
      <c r="X664" s="1350"/>
      <c r="Y664" s="1350"/>
      <c r="Z664" s="1349"/>
      <c r="AA664" s="1351"/>
      <c r="AB664" s="1350"/>
      <c r="AC664" s="1350"/>
      <c r="AD664" s="1350"/>
      <c r="AE664" s="1350"/>
      <c r="AF664" s="1350"/>
      <c r="AG664" s="1350"/>
      <c r="AH664" s="1350"/>
      <c r="AI664" s="1350"/>
      <c r="AJ664" s="1350"/>
      <c r="AK664" s="1350"/>
    </row>
    <row r="665">
      <c r="A665" s="1350"/>
      <c r="B665" s="1350"/>
      <c r="C665" s="1350"/>
      <c r="D665" s="1350"/>
      <c r="E665" s="1350"/>
      <c r="F665" s="1350"/>
      <c r="G665" s="1350"/>
      <c r="H665" s="1350"/>
      <c r="I665" s="1350"/>
      <c r="J665" s="1350"/>
      <c r="K665" s="1350"/>
      <c r="L665" s="1350"/>
      <c r="M665" s="1350"/>
      <c r="N665" s="1350"/>
      <c r="O665" s="1350"/>
      <c r="P665" s="1354"/>
      <c r="Q665" s="1355"/>
      <c r="R665" s="1355"/>
      <c r="S665" s="1350"/>
      <c r="T665" s="1349"/>
      <c r="U665" s="1348"/>
      <c r="V665" s="1348"/>
      <c r="W665" s="1349"/>
      <c r="X665" s="1350"/>
      <c r="Y665" s="1350"/>
      <c r="Z665" s="1349"/>
      <c r="AA665" s="1351"/>
      <c r="AB665" s="1350"/>
      <c r="AC665" s="1350"/>
      <c r="AD665" s="1350"/>
      <c r="AE665" s="1350"/>
      <c r="AF665" s="1350"/>
      <c r="AG665" s="1350"/>
      <c r="AH665" s="1350"/>
      <c r="AI665" s="1350"/>
      <c r="AJ665" s="1350"/>
      <c r="AK665" s="1350"/>
    </row>
    <row r="666">
      <c r="A666" s="1350"/>
      <c r="B666" s="1350"/>
      <c r="C666" s="1350"/>
      <c r="D666" s="1350"/>
      <c r="E666" s="1350"/>
      <c r="F666" s="1350"/>
      <c r="G666" s="1350"/>
      <c r="H666" s="1350"/>
      <c r="I666" s="1350"/>
      <c r="J666" s="1350"/>
      <c r="K666" s="1350"/>
      <c r="L666" s="1350"/>
      <c r="M666" s="1350"/>
      <c r="N666" s="1350"/>
      <c r="O666" s="1350"/>
      <c r="P666" s="1354"/>
      <c r="Q666" s="1355"/>
      <c r="R666" s="1355"/>
      <c r="S666" s="1350"/>
      <c r="T666" s="1349"/>
      <c r="U666" s="1348"/>
      <c r="V666" s="1348"/>
      <c r="W666" s="1349"/>
      <c r="X666" s="1350"/>
      <c r="Y666" s="1350"/>
      <c r="Z666" s="1349"/>
      <c r="AA666" s="1351"/>
      <c r="AB666" s="1350"/>
      <c r="AC666" s="1350"/>
      <c r="AD666" s="1350"/>
      <c r="AE666" s="1350"/>
      <c r="AF666" s="1350"/>
      <c r="AG666" s="1350"/>
      <c r="AH666" s="1350"/>
      <c r="AI666" s="1350"/>
      <c r="AJ666" s="1350"/>
      <c r="AK666" s="1350"/>
    </row>
    <row r="667">
      <c r="A667" s="1350"/>
      <c r="B667" s="1350"/>
      <c r="C667" s="1350"/>
      <c r="D667" s="1350"/>
      <c r="E667" s="1350"/>
      <c r="F667" s="1350"/>
      <c r="G667" s="1350"/>
      <c r="H667" s="1350"/>
      <c r="I667" s="1350"/>
      <c r="J667" s="1350"/>
      <c r="K667" s="1350"/>
      <c r="L667" s="1350"/>
      <c r="M667" s="1350"/>
      <c r="N667" s="1350"/>
      <c r="O667" s="1350"/>
      <c r="P667" s="1354"/>
      <c r="Q667" s="1355"/>
      <c r="R667" s="1355"/>
      <c r="S667" s="1350"/>
      <c r="T667" s="1349"/>
      <c r="U667" s="1348"/>
      <c r="V667" s="1348"/>
      <c r="W667" s="1349"/>
      <c r="X667" s="1350"/>
      <c r="Y667" s="1350"/>
      <c r="Z667" s="1349"/>
      <c r="AA667" s="1351"/>
      <c r="AB667" s="1350"/>
      <c r="AC667" s="1350"/>
      <c r="AD667" s="1350"/>
      <c r="AE667" s="1350"/>
      <c r="AF667" s="1350"/>
      <c r="AG667" s="1350"/>
      <c r="AH667" s="1350"/>
      <c r="AI667" s="1350"/>
      <c r="AJ667" s="1350"/>
      <c r="AK667" s="1350"/>
    </row>
    <row r="668">
      <c r="A668" s="1350"/>
      <c r="B668" s="1350"/>
      <c r="C668" s="1350"/>
      <c r="D668" s="1350"/>
      <c r="E668" s="1350"/>
      <c r="F668" s="1350"/>
      <c r="G668" s="1350"/>
      <c r="H668" s="1350"/>
      <c r="I668" s="1350"/>
      <c r="J668" s="1350"/>
      <c r="K668" s="1350"/>
      <c r="L668" s="1350"/>
      <c r="M668" s="1350"/>
      <c r="N668" s="1350"/>
      <c r="O668" s="1350"/>
      <c r="P668" s="1354"/>
      <c r="Q668" s="1355"/>
      <c r="R668" s="1355"/>
      <c r="S668" s="1350"/>
      <c r="T668" s="1349"/>
      <c r="U668" s="1348"/>
      <c r="V668" s="1348"/>
      <c r="W668" s="1349"/>
      <c r="X668" s="1350"/>
      <c r="Y668" s="1350"/>
      <c r="Z668" s="1349"/>
      <c r="AA668" s="1351"/>
      <c r="AB668" s="1350"/>
      <c r="AC668" s="1350"/>
      <c r="AD668" s="1350"/>
      <c r="AE668" s="1350"/>
      <c r="AF668" s="1350"/>
      <c r="AG668" s="1350"/>
      <c r="AH668" s="1350"/>
      <c r="AI668" s="1350"/>
      <c r="AJ668" s="1350"/>
      <c r="AK668" s="1350"/>
    </row>
    <row r="669">
      <c r="A669" s="1350"/>
      <c r="B669" s="1350"/>
      <c r="C669" s="1350"/>
      <c r="D669" s="1350"/>
      <c r="E669" s="1350"/>
      <c r="F669" s="1350"/>
      <c r="G669" s="1350"/>
      <c r="H669" s="1350"/>
      <c r="I669" s="1350"/>
      <c r="J669" s="1350"/>
      <c r="K669" s="1350"/>
      <c r="L669" s="1350"/>
      <c r="M669" s="1350"/>
      <c r="N669" s="1350"/>
      <c r="O669" s="1350"/>
      <c r="P669" s="1354"/>
      <c r="Q669" s="1355"/>
      <c r="R669" s="1355"/>
      <c r="S669" s="1350"/>
      <c r="T669" s="1349"/>
      <c r="U669" s="1348"/>
      <c r="V669" s="1348"/>
      <c r="W669" s="1349"/>
      <c r="X669" s="1350"/>
      <c r="Y669" s="1350"/>
      <c r="Z669" s="1349"/>
      <c r="AA669" s="1351"/>
      <c r="AB669" s="1350"/>
      <c r="AC669" s="1350"/>
      <c r="AD669" s="1350"/>
      <c r="AE669" s="1350"/>
      <c r="AF669" s="1350"/>
      <c r="AG669" s="1350"/>
      <c r="AH669" s="1350"/>
      <c r="AI669" s="1350"/>
      <c r="AJ669" s="1350"/>
      <c r="AK669" s="1350"/>
    </row>
    <row r="670">
      <c r="A670" s="1350"/>
      <c r="B670" s="1350"/>
      <c r="C670" s="1350"/>
      <c r="D670" s="1350"/>
      <c r="E670" s="1350"/>
      <c r="F670" s="1350"/>
      <c r="G670" s="1350"/>
      <c r="H670" s="1350"/>
      <c r="I670" s="1350"/>
      <c r="J670" s="1350"/>
      <c r="K670" s="1350"/>
      <c r="L670" s="1350"/>
      <c r="M670" s="1350"/>
      <c r="N670" s="1350"/>
      <c r="O670" s="1350"/>
      <c r="P670" s="1354"/>
      <c r="Q670" s="1355"/>
      <c r="R670" s="1355"/>
      <c r="S670" s="1350"/>
      <c r="T670" s="1349"/>
      <c r="U670" s="1348"/>
      <c r="V670" s="1348"/>
      <c r="W670" s="1349"/>
      <c r="X670" s="1350"/>
      <c r="Y670" s="1350"/>
      <c r="Z670" s="1349"/>
      <c r="AA670" s="1351"/>
      <c r="AB670" s="1350"/>
      <c r="AC670" s="1350"/>
      <c r="AD670" s="1350"/>
      <c r="AE670" s="1350"/>
      <c r="AF670" s="1350"/>
      <c r="AG670" s="1350"/>
      <c r="AH670" s="1350"/>
      <c r="AI670" s="1350"/>
      <c r="AJ670" s="1350"/>
      <c r="AK670" s="1350"/>
    </row>
    <row r="671">
      <c r="A671" s="1350"/>
      <c r="B671" s="1350"/>
      <c r="C671" s="1350"/>
      <c r="D671" s="1350"/>
      <c r="E671" s="1350"/>
      <c r="F671" s="1350"/>
      <c r="G671" s="1350"/>
      <c r="H671" s="1350"/>
      <c r="I671" s="1350"/>
      <c r="J671" s="1350"/>
      <c r="K671" s="1350"/>
      <c r="L671" s="1350"/>
      <c r="M671" s="1350"/>
      <c r="N671" s="1350"/>
      <c r="O671" s="1350"/>
      <c r="P671" s="1354"/>
      <c r="Q671" s="1355"/>
      <c r="R671" s="1355"/>
      <c r="S671" s="1350"/>
      <c r="T671" s="1349"/>
      <c r="U671" s="1348"/>
      <c r="V671" s="1348"/>
      <c r="W671" s="1349"/>
      <c r="X671" s="1350"/>
      <c r="Y671" s="1350"/>
      <c r="Z671" s="1349"/>
      <c r="AA671" s="1351"/>
      <c r="AB671" s="1350"/>
      <c r="AC671" s="1350"/>
      <c r="AD671" s="1350"/>
      <c r="AE671" s="1350"/>
      <c r="AF671" s="1350"/>
      <c r="AG671" s="1350"/>
      <c r="AH671" s="1350"/>
      <c r="AI671" s="1350"/>
      <c r="AJ671" s="1350"/>
      <c r="AK671" s="1350"/>
    </row>
    <row r="672">
      <c r="A672" s="1350"/>
      <c r="B672" s="1350"/>
      <c r="C672" s="1350"/>
      <c r="D672" s="1350"/>
      <c r="E672" s="1350"/>
      <c r="F672" s="1350"/>
      <c r="G672" s="1350"/>
      <c r="H672" s="1350"/>
      <c r="I672" s="1350"/>
      <c r="J672" s="1350"/>
      <c r="K672" s="1350"/>
      <c r="L672" s="1350"/>
      <c r="M672" s="1350"/>
      <c r="N672" s="1350"/>
      <c r="O672" s="1350"/>
      <c r="P672" s="1354"/>
      <c r="Q672" s="1355"/>
      <c r="R672" s="1355"/>
      <c r="S672" s="1350"/>
      <c r="T672" s="1349"/>
      <c r="U672" s="1348"/>
      <c r="V672" s="1348"/>
      <c r="W672" s="1349"/>
      <c r="X672" s="1350"/>
      <c r="Y672" s="1350"/>
      <c r="Z672" s="1349"/>
      <c r="AA672" s="1351"/>
      <c r="AB672" s="1350"/>
      <c r="AC672" s="1350"/>
      <c r="AD672" s="1350"/>
      <c r="AE672" s="1350"/>
      <c r="AF672" s="1350"/>
      <c r="AG672" s="1350"/>
      <c r="AH672" s="1350"/>
      <c r="AI672" s="1350"/>
      <c r="AJ672" s="1350"/>
      <c r="AK672" s="1350"/>
    </row>
    <row r="673">
      <c r="A673" s="1350"/>
      <c r="B673" s="1350"/>
      <c r="C673" s="1350"/>
      <c r="D673" s="1350"/>
      <c r="E673" s="1350"/>
      <c r="F673" s="1350"/>
      <c r="G673" s="1350"/>
      <c r="H673" s="1350"/>
      <c r="I673" s="1350"/>
      <c r="J673" s="1350"/>
      <c r="K673" s="1350"/>
      <c r="L673" s="1350"/>
      <c r="M673" s="1350"/>
      <c r="N673" s="1350"/>
      <c r="O673" s="1350"/>
      <c r="P673" s="1354"/>
      <c r="Q673" s="1355"/>
      <c r="R673" s="1355"/>
      <c r="S673" s="1350"/>
      <c r="T673" s="1349"/>
      <c r="U673" s="1348"/>
      <c r="V673" s="1348"/>
      <c r="W673" s="1349"/>
      <c r="X673" s="1350"/>
      <c r="Y673" s="1350"/>
      <c r="Z673" s="1349"/>
      <c r="AA673" s="1351"/>
      <c r="AB673" s="1350"/>
      <c r="AC673" s="1350"/>
      <c r="AD673" s="1350"/>
      <c r="AE673" s="1350"/>
      <c r="AF673" s="1350"/>
      <c r="AG673" s="1350"/>
      <c r="AH673" s="1350"/>
      <c r="AI673" s="1350"/>
      <c r="AJ673" s="1350"/>
      <c r="AK673" s="1350"/>
    </row>
    <row r="674">
      <c r="A674" s="1350"/>
      <c r="B674" s="1350"/>
      <c r="C674" s="1350"/>
      <c r="D674" s="1350"/>
      <c r="E674" s="1350"/>
      <c r="F674" s="1350"/>
      <c r="G674" s="1350"/>
      <c r="H674" s="1350"/>
      <c r="I674" s="1350"/>
      <c r="J674" s="1350"/>
      <c r="K674" s="1350"/>
      <c r="L674" s="1350"/>
      <c r="M674" s="1350"/>
      <c r="N674" s="1350"/>
      <c r="O674" s="1350"/>
      <c r="P674" s="1354"/>
      <c r="Q674" s="1355"/>
      <c r="R674" s="1355"/>
      <c r="S674" s="1350"/>
      <c r="T674" s="1349"/>
      <c r="U674" s="1348"/>
      <c r="V674" s="1348"/>
      <c r="W674" s="1349"/>
      <c r="X674" s="1350"/>
      <c r="Y674" s="1350"/>
      <c r="Z674" s="1349"/>
      <c r="AA674" s="1351"/>
      <c r="AB674" s="1350"/>
      <c r="AC674" s="1350"/>
      <c r="AD674" s="1350"/>
      <c r="AE674" s="1350"/>
      <c r="AF674" s="1350"/>
      <c r="AG674" s="1350"/>
      <c r="AH674" s="1350"/>
      <c r="AI674" s="1350"/>
      <c r="AJ674" s="1350"/>
      <c r="AK674" s="1350"/>
    </row>
    <row r="675">
      <c r="A675" s="1350"/>
      <c r="B675" s="1350"/>
      <c r="C675" s="1350"/>
      <c r="D675" s="1350"/>
      <c r="E675" s="1350"/>
      <c r="F675" s="1350"/>
      <c r="G675" s="1350"/>
      <c r="H675" s="1350"/>
      <c r="I675" s="1350"/>
      <c r="J675" s="1350"/>
      <c r="K675" s="1350"/>
      <c r="L675" s="1350"/>
      <c r="M675" s="1350"/>
      <c r="N675" s="1350"/>
      <c r="O675" s="1350"/>
      <c r="P675" s="1354"/>
      <c r="Q675" s="1355"/>
      <c r="R675" s="1355"/>
      <c r="S675" s="1350"/>
      <c r="T675" s="1349"/>
      <c r="U675" s="1348"/>
      <c r="V675" s="1348"/>
      <c r="W675" s="1349"/>
      <c r="X675" s="1350"/>
      <c r="Y675" s="1350"/>
      <c r="Z675" s="1349"/>
      <c r="AA675" s="1351"/>
      <c r="AB675" s="1350"/>
      <c r="AC675" s="1350"/>
      <c r="AD675" s="1350"/>
      <c r="AE675" s="1350"/>
      <c r="AF675" s="1350"/>
      <c r="AG675" s="1350"/>
      <c r="AH675" s="1350"/>
      <c r="AI675" s="1350"/>
      <c r="AJ675" s="1350"/>
      <c r="AK675" s="1350"/>
    </row>
    <row r="676">
      <c r="A676" s="1350"/>
      <c r="B676" s="1350"/>
      <c r="C676" s="1350"/>
      <c r="D676" s="1350"/>
      <c r="E676" s="1350"/>
      <c r="F676" s="1350"/>
      <c r="G676" s="1350"/>
      <c r="H676" s="1350"/>
      <c r="I676" s="1350"/>
      <c r="J676" s="1350"/>
      <c r="K676" s="1350"/>
      <c r="L676" s="1350"/>
      <c r="M676" s="1350"/>
      <c r="N676" s="1350"/>
      <c r="O676" s="1350"/>
      <c r="P676" s="1354"/>
      <c r="Q676" s="1355"/>
      <c r="R676" s="1355"/>
      <c r="S676" s="1350"/>
      <c r="T676" s="1349"/>
      <c r="U676" s="1348"/>
      <c r="V676" s="1348"/>
      <c r="W676" s="1349"/>
      <c r="X676" s="1350"/>
      <c r="Y676" s="1350"/>
      <c r="Z676" s="1349"/>
      <c r="AA676" s="1351"/>
      <c r="AB676" s="1350"/>
      <c r="AC676" s="1350"/>
      <c r="AD676" s="1350"/>
      <c r="AE676" s="1350"/>
      <c r="AF676" s="1350"/>
      <c r="AG676" s="1350"/>
      <c r="AH676" s="1350"/>
      <c r="AI676" s="1350"/>
      <c r="AJ676" s="1350"/>
      <c r="AK676" s="1350"/>
    </row>
    <row r="677">
      <c r="A677" s="1350"/>
      <c r="B677" s="1350"/>
      <c r="C677" s="1350"/>
      <c r="D677" s="1350"/>
      <c r="E677" s="1350"/>
      <c r="F677" s="1350"/>
      <c r="G677" s="1350"/>
      <c r="H677" s="1350"/>
      <c r="I677" s="1350"/>
      <c r="J677" s="1350"/>
      <c r="K677" s="1350"/>
      <c r="L677" s="1350"/>
      <c r="M677" s="1350"/>
      <c r="N677" s="1350"/>
      <c r="O677" s="1350"/>
      <c r="P677" s="1354"/>
      <c r="Q677" s="1355"/>
      <c r="R677" s="1355"/>
      <c r="S677" s="1350"/>
      <c r="T677" s="1349"/>
      <c r="U677" s="1348"/>
      <c r="V677" s="1348"/>
      <c r="W677" s="1349"/>
      <c r="X677" s="1350"/>
      <c r="Y677" s="1350"/>
      <c r="Z677" s="1349"/>
      <c r="AA677" s="1351"/>
      <c r="AB677" s="1350"/>
      <c r="AC677" s="1350"/>
      <c r="AD677" s="1350"/>
      <c r="AE677" s="1350"/>
      <c r="AF677" s="1350"/>
      <c r="AG677" s="1350"/>
      <c r="AH677" s="1350"/>
      <c r="AI677" s="1350"/>
      <c r="AJ677" s="1350"/>
      <c r="AK677" s="1350"/>
    </row>
    <row r="678">
      <c r="A678" s="1350"/>
      <c r="B678" s="1350"/>
      <c r="C678" s="1350"/>
      <c r="D678" s="1350"/>
      <c r="E678" s="1350"/>
      <c r="F678" s="1350"/>
      <c r="G678" s="1350"/>
      <c r="H678" s="1350"/>
      <c r="I678" s="1350"/>
      <c r="J678" s="1350"/>
      <c r="K678" s="1350"/>
      <c r="L678" s="1350"/>
      <c r="M678" s="1350"/>
      <c r="N678" s="1350"/>
      <c r="O678" s="1350"/>
      <c r="P678" s="1354"/>
      <c r="Q678" s="1355"/>
      <c r="R678" s="1355"/>
      <c r="S678" s="1350"/>
      <c r="T678" s="1349"/>
      <c r="U678" s="1348"/>
      <c r="V678" s="1348"/>
      <c r="W678" s="1349"/>
      <c r="X678" s="1350"/>
      <c r="Y678" s="1350"/>
      <c r="Z678" s="1349"/>
      <c r="AA678" s="1351"/>
      <c r="AB678" s="1350"/>
      <c r="AC678" s="1350"/>
      <c r="AD678" s="1350"/>
      <c r="AE678" s="1350"/>
      <c r="AF678" s="1350"/>
      <c r="AG678" s="1350"/>
      <c r="AH678" s="1350"/>
      <c r="AI678" s="1350"/>
      <c r="AJ678" s="1350"/>
      <c r="AK678" s="1350"/>
    </row>
    <row r="679">
      <c r="A679" s="1350"/>
      <c r="B679" s="1350"/>
      <c r="C679" s="1350"/>
      <c r="D679" s="1350"/>
      <c r="E679" s="1350"/>
      <c r="F679" s="1350"/>
      <c r="G679" s="1350"/>
      <c r="H679" s="1350"/>
      <c r="I679" s="1350"/>
      <c r="J679" s="1350"/>
      <c r="K679" s="1350"/>
      <c r="L679" s="1350"/>
      <c r="M679" s="1350"/>
      <c r="N679" s="1350"/>
      <c r="O679" s="1350"/>
      <c r="P679" s="1354"/>
      <c r="Q679" s="1355"/>
      <c r="R679" s="1355"/>
      <c r="S679" s="1350"/>
      <c r="T679" s="1349"/>
      <c r="U679" s="1348"/>
      <c r="V679" s="1348"/>
      <c r="W679" s="1349"/>
      <c r="X679" s="1350"/>
      <c r="Y679" s="1350"/>
      <c r="Z679" s="1349"/>
      <c r="AA679" s="1351"/>
      <c r="AB679" s="1350"/>
      <c r="AC679" s="1350"/>
      <c r="AD679" s="1350"/>
      <c r="AE679" s="1350"/>
      <c r="AF679" s="1350"/>
      <c r="AG679" s="1350"/>
      <c r="AH679" s="1350"/>
      <c r="AI679" s="1350"/>
      <c r="AJ679" s="1350"/>
      <c r="AK679" s="1350"/>
    </row>
    <row r="680">
      <c r="A680" s="1350"/>
      <c r="B680" s="1350"/>
      <c r="C680" s="1350"/>
      <c r="D680" s="1350"/>
      <c r="E680" s="1350"/>
      <c r="F680" s="1350"/>
      <c r="G680" s="1350"/>
      <c r="H680" s="1350"/>
      <c r="I680" s="1350"/>
      <c r="J680" s="1350"/>
      <c r="K680" s="1350"/>
      <c r="L680" s="1350"/>
      <c r="M680" s="1350"/>
      <c r="N680" s="1350"/>
      <c r="O680" s="1350"/>
      <c r="P680" s="1354"/>
      <c r="Q680" s="1355"/>
      <c r="R680" s="1355"/>
      <c r="S680" s="1350"/>
      <c r="T680" s="1349"/>
      <c r="U680" s="1348"/>
      <c r="V680" s="1348"/>
      <c r="W680" s="1349"/>
      <c r="X680" s="1350"/>
      <c r="Y680" s="1350"/>
      <c r="Z680" s="1349"/>
      <c r="AA680" s="1351"/>
      <c r="AB680" s="1350"/>
      <c r="AC680" s="1350"/>
      <c r="AD680" s="1350"/>
      <c r="AE680" s="1350"/>
      <c r="AF680" s="1350"/>
      <c r="AG680" s="1350"/>
      <c r="AH680" s="1350"/>
      <c r="AI680" s="1350"/>
      <c r="AJ680" s="1350"/>
      <c r="AK680" s="1350"/>
    </row>
    <row r="681">
      <c r="A681" s="1350"/>
      <c r="B681" s="1350"/>
      <c r="C681" s="1350"/>
      <c r="D681" s="1350"/>
      <c r="E681" s="1350"/>
      <c r="F681" s="1350"/>
      <c r="G681" s="1350"/>
      <c r="H681" s="1350"/>
      <c r="I681" s="1350"/>
      <c r="J681" s="1350"/>
      <c r="K681" s="1350"/>
      <c r="L681" s="1350"/>
      <c r="M681" s="1350"/>
      <c r="N681" s="1350"/>
      <c r="O681" s="1350"/>
      <c r="P681" s="1354"/>
      <c r="Q681" s="1355"/>
      <c r="R681" s="1355"/>
      <c r="S681" s="1350"/>
      <c r="T681" s="1349"/>
      <c r="U681" s="1348"/>
      <c r="V681" s="1348"/>
      <c r="W681" s="1349"/>
      <c r="X681" s="1350"/>
      <c r="Y681" s="1350"/>
      <c r="Z681" s="1349"/>
      <c r="AA681" s="1351"/>
      <c r="AB681" s="1350"/>
      <c r="AC681" s="1350"/>
      <c r="AD681" s="1350"/>
      <c r="AE681" s="1350"/>
      <c r="AF681" s="1350"/>
      <c r="AG681" s="1350"/>
      <c r="AH681" s="1350"/>
      <c r="AI681" s="1350"/>
      <c r="AJ681" s="1350"/>
      <c r="AK681" s="1350"/>
    </row>
    <row r="682">
      <c r="A682" s="1350"/>
      <c r="B682" s="1350"/>
      <c r="C682" s="1350"/>
      <c r="D682" s="1350"/>
      <c r="E682" s="1350"/>
      <c r="F682" s="1350"/>
      <c r="G682" s="1350"/>
      <c r="H682" s="1350"/>
      <c r="I682" s="1350"/>
      <c r="J682" s="1350"/>
      <c r="K682" s="1350"/>
      <c r="L682" s="1350"/>
      <c r="M682" s="1350"/>
      <c r="N682" s="1350"/>
      <c r="O682" s="1350"/>
      <c r="P682" s="1354"/>
      <c r="Q682" s="1355"/>
      <c r="R682" s="1355"/>
      <c r="S682" s="1350"/>
      <c r="T682" s="1349"/>
      <c r="U682" s="1348"/>
      <c r="V682" s="1348"/>
      <c r="W682" s="1349"/>
      <c r="X682" s="1350"/>
      <c r="Y682" s="1350"/>
      <c r="Z682" s="1349"/>
      <c r="AA682" s="1351"/>
      <c r="AB682" s="1350"/>
      <c r="AC682" s="1350"/>
      <c r="AD682" s="1350"/>
      <c r="AE682" s="1350"/>
      <c r="AF682" s="1350"/>
      <c r="AG682" s="1350"/>
      <c r="AH682" s="1350"/>
      <c r="AI682" s="1350"/>
      <c r="AJ682" s="1350"/>
      <c r="AK682" s="1350"/>
    </row>
    <row r="683">
      <c r="A683" s="1350"/>
      <c r="B683" s="1350"/>
      <c r="C683" s="1350"/>
      <c r="D683" s="1350"/>
      <c r="E683" s="1350"/>
      <c r="F683" s="1350"/>
      <c r="G683" s="1350"/>
      <c r="H683" s="1350"/>
      <c r="I683" s="1350"/>
      <c r="J683" s="1350"/>
      <c r="K683" s="1350"/>
      <c r="L683" s="1350"/>
      <c r="M683" s="1350"/>
      <c r="N683" s="1350"/>
      <c r="O683" s="1350"/>
      <c r="P683" s="1354"/>
      <c r="Q683" s="1355"/>
      <c r="R683" s="1355"/>
      <c r="S683" s="1350"/>
      <c r="T683" s="1349"/>
      <c r="U683" s="1348"/>
      <c r="V683" s="1348"/>
      <c r="W683" s="1349"/>
      <c r="X683" s="1350"/>
      <c r="Y683" s="1350"/>
      <c r="Z683" s="1349"/>
      <c r="AA683" s="1351"/>
      <c r="AB683" s="1350"/>
      <c r="AC683" s="1350"/>
      <c r="AD683" s="1350"/>
      <c r="AE683" s="1350"/>
      <c r="AF683" s="1350"/>
      <c r="AG683" s="1350"/>
      <c r="AH683" s="1350"/>
      <c r="AI683" s="1350"/>
      <c r="AJ683" s="1350"/>
      <c r="AK683" s="1350"/>
    </row>
    <row r="684">
      <c r="A684" s="1350"/>
      <c r="B684" s="1350"/>
      <c r="C684" s="1350"/>
      <c r="D684" s="1350"/>
      <c r="E684" s="1350"/>
      <c r="F684" s="1350"/>
      <c r="G684" s="1350"/>
      <c r="H684" s="1350"/>
      <c r="I684" s="1350"/>
      <c r="J684" s="1350"/>
      <c r="K684" s="1350"/>
      <c r="L684" s="1350"/>
      <c r="M684" s="1350"/>
      <c r="N684" s="1350"/>
      <c r="O684" s="1350"/>
      <c r="P684" s="1354"/>
      <c r="Q684" s="1355"/>
      <c r="R684" s="1355"/>
      <c r="S684" s="1350"/>
      <c r="T684" s="1349"/>
      <c r="U684" s="1348"/>
      <c r="V684" s="1348"/>
      <c r="W684" s="1349"/>
      <c r="X684" s="1350"/>
      <c r="Y684" s="1350"/>
      <c r="Z684" s="1349"/>
      <c r="AA684" s="1351"/>
      <c r="AB684" s="1350"/>
      <c r="AC684" s="1350"/>
      <c r="AD684" s="1350"/>
      <c r="AE684" s="1350"/>
      <c r="AF684" s="1350"/>
      <c r="AG684" s="1350"/>
      <c r="AH684" s="1350"/>
      <c r="AI684" s="1350"/>
      <c r="AJ684" s="1350"/>
      <c r="AK684" s="1350"/>
    </row>
    <row r="685">
      <c r="A685" s="1350"/>
      <c r="B685" s="1350"/>
      <c r="C685" s="1350"/>
      <c r="D685" s="1350"/>
      <c r="E685" s="1350"/>
      <c r="F685" s="1350"/>
      <c r="G685" s="1350"/>
      <c r="H685" s="1350"/>
      <c r="I685" s="1350"/>
      <c r="J685" s="1350"/>
      <c r="K685" s="1350"/>
      <c r="L685" s="1350"/>
      <c r="M685" s="1350"/>
      <c r="N685" s="1350"/>
      <c r="O685" s="1350"/>
      <c r="P685" s="1354"/>
      <c r="Q685" s="1355"/>
      <c r="R685" s="1355"/>
      <c r="S685" s="1350"/>
      <c r="T685" s="1349"/>
      <c r="U685" s="1348"/>
      <c r="V685" s="1348"/>
      <c r="W685" s="1349"/>
      <c r="X685" s="1350"/>
      <c r="Y685" s="1350"/>
      <c r="Z685" s="1349"/>
      <c r="AA685" s="1351"/>
      <c r="AB685" s="1350"/>
      <c r="AC685" s="1350"/>
      <c r="AD685" s="1350"/>
      <c r="AE685" s="1350"/>
      <c r="AF685" s="1350"/>
      <c r="AG685" s="1350"/>
      <c r="AH685" s="1350"/>
      <c r="AI685" s="1350"/>
      <c r="AJ685" s="1350"/>
      <c r="AK685" s="1350"/>
    </row>
    <row r="686">
      <c r="A686" s="1350"/>
      <c r="B686" s="1350"/>
      <c r="C686" s="1350"/>
      <c r="D686" s="1350"/>
      <c r="E686" s="1350"/>
      <c r="F686" s="1350"/>
      <c r="G686" s="1350"/>
      <c r="H686" s="1350"/>
      <c r="I686" s="1350"/>
      <c r="J686" s="1350"/>
      <c r="K686" s="1350"/>
      <c r="L686" s="1350"/>
      <c r="M686" s="1350"/>
      <c r="N686" s="1350"/>
      <c r="O686" s="1350"/>
      <c r="P686" s="1354"/>
      <c r="Q686" s="1355"/>
      <c r="R686" s="1355"/>
      <c r="S686" s="1350"/>
      <c r="T686" s="1349"/>
      <c r="U686" s="1348"/>
      <c r="V686" s="1348"/>
      <c r="W686" s="1349"/>
      <c r="X686" s="1350"/>
      <c r="Y686" s="1350"/>
      <c r="Z686" s="1349"/>
      <c r="AA686" s="1351"/>
      <c r="AB686" s="1350"/>
      <c r="AC686" s="1350"/>
      <c r="AD686" s="1350"/>
      <c r="AE686" s="1350"/>
      <c r="AF686" s="1350"/>
      <c r="AG686" s="1350"/>
      <c r="AH686" s="1350"/>
      <c r="AI686" s="1350"/>
      <c r="AJ686" s="1350"/>
      <c r="AK686" s="1350"/>
    </row>
    <row r="687">
      <c r="A687" s="1350"/>
      <c r="B687" s="1350"/>
      <c r="C687" s="1350"/>
      <c r="D687" s="1350"/>
      <c r="E687" s="1350"/>
      <c r="F687" s="1350"/>
      <c r="G687" s="1350"/>
      <c r="H687" s="1350"/>
      <c r="I687" s="1350"/>
      <c r="J687" s="1350"/>
      <c r="K687" s="1350"/>
      <c r="L687" s="1350"/>
      <c r="M687" s="1350"/>
      <c r="N687" s="1350"/>
      <c r="O687" s="1350"/>
      <c r="P687" s="1354"/>
      <c r="Q687" s="1355"/>
      <c r="R687" s="1355"/>
      <c r="S687" s="1350"/>
      <c r="T687" s="1349"/>
      <c r="U687" s="1348"/>
      <c r="V687" s="1348"/>
      <c r="W687" s="1349"/>
      <c r="X687" s="1350"/>
      <c r="Y687" s="1350"/>
      <c r="Z687" s="1349"/>
      <c r="AA687" s="1351"/>
      <c r="AB687" s="1350"/>
      <c r="AC687" s="1350"/>
      <c r="AD687" s="1350"/>
      <c r="AE687" s="1350"/>
      <c r="AF687" s="1350"/>
      <c r="AG687" s="1350"/>
      <c r="AH687" s="1350"/>
      <c r="AI687" s="1350"/>
      <c r="AJ687" s="1350"/>
      <c r="AK687" s="1350"/>
    </row>
    <row r="688">
      <c r="A688" s="1350"/>
      <c r="B688" s="1350"/>
      <c r="C688" s="1350"/>
      <c r="D688" s="1350"/>
      <c r="E688" s="1350"/>
      <c r="F688" s="1350"/>
      <c r="G688" s="1350"/>
      <c r="H688" s="1350"/>
      <c r="I688" s="1350"/>
      <c r="J688" s="1350"/>
      <c r="K688" s="1350"/>
      <c r="L688" s="1350"/>
      <c r="M688" s="1350"/>
      <c r="N688" s="1350"/>
      <c r="O688" s="1350"/>
      <c r="P688" s="1354"/>
      <c r="Q688" s="1355"/>
      <c r="R688" s="1355"/>
      <c r="S688" s="1350"/>
      <c r="T688" s="1349"/>
      <c r="U688" s="1348"/>
      <c r="V688" s="1348"/>
      <c r="W688" s="1349"/>
      <c r="X688" s="1350"/>
      <c r="Y688" s="1350"/>
      <c r="Z688" s="1349"/>
      <c r="AA688" s="1351"/>
      <c r="AB688" s="1350"/>
      <c r="AC688" s="1350"/>
      <c r="AD688" s="1350"/>
      <c r="AE688" s="1350"/>
      <c r="AF688" s="1350"/>
      <c r="AG688" s="1350"/>
      <c r="AH688" s="1350"/>
      <c r="AI688" s="1350"/>
      <c r="AJ688" s="1350"/>
      <c r="AK688" s="1350"/>
    </row>
    <row r="689">
      <c r="A689" s="1350"/>
      <c r="B689" s="1350"/>
      <c r="C689" s="1350"/>
      <c r="D689" s="1350"/>
      <c r="E689" s="1350"/>
      <c r="F689" s="1350"/>
      <c r="G689" s="1350"/>
      <c r="H689" s="1350"/>
      <c r="I689" s="1350"/>
      <c r="J689" s="1350"/>
      <c r="K689" s="1350"/>
      <c r="L689" s="1350"/>
      <c r="M689" s="1350"/>
      <c r="N689" s="1350"/>
      <c r="O689" s="1350"/>
      <c r="P689" s="1354"/>
      <c r="Q689" s="1355"/>
      <c r="R689" s="1355"/>
      <c r="S689" s="1350"/>
      <c r="T689" s="1349"/>
      <c r="U689" s="1348"/>
      <c r="V689" s="1348"/>
      <c r="W689" s="1349"/>
      <c r="X689" s="1350"/>
      <c r="Y689" s="1350"/>
      <c r="Z689" s="1349"/>
      <c r="AA689" s="1351"/>
      <c r="AB689" s="1350"/>
      <c r="AC689" s="1350"/>
      <c r="AD689" s="1350"/>
      <c r="AE689" s="1350"/>
      <c r="AF689" s="1350"/>
      <c r="AG689" s="1350"/>
      <c r="AH689" s="1350"/>
      <c r="AI689" s="1350"/>
      <c r="AJ689" s="1350"/>
      <c r="AK689" s="1350"/>
    </row>
    <row r="690">
      <c r="A690" s="1350"/>
      <c r="B690" s="1350"/>
      <c r="C690" s="1350"/>
      <c r="D690" s="1350"/>
      <c r="E690" s="1350"/>
      <c r="F690" s="1350"/>
      <c r="G690" s="1350"/>
      <c r="H690" s="1350"/>
      <c r="I690" s="1350"/>
      <c r="J690" s="1350"/>
      <c r="K690" s="1350"/>
      <c r="L690" s="1350"/>
      <c r="M690" s="1350"/>
      <c r="N690" s="1350"/>
      <c r="O690" s="1350"/>
      <c r="P690" s="1354"/>
      <c r="Q690" s="1355"/>
      <c r="R690" s="1355"/>
      <c r="S690" s="1350"/>
      <c r="T690" s="1349"/>
      <c r="U690" s="1348"/>
      <c r="V690" s="1348"/>
      <c r="W690" s="1349"/>
      <c r="X690" s="1350"/>
      <c r="Y690" s="1350"/>
      <c r="Z690" s="1349"/>
      <c r="AA690" s="1351"/>
      <c r="AB690" s="1350"/>
      <c r="AC690" s="1350"/>
      <c r="AD690" s="1350"/>
      <c r="AE690" s="1350"/>
      <c r="AF690" s="1350"/>
      <c r="AG690" s="1350"/>
      <c r="AH690" s="1350"/>
      <c r="AI690" s="1350"/>
      <c r="AJ690" s="1350"/>
      <c r="AK690" s="1350"/>
    </row>
    <row r="691">
      <c r="A691" s="1350"/>
      <c r="B691" s="1350"/>
      <c r="C691" s="1350"/>
      <c r="D691" s="1350"/>
      <c r="E691" s="1350"/>
      <c r="F691" s="1350"/>
      <c r="G691" s="1350"/>
      <c r="H691" s="1350"/>
      <c r="I691" s="1350"/>
      <c r="J691" s="1350"/>
      <c r="K691" s="1350"/>
      <c r="L691" s="1350"/>
      <c r="M691" s="1350"/>
      <c r="N691" s="1350"/>
      <c r="O691" s="1350"/>
      <c r="P691" s="1354"/>
      <c r="Q691" s="1355"/>
      <c r="R691" s="1355"/>
      <c r="S691" s="1350"/>
      <c r="T691" s="1349"/>
      <c r="U691" s="1348"/>
      <c r="V691" s="1348"/>
      <c r="W691" s="1349"/>
      <c r="X691" s="1350"/>
      <c r="Y691" s="1350"/>
      <c r="Z691" s="1349"/>
      <c r="AA691" s="1351"/>
      <c r="AB691" s="1350"/>
      <c r="AC691" s="1350"/>
      <c r="AD691" s="1350"/>
      <c r="AE691" s="1350"/>
      <c r="AF691" s="1350"/>
      <c r="AG691" s="1350"/>
      <c r="AH691" s="1350"/>
      <c r="AI691" s="1350"/>
      <c r="AJ691" s="1350"/>
      <c r="AK691" s="1350"/>
    </row>
    <row r="692">
      <c r="A692" s="1350"/>
      <c r="B692" s="1350"/>
      <c r="C692" s="1350"/>
      <c r="D692" s="1350"/>
      <c r="E692" s="1350"/>
      <c r="F692" s="1350"/>
      <c r="G692" s="1350"/>
      <c r="H692" s="1350"/>
      <c r="I692" s="1350"/>
      <c r="J692" s="1350"/>
      <c r="K692" s="1350"/>
      <c r="L692" s="1350"/>
      <c r="M692" s="1350"/>
      <c r="N692" s="1350"/>
      <c r="O692" s="1350"/>
      <c r="P692" s="1354"/>
      <c r="Q692" s="1355"/>
      <c r="R692" s="1355"/>
      <c r="S692" s="1350"/>
      <c r="T692" s="1349"/>
      <c r="U692" s="1348"/>
      <c r="V692" s="1348"/>
      <c r="W692" s="1349"/>
      <c r="X692" s="1350"/>
      <c r="Y692" s="1350"/>
      <c r="Z692" s="1349"/>
      <c r="AA692" s="1351"/>
      <c r="AB692" s="1350"/>
      <c r="AC692" s="1350"/>
      <c r="AD692" s="1350"/>
      <c r="AE692" s="1350"/>
      <c r="AF692" s="1350"/>
      <c r="AG692" s="1350"/>
      <c r="AH692" s="1350"/>
      <c r="AI692" s="1350"/>
      <c r="AJ692" s="1350"/>
      <c r="AK692" s="1350"/>
    </row>
    <row r="693">
      <c r="A693" s="1350"/>
      <c r="B693" s="1350"/>
      <c r="C693" s="1350"/>
      <c r="D693" s="1350"/>
      <c r="E693" s="1350"/>
      <c r="F693" s="1350"/>
      <c r="G693" s="1350"/>
      <c r="H693" s="1350"/>
      <c r="I693" s="1350"/>
      <c r="J693" s="1350"/>
      <c r="K693" s="1350"/>
      <c r="L693" s="1350"/>
      <c r="M693" s="1350"/>
      <c r="N693" s="1350"/>
      <c r="O693" s="1350"/>
      <c r="P693" s="1354"/>
      <c r="Q693" s="1355"/>
      <c r="R693" s="1355"/>
      <c r="S693" s="1350"/>
      <c r="T693" s="1349"/>
      <c r="U693" s="1348"/>
      <c r="V693" s="1348"/>
      <c r="W693" s="1349"/>
      <c r="X693" s="1350"/>
      <c r="Y693" s="1350"/>
      <c r="Z693" s="1349"/>
      <c r="AA693" s="1351"/>
      <c r="AB693" s="1350"/>
      <c r="AC693" s="1350"/>
      <c r="AD693" s="1350"/>
      <c r="AE693" s="1350"/>
      <c r="AF693" s="1350"/>
      <c r="AG693" s="1350"/>
      <c r="AH693" s="1350"/>
      <c r="AI693" s="1350"/>
      <c r="AJ693" s="1350"/>
      <c r="AK693" s="1350"/>
    </row>
    <row r="694">
      <c r="A694" s="1350"/>
      <c r="B694" s="1350"/>
      <c r="C694" s="1350"/>
      <c r="D694" s="1350"/>
      <c r="E694" s="1350"/>
      <c r="F694" s="1350"/>
      <c r="G694" s="1350"/>
      <c r="H694" s="1350"/>
      <c r="I694" s="1350"/>
      <c r="J694" s="1350"/>
      <c r="K694" s="1350"/>
      <c r="L694" s="1350"/>
      <c r="M694" s="1350"/>
      <c r="N694" s="1350"/>
      <c r="O694" s="1350"/>
      <c r="P694" s="1354"/>
      <c r="Q694" s="1355"/>
      <c r="R694" s="1355"/>
      <c r="S694" s="1350"/>
      <c r="T694" s="1349"/>
      <c r="U694" s="1348"/>
      <c r="V694" s="1348"/>
      <c r="W694" s="1349"/>
      <c r="X694" s="1350"/>
      <c r="Y694" s="1350"/>
      <c r="Z694" s="1349"/>
      <c r="AA694" s="1351"/>
      <c r="AB694" s="1350"/>
      <c r="AC694" s="1350"/>
      <c r="AD694" s="1350"/>
      <c r="AE694" s="1350"/>
      <c r="AF694" s="1350"/>
      <c r="AG694" s="1350"/>
      <c r="AH694" s="1350"/>
      <c r="AI694" s="1350"/>
      <c r="AJ694" s="1350"/>
      <c r="AK694" s="1350"/>
    </row>
    <row r="695">
      <c r="A695" s="1350"/>
      <c r="B695" s="1350"/>
      <c r="C695" s="1350"/>
      <c r="D695" s="1350"/>
      <c r="E695" s="1350"/>
      <c r="F695" s="1350"/>
      <c r="G695" s="1350"/>
      <c r="H695" s="1350"/>
      <c r="I695" s="1350"/>
      <c r="J695" s="1350"/>
      <c r="K695" s="1350"/>
      <c r="L695" s="1350"/>
      <c r="M695" s="1350"/>
      <c r="N695" s="1350"/>
      <c r="O695" s="1350"/>
      <c r="P695" s="1354"/>
      <c r="Q695" s="1355"/>
      <c r="R695" s="1355"/>
      <c r="S695" s="1350"/>
      <c r="T695" s="1349"/>
      <c r="U695" s="1348"/>
      <c r="V695" s="1348"/>
      <c r="W695" s="1349"/>
      <c r="X695" s="1350"/>
      <c r="Y695" s="1350"/>
      <c r="Z695" s="1349"/>
      <c r="AA695" s="1351"/>
      <c r="AB695" s="1350"/>
      <c r="AC695" s="1350"/>
      <c r="AD695" s="1350"/>
      <c r="AE695" s="1350"/>
      <c r="AF695" s="1350"/>
      <c r="AG695" s="1350"/>
      <c r="AH695" s="1350"/>
      <c r="AI695" s="1350"/>
      <c r="AJ695" s="1350"/>
      <c r="AK695" s="1350"/>
    </row>
    <row r="696">
      <c r="A696" s="1350"/>
      <c r="B696" s="1350"/>
      <c r="C696" s="1350"/>
      <c r="D696" s="1350"/>
      <c r="E696" s="1350"/>
      <c r="F696" s="1350"/>
      <c r="G696" s="1350"/>
      <c r="H696" s="1350"/>
      <c r="I696" s="1350"/>
      <c r="J696" s="1350"/>
      <c r="K696" s="1350"/>
      <c r="L696" s="1350"/>
      <c r="M696" s="1350"/>
      <c r="N696" s="1350"/>
      <c r="O696" s="1350"/>
      <c r="P696" s="1354"/>
      <c r="Q696" s="1355"/>
      <c r="R696" s="1355"/>
      <c r="S696" s="1350"/>
      <c r="T696" s="1349"/>
      <c r="U696" s="1348"/>
      <c r="V696" s="1348"/>
      <c r="W696" s="1349"/>
      <c r="X696" s="1350"/>
      <c r="Y696" s="1350"/>
      <c r="Z696" s="1349"/>
      <c r="AA696" s="1351"/>
      <c r="AB696" s="1350"/>
      <c r="AC696" s="1350"/>
      <c r="AD696" s="1350"/>
      <c r="AE696" s="1350"/>
      <c r="AF696" s="1350"/>
      <c r="AG696" s="1350"/>
      <c r="AH696" s="1350"/>
      <c r="AI696" s="1350"/>
      <c r="AJ696" s="1350"/>
      <c r="AK696" s="1350"/>
    </row>
    <row r="697">
      <c r="A697" s="1350"/>
      <c r="B697" s="1350"/>
      <c r="C697" s="1350"/>
      <c r="D697" s="1350"/>
      <c r="E697" s="1350"/>
      <c r="F697" s="1350"/>
      <c r="G697" s="1350"/>
      <c r="H697" s="1350"/>
      <c r="I697" s="1350"/>
      <c r="J697" s="1350"/>
      <c r="K697" s="1350"/>
      <c r="L697" s="1350"/>
      <c r="M697" s="1350"/>
      <c r="N697" s="1350"/>
      <c r="O697" s="1350"/>
      <c r="P697" s="1354"/>
      <c r="Q697" s="1355"/>
      <c r="R697" s="1355"/>
      <c r="S697" s="1350"/>
      <c r="T697" s="1349"/>
      <c r="U697" s="1348"/>
      <c r="V697" s="1348"/>
      <c r="W697" s="1349"/>
      <c r="X697" s="1350"/>
      <c r="Y697" s="1350"/>
      <c r="Z697" s="1349"/>
      <c r="AA697" s="1351"/>
      <c r="AB697" s="1350"/>
      <c r="AC697" s="1350"/>
      <c r="AD697" s="1350"/>
      <c r="AE697" s="1350"/>
      <c r="AF697" s="1350"/>
      <c r="AG697" s="1350"/>
      <c r="AH697" s="1350"/>
      <c r="AI697" s="1350"/>
      <c r="AJ697" s="1350"/>
      <c r="AK697" s="1350"/>
    </row>
    <row r="698">
      <c r="A698" s="1350"/>
      <c r="B698" s="1350"/>
      <c r="C698" s="1350"/>
      <c r="D698" s="1350"/>
      <c r="E698" s="1350"/>
      <c r="F698" s="1350"/>
      <c r="G698" s="1350"/>
      <c r="H698" s="1350"/>
      <c r="I698" s="1350"/>
      <c r="J698" s="1350"/>
      <c r="K698" s="1350"/>
      <c r="L698" s="1350"/>
      <c r="M698" s="1350"/>
      <c r="N698" s="1350"/>
      <c r="O698" s="1350"/>
      <c r="P698" s="1354"/>
      <c r="Q698" s="1355"/>
      <c r="R698" s="1355"/>
      <c r="S698" s="1350"/>
      <c r="T698" s="1349"/>
      <c r="U698" s="1348"/>
      <c r="V698" s="1348"/>
      <c r="W698" s="1349"/>
      <c r="X698" s="1350"/>
      <c r="Y698" s="1350"/>
      <c r="Z698" s="1349"/>
      <c r="AA698" s="1351"/>
      <c r="AB698" s="1350"/>
      <c r="AC698" s="1350"/>
      <c r="AD698" s="1350"/>
      <c r="AE698" s="1350"/>
      <c r="AF698" s="1350"/>
      <c r="AG698" s="1350"/>
      <c r="AH698" s="1350"/>
      <c r="AI698" s="1350"/>
      <c r="AJ698" s="1350"/>
      <c r="AK698" s="1350"/>
    </row>
    <row r="699">
      <c r="A699" s="1350"/>
      <c r="B699" s="1350"/>
      <c r="C699" s="1350"/>
      <c r="D699" s="1350"/>
      <c r="E699" s="1350"/>
      <c r="F699" s="1350"/>
      <c r="G699" s="1350"/>
      <c r="H699" s="1350"/>
      <c r="I699" s="1350"/>
      <c r="J699" s="1350"/>
      <c r="K699" s="1350"/>
      <c r="L699" s="1350"/>
      <c r="M699" s="1350"/>
      <c r="N699" s="1350"/>
      <c r="O699" s="1350"/>
      <c r="P699" s="1354"/>
      <c r="Q699" s="1355"/>
      <c r="R699" s="1355"/>
      <c r="S699" s="1350"/>
      <c r="T699" s="1349"/>
      <c r="U699" s="1348"/>
      <c r="V699" s="1348"/>
      <c r="W699" s="1349"/>
      <c r="X699" s="1350"/>
      <c r="Y699" s="1350"/>
      <c r="Z699" s="1349"/>
      <c r="AA699" s="1351"/>
      <c r="AB699" s="1350"/>
      <c r="AC699" s="1350"/>
      <c r="AD699" s="1350"/>
      <c r="AE699" s="1350"/>
      <c r="AF699" s="1350"/>
      <c r="AG699" s="1350"/>
      <c r="AH699" s="1350"/>
      <c r="AI699" s="1350"/>
      <c r="AJ699" s="1350"/>
      <c r="AK699" s="1350"/>
    </row>
    <row r="700">
      <c r="A700" s="1350"/>
      <c r="B700" s="1350"/>
      <c r="C700" s="1350"/>
      <c r="D700" s="1350"/>
      <c r="E700" s="1350"/>
      <c r="F700" s="1350"/>
      <c r="G700" s="1350"/>
      <c r="H700" s="1350"/>
      <c r="I700" s="1350"/>
      <c r="J700" s="1350"/>
      <c r="K700" s="1350"/>
      <c r="L700" s="1350"/>
      <c r="M700" s="1350"/>
      <c r="N700" s="1350"/>
      <c r="O700" s="1350"/>
      <c r="P700" s="1354"/>
      <c r="Q700" s="1355"/>
      <c r="R700" s="1355"/>
      <c r="S700" s="1350"/>
      <c r="T700" s="1349"/>
      <c r="U700" s="1348"/>
      <c r="V700" s="1348"/>
      <c r="W700" s="1349"/>
      <c r="X700" s="1350"/>
      <c r="Y700" s="1350"/>
      <c r="Z700" s="1349"/>
      <c r="AA700" s="1351"/>
      <c r="AB700" s="1350"/>
      <c r="AC700" s="1350"/>
      <c r="AD700" s="1350"/>
      <c r="AE700" s="1350"/>
      <c r="AF700" s="1350"/>
      <c r="AG700" s="1350"/>
      <c r="AH700" s="1350"/>
      <c r="AI700" s="1350"/>
      <c r="AJ700" s="1350"/>
      <c r="AK700" s="1350"/>
    </row>
    <row r="701">
      <c r="A701" s="1350"/>
      <c r="B701" s="1350"/>
      <c r="C701" s="1350"/>
      <c r="D701" s="1350"/>
      <c r="E701" s="1350"/>
      <c r="F701" s="1350"/>
      <c r="G701" s="1350"/>
      <c r="H701" s="1350"/>
      <c r="I701" s="1350"/>
      <c r="J701" s="1350"/>
      <c r="K701" s="1350"/>
      <c r="L701" s="1350"/>
      <c r="M701" s="1350"/>
      <c r="N701" s="1350"/>
      <c r="O701" s="1350"/>
      <c r="P701" s="1354"/>
      <c r="Q701" s="1355"/>
      <c r="R701" s="1355"/>
      <c r="S701" s="1350"/>
      <c r="T701" s="1349"/>
      <c r="U701" s="1348"/>
      <c r="V701" s="1348"/>
      <c r="W701" s="1349"/>
      <c r="X701" s="1350"/>
      <c r="Y701" s="1350"/>
      <c r="Z701" s="1349"/>
      <c r="AA701" s="1351"/>
      <c r="AB701" s="1350"/>
      <c r="AC701" s="1350"/>
      <c r="AD701" s="1350"/>
      <c r="AE701" s="1350"/>
      <c r="AF701" s="1350"/>
      <c r="AG701" s="1350"/>
      <c r="AH701" s="1350"/>
      <c r="AI701" s="1350"/>
      <c r="AJ701" s="1350"/>
      <c r="AK701" s="1350"/>
    </row>
    <row r="702">
      <c r="A702" s="1350"/>
      <c r="B702" s="1350"/>
      <c r="C702" s="1350"/>
      <c r="D702" s="1350"/>
      <c r="E702" s="1350"/>
      <c r="F702" s="1350"/>
      <c r="G702" s="1350"/>
      <c r="H702" s="1350"/>
      <c r="I702" s="1350"/>
      <c r="J702" s="1350"/>
      <c r="K702" s="1350"/>
      <c r="L702" s="1350"/>
      <c r="M702" s="1350"/>
      <c r="N702" s="1350"/>
      <c r="O702" s="1350"/>
      <c r="P702" s="1354"/>
      <c r="Q702" s="1355"/>
      <c r="R702" s="1355"/>
      <c r="S702" s="1350"/>
      <c r="T702" s="1349"/>
      <c r="U702" s="1348"/>
      <c r="V702" s="1348"/>
      <c r="W702" s="1349"/>
      <c r="X702" s="1350"/>
      <c r="Y702" s="1350"/>
      <c r="Z702" s="1349"/>
      <c r="AA702" s="1351"/>
      <c r="AB702" s="1350"/>
      <c r="AC702" s="1350"/>
      <c r="AD702" s="1350"/>
      <c r="AE702" s="1350"/>
      <c r="AF702" s="1350"/>
      <c r="AG702" s="1350"/>
      <c r="AH702" s="1350"/>
      <c r="AI702" s="1350"/>
      <c r="AJ702" s="1350"/>
      <c r="AK702" s="1350"/>
    </row>
    <row r="703">
      <c r="A703" s="1350"/>
      <c r="B703" s="1350"/>
      <c r="C703" s="1350"/>
      <c r="D703" s="1350"/>
      <c r="E703" s="1350"/>
      <c r="F703" s="1350"/>
      <c r="G703" s="1350"/>
      <c r="H703" s="1350"/>
      <c r="I703" s="1350"/>
      <c r="J703" s="1350"/>
      <c r="K703" s="1350"/>
      <c r="L703" s="1350"/>
      <c r="M703" s="1350"/>
      <c r="N703" s="1350"/>
      <c r="O703" s="1350"/>
      <c r="P703" s="1354"/>
      <c r="Q703" s="1355"/>
      <c r="R703" s="1355"/>
      <c r="S703" s="1350"/>
      <c r="T703" s="1349"/>
      <c r="U703" s="1348"/>
      <c r="V703" s="1348"/>
      <c r="W703" s="1349"/>
      <c r="X703" s="1350"/>
      <c r="Y703" s="1350"/>
      <c r="Z703" s="1349"/>
      <c r="AA703" s="1351"/>
      <c r="AB703" s="1350"/>
      <c r="AC703" s="1350"/>
      <c r="AD703" s="1350"/>
      <c r="AE703" s="1350"/>
      <c r="AF703" s="1350"/>
      <c r="AG703" s="1350"/>
      <c r="AH703" s="1350"/>
      <c r="AI703" s="1350"/>
      <c r="AJ703" s="1350"/>
      <c r="AK703" s="1350"/>
    </row>
    <row r="704">
      <c r="A704" s="1350"/>
      <c r="B704" s="1350"/>
      <c r="C704" s="1350"/>
      <c r="D704" s="1350"/>
      <c r="E704" s="1350"/>
      <c r="F704" s="1350"/>
      <c r="G704" s="1350"/>
      <c r="H704" s="1350"/>
      <c r="I704" s="1350"/>
      <c r="J704" s="1350"/>
      <c r="K704" s="1350"/>
      <c r="L704" s="1350"/>
      <c r="M704" s="1350"/>
      <c r="N704" s="1350"/>
      <c r="O704" s="1350"/>
      <c r="P704" s="1354"/>
      <c r="Q704" s="1355"/>
      <c r="R704" s="1355"/>
      <c r="S704" s="1350"/>
      <c r="T704" s="1349"/>
      <c r="U704" s="1348"/>
      <c r="V704" s="1348"/>
      <c r="W704" s="1349"/>
      <c r="X704" s="1350"/>
      <c r="Y704" s="1350"/>
      <c r="Z704" s="1349"/>
      <c r="AA704" s="1351"/>
      <c r="AB704" s="1350"/>
      <c r="AC704" s="1350"/>
      <c r="AD704" s="1350"/>
      <c r="AE704" s="1350"/>
      <c r="AF704" s="1350"/>
      <c r="AG704" s="1350"/>
      <c r="AH704" s="1350"/>
      <c r="AI704" s="1350"/>
      <c r="AJ704" s="1350"/>
      <c r="AK704" s="1350"/>
    </row>
    <row r="705">
      <c r="A705" s="1350"/>
      <c r="B705" s="1350"/>
      <c r="C705" s="1350"/>
      <c r="D705" s="1350"/>
      <c r="E705" s="1350"/>
      <c r="F705" s="1350"/>
      <c r="G705" s="1350"/>
      <c r="H705" s="1350"/>
      <c r="I705" s="1350"/>
      <c r="J705" s="1350"/>
      <c r="K705" s="1350"/>
      <c r="L705" s="1350"/>
      <c r="M705" s="1350"/>
      <c r="N705" s="1350"/>
      <c r="O705" s="1350"/>
      <c r="P705" s="1354"/>
      <c r="Q705" s="1355"/>
      <c r="R705" s="1355"/>
      <c r="S705" s="1350"/>
      <c r="T705" s="1349"/>
      <c r="U705" s="1348"/>
      <c r="V705" s="1348"/>
      <c r="W705" s="1349"/>
      <c r="X705" s="1350"/>
      <c r="Y705" s="1350"/>
      <c r="Z705" s="1349"/>
      <c r="AA705" s="1351"/>
      <c r="AB705" s="1350"/>
      <c r="AC705" s="1350"/>
      <c r="AD705" s="1350"/>
      <c r="AE705" s="1350"/>
      <c r="AF705" s="1350"/>
      <c r="AG705" s="1350"/>
      <c r="AH705" s="1350"/>
      <c r="AI705" s="1350"/>
      <c r="AJ705" s="1350"/>
      <c r="AK705" s="1350"/>
    </row>
    <row r="706">
      <c r="A706" s="1350"/>
      <c r="B706" s="1350"/>
      <c r="C706" s="1350"/>
      <c r="D706" s="1350"/>
      <c r="E706" s="1350"/>
      <c r="F706" s="1350"/>
      <c r="G706" s="1350"/>
      <c r="H706" s="1350"/>
      <c r="I706" s="1350"/>
      <c r="J706" s="1350"/>
      <c r="K706" s="1350"/>
      <c r="L706" s="1350"/>
      <c r="M706" s="1350"/>
      <c r="N706" s="1350"/>
      <c r="O706" s="1350"/>
      <c r="P706" s="1354"/>
      <c r="Q706" s="1355"/>
      <c r="R706" s="1355"/>
      <c r="S706" s="1350"/>
      <c r="T706" s="1349"/>
      <c r="U706" s="1348"/>
      <c r="V706" s="1348"/>
      <c r="W706" s="1349"/>
      <c r="X706" s="1350"/>
      <c r="Y706" s="1350"/>
      <c r="Z706" s="1349"/>
      <c r="AA706" s="1351"/>
      <c r="AB706" s="1350"/>
      <c r="AC706" s="1350"/>
      <c r="AD706" s="1350"/>
      <c r="AE706" s="1350"/>
      <c r="AF706" s="1350"/>
      <c r="AG706" s="1350"/>
      <c r="AH706" s="1350"/>
      <c r="AI706" s="1350"/>
      <c r="AJ706" s="1350"/>
      <c r="AK706" s="1350"/>
    </row>
    <row r="707">
      <c r="A707" s="1350"/>
      <c r="B707" s="1350"/>
      <c r="C707" s="1350"/>
      <c r="D707" s="1350"/>
      <c r="E707" s="1350"/>
      <c r="F707" s="1350"/>
      <c r="G707" s="1350"/>
      <c r="H707" s="1350"/>
      <c r="I707" s="1350"/>
      <c r="J707" s="1350"/>
      <c r="K707" s="1350"/>
      <c r="L707" s="1350"/>
      <c r="M707" s="1350"/>
      <c r="N707" s="1350"/>
      <c r="O707" s="1350"/>
      <c r="P707" s="1354"/>
      <c r="Q707" s="1355"/>
      <c r="R707" s="1355"/>
      <c r="S707" s="1350"/>
      <c r="T707" s="1349"/>
      <c r="U707" s="1348"/>
      <c r="V707" s="1348"/>
      <c r="W707" s="1349"/>
      <c r="X707" s="1350"/>
      <c r="Y707" s="1350"/>
      <c r="Z707" s="1349"/>
      <c r="AA707" s="1351"/>
      <c r="AB707" s="1350"/>
      <c r="AC707" s="1350"/>
      <c r="AD707" s="1350"/>
      <c r="AE707" s="1350"/>
      <c r="AF707" s="1350"/>
      <c r="AG707" s="1350"/>
      <c r="AH707" s="1350"/>
      <c r="AI707" s="1350"/>
      <c r="AJ707" s="1350"/>
      <c r="AK707" s="1350"/>
    </row>
    <row r="708">
      <c r="A708" s="1350"/>
      <c r="B708" s="1350"/>
      <c r="C708" s="1350"/>
      <c r="D708" s="1350"/>
      <c r="E708" s="1350"/>
      <c r="F708" s="1350"/>
      <c r="G708" s="1350"/>
      <c r="H708" s="1350"/>
      <c r="I708" s="1350"/>
      <c r="J708" s="1350"/>
      <c r="K708" s="1350"/>
      <c r="L708" s="1350"/>
      <c r="M708" s="1350"/>
      <c r="N708" s="1350"/>
      <c r="O708" s="1350"/>
      <c r="P708" s="1354"/>
      <c r="Q708" s="1355"/>
      <c r="R708" s="1355"/>
      <c r="S708" s="1350"/>
      <c r="T708" s="1349"/>
      <c r="U708" s="1348"/>
      <c r="V708" s="1348"/>
      <c r="W708" s="1349"/>
      <c r="X708" s="1350"/>
      <c r="Y708" s="1350"/>
      <c r="Z708" s="1349"/>
      <c r="AA708" s="1351"/>
      <c r="AB708" s="1350"/>
      <c r="AC708" s="1350"/>
      <c r="AD708" s="1350"/>
      <c r="AE708" s="1350"/>
      <c r="AF708" s="1350"/>
      <c r="AG708" s="1350"/>
      <c r="AH708" s="1350"/>
      <c r="AI708" s="1350"/>
      <c r="AJ708" s="1350"/>
      <c r="AK708" s="1350"/>
    </row>
    <row r="709">
      <c r="A709" s="1350"/>
      <c r="B709" s="1350"/>
      <c r="C709" s="1350"/>
      <c r="D709" s="1350"/>
      <c r="E709" s="1350"/>
      <c r="F709" s="1350"/>
      <c r="G709" s="1350"/>
      <c r="H709" s="1350"/>
      <c r="I709" s="1350"/>
      <c r="J709" s="1350"/>
      <c r="K709" s="1350"/>
      <c r="L709" s="1350"/>
      <c r="M709" s="1350"/>
      <c r="N709" s="1350"/>
      <c r="O709" s="1350"/>
      <c r="P709" s="1354"/>
      <c r="Q709" s="1355"/>
      <c r="R709" s="1355"/>
      <c r="S709" s="1350"/>
      <c r="T709" s="1349"/>
      <c r="U709" s="1348"/>
      <c r="V709" s="1348"/>
      <c r="W709" s="1349"/>
      <c r="X709" s="1350"/>
      <c r="Y709" s="1350"/>
      <c r="Z709" s="1349"/>
      <c r="AA709" s="1351"/>
      <c r="AB709" s="1350"/>
      <c r="AC709" s="1350"/>
      <c r="AD709" s="1350"/>
      <c r="AE709" s="1350"/>
      <c r="AF709" s="1350"/>
      <c r="AG709" s="1350"/>
      <c r="AH709" s="1350"/>
      <c r="AI709" s="1350"/>
      <c r="AJ709" s="1350"/>
      <c r="AK709" s="1350"/>
    </row>
    <row r="710">
      <c r="A710" s="1350"/>
      <c r="B710" s="1350"/>
      <c r="C710" s="1350"/>
      <c r="D710" s="1350"/>
      <c r="E710" s="1350"/>
      <c r="F710" s="1350"/>
      <c r="G710" s="1350"/>
      <c r="H710" s="1350"/>
      <c r="I710" s="1350"/>
      <c r="J710" s="1350"/>
      <c r="K710" s="1350"/>
      <c r="L710" s="1350"/>
      <c r="M710" s="1350"/>
      <c r="N710" s="1350"/>
      <c r="O710" s="1350"/>
      <c r="P710" s="1354"/>
      <c r="Q710" s="1355"/>
      <c r="R710" s="1355"/>
      <c r="S710" s="1350"/>
      <c r="T710" s="1349"/>
      <c r="U710" s="1348"/>
      <c r="V710" s="1348"/>
      <c r="W710" s="1349"/>
      <c r="X710" s="1350"/>
      <c r="Y710" s="1350"/>
      <c r="Z710" s="1349"/>
      <c r="AA710" s="1351"/>
      <c r="AB710" s="1350"/>
      <c r="AC710" s="1350"/>
      <c r="AD710" s="1350"/>
      <c r="AE710" s="1350"/>
      <c r="AF710" s="1350"/>
      <c r="AG710" s="1350"/>
      <c r="AH710" s="1350"/>
      <c r="AI710" s="1350"/>
      <c r="AJ710" s="1350"/>
      <c r="AK710" s="1350"/>
    </row>
    <row r="711">
      <c r="A711" s="1350"/>
      <c r="B711" s="1350"/>
      <c r="C711" s="1350"/>
      <c r="D711" s="1350"/>
      <c r="E711" s="1350"/>
      <c r="F711" s="1350"/>
      <c r="G711" s="1350"/>
      <c r="H711" s="1350"/>
      <c r="I711" s="1350"/>
      <c r="J711" s="1350"/>
      <c r="K711" s="1350"/>
      <c r="L711" s="1350"/>
      <c r="M711" s="1350"/>
      <c r="N711" s="1350"/>
      <c r="O711" s="1350"/>
      <c r="P711" s="1354"/>
      <c r="Q711" s="1355"/>
      <c r="R711" s="1355"/>
      <c r="S711" s="1350"/>
      <c r="T711" s="1349"/>
      <c r="U711" s="1348"/>
      <c r="V711" s="1348"/>
      <c r="W711" s="1349"/>
      <c r="X711" s="1350"/>
      <c r="Y711" s="1350"/>
      <c r="Z711" s="1349"/>
      <c r="AA711" s="1351"/>
      <c r="AB711" s="1350"/>
      <c r="AC711" s="1350"/>
      <c r="AD711" s="1350"/>
      <c r="AE711" s="1350"/>
      <c r="AF711" s="1350"/>
      <c r="AG711" s="1350"/>
      <c r="AH711" s="1350"/>
      <c r="AI711" s="1350"/>
      <c r="AJ711" s="1350"/>
      <c r="AK711" s="1350"/>
    </row>
    <row r="712">
      <c r="A712" s="1350"/>
      <c r="B712" s="1350"/>
      <c r="C712" s="1350"/>
      <c r="D712" s="1350"/>
      <c r="E712" s="1350"/>
      <c r="F712" s="1350"/>
      <c r="G712" s="1350"/>
      <c r="H712" s="1350"/>
      <c r="I712" s="1350"/>
      <c r="J712" s="1350"/>
      <c r="K712" s="1350"/>
      <c r="L712" s="1350"/>
      <c r="M712" s="1350"/>
      <c r="N712" s="1350"/>
      <c r="O712" s="1350"/>
      <c r="P712" s="1354"/>
      <c r="Q712" s="1355"/>
      <c r="R712" s="1355"/>
      <c r="S712" s="1350"/>
      <c r="T712" s="1349"/>
      <c r="U712" s="1348"/>
      <c r="V712" s="1348"/>
      <c r="W712" s="1349"/>
      <c r="X712" s="1350"/>
      <c r="Y712" s="1350"/>
      <c r="Z712" s="1349"/>
      <c r="AA712" s="1351"/>
      <c r="AB712" s="1350"/>
      <c r="AC712" s="1350"/>
      <c r="AD712" s="1350"/>
      <c r="AE712" s="1350"/>
      <c r="AF712" s="1350"/>
      <c r="AG712" s="1350"/>
      <c r="AH712" s="1350"/>
      <c r="AI712" s="1350"/>
      <c r="AJ712" s="1350"/>
      <c r="AK712" s="1350"/>
    </row>
    <row r="713">
      <c r="A713" s="1350"/>
      <c r="B713" s="1350"/>
      <c r="C713" s="1350"/>
      <c r="D713" s="1350"/>
      <c r="E713" s="1350"/>
      <c r="F713" s="1350"/>
      <c r="G713" s="1350"/>
      <c r="H713" s="1350"/>
      <c r="I713" s="1350"/>
      <c r="J713" s="1350"/>
      <c r="K713" s="1350"/>
      <c r="L713" s="1350"/>
      <c r="M713" s="1350"/>
      <c r="N713" s="1350"/>
      <c r="O713" s="1350"/>
      <c r="P713" s="1354"/>
      <c r="Q713" s="1355"/>
      <c r="R713" s="1355"/>
      <c r="S713" s="1350"/>
      <c r="T713" s="1349"/>
      <c r="U713" s="1348"/>
      <c r="V713" s="1348"/>
      <c r="W713" s="1349"/>
      <c r="X713" s="1350"/>
      <c r="Y713" s="1350"/>
      <c r="Z713" s="1349"/>
      <c r="AA713" s="1351"/>
      <c r="AB713" s="1350"/>
      <c r="AC713" s="1350"/>
      <c r="AD713" s="1350"/>
      <c r="AE713" s="1350"/>
      <c r="AF713" s="1350"/>
      <c r="AG713" s="1350"/>
      <c r="AH713" s="1350"/>
      <c r="AI713" s="1350"/>
      <c r="AJ713" s="1350"/>
      <c r="AK713" s="1350"/>
    </row>
    <row r="714">
      <c r="A714" s="1350"/>
      <c r="B714" s="1350"/>
      <c r="C714" s="1350"/>
      <c r="D714" s="1350"/>
      <c r="E714" s="1350"/>
      <c r="F714" s="1350"/>
      <c r="G714" s="1350"/>
      <c r="H714" s="1350"/>
      <c r="I714" s="1350"/>
      <c r="J714" s="1350"/>
      <c r="K714" s="1350"/>
      <c r="L714" s="1350"/>
      <c r="M714" s="1350"/>
      <c r="N714" s="1350"/>
      <c r="O714" s="1350"/>
      <c r="P714" s="1354"/>
      <c r="Q714" s="1355"/>
      <c r="R714" s="1355"/>
      <c r="S714" s="1350"/>
      <c r="T714" s="1349"/>
      <c r="U714" s="1348"/>
      <c r="V714" s="1348"/>
      <c r="W714" s="1349"/>
      <c r="X714" s="1350"/>
      <c r="Y714" s="1350"/>
      <c r="Z714" s="1349"/>
      <c r="AA714" s="1351"/>
      <c r="AB714" s="1350"/>
      <c r="AC714" s="1350"/>
      <c r="AD714" s="1350"/>
      <c r="AE714" s="1350"/>
      <c r="AF714" s="1350"/>
      <c r="AG714" s="1350"/>
      <c r="AH714" s="1350"/>
      <c r="AI714" s="1350"/>
      <c r="AJ714" s="1350"/>
      <c r="AK714" s="1350"/>
    </row>
    <row r="715">
      <c r="A715" s="1350"/>
      <c r="B715" s="1350"/>
      <c r="C715" s="1350"/>
      <c r="D715" s="1350"/>
      <c r="E715" s="1350"/>
      <c r="F715" s="1350"/>
      <c r="G715" s="1350"/>
      <c r="H715" s="1350"/>
      <c r="I715" s="1350"/>
      <c r="J715" s="1350"/>
      <c r="K715" s="1350"/>
      <c r="L715" s="1350"/>
      <c r="M715" s="1350"/>
      <c r="N715" s="1350"/>
      <c r="O715" s="1350"/>
      <c r="P715" s="1354"/>
      <c r="Q715" s="1355"/>
      <c r="R715" s="1355"/>
      <c r="S715" s="1350"/>
      <c r="T715" s="1349"/>
      <c r="U715" s="1348"/>
      <c r="V715" s="1348"/>
      <c r="W715" s="1349"/>
      <c r="X715" s="1350"/>
      <c r="Y715" s="1350"/>
      <c r="Z715" s="1349"/>
      <c r="AA715" s="1351"/>
      <c r="AB715" s="1350"/>
      <c r="AC715" s="1350"/>
      <c r="AD715" s="1350"/>
      <c r="AE715" s="1350"/>
      <c r="AF715" s="1350"/>
      <c r="AG715" s="1350"/>
      <c r="AH715" s="1350"/>
      <c r="AI715" s="1350"/>
      <c r="AJ715" s="1350"/>
      <c r="AK715" s="1350"/>
    </row>
    <row r="716">
      <c r="A716" s="1350"/>
      <c r="B716" s="1350"/>
      <c r="C716" s="1350"/>
      <c r="D716" s="1350"/>
      <c r="E716" s="1350"/>
      <c r="F716" s="1350"/>
      <c r="G716" s="1350"/>
      <c r="H716" s="1350"/>
      <c r="I716" s="1350"/>
      <c r="J716" s="1350"/>
      <c r="K716" s="1350"/>
      <c r="L716" s="1350"/>
      <c r="M716" s="1350"/>
      <c r="N716" s="1350"/>
      <c r="O716" s="1350"/>
      <c r="P716" s="1354"/>
      <c r="Q716" s="1355"/>
      <c r="R716" s="1355"/>
      <c r="S716" s="1350"/>
      <c r="T716" s="1349"/>
      <c r="U716" s="1348"/>
      <c r="V716" s="1348"/>
      <c r="W716" s="1349"/>
      <c r="X716" s="1350"/>
      <c r="Y716" s="1350"/>
      <c r="Z716" s="1349"/>
      <c r="AA716" s="1351"/>
      <c r="AB716" s="1350"/>
      <c r="AC716" s="1350"/>
      <c r="AD716" s="1350"/>
      <c r="AE716" s="1350"/>
      <c r="AF716" s="1350"/>
      <c r="AG716" s="1350"/>
      <c r="AH716" s="1350"/>
      <c r="AI716" s="1350"/>
      <c r="AJ716" s="1350"/>
      <c r="AK716" s="1350"/>
    </row>
    <row r="717">
      <c r="A717" s="1350"/>
      <c r="B717" s="1350"/>
      <c r="C717" s="1350"/>
      <c r="D717" s="1350"/>
      <c r="E717" s="1350"/>
      <c r="F717" s="1350"/>
      <c r="G717" s="1350"/>
      <c r="H717" s="1350"/>
      <c r="I717" s="1350"/>
      <c r="J717" s="1350"/>
      <c r="K717" s="1350"/>
      <c r="L717" s="1350"/>
      <c r="M717" s="1350"/>
      <c r="N717" s="1350"/>
      <c r="O717" s="1350"/>
      <c r="P717" s="1354"/>
      <c r="Q717" s="1355"/>
      <c r="R717" s="1355"/>
      <c r="S717" s="1350"/>
      <c r="T717" s="1349"/>
      <c r="U717" s="1348"/>
      <c r="V717" s="1348"/>
      <c r="W717" s="1349"/>
      <c r="X717" s="1350"/>
      <c r="Y717" s="1350"/>
      <c r="Z717" s="1349"/>
      <c r="AA717" s="1351"/>
      <c r="AB717" s="1350"/>
      <c r="AC717" s="1350"/>
      <c r="AD717" s="1350"/>
      <c r="AE717" s="1350"/>
      <c r="AF717" s="1350"/>
      <c r="AG717" s="1350"/>
      <c r="AH717" s="1350"/>
      <c r="AI717" s="1350"/>
      <c r="AJ717" s="1350"/>
      <c r="AK717" s="1350"/>
    </row>
    <row r="718">
      <c r="A718" s="1350"/>
      <c r="B718" s="1350"/>
      <c r="C718" s="1350"/>
      <c r="D718" s="1350"/>
      <c r="E718" s="1350"/>
      <c r="F718" s="1350"/>
      <c r="G718" s="1350"/>
      <c r="H718" s="1350"/>
      <c r="I718" s="1350"/>
      <c r="J718" s="1350"/>
      <c r="K718" s="1350"/>
      <c r="L718" s="1350"/>
      <c r="M718" s="1350"/>
      <c r="N718" s="1350"/>
      <c r="O718" s="1350"/>
      <c r="P718" s="1354"/>
      <c r="Q718" s="1355"/>
      <c r="R718" s="1355"/>
      <c r="S718" s="1350"/>
      <c r="T718" s="1349"/>
      <c r="U718" s="1348"/>
      <c r="V718" s="1348"/>
      <c r="W718" s="1349"/>
      <c r="X718" s="1350"/>
      <c r="Y718" s="1350"/>
      <c r="Z718" s="1349"/>
      <c r="AA718" s="1351"/>
      <c r="AB718" s="1350"/>
      <c r="AC718" s="1350"/>
      <c r="AD718" s="1350"/>
      <c r="AE718" s="1350"/>
      <c r="AF718" s="1350"/>
      <c r="AG718" s="1350"/>
      <c r="AH718" s="1350"/>
      <c r="AI718" s="1350"/>
      <c r="AJ718" s="1350"/>
      <c r="AK718" s="1350"/>
    </row>
    <row r="719">
      <c r="A719" s="1350"/>
      <c r="B719" s="1350"/>
      <c r="C719" s="1350"/>
      <c r="D719" s="1350"/>
      <c r="E719" s="1350"/>
      <c r="F719" s="1350"/>
      <c r="G719" s="1350"/>
      <c r="H719" s="1350"/>
      <c r="I719" s="1350"/>
      <c r="J719" s="1350"/>
      <c r="K719" s="1350"/>
      <c r="L719" s="1350"/>
      <c r="M719" s="1350"/>
      <c r="N719" s="1350"/>
      <c r="O719" s="1350"/>
      <c r="P719" s="1354"/>
      <c r="Q719" s="1355"/>
      <c r="R719" s="1355"/>
      <c r="S719" s="1350"/>
      <c r="T719" s="1349"/>
      <c r="U719" s="1348"/>
      <c r="V719" s="1348"/>
      <c r="W719" s="1349"/>
      <c r="X719" s="1350"/>
      <c r="Y719" s="1350"/>
      <c r="Z719" s="1349"/>
      <c r="AA719" s="1351"/>
      <c r="AB719" s="1350"/>
      <c r="AC719" s="1350"/>
      <c r="AD719" s="1350"/>
      <c r="AE719" s="1350"/>
      <c r="AF719" s="1350"/>
      <c r="AG719" s="1350"/>
      <c r="AH719" s="1350"/>
      <c r="AI719" s="1350"/>
      <c r="AJ719" s="1350"/>
      <c r="AK719" s="1350"/>
    </row>
    <row r="720">
      <c r="A720" s="1350"/>
      <c r="B720" s="1350"/>
      <c r="C720" s="1350"/>
      <c r="D720" s="1350"/>
      <c r="E720" s="1350"/>
      <c r="F720" s="1350"/>
      <c r="G720" s="1350"/>
      <c r="H720" s="1350"/>
      <c r="I720" s="1350"/>
      <c r="J720" s="1350"/>
      <c r="K720" s="1350"/>
      <c r="L720" s="1350"/>
      <c r="M720" s="1350"/>
      <c r="N720" s="1350"/>
      <c r="O720" s="1350"/>
      <c r="P720" s="1354"/>
      <c r="Q720" s="1355"/>
      <c r="R720" s="1355"/>
      <c r="S720" s="1350"/>
      <c r="T720" s="1349"/>
      <c r="U720" s="1348"/>
      <c r="V720" s="1348"/>
      <c r="W720" s="1349"/>
      <c r="X720" s="1350"/>
      <c r="Y720" s="1350"/>
      <c r="Z720" s="1349"/>
      <c r="AA720" s="1351"/>
      <c r="AB720" s="1350"/>
      <c r="AC720" s="1350"/>
      <c r="AD720" s="1350"/>
      <c r="AE720" s="1350"/>
      <c r="AF720" s="1350"/>
      <c r="AG720" s="1350"/>
      <c r="AH720" s="1350"/>
      <c r="AI720" s="1350"/>
      <c r="AJ720" s="1350"/>
      <c r="AK720" s="1350"/>
    </row>
    <row r="721">
      <c r="A721" s="1350"/>
      <c r="B721" s="1350"/>
      <c r="C721" s="1350"/>
      <c r="D721" s="1350"/>
      <c r="E721" s="1350"/>
      <c r="F721" s="1350"/>
      <c r="G721" s="1350"/>
      <c r="H721" s="1350"/>
      <c r="I721" s="1350"/>
      <c r="J721" s="1350"/>
      <c r="K721" s="1350"/>
      <c r="L721" s="1350"/>
      <c r="M721" s="1350"/>
      <c r="N721" s="1350"/>
      <c r="O721" s="1350"/>
      <c r="P721" s="1354"/>
      <c r="Q721" s="1355"/>
      <c r="R721" s="1355"/>
      <c r="S721" s="1350"/>
      <c r="T721" s="1349"/>
      <c r="U721" s="1348"/>
      <c r="V721" s="1348"/>
      <c r="W721" s="1349"/>
      <c r="X721" s="1350"/>
      <c r="Y721" s="1350"/>
      <c r="Z721" s="1349"/>
      <c r="AA721" s="1351"/>
      <c r="AB721" s="1350"/>
      <c r="AC721" s="1350"/>
      <c r="AD721" s="1350"/>
      <c r="AE721" s="1350"/>
      <c r="AF721" s="1350"/>
      <c r="AG721" s="1350"/>
      <c r="AH721" s="1350"/>
      <c r="AI721" s="1350"/>
      <c r="AJ721" s="1350"/>
      <c r="AK721" s="1350"/>
    </row>
    <row r="722">
      <c r="A722" s="1350"/>
      <c r="B722" s="1350"/>
      <c r="C722" s="1350"/>
      <c r="D722" s="1350"/>
      <c r="E722" s="1350"/>
      <c r="F722" s="1350"/>
      <c r="G722" s="1350"/>
      <c r="H722" s="1350"/>
      <c r="I722" s="1350"/>
      <c r="J722" s="1350"/>
      <c r="K722" s="1350"/>
      <c r="L722" s="1350"/>
      <c r="M722" s="1350"/>
      <c r="N722" s="1350"/>
      <c r="O722" s="1350"/>
      <c r="P722" s="1354"/>
      <c r="Q722" s="1355"/>
      <c r="R722" s="1355"/>
      <c r="S722" s="1350"/>
      <c r="T722" s="1349"/>
      <c r="U722" s="1348"/>
      <c r="V722" s="1348"/>
      <c r="W722" s="1349"/>
      <c r="X722" s="1350"/>
      <c r="Y722" s="1350"/>
      <c r="Z722" s="1349"/>
      <c r="AA722" s="1351"/>
      <c r="AB722" s="1350"/>
      <c r="AC722" s="1350"/>
      <c r="AD722" s="1350"/>
      <c r="AE722" s="1350"/>
      <c r="AF722" s="1350"/>
      <c r="AG722" s="1350"/>
      <c r="AH722" s="1350"/>
      <c r="AI722" s="1350"/>
      <c r="AJ722" s="1350"/>
      <c r="AK722" s="1350"/>
    </row>
    <row r="723">
      <c r="A723" s="1350"/>
      <c r="B723" s="1350"/>
      <c r="C723" s="1350"/>
      <c r="D723" s="1350"/>
      <c r="E723" s="1350"/>
      <c r="F723" s="1350"/>
      <c r="G723" s="1350"/>
      <c r="H723" s="1350"/>
      <c r="I723" s="1350"/>
      <c r="J723" s="1350"/>
      <c r="K723" s="1350"/>
      <c r="L723" s="1350"/>
      <c r="M723" s="1350"/>
      <c r="N723" s="1350"/>
      <c r="O723" s="1350"/>
      <c r="P723" s="1354"/>
      <c r="Q723" s="1355"/>
      <c r="R723" s="1355"/>
      <c r="S723" s="1350"/>
      <c r="T723" s="1349"/>
      <c r="U723" s="1348"/>
      <c r="V723" s="1348"/>
      <c r="W723" s="1349"/>
      <c r="X723" s="1350"/>
      <c r="Y723" s="1350"/>
      <c r="Z723" s="1349"/>
      <c r="AA723" s="1351"/>
      <c r="AB723" s="1350"/>
      <c r="AC723" s="1350"/>
      <c r="AD723" s="1350"/>
      <c r="AE723" s="1350"/>
      <c r="AF723" s="1350"/>
      <c r="AG723" s="1350"/>
      <c r="AH723" s="1350"/>
      <c r="AI723" s="1350"/>
      <c r="AJ723" s="1350"/>
      <c r="AK723" s="1350"/>
    </row>
    <row r="724">
      <c r="A724" s="1350"/>
      <c r="B724" s="1350"/>
      <c r="C724" s="1350"/>
      <c r="D724" s="1350"/>
      <c r="E724" s="1350"/>
      <c r="F724" s="1350"/>
      <c r="G724" s="1350"/>
      <c r="H724" s="1350"/>
      <c r="I724" s="1350"/>
      <c r="J724" s="1350"/>
      <c r="K724" s="1350"/>
      <c r="L724" s="1350"/>
      <c r="M724" s="1350"/>
      <c r="N724" s="1350"/>
      <c r="O724" s="1350"/>
      <c r="P724" s="1354"/>
      <c r="Q724" s="1355"/>
      <c r="R724" s="1355"/>
      <c r="S724" s="1350"/>
      <c r="T724" s="1349"/>
      <c r="U724" s="1348"/>
      <c r="V724" s="1348"/>
      <c r="W724" s="1349"/>
      <c r="X724" s="1350"/>
      <c r="Y724" s="1350"/>
      <c r="Z724" s="1349"/>
      <c r="AA724" s="1351"/>
      <c r="AB724" s="1350"/>
      <c r="AC724" s="1350"/>
      <c r="AD724" s="1350"/>
      <c r="AE724" s="1350"/>
      <c r="AF724" s="1350"/>
      <c r="AG724" s="1350"/>
      <c r="AH724" s="1350"/>
      <c r="AI724" s="1350"/>
      <c r="AJ724" s="1350"/>
      <c r="AK724" s="1350"/>
    </row>
    <row r="725">
      <c r="A725" s="1350"/>
      <c r="B725" s="1350"/>
      <c r="C725" s="1350"/>
      <c r="D725" s="1350"/>
      <c r="E725" s="1350"/>
      <c r="F725" s="1350"/>
      <c r="G725" s="1350"/>
      <c r="H725" s="1350"/>
      <c r="I725" s="1350"/>
      <c r="J725" s="1350"/>
      <c r="K725" s="1350"/>
      <c r="L725" s="1350"/>
      <c r="M725" s="1350"/>
      <c r="N725" s="1350"/>
      <c r="O725" s="1350"/>
      <c r="P725" s="1354"/>
      <c r="Q725" s="1355"/>
      <c r="R725" s="1355"/>
      <c r="S725" s="1350"/>
      <c r="T725" s="1349"/>
      <c r="U725" s="1348"/>
      <c r="V725" s="1348"/>
      <c r="W725" s="1349"/>
      <c r="X725" s="1350"/>
      <c r="Y725" s="1350"/>
      <c r="Z725" s="1349"/>
      <c r="AA725" s="1351"/>
      <c r="AB725" s="1350"/>
      <c r="AC725" s="1350"/>
      <c r="AD725" s="1350"/>
      <c r="AE725" s="1350"/>
      <c r="AF725" s="1350"/>
      <c r="AG725" s="1350"/>
      <c r="AH725" s="1350"/>
      <c r="AI725" s="1350"/>
      <c r="AJ725" s="1350"/>
      <c r="AK725" s="1350"/>
    </row>
    <row r="726">
      <c r="A726" s="1350"/>
      <c r="B726" s="1350"/>
      <c r="C726" s="1350"/>
      <c r="D726" s="1350"/>
      <c r="E726" s="1350"/>
      <c r="F726" s="1350"/>
      <c r="G726" s="1350"/>
      <c r="H726" s="1350"/>
      <c r="I726" s="1350"/>
      <c r="J726" s="1350"/>
      <c r="K726" s="1350"/>
      <c r="L726" s="1350"/>
      <c r="M726" s="1350"/>
      <c r="N726" s="1350"/>
      <c r="O726" s="1350"/>
      <c r="P726" s="1354"/>
      <c r="Q726" s="1355"/>
      <c r="R726" s="1355"/>
      <c r="S726" s="1350"/>
      <c r="T726" s="1349"/>
      <c r="U726" s="1348"/>
      <c r="V726" s="1348"/>
      <c r="W726" s="1349"/>
      <c r="X726" s="1350"/>
      <c r="Y726" s="1350"/>
      <c r="Z726" s="1349"/>
      <c r="AA726" s="1351"/>
      <c r="AB726" s="1350"/>
      <c r="AC726" s="1350"/>
      <c r="AD726" s="1350"/>
      <c r="AE726" s="1350"/>
      <c r="AF726" s="1350"/>
      <c r="AG726" s="1350"/>
      <c r="AH726" s="1350"/>
      <c r="AI726" s="1350"/>
      <c r="AJ726" s="1350"/>
      <c r="AK726" s="1350"/>
    </row>
    <row r="727">
      <c r="A727" s="1350"/>
      <c r="B727" s="1350"/>
      <c r="C727" s="1350"/>
      <c r="D727" s="1350"/>
      <c r="E727" s="1350"/>
      <c r="F727" s="1350"/>
      <c r="G727" s="1350"/>
      <c r="H727" s="1350"/>
      <c r="I727" s="1350"/>
      <c r="J727" s="1350"/>
      <c r="K727" s="1350"/>
      <c r="L727" s="1350"/>
      <c r="M727" s="1350"/>
      <c r="N727" s="1350"/>
      <c r="O727" s="1350"/>
      <c r="P727" s="1354"/>
      <c r="Q727" s="1355"/>
      <c r="R727" s="1355"/>
      <c r="S727" s="1350"/>
      <c r="T727" s="1349"/>
      <c r="U727" s="1348"/>
      <c r="V727" s="1348"/>
      <c r="W727" s="1349"/>
      <c r="X727" s="1350"/>
      <c r="Y727" s="1350"/>
      <c r="Z727" s="1349"/>
      <c r="AA727" s="1351"/>
      <c r="AB727" s="1350"/>
      <c r="AC727" s="1350"/>
      <c r="AD727" s="1350"/>
      <c r="AE727" s="1350"/>
      <c r="AF727" s="1350"/>
      <c r="AG727" s="1350"/>
      <c r="AH727" s="1350"/>
      <c r="AI727" s="1350"/>
      <c r="AJ727" s="1350"/>
      <c r="AK727" s="1350"/>
    </row>
    <row r="728">
      <c r="A728" s="1350"/>
      <c r="B728" s="1350"/>
      <c r="C728" s="1350"/>
      <c r="D728" s="1350"/>
      <c r="E728" s="1350"/>
      <c r="F728" s="1350"/>
      <c r="G728" s="1350"/>
      <c r="H728" s="1350"/>
      <c r="I728" s="1350"/>
      <c r="J728" s="1350"/>
      <c r="K728" s="1350"/>
      <c r="L728" s="1350"/>
      <c r="M728" s="1350"/>
      <c r="N728" s="1350"/>
      <c r="O728" s="1350"/>
      <c r="P728" s="1354"/>
      <c r="Q728" s="1355"/>
      <c r="R728" s="1355"/>
      <c r="S728" s="1350"/>
      <c r="T728" s="1349"/>
      <c r="U728" s="1348"/>
      <c r="V728" s="1348"/>
      <c r="W728" s="1349"/>
      <c r="X728" s="1350"/>
      <c r="Y728" s="1350"/>
      <c r="Z728" s="1349"/>
      <c r="AA728" s="1351"/>
      <c r="AB728" s="1350"/>
      <c r="AC728" s="1350"/>
      <c r="AD728" s="1350"/>
      <c r="AE728" s="1350"/>
      <c r="AF728" s="1350"/>
      <c r="AG728" s="1350"/>
      <c r="AH728" s="1350"/>
      <c r="AI728" s="1350"/>
      <c r="AJ728" s="1350"/>
      <c r="AK728" s="1350"/>
    </row>
    <row r="729">
      <c r="A729" s="1350"/>
      <c r="B729" s="1350"/>
      <c r="C729" s="1350"/>
      <c r="D729" s="1350"/>
      <c r="E729" s="1350"/>
      <c r="F729" s="1350"/>
      <c r="G729" s="1350"/>
      <c r="H729" s="1350"/>
      <c r="I729" s="1350"/>
      <c r="J729" s="1350"/>
      <c r="K729" s="1350"/>
      <c r="L729" s="1350"/>
      <c r="M729" s="1350"/>
      <c r="N729" s="1350"/>
      <c r="O729" s="1350"/>
      <c r="P729" s="1354"/>
      <c r="Q729" s="1355"/>
      <c r="R729" s="1355"/>
      <c r="S729" s="1350"/>
      <c r="T729" s="1349"/>
      <c r="U729" s="1348"/>
      <c r="V729" s="1348"/>
      <c r="W729" s="1349"/>
      <c r="X729" s="1350"/>
      <c r="Y729" s="1350"/>
      <c r="Z729" s="1349"/>
      <c r="AA729" s="1351"/>
      <c r="AB729" s="1350"/>
      <c r="AC729" s="1350"/>
      <c r="AD729" s="1350"/>
      <c r="AE729" s="1350"/>
      <c r="AF729" s="1350"/>
      <c r="AG729" s="1350"/>
      <c r="AH729" s="1350"/>
      <c r="AI729" s="1350"/>
      <c r="AJ729" s="1350"/>
      <c r="AK729" s="1350"/>
    </row>
    <row r="730">
      <c r="A730" s="1350"/>
      <c r="B730" s="1350"/>
      <c r="C730" s="1350"/>
      <c r="D730" s="1350"/>
      <c r="E730" s="1350"/>
      <c r="F730" s="1350"/>
      <c r="G730" s="1350"/>
      <c r="H730" s="1350"/>
      <c r="I730" s="1350"/>
      <c r="J730" s="1350"/>
      <c r="K730" s="1350"/>
      <c r="L730" s="1350"/>
      <c r="M730" s="1350"/>
      <c r="N730" s="1350"/>
      <c r="O730" s="1350"/>
      <c r="P730" s="1354"/>
      <c r="Q730" s="1355"/>
      <c r="R730" s="1355"/>
      <c r="S730" s="1350"/>
      <c r="T730" s="1349"/>
      <c r="U730" s="1348"/>
      <c r="V730" s="1348"/>
      <c r="W730" s="1349"/>
      <c r="X730" s="1350"/>
      <c r="Y730" s="1350"/>
      <c r="Z730" s="1349"/>
      <c r="AA730" s="1351"/>
      <c r="AB730" s="1350"/>
      <c r="AC730" s="1350"/>
      <c r="AD730" s="1350"/>
      <c r="AE730" s="1350"/>
      <c r="AF730" s="1350"/>
      <c r="AG730" s="1350"/>
      <c r="AH730" s="1350"/>
      <c r="AI730" s="1350"/>
      <c r="AJ730" s="1350"/>
      <c r="AK730" s="1350"/>
    </row>
    <row r="731">
      <c r="A731" s="1350"/>
      <c r="B731" s="1350"/>
      <c r="C731" s="1350"/>
      <c r="D731" s="1350"/>
      <c r="E731" s="1350"/>
      <c r="F731" s="1350"/>
      <c r="G731" s="1350"/>
      <c r="H731" s="1350"/>
      <c r="I731" s="1350"/>
      <c r="J731" s="1350"/>
      <c r="K731" s="1350"/>
      <c r="L731" s="1350"/>
      <c r="M731" s="1350"/>
      <c r="N731" s="1350"/>
      <c r="O731" s="1350"/>
      <c r="P731" s="1354"/>
      <c r="Q731" s="1355"/>
      <c r="R731" s="1355"/>
      <c r="S731" s="1350"/>
      <c r="T731" s="1349"/>
      <c r="U731" s="1348"/>
      <c r="V731" s="1348"/>
      <c r="W731" s="1349"/>
      <c r="X731" s="1350"/>
      <c r="Y731" s="1350"/>
      <c r="Z731" s="1349"/>
      <c r="AA731" s="1351"/>
      <c r="AB731" s="1350"/>
      <c r="AC731" s="1350"/>
      <c r="AD731" s="1350"/>
      <c r="AE731" s="1350"/>
      <c r="AF731" s="1350"/>
      <c r="AG731" s="1350"/>
      <c r="AH731" s="1350"/>
      <c r="AI731" s="1350"/>
      <c r="AJ731" s="1350"/>
      <c r="AK731" s="1350"/>
    </row>
    <row r="732">
      <c r="A732" s="1350"/>
      <c r="B732" s="1350"/>
      <c r="C732" s="1350"/>
      <c r="D732" s="1350"/>
      <c r="E732" s="1350"/>
      <c r="F732" s="1350"/>
      <c r="G732" s="1350"/>
      <c r="H732" s="1350"/>
      <c r="I732" s="1350"/>
      <c r="J732" s="1350"/>
      <c r="K732" s="1350"/>
      <c r="L732" s="1350"/>
      <c r="M732" s="1350"/>
      <c r="N732" s="1350"/>
      <c r="O732" s="1350"/>
      <c r="P732" s="1354"/>
      <c r="Q732" s="1355"/>
      <c r="R732" s="1355"/>
      <c r="S732" s="1350"/>
      <c r="T732" s="1349"/>
      <c r="U732" s="1348"/>
      <c r="V732" s="1348"/>
      <c r="W732" s="1349"/>
      <c r="X732" s="1350"/>
      <c r="Y732" s="1350"/>
      <c r="Z732" s="1349"/>
      <c r="AA732" s="1351"/>
      <c r="AB732" s="1350"/>
      <c r="AC732" s="1350"/>
      <c r="AD732" s="1350"/>
      <c r="AE732" s="1350"/>
      <c r="AF732" s="1350"/>
      <c r="AG732" s="1350"/>
      <c r="AH732" s="1350"/>
      <c r="AI732" s="1350"/>
      <c r="AJ732" s="1350"/>
      <c r="AK732" s="1350"/>
    </row>
    <row r="733">
      <c r="A733" s="1350"/>
      <c r="B733" s="1350"/>
      <c r="C733" s="1350"/>
      <c r="D733" s="1350"/>
      <c r="E733" s="1350"/>
      <c r="F733" s="1350"/>
      <c r="G733" s="1350"/>
      <c r="H733" s="1350"/>
      <c r="I733" s="1350"/>
      <c r="J733" s="1350"/>
      <c r="K733" s="1350"/>
      <c r="L733" s="1350"/>
      <c r="M733" s="1350"/>
      <c r="N733" s="1350"/>
      <c r="O733" s="1350"/>
      <c r="P733" s="1354"/>
      <c r="Q733" s="1355"/>
      <c r="R733" s="1355"/>
      <c r="S733" s="1350"/>
      <c r="T733" s="1349"/>
      <c r="U733" s="1348"/>
      <c r="V733" s="1348"/>
      <c r="W733" s="1349"/>
      <c r="X733" s="1350"/>
      <c r="Y733" s="1350"/>
      <c r="Z733" s="1349"/>
      <c r="AA733" s="1351"/>
      <c r="AB733" s="1350"/>
      <c r="AC733" s="1350"/>
      <c r="AD733" s="1350"/>
      <c r="AE733" s="1350"/>
      <c r="AF733" s="1350"/>
      <c r="AG733" s="1350"/>
      <c r="AH733" s="1350"/>
      <c r="AI733" s="1350"/>
      <c r="AJ733" s="1350"/>
      <c r="AK733" s="1350"/>
    </row>
    <row r="734">
      <c r="A734" s="1350"/>
      <c r="B734" s="1350"/>
      <c r="C734" s="1350"/>
      <c r="D734" s="1350"/>
      <c r="E734" s="1350"/>
      <c r="F734" s="1350"/>
      <c r="G734" s="1350"/>
      <c r="H734" s="1350"/>
      <c r="I734" s="1350"/>
      <c r="J734" s="1350"/>
      <c r="K734" s="1350"/>
      <c r="L734" s="1350"/>
      <c r="M734" s="1350"/>
      <c r="N734" s="1350"/>
      <c r="O734" s="1350"/>
      <c r="P734" s="1354"/>
      <c r="Q734" s="1355"/>
      <c r="R734" s="1355"/>
      <c r="S734" s="1350"/>
      <c r="T734" s="1349"/>
      <c r="U734" s="1348"/>
      <c r="V734" s="1348"/>
      <c r="W734" s="1349"/>
      <c r="X734" s="1350"/>
      <c r="Y734" s="1350"/>
      <c r="Z734" s="1349"/>
      <c r="AA734" s="1351"/>
      <c r="AB734" s="1350"/>
      <c r="AC734" s="1350"/>
      <c r="AD734" s="1350"/>
      <c r="AE734" s="1350"/>
      <c r="AF734" s="1350"/>
      <c r="AG734" s="1350"/>
      <c r="AH734" s="1350"/>
      <c r="AI734" s="1350"/>
      <c r="AJ734" s="1350"/>
      <c r="AK734" s="1350"/>
    </row>
    <row r="735">
      <c r="A735" s="1350"/>
      <c r="B735" s="1350"/>
      <c r="C735" s="1350"/>
      <c r="D735" s="1350"/>
      <c r="E735" s="1350"/>
      <c r="F735" s="1350"/>
      <c r="G735" s="1350"/>
      <c r="H735" s="1350"/>
      <c r="I735" s="1350"/>
      <c r="J735" s="1350"/>
      <c r="K735" s="1350"/>
      <c r="L735" s="1350"/>
      <c r="M735" s="1350"/>
      <c r="N735" s="1350"/>
      <c r="O735" s="1350"/>
      <c r="P735" s="1354"/>
      <c r="Q735" s="1355"/>
      <c r="R735" s="1355"/>
      <c r="S735" s="1350"/>
      <c r="T735" s="1349"/>
      <c r="U735" s="1348"/>
      <c r="V735" s="1348"/>
      <c r="W735" s="1349"/>
      <c r="X735" s="1350"/>
      <c r="Y735" s="1350"/>
      <c r="Z735" s="1349"/>
      <c r="AA735" s="1351"/>
      <c r="AB735" s="1350"/>
      <c r="AC735" s="1350"/>
      <c r="AD735" s="1350"/>
      <c r="AE735" s="1350"/>
      <c r="AF735" s="1350"/>
      <c r="AG735" s="1350"/>
      <c r="AH735" s="1350"/>
      <c r="AI735" s="1350"/>
      <c r="AJ735" s="1350"/>
      <c r="AK735" s="1350"/>
    </row>
    <row r="736">
      <c r="A736" s="1350"/>
      <c r="B736" s="1350"/>
      <c r="C736" s="1350"/>
      <c r="D736" s="1350"/>
      <c r="E736" s="1350"/>
      <c r="F736" s="1350"/>
      <c r="G736" s="1350"/>
      <c r="H736" s="1350"/>
      <c r="I736" s="1350"/>
      <c r="J736" s="1350"/>
      <c r="K736" s="1350"/>
      <c r="L736" s="1350"/>
      <c r="M736" s="1350"/>
      <c r="N736" s="1350"/>
      <c r="O736" s="1350"/>
      <c r="P736" s="1354"/>
      <c r="Q736" s="1355"/>
      <c r="R736" s="1355"/>
      <c r="S736" s="1350"/>
      <c r="T736" s="1349"/>
      <c r="U736" s="1348"/>
      <c r="V736" s="1348"/>
      <c r="W736" s="1349"/>
      <c r="X736" s="1350"/>
      <c r="Y736" s="1350"/>
      <c r="Z736" s="1349"/>
      <c r="AA736" s="1351"/>
      <c r="AB736" s="1350"/>
      <c r="AC736" s="1350"/>
      <c r="AD736" s="1350"/>
      <c r="AE736" s="1350"/>
      <c r="AF736" s="1350"/>
      <c r="AG736" s="1350"/>
      <c r="AH736" s="1350"/>
      <c r="AI736" s="1350"/>
      <c r="AJ736" s="1350"/>
      <c r="AK736" s="1350"/>
    </row>
    <row r="737">
      <c r="A737" s="1350"/>
      <c r="B737" s="1350"/>
      <c r="C737" s="1350"/>
      <c r="D737" s="1350"/>
      <c r="E737" s="1350"/>
      <c r="F737" s="1350"/>
      <c r="G737" s="1350"/>
      <c r="H737" s="1350"/>
      <c r="I737" s="1350"/>
      <c r="J737" s="1350"/>
      <c r="K737" s="1350"/>
      <c r="L737" s="1350"/>
      <c r="M737" s="1350"/>
      <c r="N737" s="1350"/>
      <c r="O737" s="1350"/>
      <c r="P737" s="1354"/>
      <c r="Q737" s="1355"/>
      <c r="R737" s="1355"/>
      <c r="S737" s="1350"/>
      <c r="T737" s="1349"/>
      <c r="U737" s="1348"/>
      <c r="V737" s="1348"/>
      <c r="W737" s="1349"/>
      <c r="X737" s="1350"/>
      <c r="Y737" s="1350"/>
      <c r="Z737" s="1349"/>
      <c r="AA737" s="1351"/>
      <c r="AB737" s="1350"/>
      <c r="AC737" s="1350"/>
      <c r="AD737" s="1350"/>
      <c r="AE737" s="1350"/>
      <c r="AF737" s="1350"/>
      <c r="AG737" s="1350"/>
      <c r="AH737" s="1350"/>
      <c r="AI737" s="1350"/>
      <c r="AJ737" s="1350"/>
      <c r="AK737" s="1350"/>
    </row>
    <row r="738">
      <c r="A738" s="1350"/>
      <c r="B738" s="1350"/>
      <c r="C738" s="1350"/>
      <c r="D738" s="1350"/>
      <c r="E738" s="1350"/>
      <c r="F738" s="1350"/>
      <c r="G738" s="1350"/>
      <c r="H738" s="1350"/>
      <c r="I738" s="1350"/>
      <c r="J738" s="1350"/>
      <c r="K738" s="1350"/>
      <c r="L738" s="1350"/>
      <c r="M738" s="1350"/>
      <c r="N738" s="1350"/>
      <c r="O738" s="1350"/>
      <c r="P738" s="1354"/>
      <c r="Q738" s="1355"/>
      <c r="R738" s="1355"/>
      <c r="S738" s="1350"/>
      <c r="T738" s="1349"/>
      <c r="U738" s="1348"/>
      <c r="V738" s="1348"/>
      <c r="W738" s="1349"/>
      <c r="X738" s="1350"/>
      <c r="Y738" s="1350"/>
      <c r="Z738" s="1349"/>
      <c r="AA738" s="1351"/>
      <c r="AB738" s="1350"/>
      <c r="AC738" s="1350"/>
      <c r="AD738" s="1350"/>
      <c r="AE738" s="1350"/>
      <c r="AF738" s="1350"/>
      <c r="AG738" s="1350"/>
      <c r="AH738" s="1350"/>
      <c r="AI738" s="1350"/>
      <c r="AJ738" s="1350"/>
      <c r="AK738" s="1350"/>
    </row>
    <row r="739">
      <c r="A739" s="1350"/>
      <c r="B739" s="1350"/>
      <c r="C739" s="1350"/>
      <c r="D739" s="1350"/>
      <c r="E739" s="1350"/>
      <c r="F739" s="1350"/>
      <c r="G739" s="1350"/>
      <c r="H739" s="1350"/>
      <c r="I739" s="1350"/>
      <c r="J739" s="1350"/>
      <c r="K739" s="1350"/>
      <c r="L739" s="1350"/>
      <c r="M739" s="1350"/>
      <c r="N739" s="1350"/>
      <c r="O739" s="1350"/>
      <c r="P739" s="1354"/>
      <c r="Q739" s="1355"/>
      <c r="R739" s="1355"/>
      <c r="S739" s="1350"/>
      <c r="T739" s="1349"/>
      <c r="U739" s="1348"/>
      <c r="V739" s="1348"/>
      <c r="W739" s="1349"/>
      <c r="X739" s="1350"/>
      <c r="Y739" s="1350"/>
      <c r="Z739" s="1349"/>
      <c r="AA739" s="1351"/>
      <c r="AB739" s="1350"/>
      <c r="AC739" s="1350"/>
      <c r="AD739" s="1350"/>
      <c r="AE739" s="1350"/>
      <c r="AF739" s="1350"/>
      <c r="AG739" s="1350"/>
      <c r="AH739" s="1350"/>
      <c r="AI739" s="1350"/>
      <c r="AJ739" s="1350"/>
      <c r="AK739" s="1350"/>
    </row>
    <row r="740">
      <c r="A740" s="1350"/>
      <c r="B740" s="1350"/>
      <c r="C740" s="1350"/>
      <c r="D740" s="1350"/>
      <c r="E740" s="1350"/>
      <c r="F740" s="1350"/>
      <c r="G740" s="1350"/>
      <c r="H740" s="1350"/>
      <c r="I740" s="1350"/>
      <c r="J740" s="1350"/>
      <c r="K740" s="1350"/>
      <c r="L740" s="1350"/>
      <c r="M740" s="1350"/>
      <c r="N740" s="1350"/>
      <c r="O740" s="1350"/>
      <c r="P740" s="1354"/>
      <c r="Q740" s="1355"/>
      <c r="R740" s="1355"/>
      <c r="S740" s="1350"/>
      <c r="T740" s="1349"/>
      <c r="U740" s="1348"/>
      <c r="V740" s="1348"/>
      <c r="W740" s="1349"/>
      <c r="X740" s="1350"/>
      <c r="Y740" s="1350"/>
      <c r="Z740" s="1349"/>
      <c r="AA740" s="1351"/>
      <c r="AB740" s="1350"/>
      <c r="AC740" s="1350"/>
      <c r="AD740" s="1350"/>
      <c r="AE740" s="1350"/>
      <c r="AF740" s="1350"/>
      <c r="AG740" s="1350"/>
      <c r="AH740" s="1350"/>
      <c r="AI740" s="1350"/>
      <c r="AJ740" s="1350"/>
      <c r="AK740" s="1350"/>
    </row>
    <row r="741">
      <c r="A741" s="1350"/>
      <c r="B741" s="1350"/>
      <c r="C741" s="1350"/>
      <c r="D741" s="1350"/>
      <c r="E741" s="1350"/>
      <c r="F741" s="1350"/>
      <c r="G741" s="1350"/>
      <c r="H741" s="1350"/>
      <c r="I741" s="1350"/>
      <c r="J741" s="1350"/>
      <c r="K741" s="1350"/>
      <c r="L741" s="1350"/>
      <c r="M741" s="1350"/>
      <c r="N741" s="1350"/>
      <c r="O741" s="1350"/>
      <c r="P741" s="1354"/>
      <c r="Q741" s="1355"/>
      <c r="R741" s="1355"/>
      <c r="S741" s="1350"/>
      <c r="T741" s="1349"/>
      <c r="U741" s="1348"/>
      <c r="V741" s="1348"/>
      <c r="W741" s="1349"/>
      <c r="X741" s="1350"/>
      <c r="Y741" s="1350"/>
      <c r="Z741" s="1349"/>
      <c r="AA741" s="1351"/>
      <c r="AB741" s="1350"/>
      <c r="AC741" s="1350"/>
      <c r="AD741" s="1350"/>
      <c r="AE741" s="1350"/>
      <c r="AF741" s="1350"/>
      <c r="AG741" s="1350"/>
      <c r="AH741" s="1350"/>
      <c r="AI741" s="1350"/>
      <c r="AJ741" s="1350"/>
      <c r="AK741" s="1350"/>
    </row>
    <row r="742">
      <c r="A742" s="1350"/>
      <c r="B742" s="1350"/>
      <c r="C742" s="1350"/>
      <c r="D742" s="1350"/>
      <c r="E742" s="1350"/>
      <c r="F742" s="1350"/>
      <c r="G742" s="1350"/>
      <c r="H742" s="1350"/>
      <c r="I742" s="1350"/>
      <c r="J742" s="1350"/>
      <c r="K742" s="1350"/>
      <c r="L742" s="1350"/>
      <c r="M742" s="1350"/>
      <c r="N742" s="1350"/>
      <c r="O742" s="1350"/>
      <c r="P742" s="1354"/>
      <c r="Q742" s="1355"/>
      <c r="R742" s="1355"/>
      <c r="S742" s="1350"/>
      <c r="T742" s="1349"/>
      <c r="U742" s="1348"/>
      <c r="V742" s="1348"/>
      <c r="W742" s="1349"/>
      <c r="X742" s="1350"/>
      <c r="Y742" s="1350"/>
      <c r="Z742" s="1349"/>
      <c r="AA742" s="1351"/>
      <c r="AB742" s="1350"/>
      <c r="AC742" s="1350"/>
      <c r="AD742" s="1350"/>
      <c r="AE742" s="1350"/>
      <c r="AF742" s="1350"/>
      <c r="AG742" s="1350"/>
      <c r="AH742" s="1350"/>
      <c r="AI742" s="1350"/>
      <c r="AJ742" s="1350"/>
      <c r="AK742" s="1350"/>
    </row>
    <row r="743">
      <c r="A743" s="1350"/>
      <c r="B743" s="1350"/>
      <c r="C743" s="1350"/>
      <c r="D743" s="1350"/>
      <c r="E743" s="1350"/>
      <c r="F743" s="1350"/>
      <c r="G743" s="1350"/>
      <c r="H743" s="1350"/>
      <c r="I743" s="1350"/>
      <c r="J743" s="1350"/>
      <c r="K743" s="1350"/>
      <c r="L743" s="1350"/>
      <c r="M743" s="1350"/>
      <c r="N743" s="1350"/>
      <c r="O743" s="1350"/>
      <c r="P743" s="1354"/>
      <c r="Q743" s="1355"/>
      <c r="R743" s="1355"/>
      <c r="S743" s="1350"/>
      <c r="T743" s="1349"/>
      <c r="U743" s="1348"/>
      <c r="V743" s="1348"/>
      <c r="W743" s="1349"/>
      <c r="X743" s="1350"/>
      <c r="Y743" s="1350"/>
      <c r="Z743" s="1349"/>
      <c r="AA743" s="1351"/>
      <c r="AB743" s="1350"/>
      <c r="AC743" s="1350"/>
      <c r="AD743" s="1350"/>
      <c r="AE743" s="1350"/>
      <c r="AF743" s="1350"/>
      <c r="AG743" s="1350"/>
      <c r="AH743" s="1350"/>
      <c r="AI743" s="1350"/>
      <c r="AJ743" s="1350"/>
      <c r="AK743" s="1350"/>
    </row>
    <row r="744">
      <c r="A744" s="1350"/>
      <c r="B744" s="1350"/>
      <c r="C744" s="1350"/>
      <c r="D744" s="1350"/>
      <c r="E744" s="1350"/>
      <c r="F744" s="1350"/>
      <c r="G744" s="1350"/>
      <c r="H744" s="1350"/>
      <c r="I744" s="1350"/>
      <c r="J744" s="1350"/>
      <c r="K744" s="1350"/>
      <c r="L744" s="1350"/>
      <c r="M744" s="1350"/>
      <c r="N744" s="1350"/>
      <c r="O744" s="1350"/>
      <c r="P744" s="1354"/>
      <c r="Q744" s="1355"/>
      <c r="R744" s="1355"/>
      <c r="S744" s="1350"/>
      <c r="T744" s="1349"/>
      <c r="U744" s="1348"/>
      <c r="V744" s="1348"/>
      <c r="W744" s="1349"/>
      <c r="X744" s="1350"/>
      <c r="Y744" s="1350"/>
      <c r="Z744" s="1349"/>
      <c r="AA744" s="1351"/>
      <c r="AB744" s="1350"/>
      <c r="AC744" s="1350"/>
      <c r="AD744" s="1350"/>
      <c r="AE744" s="1350"/>
      <c r="AF744" s="1350"/>
      <c r="AG744" s="1350"/>
      <c r="AH744" s="1350"/>
      <c r="AI744" s="1350"/>
      <c r="AJ744" s="1350"/>
      <c r="AK744" s="1350"/>
    </row>
    <row r="745">
      <c r="A745" s="1350"/>
      <c r="B745" s="1350"/>
      <c r="C745" s="1350"/>
      <c r="D745" s="1350"/>
      <c r="E745" s="1350"/>
      <c r="F745" s="1350"/>
      <c r="G745" s="1350"/>
      <c r="H745" s="1350"/>
      <c r="I745" s="1350"/>
      <c r="J745" s="1350"/>
      <c r="K745" s="1350"/>
      <c r="L745" s="1350"/>
      <c r="M745" s="1350"/>
      <c r="N745" s="1350"/>
      <c r="O745" s="1350"/>
      <c r="P745" s="1354"/>
      <c r="Q745" s="1355"/>
      <c r="R745" s="1355"/>
      <c r="S745" s="1350"/>
      <c r="T745" s="1349"/>
      <c r="U745" s="1348"/>
      <c r="V745" s="1348"/>
      <c r="W745" s="1349"/>
      <c r="X745" s="1350"/>
      <c r="Y745" s="1350"/>
      <c r="Z745" s="1349"/>
      <c r="AA745" s="1351"/>
      <c r="AB745" s="1350"/>
      <c r="AC745" s="1350"/>
      <c r="AD745" s="1350"/>
      <c r="AE745" s="1350"/>
      <c r="AF745" s="1350"/>
      <c r="AG745" s="1350"/>
      <c r="AH745" s="1350"/>
      <c r="AI745" s="1350"/>
      <c r="AJ745" s="1350"/>
      <c r="AK745" s="1350"/>
    </row>
    <row r="746">
      <c r="A746" s="1350"/>
      <c r="B746" s="1350"/>
      <c r="C746" s="1350"/>
      <c r="D746" s="1350"/>
      <c r="E746" s="1350"/>
      <c r="F746" s="1350"/>
      <c r="G746" s="1350"/>
      <c r="H746" s="1350"/>
      <c r="I746" s="1350"/>
      <c r="J746" s="1350"/>
      <c r="K746" s="1350"/>
      <c r="L746" s="1350"/>
      <c r="M746" s="1350"/>
      <c r="N746" s="1350"/>
      <c r="O746" s="1350"/>
      <c r="P746" s="1354"/>
      <c r="Q746" s="1355"/>
      <c r="R746" s="1355"/>
      <c r="S746" s="1350"/>
      <c r="T746" s="1349"/>
      <c r="U746" s="1348"/>
      <c r="V746" s="1348"/>
      <c r="W746" s="1349"/>
      <c r="X746" s="1350"/>
      <c r="Y746" s="1350"/>
      <c r="Z746" s="1349"/>
      <c r="AA746" s="1351"/>
      <c r="AB746" s="1350"/>
      <c r="AC746" s="1350"/>
      <c r="AD746" s="1350"/>
      <c r="AE746" s="1350"/>
      <c r="AF746" s="1350"/>
      <c r="AG746" s="1350"/>
      <c r="AH746" s="1350"/>
      <c r="AI746" s="1350"/>
      <c r="AJ746" s="1350"/>
      <c r="AK746" s="1350"/>
    </row>
    <row r="747">
      <c r="A747" s="1350"/>
      <c r="B747" s="1350"/>
      <c r="C747" s="1350"/>
      <c r="D747" s="1350"/>
      <c r="E747" s="1350"/>
      <c r="F747" s="1350"/>
      <c r="G747" s="1350"/>
      <c r="H747" s="1350"/>
      <c r="I747" s="1350"/>
      <c r="J747" s="1350"/>
      <c r="K747" s="1350"/>
      <c r="L747" s="1350"/>
      <c r="M747" s="1350"/>
      <c r="N747" s="1350"/>
      <c r="O747" s="1350"/>
      <c r="P747" s="1354"/>
      <c r="Q747" s="1355"/>
      <c r="R747" s="1355"/>
      <c r="S747" s="1350"/>
      <c r="T747" s="1349"/>
      <c r="U747" s="1348"/>
      <c r="V747" s="1348"/>
      <c r="W747" s="1349"/>
      <c r="X747" s="1350"/>
      <c r="Y747" s="1350"/>
      <c r="Z747" s="1349"/>
      <c r="AA747" s="1351"/>
      <c r="AB747" s="1350"/>
      <c r="AC747" s="1350"/>
      <c r="AD747" s="1350"/>
      <c r="AE747" s="1350"/>
      <c r="AF747" s="1350"/>
      <c r="AG747" s="1350"/>
      <c r="AH747" s="1350"/>
      <c r="AI747" s="1350"/>
      <c r="AJ747" s="1350"/>
      <c r="AK747" s="1350"/>
    </row>
    <row r="748">
      <c r="A748" s="1350"/>
      <c r="B748" s="1350"/>
      <c r="C748" s="1350"/>
      <c r="D748" s="1350"/>
      <c r="E748" s="1350"/>
      <c r="F748" s="1350"/>
      <c r="G748" s="1350"/>
      <c r="H748" s="1350"/>
      <c r="I748" s="1350"/>
      <c r="J748" s="1350"/>
      <c r="K748" s="1350"/>
      <c r="L748" s="1350"/>
      <c r="M748" s="1350"/>
      <c r="N748" s="1350"/>
      <c r="O748" s="1350"/>
      <c r="P748" s="1354"/>
      <c r="Q748" s="1355"/>
      <c r="R748" s="1355"/>
      <c r="S748" s="1350"/>
      <c r="T748" s="1349"/>
      <c r="U748" s="1348"/>
      <c r="V748" s="1348"/>
      <c r="W748" s="1349"/>
      <c r="X748" s="1350"/>
      <c r="Y748" s="1350"/>
      <c r="Z748" s="1349"/>
      <c r="AA748" s="1351"/>
      <c r="AB748" s="1350"/>
      <c r="AC748" s="1350"/>
      <c r="AD748" s="1350"/>
      <c r="AE748" s="1350"/>
      <c r="AF748" s="1350"/>
      <c r="AG748" s="1350"/>
      <c r="AH748" s="1350"/>
      <c r="AI748" s="1350"/>
      <c r="AJ748" s="1350"/>
      <c r="AK748" s="1350"/>
    </row>
    <row r="749">
      <c r="A749" s="1350"/>
      <c r="B749" s="1350"/>
      <c r="C749" s="1350"/>
      <c r="D749" s="1350"/>
      <c r="E749" s="1350"/>
      <c r="F749" s="1350"/>
      <c r="G749" s="1350"/>
      <c r="H749" s="1350"/>
      <c r="I749" s="1350"/>
      <c r="J749" s="1350"/>
      <c r="K749" s="1350"/>
      <c r="L749" s="1350"/>
      <c r="M749" s="1350"/>
      <c r="N749" s="1350"/>
      <c r="O749" s="1350"/>
      <c r="P749" s="1354"/>
      <c r="Q749" s="1355"/>
      <c r="R749" s="1355"/>
      <c r="S749" s="1350"/>
      <c r="T749" s="1349"/>
      <c r="U749" s="1348"/>
      <c r="V749" s="1348"/>
      <c r="W749" s="1349"/>
      <c r="X749" s="1350"/>
      <c r="Y749" s="1350"/>
      <c r="Z749" s="1349"/>
      <c r="AA749" s="1351"/>
      <c r="AB749" s="1350"/>
      <c r="AC749" s="1350"/>
      <c r="AD749" s="1350"/>
      <c r="AE749" s="1350"/>
      <c r="AF749" s="1350"/>
      <c r="AG749" s="1350"/>
      <c r="AH749" s="1350"/>
      <c r="AI749" s="1350"/>
      <c r="AJ749" s="1350"/>
      <c r="AK749" s="1350"/>
    </row>
    <row r="750">
      <c r="A750" s="1350"/>
      <c r="B750" s="1350"/>
      <c r="C750" s="1350"/>
      <c r="D750" s="1350"/>
      <c r="E750" s="1350"/>
      <c r="F750" s="1350"/>
      <c r="G750" s="1350"/>
      <c r="H750" s="1350"/>
      <c r="I750" s="1350"/>
      <c r="J750" s="1350"/>
      <c r="K750" s="1350"/>
      <c r="L750" s="1350"/>
      <c r="M750" s="1350"/>
      <c r="N750" s="1350"/>
      <c r="O750" s="1350"/>
      <c r="P750" s="1354"/>
      <c r="Q750" s="1355"/>
      <c r="R750" s="1355"/>
      <c r="S750" s="1350"/>
      <c r="T750" s="1349"/>
      <c r="U750" s="1348"/>
      <c r="V750" s="1348"/>
      <c r="W750" s="1349"/>
      <c r="X750" s="1350"/>
      <c r="Y750" s="1350"/>
      <c r="Z750" s="1349"/>
      <c r="AA750" s="1351"/>
      <c r="AB750" s="1350"/>
      <c r="AC750" s="1350"/>
      <c r="AD750" s="1350"/>
      <c r="AE750" s="1350"/>
      <c r="AF750" s="1350"/>
      <c r="AG750" s="1350"/>
      <c r="AH750" s="1350"/>
      <c r="AI750" s="1350"/>
      <c r="AJ750" s="1350"/>
      <c r="AK750" s="1350"/>
    </row>
    <row r="751">
      <c r="A751" s="1350"/>
      <c r="B751" s="1350"/>
      <c r="C751" s="1350"/>
      <c r="D751" s="1350"/>
      <c r="E751" s="1350"/>
      <c r="F751" s="1350"/>
      <c r="G751" s="1350"/>
      <c r="H751" s="1350"/>
      <c r="I751" s="1350"/>
      <c r="J751" s="1350"/>
      <c r="K751" s="1350"/>
      <c r="L751" s="1350"/>
      <c r="M751" s="1350"/>
      <c r="N751" s="1350"/>
      <c r="O751" s="1350"/>
      <c r="P751" s="1354"/>
      <c r="Q751" s="1355"/>
      <c r="R751" s="1355"/>
      <c r="S751" s="1350"/>
      <c r="T751" s="1349"/>
      <c r="U751" s="1348"/>
      <c r="V751" s="1348"/>
      <c r="W751" s="1349"/>
      <c r="X751" s="1350"/>
      <c r="Y751" s="1350"/>
      <c r="Z751" s="1349"/>
      <c r="AA751" s="1351"/>
      <c r="AB751" s="1350"/>
      <c r="AC751" s="1350"/>
      <c r="AD751" s="1350"/>
      <c r="AE751" s="1350"/>
      <c r="AF751" s="1350"/>
      <c r="AG751" s="1350"/>
      <c r="AH751" s="1350"/>
      <c r="AI751" s="1350"/>
      <c r="AJ751" s="1350"/>
      <c r="AK751" s="1350"/>
    </row>
    <row r="752">
      <c r="A752" s="1350"/>
      <c r="B752" s="1350"/>
      <c r="C752" s="1350"/>
      <c r="D752" s="1350"/>
      <c r="E752" s="1350"/>
      <c r="F752" s="1350"/>
      <c r="G752" s="1350"/>
      <c r="H752" s="1350"/>
      <c r="I752" s="1350"/>
      <c r="J752" s="1350"/>
      <c r="K752" s="1350"/>
      <c r="L752" s="1350"/>
      <c r="M752" s="1350"/>
      <c r="N752" s="1350"/>
      <c r="O752" s="1350"/>
      <c r="P752" s="1354"/>
      <c r="Q752" s="1355"/>
      <c r="R752" s="1355"/>
      <c r="S752" s="1350"/>
      <c r="T752" s="1349"/>
      <c r="U752" s="1348"/>
      <c r="V752" s="1348"/>
      <c r="W752" s="1349"/>
      <c r="X752" s="1350"/>
      <c r="Y752" s="1350"/>
      <c r="Z752" s="1349"/>
      <c r="AA752" s="1351"/>
      <c r="AB752" s="1350"/>
      <c r="AC752" s="1350"/>
      <c r="AD752" s="1350"/>
      <c r="AE752" s="1350"/>
      <c r="AF752" s="1350"/>
      <c r="AG752" s="1350"/>
      <c r="AH752" s="1350"/>
      <c r="AI752" s="1350"/>
      <c r="AJ752" s="1350"/>
      <c r="AK752" s="1350"/>
    </row>
    <row r="753">
      <c r="A753" s="1350"/>
      <c r="B753" s="1350"/>
      <c r="C753" s="1350"/>
      <c r="D753" s="1350"/>
      <c r="E753" s="1350"/>
      <c r="F753" s="1350"/>
      <c r="G753" s="1350"/>
      <c r="H753" s="1350"/>
      <c r="I753" s="1350"/>
      <c r="J753" s="1350"/>
      <c r="K753" s="1350"/>
      <c r="L753" s="1350"/>
      <c r="M753" s="1350"/>
      <c r="N753" s="1350"/>
      <c r="O753" s="1350"/>
      <c r="P753" s="1354"/>
      <c r="Q753" s="1355"/>
      <c r="R753" s="1355"/>
      <c r="S753" s="1350"/>
      <c r="T753" s="1349"/>
      <c r="U753" s="1348"/>
      <c r="V753" s="1348"/>
      <c r="W753" s="1349"/>
      <c r="X753" s="1350"/>
      <c r="Y753" s="1350"/>
      <c r="Z753" s="1349"/>
      <c r="AA753" s="1351"/>
      <c r="AB753" s="1350"/>
      <c r="AC753" s="1350"/>
      <c r="AD753" s="1350"/>
      <c r="AE753" s="1350"/>
      <c r="AF753" s="1350"/>
      <c r="AG753" s="1350"/>
      <c r="AH753" s="1350"/>
      <c r="AI753" s="1350"/>
      <c r="AJ753" s="1350"/>
      <c r="AK753" s="1350"/>
    </row>
    <row r="754">
      <c r="A754" s="1350"/>
      <c r="B754" s="1350"/>
      <c r="C754" s="1350"/>
      <c r="D754" s="1350"/>
      <c r="E754" s="1350"/>
      <c r="F754" s="1350"/>
      <c r="G754" s="1350"/>
      <c r="H754" s="1350"/>
      <c r="I754" s="1350"/>
      <c r="J754" s="1350"/>
      <c r="K754" s="1350"/>
      <c r="L754" s="1350"/>
      <c r="M754" s="1350"/>
      <c r="N754" s="1350"/>
      <c r="O754" s="1350"/>
      <c r="P754" s="1354"/>
      <c r="Q754" s="1355"/>
      <c r="R754" s="1355"/>
      <c r="S754" s="1350"/>
      <c r="T754" s="1349"/>
      <c r="U754" s="1348"/>
      <c r="V754" s="1348"/>
      <c r="W754" s="1349"/>
      <c r="X754" s="1350"/>
      <c r="Y754" s="1350"/>
      <c r="Z754" s="1349"/>
      <c r="AA754" s="1351"/>
      <c r="AB754" s="1350"/>
      <c r="AC754" s="1350"/>
      <c r="AD754" s="1350"/>
      <c r="AE754" s="1350"/>
      <c r="AF754" s="1350"/>
      <c r="AG754" s="1350"/>
      <c r="AH754" s="1350"/>
      <c r="AI754" s="1350"/>
      <c r="AJ754" s="1350"/>
      <c r="AK754" s="1350"/>
    </row>
    <row r="755">
      <c r="A755" s="1350"/>
      <c r="B755" s="1350"/>
      <c r="C755" s="1350"/>
      <c r="D755" s="1350"/>
      <c r="E755" s="1350"/>
      <c r="F755" s="1350"/>
      <c r="G755" s="1350"/>
      <c r="H755" s="1350"/>
      <c r="I755" s="1350"/>
      <c r="J755" s="1350"/>
      <c r="K755" s="1350"/>
      <c r="L755" s="1350"/>
      <c r="M755" s="1350"/>
      <c r="N755" s="1350"/>
      <c r="O755" s="1350"/>
      <c r="P755" s="1354"/>
      <c r="Q755" s="1355"/>
      <c r="R755" s="1355"/>
      <c r="S755" s="1350"/>
      <c r="T755" s="1349"/>
      <c r="U755" s="1348"/>
      <c r="V755" s="1348"/>
      <c r="W755" s="1349"/>
      <c r="X755" s="1350"/>
      <c r="Y755" s="1350"/>
      <c r="Z755" s="1349"/>
      <c r="AA755" s="1351"/>
      <c r="AB755" s="1350"/>
      <c r="AC755" s="1350"/>
      <c r="AD755" s="1350"/>
      <c r="AE755" s="1350"/>
      <c r="AF755" s="1350"/>
      <c r="AG755" s="1350"/>
      <c r="AH755" s="1350"/>
      <c r="AI755" s="1350"/>
      <c r="AJ755" s="1350"/>
      <c r="AK755" s="1350"/>
    </row>
    <row r="756">
      <c r="A756" s="1350"/>
      <c r="B756" s="1350"/>
      <c r="C756" s="1350"/>
      <c r="D756" s="1350"/>
      <c r="E756" s="1350"/>
      <c r="F756" s="1350"/>
      <c r="G756" s="1350"/>
      <c r="H756" s="1350"/>
      <c r="I756" s="1350"/>
      <c r="J756" s="1350"/>
      <c r="K756" s="1350"/>
      <c r="L756" s="1350"/>
      <c r="M756" s="1350"/>
      <c r="N756" s="1350"/>
      <c r="O756" s="1350"/>
      <c r="P756" s="1354"/>
      <c r="Q756" s="1355"/>
      <c r="R756" s="1355"/>
      <c r="S756" s="1350"/>
      <c r="T756" s="1349"/>
      <c r="U756" s="1348"/>
      <c r="V756" s="1348"/>
      <c r="W756" s="1349"/>
      <c r="X756" s="1350"/>
      <c r="Y756" s="1350"/>
      <c r="Z756" s="1349"/>
      <c r="AA756" s="1351"/>
      <c r="AB756" s="1350"/>
      <c r="AC756" s="1350"/>
      <c r="AD756" s="1350"/>
      <c r="AE756" s="1350"/>
      <c r="AF756" s="1350"/>
      <c r="AG756" s="1350"/>
      <c r="AH756" s="1350"/>
      <c r="AI756" s="1350"/>
      <c r="AJ756" s="1350"/>
      <c r="AK756" s="1350"/>
    </row>
    <row r="757">
      <c r="A757" s="1350"/>
      <c r="B757" s="1350"/>
      <c r="C757" s="1350"/>
      <c r="D757" s="1350"/>
      <c r="E757" s="1350"/>
      <c r="F757" s="1350"/>
      <c r="G757" s="1350"/>
      <c r="H757" s="1350"/>
      <c r="I757" s="1350"/>
      <c r="J757" s="1350"/>
      <c r="K757" s="1350"/>
      <c r="L757" s="1350"/>
      <c r="M757" s="1350"/>
      <c r="N757" s="1350"/>
      <c r="O757" s="1350"/>
      <c r="P757" s="1354"/>
      <c r="Q757" s="1355"/>
      <c r="R757" s="1355"/>
      <c r="S757" s="1350"/>
      <c r="T757" s="1349"/>
      <c r="U757" s="1348"/>
      <c r="V757" s="1348"/>
      <c r="W757" s="1349"/>
      <c r="X757" s="1350"/>
      <c r="Y757" s="1350"/>
      <c r="Z757" s="1349"/>
      <c r="AA757" s="1351"/>
      <c r="AB757" s="1350"/>
      <c r="AC757" s="1350"/>
      <c r="AD757" s="1350"/>
      <c r="AE757" s="1350"/>
      <c r="AF757" s="1350"/>
      <c r="AG757" s="1350"/>
      <c r="AH757" s="1350"/>
      <c r="AI757" s="1350"/>
      <c r="AJ757" s="1350"/>
      <c r="AK757" s="1350"/>
    </row>
    <row r="758">
      <c r="A758" s="1350"/>
      <c r="B758" s="1350"/>
      <c r="C758" s="1350"/>
      <c r="D758" s="1350"/>
      <c r="E758" s="1350"/>
      <c r="F758" s="1350"/>
      <c r="G758" s="1350"/>
      <c r="H758" s="1350"/>
      <c r="I758" s="1350"/>
      <c r="J758" s="1350"/>
      <c r="K758" s="1350"/>
      <c r="L758" s="1350"/>
      <c r="M758" s="1350"/>
      <c r="N758" s="1350"/>
      <c r="O758" s="1350"/>
      <c r="P758" s="1354"/>
      <c r="Q758" s="1355"/>
      <c r="R758" s="1355"/>
      <c r="S758" s="1350"/>
      <c r="T758" s="1349"/>
      <c r="U758" s="1348"/>
      <c r="V758" s="1348"/>
      <c r="W758" s="1349"/>
      <c r="X758" s="1350"/>
      <c r="Y758" s="1350"/>
      <c r="Z758" s="1349"/>
      <c r="AA758" s="1351"/>
      <c r="AB758" s="1350"/>
      <c r="AC758" s="1350"/>
      <c r="AD758" s="1350"/>
      <c r="AE758" s="1350"/>
      <c r="AF758" s="1350"/>
      <c r="AG758" s="1350"/>
      <c r="AH758" s="1350"/>
      <c r="AI758" s="1350"/>
      <c r="AJ758" s="1350"/>
      <c r="AK758" s="1350"/>
    </row>
    <row r="759">
      <c r="A759" s="1350"/>
      <c r="B759" s="1350"/>
      <c r="C759" s="1350"/>
      <c r="D759" s="1350"/>
      <c r="E759" s="1350"/>
      <c r="F759" s="1350"/>
      <c r="G759" s="1350"/>
      <c r="H759" s="1350"/>
      <c r="I759" s="1350"/>
      <c r="J759" s="1350"/>
      <c r="K759" s="1350"/>
      <c r="L759" s="1350"/>
      <c r="M759" s="1350"/>
      <c r="N759" s="1350"/>
      <c r="O759" s="1350"/>
      <c r="P759" s="1354"/>
      <c r="Q759" s="1355"/>
      <c r="R759" s="1355"/>
      <c r="S759" s="1350"/>
      <c r="T759" s="1349"/>
      <c r="U759" s="1348"/>
      <c r="V759" s="1348"/>
      <c r="W759" s="1349"/>
      <c r="X759" s="1350"/>
      <c r="Y759" s="1350"/>
      <c r="Z759" s="1349"/>
      <c r="AA759" s="1351"/>
      <c r="AB759" s="1350"/>
      <c r="AC759" s="1350"/>
      <c r="AD759" s="1350"/>
      <c r="AE759" s="1350"/>
      <c r="AF759" s="1350"/>
      <c r="AG759" s="1350"/>
      <c r="AH759" s="1350"/>
      <c r="AI759" s="1350"/>
      <c r="AJ759" s="1350"/>
      <c r="AK759" s="1350"/>
    </row>
    <row r="760">
      <c r="A760" s="1350"/>
      <c r="B760" s="1350"/>
      <c r="C760" s="1350"/>
      <c r="D760" s="1350"/>
      <c r="E760" s="1350"/>
      <c r="F760" s="1350"/>
      <c r="G760" s="1350"/>
      <c r="H760" s="1350"/>
      <c r="I760" s="1350"/>
      <c r="J760" s="1350"/>
      <c r="K760" s="1350"/>
      <c r="L760" s="1350"/>
      <c r="M760" s="1350"/>
      <c r="N760" s="1350"/>
      <c r="O760" s="1350"/>
      <c r="P760" s="1354"/>
      <c r="Q760" s="1355"/>
      <c r="R760" s="1355"/>
      <c r="S760" s="1350"/>
      <c r="T760" s="1349"/>
      <c r="U760" s="1348"/>
      <c r="V760" s="1348"/>
      <c r="W760" s="1349"/>
      <c r="X760" s="1350"/>
      <c r="Y760" s="1350"/>
      <c r="Z760" s="1349"/>
      <c r="AA760" s="1351"/>
      <c r="AB760" s="1350"/>
      <c r="AC760" s="1350"/>
      <c r="AD760" s="1350"/>
      <c r="AE760" s="1350"/>
      <c r="AF760" s="1350"/>
      <c r="AG760" s="1350"/>
      <c r="AH760" s="1350"/>
      <c r="AI760" s="1350"/>
      <c r="AJ760" s="1350"/>
      <c r="AK760" s="1350"/>
    </row>
    <row r="761">
      <c r="A761" s="1350"/>
      <c r="B761" s="1350"/>
      <c r="C761" s="1350"/>
      <c r="D761" s="1350"/>
      <c r="E761" s="1350"/>
      <c r="F761" s="1350"/>
      <c r="G761" s="1350"/>
      <c r="H761" s="1350"/>
      <c r="I761" s="1350"/>
      <c r="J761" s="1350"/>
      <c r="K761" s="1350"/>
      <c r="L761" s="1350"/>
      <c r="M761" s="1350"/>
      <c r="N761" s="1350"/>
      <c r="O761" s="1350"/>
      <c r="P761" s="1354"/>
      <c r="Q761" s="1355"/>
      <c r="R761" s="1355"/>
      <c r="S761" s="1350"/>
      <c r="T761" s="1349"/>
      <c r="U761" s="1348"/>
      <c r="V761" s="1348"/>
      <c r="W761" s="1349"/>
      <c r="X761" s="1350"/>
      <c r="Y761" s="1350"/>
      <c r="Z761" s="1349"/>
      <c r="AA761" s="1351"/>
      <c r="AB761" s="1350"/>
      <c r="AC761" s="1350"/>
      <c r="AD761" s="1350"/>
      <c r="AE761" s="1350"/>
      <c r="AF761" s="1350"/>
      <c r="AG761" s="1350"/>
      <c r="AH761" s="1350"/>
      <c r="AI761" s="1350"/>
      <c r="AJ761" s="1350"/>
      <c r="AK761" s="1350"/>
    </row>
    <row r="762">
      <c r="A762" s="1350"/>
      <c r="B762" s="1350"/>
      <c r="C762" s="1350"/>
      <c r="D762" s="1350"/>
      <c r="E762" s="1350"/>
      <c r="F762" s="1350"/>
      <c r="G762" s="1350"/>
      <c r="H762" s="1350"/>
      <c r="I762" s="1350"/>
      <c r="J762" s="1350"/>
      <c r="K762" s="1350"/>
      <c r="L762" s="1350"/>
      <c r="M762" s="1350"/>
      <c r="N762" s="1350"/>
      <c r="O762" s="1350"/>
      <c r="P762" s="1354"/>
      <c r="Q762" s="1355"/>
      <c r="R762" s="1355"/>
      <c r="S762" s="1350"/>
      <c r="T762" s="1349"/>
      <c r="U762" s="1348"/>
      <c r="V762" s="1348"/>
      <c r="W762" s="1349"/>
      <c r="X762" s="1350"/>
      <c r="Y762" s="1350"/>
      <c r="Z762" s="1349"/>
      <c r="AA762" s="1351"/>
      <c r="AB762" s="1350"/>
      <c r="AC762" s="1350"/>
      <c r="AD762" s="1350"/>
      <c r="AE762" s="1350"/>
      <c r="AF762" s="1350"/>
      <c r="AG762" s="1350"/>
      <c r="AH762" s="1350"/>
      <c r="AI762" s="1350"/>
      <c r="AJ762" s="1350"/>
      <c r="AK762" s="1350"/>
    </row>
    <row r="763">
      <c r="A763" s="1350"/>
      <c r="B763" s="1350"/>
      <c r="C763" s="1350"/>
      <c r="D763" s="1350"/>
      <c r="E763" s="1350"/>
      <c r="F763" s="1350"/>
      <c r="G763" s="1350"/>
      <c r="H763" s="1350"/>
      <c r="I763" s="1350"/>
      <c r="J763" s="1350"/>
      <c r="K763" s="1350"/>
      <c r="L763" s="1350"/>
      <c r="M763" s="1350"/>
      <c r="N763" s="1350"/>
      <c r="O763" s="1350"/>
      <c r="P763" s="1354"/>
      <c r="Q763" s="1355"/>
      <c r="R763" s="1355"/>
      <c r="S763" s="1350"/>
      <c r="T763" s="1349"/>
      <c r="U763" s="1348"/>
      <c r="V763" s="1348"/>
      <c r="W763" s="1349"/>
      <c r="X763" s="1350"/>
      <c r="Y763" s="1350"/>
      <c r="Z763" s="1349"/>
      <c r="AA763" s="1351"/>
      <c r="AB763" s="1350"/>
      <c r="AC763" s="1350"/>
      <c r="AD763" s="1350"/>
      <c r="AE763" s="1350"/>
      <c r="AF763" s="1350"/>
      <c r="AG763" s="1350"/>
      <c r="AH763" s="1350"/>
      <c r="AI763" s="1350"/>
      <c r="AJ763" s="1350"/>
      <c r="AK763" s="1350"/>
    </row>
    <row r="764">
      <c r="A764" s="1350"/>
      <c r="B764" s="1350"/>
      <c r="C764" s="1350"/>
      <c r="D764" s="1350"/>
      <c r="E764" s="1350"/>
      <c r="F764" s="1350"/>
      <c r="G764" s="1350"/>
      <c r="H764" s="1350"/>
      <c r="I764" s="1350"/>
      <c r="J764" s="1350"/>
      <c r="K764" s="1350"/>
      <c r="L764" s="1350"/>
      <c r="M764" s="1350"/>
      <c r="N764" s="1350"/>
      <c r="O764" s="1350"/>
      <c r="P764" s="1354"/>
      <c r="Q764" s="1355"/>
      <c r="R764" s="1355"/>
      <c r="S764" s="1350"/>
      <c r="T764" s="1349"/>
      <c r="U764" s="1348"/>
      <c r="V764" s="1348"/>
      <c r="W764" s="1349"/>
      <c r="X764" s="1350"/>
      <c r="Y764" s="1350"/>
      <c r="Z764" s="1349"/>
      <c r="AA764" s="1351"/>
      <c r="AB764" s="1350"/>
      <c r="AC764" s="1350"/>
      <c r="AD764" s="1350"/>
      <c r="AE764" s="1350"/>
      <c r="AF764" s="1350"/>
      <c r="AG764" s="1350"/>
      <c r="AH764" s="1350"/>
      <c r="AI764" s="1350"/>
      <c r="AJ764" s="1350"/>
      <c r="AK764" s="1350"/>
    </row>
    <row r="765">
      <c r="A765" s="1350"/>
      <c r="B765" s="1350"/>
      <c r="C765" s="1350"/>
      <c r="D765" s="1350"/>
      <c r="E765" s="1350"/>
      <c r="F765" s="1350"/>
      <c r="G765" s="1350"/>
      <c r="H765" s="1350"/>
      <c r="I765" s="1350"/>
      <c r="J765" s="1350"/>
      <c r="K765" s="1350"/>
      <c r="L765" s="1350"/>
      <c r="M765" s="1350"/>
      <c r="N765" s="1350"/>
      <c r="O765" s="1350"/>
      <c r="P765" s="1354"/>
      <c r="Q765" s="1355"/>
      <c r="R765" s="1355"/>
      <c r="S765" s="1350"/>
      <c r="T765" s="1349"/>
      <c r="U765" s="1348"/>
      <c r="V765" s="1348"/>
      <c r="W765" s="1349"/>
      <c r="X765" s="1350"/>
      <c r="Y765" s="1350"/>
      <c r="Z765" s="1349"/>
      <c r="AA765" s="1351"/>
      <c r="AB765" s="1350"/>
      <c r="AC765" s="1350"/>
      <c r="AD765" s="1350"/>
      <c r="AE765" s="1350"/>
      <c r="AF765" s="1350"/>
      <c r="AG765" s="1350"/>
      <c r="AH765" s="1350"/>
      <c r="AI765" s="1350"/>
      <c r="AJ765" s="1350"/>
      <c r="AK765" s="1350"/>
    </row>
    <row r="766">
      <c r="A766" s="1350"/>
      <c r="B766" s="1350"/>
      <c r="C766" s="1350"/>
      <c r="D766" s="1350"/>
      <c r="E766" s="1350"/>
      <c r="F766" s="1350"/>
      <c r="G766" s="1350"/>
      <c r="H766" s="1350"/>
      <c r="I766" s="1350"/>
      <c r="J766" s="1350"/>
      <c r="K766" s="1350"/>
      <c r="L766" s="1350"/>
      <c r="M766" s="1350"/>
      <c r="N766" s="1350"/>
      <c r="O766" s="1350"/>
      <c r="P766" s="1354"/>
      <c r="Q766" s="1355"/>
      <c r="R766" s="1355"/>
      <c r="S766" s="1350"/>
      <c r="T766" s="1349"/>
      <c r="U766" s="1348"/>
      <c r="V766" s="1348"/>
      <c r="W766" s="1349"/>
      <c r="X766" s="1350"/>
      <c r="Y766" s="1350"/>
      <c r="Z766" s="1349"/>
      <c r="AA766" s="1351"/>
      <c r="AB766" s="1350"/>
      <c r="AC766" s="1350"/>
      <c r="AD766" s="1350"/>
      <c r="AE766" s="1350"/>
      <c r="AF766" s="1350"/>
      <c r="AG766" s="1350"/>
      <c r="AH766" s="1350"/>
      <c r="AI766" s="1350"/>
      <c r="AJ766" s="1350"/>
      <c r="AK766" s="1350"/>
    </row>
    <row r="767">
      <c r="A767" s="1350"/>
      <c r="B767" s="1350"/>
      <c r="C767" s="1350"/>
      <c r="D767" s="1350"/>
      <c r="E767" s="1350"/>
      <c r="F767" s="1350"/>
      <c r="G767" s="1350"/>
      <c r="H767" s="1350"/>
      <c r="I767" s="1350"/>
      <c r="J767" s="1350"/>
      <c r="K767" s="1350"/>
      <c r="L767" s="1350"/>
      <c r="M767" s="1350"/>
      <c r="N767" s="1350"/>
      <c r="O767" s="1350"/>
      <c r="P767" s="1354"/>
      <c r="Q767" s="1355"/>
      <c r="R767" s="1355"/>
      <c r="S767" s="1350"/>
      <c r="T767" s="1349"/>
      <c r="U767" s="1348"/>
      <c r="V767" s="1348"/>
      <c r="W767" s="1349"/>
      <c r="X767" s="1350"/>
      <c r="Y767" s="1350"/>
      <c r="Z767" s="1349"/>
      <c r="AA767" s="1351"/>
      <c r="AB767" s="1350"/>
      <c r="AC767" s="1350"/>
      <c r="AD767" s="1350"/>
      <c r="AE767" s="1350"/>
      <c r="AF767" s="1350"/>
      <c r="AG767" s="1350"/>
      <c r="AH767" s="1350"/>
      <c r="AI767" s="1350"/>
      <c r="AJ767" s="1350"/>
      <c r="AK767" s="1350"/>
    </row>
    <row r="768">
      <c r="A768" s="1350"/>
      <c r="B768" s="1350"/>
      <c r="C768" s="1350"/>
      <c r="D768" s="1350"/>
      <c r="E768" s="1350"/>
      <c r="F768" s="1350"/>
      <c r="G768" s="1350"/>
      <c r="H768" s="1350"/>
      <c r="I768" s="1350"/>
      <c r="J768" s="1350"/>
      <c r="K768" s="1350"/>
      <c r="L768" s="1350"/>
      <c r="M768" s="1350"/>
      <c r="N768" s="1350"/>
      <c r="O768" s="1350"/>
      <c r="P768" s="1354"/>
      <c r="Q768" s="1355"/>
      <c r="R768" s="1355"/>
      <c r="S768" s="1350"/>
      <c r="T768" s="1349"/>
      <c r="U768" s="1348"/>
      <c r="V768" s="1348"/>
      <c r="W768" s="1349"/>
      <c r="X768" s="1350"/>
      <c r="Y768" s="1350"/>
      <c r="Z768" s="1349"/>
      <c r="AA768" s="1351"/>
      <c r="AB768" s="1350"/>
      <c r="AC768" s="1350"/>
      <c r="AD768" s="1350"/>
      <c r="AE768" s="1350"/>
      <c r="AF768" s="1350"/>
      <c r="AG768" s="1350"/>
      <c r="AH768" s="1350"/>
      <c r="AI768" s="1350"/>
      <c r="AJ768" s="1350"/>
      <c r="AK768" s="1350"/>
    </row>
    <row r="769">
      <c r="A769" s="1350"/>
      <c r="B769" s="1350"/>
      <c r="C769" s="1350"/>
      <c r="D769" s="1350"/>
      <c r="E769" s="1350"/>
      <c r="F769" s="1350"/>
      <c r="G769" s="1350"/>
      <c r="H769" s="1350"/>
      <c r="I769" s="1350"/>
      <c r="J769" s="1350"/>
      <c r="K769" s="1350"/>
      <c r="L769" s="1350"/>
      <c r="M769" s="1350"/>
      <c r="N769" s="1350"/>
      <c r="O769" s="1350"/>
      <c r="P769" s="1354"/>
      <c r="Q769" s="1355"/>
      <c r="R769" s="1355"/>
      <c r="S769" s="1350"/>
      <c r="T769" s="1349"/>
      <c r="U769" s="1348"/>
      <c r="V769" s="1348"/>
      <c r="W769" s="1349"/>
      <c r="X769" s="1350"/>
      <c r="Y769" s="1350"/>
      <c r="Z769" s="1349"/>
      <c r="AA769" s="1351"/>
      <c r="AB769" s="1350"/>
      <c r="AC769" s="1350"/>
      <c r="AD769" s="1350"/>
      <c r="AE769" s="1350"/>
      <c r="AF769" s="1350"/>
      <c r="AG769" s="1350"/>
      <c r="AH769" s="1350"/>
      <c r="AI769" s="1350"/>
      <c r="AJ769" s="1350"/>
      <c r="AK769" s="1350"/>
    </row>
    <row r="770">
      <c r="A770" s="1350"/>
      <c r="B770" s="1350"/>
      <c r="C770" s="1350"/>
      <c r="D770" s="1350"/>
      <c r="E770" s="1350"/>
      <c r="F770" s="1350"/>
      <c r="G770" s="1350"/>
      <c r="H770" s="1350"/>
      <c r="I770" s="1350"/>
      <c r="J770" s="1350"/>
      <c r="K770" s="1350"/>
      <c r="L770" s="1350"/>
      <c r="M770" s="1350"/>
      <c r="N770" s="1350"/>
      <c r="O770" s="1350"/>
      <c r="P770" s="1354"/>
      <c r="Q770" s="1355"/>
      <c r="R770" s="1355"/>
      <c r="S770" s="1350"/>
      <c r="T770" s="1349"/>
      <c r="U770" s="1348"/>
      <c r="V770" s="1348"/>
      <c r="W770" s="1349"/>
      <c r="X770" s="1350"/>
      <c r="Y770" s="1350"/>
      <c r="Z770" s="1349"/>
      <c r="AA770" s="1351"/>
      <c r="AB770" s="1350"/>
      <c r="AC770" s="1350"/>
      <c r="AD770" s="1350"/>
      <c r="AE770" s="1350"/>
      <c r="AF770" s="1350"/>
      <c r="AG770" s="1350"/>
      <c r="AH770" s="1350"/>
      <c r="AI770" s="1350"/>
      <c r="AJ770" s="1350"/>
      <c r="AK770" s="1350"/>
    </row>
    <row r="771">
      <c r="A771" s="1350"/>
      <c r="B771" s="1350"/>
      <c r="C771" s="1350"/>
      <c r="D771" s="1350"/>
      <c r="E771" s="1350"/>
      <c r="F771" s="1350"/>
      <c r="G771" s="1350"/>
      <c r="H771" s="1350"/>
      <c r="I771" s="1350"/>
      <c r="J771" s="1350"/>
      <c r="K771" s="1350"/>
      <c r="L771" s="1350"/>
      <c r="M771" s="1350"/>
      <c r="N771" s="1350"/>
      <c r="O771" s="1350"/>
      <c r="P771" s="1354"/>
      <c r="Q771" s="1355"/>
      <c r="R771" s="1355"/>
      <c r="S771" s="1350"/>
      <c r="T771" s="1349"/>
      <c r="U771" s="1348"/>
      <c r="V771" s="1348"/>
      <c r="W771" s="1349"/>
      <c r="X771" s="1350"/>
      <c r="Y771" s="1350"/>
      <c r="Z771" s="1349"/>
      <c r="AA771" s="1351"/>
      <c r="AB771" s="1350"/>
      <c r="AC771" s="1350"/>
      <c r="AD771" s="1350"/>
      <c r="AE771" s="1350"/>
      <c r="AF771" s="1350"/>
      <c r="AG771" s="1350"/>
      <c r="AH771" s="1350"/>
      <c r="AI771" s="1350"/>
      <c r="AJ771" s="1350"/>
      <c r="AK771" s="1350"/>
    </row>
    <row r="772">
      <c r="A772" s="1350"/>
      <c r="B772" s="1350"/>
      <c r="C772" s="1350"/>
      <c r="D772" s="1350"/>
      <c r="E772" s="1350"/>
      <c r="F772" s="1350"/>
      <c r="G772" s="1350"/>
      <c r="H772" s="1350"/>
      <c r="I772" s="1350"/>
      <c r="J772" s="1350"/>
      <c r="K772" s="1350"/>
      <c r="L772" s="1350"/>
      <c r="M772" s="1350"/>
      <c r="N772" s="1350"/>
      <c r="O772" s="1350"/>
      <c r="P772" s="1354"/>
      <c r="Q772" s="1355"/>
      <c r="R772" s="1355"/>
      <c r="S772" s="1350"/>
      <c r="T772" s="1349"/>
      <c r="U772" s="1348"/>
      <c r="V772" s="1348"/>
      <c r="W772" s="1349"/>
      <c r="X772" s="1350"/>
      <c r="Y772" s="1350"/>
      <c r="Z772" s="1349"/>
      <c r="AA772" s="1351"/>
      <c r="AB772" s="1350"/>
      <c r="AC772" s="1350"/>
      <c r="AD772" s="1350"/>
      <c r="AE772" s="1350"/>
      <c r="AF772" s="1350"/>
      <c r="AG772" s="1350"/>
      <c r="AH772" s="1350"/>
      <c r="AI772" s="1350"/>
      <c r="AJ772" s="1350"/>
      <c r="AK772" s="1350"/>
    </row>
    <row r="773">
      <c r="A773" s="1350"/>
      <c r="B773" s="1350"/>
      <c r="C773" s="1350"/>
      <c r="D773" s="1350"/>
      <c r="E773" s="1350"/>
      <c r="F773" s="1350"/>
      <c r="G773" s="1350"/>
      <c r="H773" s="1350"/>
      <c r="I773" s="1350"/>
      <c r="J773" s="1350"/>
      <c r="K773" s="1350"/>
      <c r="L773" s="1350"/>
      <c r="M773" s="1350"/>
      <c r="N773" s="1350"/>
      <c r="O773" s="1350"/>
      <c r="P773" s="1354"/>
      <c r="Q773" s="1355"/>
      <c r="R773" s="1355"/>
      <c r="S773" s="1350"/>
      <c r="T773" s="1349"/>
      <c r="U773" s="1348"/>
      <c r="V773" s="1348"/>
      <c r="W773" s="1349"/>
      <c r="X773" s="1350"/>
      <c r="Y773" s="1350"/>
      <c r="Z773" s="1349"/>
      <c r="AA773" s="1351"/>
      <c r="AB773" s="1350"/>
      <c r="AC773" s="1350"/>
      <c r="AD773" s="1350"/>
      <c r="AE773" s="1350"/>
      <c r="AF773" s="1350"/>
      <c r="AG773" s="1350"/>
      <c r="AH773" s="1350"/>
      <c r="AI773" s="1350"/>
      <c r="AJ773" s="1350"/>
      <c r="AK773" s="1350"/>
    </row>
    <row r="774">
      <c r="A774" s="1350"/>
      <c r="B774" s="1350"/>
      <c r="C774" s="1350"/>
      <c r="D774" s="1350"/>
      <c r="E774" s="1350"/>
      <c r="F774" s="1350"/>
      <c r="G774" s="1350"/>
      <c r="H774" s="1350"/>
      <c r="I774" s="1350"/>
      <c r="J774" s="1350"/>
      <c r="K774" s="1350"/>
      <c r="L774" s="1350"/>
      <c r="M774" s="1350"/>
      <c r="N774" s="1350"/>
      <c r="O774" s="1350"/>
      <c r="P774" s="1354"/>
      <c r="Q774" s="1355"/>
      <c r="R774" s="1355"/>
      <c r="S774" s="1350"/>
      <c r="T774" s="1349"/>
      <c r="U774" s="1348"/>
      <c r="V774" s="1348"/>
      <c r="W774" s="1349"/>
      <c r="X774" s="1350"/>
      <c r="Y774" s="1350"/>
      <c r="Z774" s="1349"/>
      <c r="AA774" s="1351"/>
      <c r="AB774" s="1350"/>
      <c r="AC774" s="1350"/>
      <c r="AD774" s="1350"/>
      <c r="AE774" s="1350"/>
      <c r="AF774" s="1350"/>
      <c r="AG774" s="1350"/>
      <c r="AH774" s="1350"/>
      <c r="AI774" s="1350"/>
      <c r="AJ774" s="1350"/>
      <c r="AK774" s="1350"/>
    </row>
    <row r="775">
      <c r="A775" s="1350"/>
      <c r="B775" s="1350"/>
      <c r="C775" s="1350"/>
      <c r="D775" s="1350"/>
      <c r="E775" s="1350"/>
      <c r="F775" s="1350"/>
      <c r="G775" s="1350"/>
      <c r="H775" s="1350"/>
      <c r="I775" s="1350"/>
      <c r="J775" s="1350"/>
      <c r="K775" s="1350"/>
      <c r="L775" s="1350"/>
      <c r="M775" s="1350"/>
      <c r="N775" s="1350"/>
      <c r="O775" s="1350"/>
      <c r="P775" s="1354"/>
      <c r="Q775" s="1355"/>
      <c r="R775" s="1355"/>
      <c r="S775" s="1350"/>
      <c r="T775" s="1349"/>
      <c r="U775" s="1348"/>
      <c r="V775" s="1348"/>
      <c r="W775" s="1349"/>
      <c r="X775" s="1350"/>
      <c r="Y775" s="1350"/>
      <c r="Z775" s="1349"/>
      <c r="AA775" s="1351"/>
      <c r="AB775" s="1350"/>
      <c r="AC775" s="1350"/>
      <c r="AD775" s="1350"/>
      <c r="AE775" s="1350"/>
      <c r="AF775" s="1350"/>
      <c r="AG775" s="1350"/>
      <c r="AH775" s="1350"/>
      <c r="AI775" s="1350"/>
      <c r="AJ775" s="1350"/>
      <c r="AK775" s="1350"/>
    </row>
    <row r="776">
      <c r="A776" s="1350"/>
      <c r="B776" s="1350"/>
      <c r="C776" s="1350"/>
      <c r="D776" s="1350"/>
      <c r="E776" s="1350"/>
      <c r="F776" s="1350"/>
      <c r="G776" s="1350"/>
      <c r="H776" s="1350"/>
      <c r="I776" s="1350"/>
      <c r="J776" s="1350"/>
      <c r="K776" s="1350"/>
      <c r="L776" s="1350"/>
      <c r="M776" s="1350"/>
      <c r="N776" s="1350"/>
      <c r="O776" s="1350"/>
      <c r="P776" s="1354"/>
      <c r="Q776" s="1355"/>
      <c r="R776" s="1355"/>
      <c r="S776" s="1350"/>
      <c r="T776" s="1349"/>
      <c r="U776" s="1348"/>
      <c r="V776" s="1348"/>
      <c r="W776" s="1349"/>
      <c r="X776" s="1350"/>
      <c r="Y776" s="1350"/>
      <c r="Z776" s="1349"/>
      <c r="AA776" s="1351"/>
      <c r="AB776" s="1350"/>
      <c r="AC776" s="1350"/>
      <c r="AD776" s="1350"/>
      <c r="AE776" s="1350"/>
      <c r="AF776" s="1350"/>
      <c r="AG776" s="1350"/>
      <c r="AH776" s="1350"/>
      <c r="AI776" s="1350"/>
      <c r="AJ776" s="1350"/>
      <c r="AK776" s="1350"/>
    </row>
    <row r="777">
      <c r="A777" s="1350"/>
      <c r="B777" s="1350"/>
      <c r="C777" s="1350"/>
      <c r="D777" s="1350"/>
      <c r="E777" s="1350"/>
      <c r="F777" s="1350"/>
      <c r="G777" s="1350"/>
      <c r="H777" s="1350"/>
      <c r="I777" s="1350"/>
      <c r="J777" s="1350"/>
      <c r="K777" s="1350"/>
      <c r="L777" s="1350"/>
      <c r="M777" s="1350"/>
      <c r="N777" s="1350"/>
      <c r="O777" s="1350"/>
      <c r="P777" s="1354"/>
      <c r="Q777" s="1355"/>
      <c r="R777" s="1355"/>
      <c r="S777" s="1350"/>
      <c r="T777" s="1349"/>
      <c r="U777" s="1348"/>
      <c r="V777" s="1348"/>
      <c r="W777" s="1349"/>
      <c r="X777" s="1350"/>
      <c r="Y777" s="1350"/>
      <c r="Z777" s="1349"/>
      <c r="AA777" s="1351"/>
      <c r="AB777" s="1350"/>
      <c r="AC777" s="1350"/>
      <c r="AD777" s="1350"/>
      <c r="AE777" s="1350"/>
      <c r="AF777" s="1350"/>
      <c r="AG777" s="1350"/>
      <c r="AH777" s="1350"/>
      <c r="AI777" s="1350"/>
      <c r="AJ777" s="1350"/>
      <c r="AK777" s="1350"/>
    </row>
    <row r="778">
      <c r="A778" s="1350"/>
      <c r="B778" s="1350"/>
      <c r="C778" s="1350"/>
      <c r="D778" s="1350"/>
      <c r="E778" s="1350"/>
      <c r="F778" s="1350"/>
      <c r="G778" s="1350"/>
      <c r="H778" s="1350"/>
      <c r="I778" s="1350"/>
      <c r="J778" s="1350"/>
      <c r="K778" s="1350"/>
      <c r="L778" s="1350"/>
      <c r="M778" s="1350"/>
      <c r="N778" s="1350"/>
      <c r="O778" s="1350"/>
      <c r="P778" s="1354"/>
      <c r="Q778" s="1355"/>
      <c r="R778" s="1355"/>
      <c r="S778" s="1350"/>
      <c r="T778" s="1349"/>
      <c r="U778" s="1348"/>
      <c r="V778" s="1348"/>
      <c r="W778" s="1349"/>
      <c r="X778" s="1350"/>
      <c r="Y778" s="1350"/>
      <c r="Z778" s="1349"/>
      <c r="AA778" s="1351"/>
      <c r="AB778" s="1350"/>
      <c r="AC778" s="1350"/>
      <c r="AD778" s="1350"/>
      <c r="AE778" s="1350"/>
      <c r="AF778" s="1350"/>
      <c r="AG778" s="1350"/>
      <c r="AH778" s="1350"/>
      <c r="AI778" s="1350"/>
      <c r="AJ778" s="1350"/>
      <c r="AK778" s="1350"/>
    </row>
    <row r="779">
      <c r="A779" s="1350"/>
      <c r="B779" s="1350"/>
      <c r="C779" s="1350"/>
      <c r="D779" s="1350"/>
      <c r="E779" s="1350"/>
      <c r="F779" s="1350"/>
      <c r="G779" s="1350"/>
      <c r="H779" s="1350"/>
      <c r="I779" s="1350"/>
      <c r="J779" s="1350"/>
      <c r="K779" s="1350"/>
      <c r="L779" s="1350"/>
      <c r="M779" s="1350"/>
      <c r="N779" s="1350"/>
      <c r="O779" s="1350"/>
      <c r="P779" s="1354"/>
      <c r="Q779" s="1355"/>
      <c r="R779" s="1355"/>
      <c r="S779" s="1350"/>
      <c r="T779" s="1349"/>
      <c r="U779" s="1348"/>
      <c r="V779" s="1348"/>
      <c r="W779" s="1349"/>
      <c r="X779" s="1350"/>
      <c r="Y779" s="1350"/>
      <c r="Z779" s="1349"/>
      <c r="AA779" s="1351"/>
      <c r="AB779" s="1350"/>
      <c r="AC779" s="1350"/>
      <c r="AD779" s="1350"/>
      <c r="AE779" s="1350"/>
      <c r="AF779" s="1350"/>
      <c r="AG779" s="1350"/>
      <c r="AH779" s="1350"/>
      <c r="AI779" s="1350"/>
      <c r="AJ779" s="1350"/>
      <c r="AK779" s="1350"/>
    </row>
    <row r="780">
      <c r="A780" s="1350"/>
      <c r="B780" s="1350"/>
      <c r="C780" s="1350"/>
      <c r="D780" s="1350"/>
      <c r="E780" s="1350"/>
      <c r="F780" s="1350"/>
      <c r="G780" s="1350"/>
      <c r="H780" s="1350"/>
      <c r="I780" s="1350"/>
      <c r="J780" s="1350"/>
      <c r="K780" s="1350"/>
      <c r="L780" s="1350"/>
      <c r="M780" s="1350"/>
      <c r="N780" s="1350"/>
      <c r="O780" s="1350"/>
      <c r="P780" s="1354"/>
      <c r="Q780" s="1355"/>
      <c r="R780" s="1355"/>
      <c r="S780" s="1350"/>
      <c r="T780" s="1349"/>
      <c r="U780" s="1348"/>
      <c r="V780" s="1348"/>
      <c r="W780" s="1349"/>
      <c r="X780" s="1350"/>
      <c r="Y780" s="1350"/>
      <c r="Z780" s="1349"/>
      <c r="AA780" s="1351"/>
      <c r="AB780" s="1350"/>
      <c r="AC780" s="1350"/>
      <c r="AD780" s="1350"/>
      <c r="AE780" s="1350"/>
      <c r="AF780" s="1350"/>
      <c r="AG780" s="1350"/>
      <c r="AH780" s="1350"/>
      <c r="AI780" s="1350"/>
      <c r="AJ780" s="1350"/>
      <c r="AK780" s="1350"/>
    </row>
    <row r="781">
      <c r="A781" s="1350"/>
      <c r="B781" s="1350"/>
      <c r="C781" s="1350"/>
      <c r="D781" s="1350"/>
      <c r="E781" s="1350"/>
      <c r="F781" s="1350"/>
      <c r="G781" s="1350"/>
      <c r="H781" s="1350"/>
      <c r="I781" s="1350"/>
      <c r="J781" s="1350"/>
      <c r="K781" s="1350"/>
      <c r="L781" s="1350"/>
      <c r="M781" s="1350"/>
      <c r="N781" s="1350"/>
      <c r="O781" s="1350"/>
      <c r="P781" s="1354"/>
      <c r="Q781" s="1355"/>
      <c r="R781" s="1355"/>
      <c r="S781" s="1350"/>
      <c r="T781" s="1349"/>
      <c r="U781" s="1348"/>
      <c r="V781" s="1348"/>
      <c r="W781" s="1349"/>
      <c r="X781" s="1350"/>
      <c r="Y781" s="1350"/>
      <c r="Z781" s="1349"/>
      <c r="AA781" s="1351"/>
      <c r="AB781" s="1350"/>
      <c r="AC781" s="1350"/>
      <c r="AD781" s="1350"/>
      <c r="AE781" s="1350"/>
      <c r="AF781" s="1350"/>
      <c r="AG781" s="1350"/>
      <c r="AH781" s="1350"/>
      <c r="AI781" s="1350"/>
      <c r="AJ781" s="1350"/>
      <c r="AK781" s="1350"/>
    </row>
    <row r="782">
      <c r="A782" s="1350"/>
      <c r="B782" s="1350"/>
      <c r="C782" s="1350"/>
      <c r="D782" s="1350"/>
      <c r="E782" s="1350"/>
      <c r="F782" s="1350"/>
      <c r="G782" s="1350"/>
      <c r="H782" s="1350"/>
      <c r="I782" s="1350"/>
      <c r="J782" s="1350"/>
      <c r="K782" s="1350"/>
      <c r="L782" s="1350"/>
      <c r="M782" s="1350"/>
      <c r="N782" s="1350"/>
      <c r="O782" s="1350"/>
      <c r="P782" s="1354"/>
      <c r="Q782" s="1355"/>
      <c r="R782" s="1355"/>
      <c r="S782" s="1350"/>
      <c r="T782" s="1349"/>
      <c r="U782" s="1348"/>
      <c r="V782" s="1348"/>
      <c r="W782" s="1349"/>
      <c r="X782" s="1350"/>
      <c r="Y782" s="1350"/>
      <c r="Z782" s="1349"/>
      <c r="AA782" s="1351"/>
      <c r="AB782" s="1350"/>
      <c r="AC782" s="1350"/>
      <c r="AD782" s="1350"/>
      <c r="AE782" s="1350"/>
      <c r="AF782" s="1350"/>
      <c r="AG782" s="1350"/>
      <c r="AH782" s="1350"/>
      <c r="AI782" s="1350"/>
      <c r="AJ782" s="1350"/>
      <c r="AK782" s="1350"/>
    </row>
    <row r="783">
      <c r="A783" s="1350"/>
      <c r="B783" s="1350"/>
      <c r="C783" s="1350"/>
      <c r="D783" s="1350"/>
      <c r="E783" s="1350"/>
      <c r="F783" s="1350"/>
      <c r="G783" s="1350"/>
      <c r="H783" s="1350"/>
      <c r="I783" s="1350"/>
      <c r="J783" s="1350"/>
      <c r="K783" s="1350"/>
      <c r="L783" s="1350"/>
      <c r="M783" s="1350"/>
      <c r="N783" s="1350"/>
      <c r="O783" s="1350"/>
      <c r="P783" s="1354"/>
      <c r="Q783" s="1355"/>
      <c r="R783" s="1355"/>
      <c r="S783" s="1350"/>
      <c r="T783" s="1349"/>
      <c r="U783" s="1348"/>
      <c r="V783" s="1348"/>
      <c r="W783" s="1349"/>
      <c r="X783" s="1350"/>
      <c r="Y783" s="1350"/>
      <c r="Z783" s="1349"/>
      <c r="AA783" s="1351"/>
      <c r="AB783" s="1350"/>
      <c r="AC783" s="1350"/>
      <c r="AD783" s="1350"/>
      <c r="AE783" s="1350"/>
      <c r="AF783" s="1350"/>
      <c r="AG783" s="1350"/>
      <c r="AH783" s="1350"/>
      <c r="AI783" s="1350"/>
      <c r="AJ783" s="1350"/>
      <c r="AK783" s="1350"/>
    </row>
    <row r="784">
      <c r="A784" s="1350"/>
      <c r="B784" s="1350"/>
      <c r="C784" s="1350"/>
      <c r="D784" s="1350"/>
      <c r="E784" s="1350"/>
      <c r="F784" s="1350"/>
      <c r="G784" s="1350"/>
      <c r="H784" s="1350"/>
      <c r="I784" s="1350"/>
      <c r="J784" s="1350"/>
      <c r="K784" s="1350"/>
      <c r="L784" s="1350"/>
      <c r="M784" s="1350"/>
      <c r="N784" s="1350"/>
      <c r="O784" s="1350"/>
      <c r="P784" s="1354"/>
      <c r="Q784" s="1355"/>
      <c r="R784" s="1355"/>
      <c r="S784" s="1350"/>
      <c r="T784" s="1349"/>
      <c r="U784" s="1348"/>
      <c r="V784" s="1348"/>
      <c r="W784" s="1349"/>
      <c r="X784" s="1350"/>
      <c r="Y784" s="1350"/>
      <c r="Z784" s="1349"/>
      <c r="AA784" s="1351"/>
      <c r="AB784" s="1350"/>
      <c r="AC784" s="1350"/>
      <c r="AD784" s="1350"/>
      <c r="AE784" s="1350"/>
      <c r="AF784" s="1350"/>
      <c r="AG784" s="1350"/>
      <c r="AH784" s="1350"/>
      <c r="AI784" s="1350"/>
      <c r="AJ784" s="1350"/>
      <c r="AK784" s="1350"/>
    </row>
    <row r="785">
      <c r="A785" s="1350"/>
      <c r="B785" s="1350"/>
      <c r="C785" s="1350"/>
      <c r="D785" s="1350"/>
      <c r="E785" s="1350"/>
      <c r="F785" s="1350"/>
      <c r="G785" s="1350"/>
      <c r="H785" s="1350"/>
      <c r="I785" s="1350"/>
      <c r="J785" s="1350"/>
      <c r="K785" s="1350"/>
      <c r="L785" s="1350"/>
      <c r="M785" s="1350"/>
      <c r="N785" s="1350"/>
      <c r="O785" s="1350"/>
      <c r="P785" s="1354"/>
      <c r="Q785" s="1355"/>
      <c r="R785" s="1355"/>
      <c r="S785" s="1350"/>
      <c r="T785" s="1349"/>
      <c r="U785" s="1348"/>
      <c r="V785" s="1348"/>
      <c r="W785" s="1349"/>
      <c r="X785" s="1350"/>
      <c r="Y785" s="1350"/>
      <c r="Z785" s="1349"/>
      <c r="AA785" s="1351"/>
      <c r="AB785" s="1350"/>
      <c r="AC785" s="1350"/>
      <c r="AD785" s="1350"/>
      <c r="AE785" s="1350"/>
      <c r="AF785" s="1350"/>
      <c r="AG785" s="1350"/>
      <c r="AH785" s="1350"/>
      <c r="AI785" s="1350"/>
      <c r="AJ785" s="1350"/>
      <c r="AK785" s="1350"/>
    </row>
    <row r="786">
      <c r="A786" s="1350"/>
      <c r="B786" s="1350"/>
      <c r="C786" s="1350"/>
      <c r="D786" s="1350"/>
      <c r="E786" s="1350"/>
      <c r="F786" s="1350"/>
      <c r="G786" s="1350"/>
      <c r="H786" s="1350"/>
      <c r="I786" s="1350"/>
      <c r="J786" s="1350"/>
      <c r="K786" s="1350"/>
      <c r="L786" s="1350"/>
      <c r="M786" s="1350"/>
      <c r="N786" s="1350"/>
      <c r="O786" s="1350"/>
      <c r="P786" s="1354"/>
      <c r="Q786" s="1355"/>
      <c r="R786" s="1355"/>
      <c r="S786" s="1350"/>
      <c r="T786" s="1349"/>
      <c r="U786" s="1348"/>
      <c r="V786" s="1348"/>
      <c r="W786" s="1349"/>
      <c r="X786" s="1350"/>
      <c r="Y786" s="1350"/>
      <c r="Z786" s="1349"/>
      <c r="AA786" s="1351"/>
      <c r="AB786" s="1350"/>
      <c r="AC786" s="1350"/>
      <c r="AD786" s="1350"/>
      <c r="AE786" s="1350"/>
      <c r="AF786" s="1350"/>
      <c r="AG786" s="1350"/>
      <c r="AH786" s="1350"/>
      <c r="AI786" s="1350"/>
      <c r="AJ786" s="1350"/>
      <c r="AK786" s="1350"/>
    </row>
    <row r="787">
      <c r="A787" s="1350"/>
      <c r="B787" s="1350"/>
      <c r="C787" s="1350"/>
      <c r="D787" s="1350"/>
      <c r="E787" s="1350"/>
      <c r="F787" s="1350"/>
      <c r="G787" s="1350"/>
      <c r="H787" s="1350"/>
      <c r="I787" s="1350"/>
      <c r="J787" s="1350"/>
      <c r="K787" s="1350"/>
      <c r="L787" s="1350"/>
      <c r="M787" s="1350"/>
      <c r="N787" s="1350"/>
      <c r="O787" s="1350"/>
      <c r="P787" s="1354"/>
      <c r="Q787" s="1355"/>
      <c r="R787" s="1355"/>
      <c r="S787" s="1350"/>
      <c r="T787" s="1349"/>
      <c r="U787" s="1348"/>
      <c r="V787" s="1348"/>
      <c r="W787" s="1349"/>
      <c r="X787" s="1350"/>
      <c r="Y787" s="1350"/>
      <c r="Z787" s="1349"/>
      <c r="AA787" s="1351"/>
      <c r="AB787" s="1350"/>
      <c r="AC787" s="1350"/>
      <c r="AD787" s="1350"/>
      <c r="AE787" s="1350"/>
      <c r="AF787" s="1350"/>
      <c r="AG787" s="1350"/>
      <c r="AH787" s="1350"/>
      <c r="AI787" s="1350"/>
      <c r="AJ787" s="1350"/>
      <c r="AK787" s="1350"/>
    </row>
    <row r="788">
      <c r="A788" s="1350"/>
      <c r="B788" s="1350"/>
      <c r="C788" s="1350"/>
      <c r="D788" s="1350"/>
      <c r="E788" s="1350"/>
      <c r="F788" s="1350"/>
      <c r="G788" s="1350"/>
      <c r="H788" s="1350"/>
      <c r="I788" s="1350"/>
      <c r="J788" s="1350"/>
      <c r="K788" s="1350"/>
      <c r="L788" s="1350"/>
      <c r="M788" s="1350"/>
      <c r="N788" s="1350"/>
      <c r="O788" s="1350"/>
      <c r="P788" s="1354"/>
      <c r="Q788" s="1355"/>
      <c r="R788" s="1355"/>
      <c r="S788" s="1350"/>
      <c r="T788" s="1349"/>
      <c r="U788" s="1348"/>
      <c r="V788" s="1348"/>
      <c r="W788" s="1349"/>
      <c r="X788" s="1350"/>
      <c r="Y788" s="1350"/>
      <c r="Z788" s="1349"/>
      <c r="AA788" s="1351"/>
      <c r="AB788" s="1350"/>
      <c r="AC788" s="1350"/>
      <c r="AD788" s="1350"/>
      <c r="AE788" s="1350"/>
      <c r="AF788" s="1350"/>
      <c r="AG788" s="1350"/>
      <c r="AH788" s="1350"/>
      <c r="AI788" s="1350"/>
      <c r="AJ788" s="1350"/>
      <c r="AK788" s="1350"/>
    </row>
    <row r="789">
      <c r="A789" s="1350"/>
      <c r="B789" s="1350"/>
      <c r="C789" s="1350"/>
      <c r="D789" s="1350"/>
      <c r="E789" s="1350"/>
      <c r="F789" s="1350"/>
      <c r="G789" s="1350"/>
      <c r="H789" s="1350"/>
      <c r="I789" s="1350"/>
      <c r="J789" s="1350"/>
      <c r="K789" s="1350"/>
      <c r="L789" s="1350"/>
      <c r="M789" s="1350"/>
      <c r="N789" s="1350"/>
      <c r="O789" s="1350"/>
      <c r="P789" s="1354"/>
      <c r="Q789" s="1355"/>
      <c r="R789" s="1355"/>
      <c r="S789" s="1350"/>
      <c r="T789" s="1349"/>
      <c r="U789" s="1348"/>
      <c r="V789" s="1348"/>
      <c r="W789" s="1349"/>
      <c r="X789" s="1350"/>
      <c r="Y789" s="1350"/>
      <c r="Z789" s="1349"/>
      <c r="AA789" s="1351"/>
      <c r="AB789" s="1350"/>
      <c r="AC789" s="1350"/>
      <c r="AD789" s="1350"/>
      <c r="AE789" s="1350"/>
      <c r="AF789" s="1350"/>
      <c r="AG789" s="1350"/>
      <c r="AH789" s="1350"/>
      <c r="AI789" s="1350"/>
      <c r="AJ789" s="1350"/>
      <c r="AK789" s="1350"/>
    </row>
    <row r="790">
      <c r="A790" s="1350"/>
      <c r="B790" s="1350"/>
      <c r="C790" s="1350"/>
      <c r="D790" s="1350"/>
      <c r="E790" s="1350"/>
      <c r="F790" s="1350"/>
      <c r="G790" s="1350"/>
      <c r="H790" s="1350"/>
      <c r="I790" s="1350"/>
      <c r="J790" s="1350"/>
      <c r="K790" s="1350"/>
      <c r="L790" s="1350"/>
      <c r="M790" s="1350"/>
      <c r="N790" s="1350"/>
      <c r="O790" s="1350"/>
      <c r="P790" s="1354"/>
      <c r="Q790" s="1355"/>
      <c r="R790" s="1355"/>
      <c r="S790" s="1350"/>
      <c r="T790" s="1349"/>
      <c r="U790" s="1348"/>
      <c r="V790" s="1348"/>
      <c r="W790" s="1349"/>
      <c r="X790" s="1350"/>
      <c r="Y790" s="1350"/>
      <c r="Z790" s="1349"/>
      <c r="AA790" s="1351"/>
      <c r="AB790" s="1350"/>
      <c r="AC790" s="1350"/>
      <c r="AD790" s="1350"/>
      <c r="AE790" s="1350"/>
      <c r="AF790" s="1350"/>
      <c r="AG790" s="1350"/>
      <c r="AH790" s="1350"/>
      <c r="AI790" s="1350"/>
      <c r="AJ790" s="1350"/>
      <c r="AK790" s="1350"/>
    </row>
    <row r="791">
      <c r="A791" s="1350"/>
      <c r="B791" s="1350"/>
      <c r="C791" s="1350"/>
      <c r="D791" s="1350"/>
      <c r="E791" s="1350"/>
      <c r="F791" s="1350"/>
      <c r="G791" s="1350"/>
      <c r="H791" s="1350"/>
      <c r="I791" s="1350"/>
      <c r="J791" s="1350"/>
      <c r="K791" s="1350"/>
      <c r="L791" s="1350"/>
      <c r="M791" s="1350"/>
      <c r="N791" s="1350"/>
      <c r="O791" s="1350"/>
      <c r="P791" s="1354"/>
      <c r="Q791" s="1355"/>
      <c r="R791" s="1355"/>
      <c r="S791" s="1350"/>
      <c r="T791" s="1349"/>
      <c r="U791" s="1348"/>
      <c r="V791" s="1348"/>
      <c r="W791" s="1349"/>
      <c r="X791" s="1350"/>
      <c r="Y791" s="1350"/>
      <c r="Z791" s="1349"/>
      <c r="AA791" s="1351"/>
      <c r="AB791" s="1350"/>
      <c r="AC791" s="1350"/>
      <c r="AD791" s="1350"/>
      <c r="AE791" s="1350"/>
      <c r="AF791" s="1350"/>
      <c r="AG791" s="1350"/>
      <c r="AH791" s="1350"/>
      <c r="AI791" s="1350"/>
      <c r="AJ791" s="1350"/>
      <c r="AK791" s="1350"/>
    </row>
    <row r="792">
      <c r="A792" s="1350"/>
      <c r="B792" s="1350"/>
      <c r="C792" s="1350"/>
      <c r="D792" s="1350"/>
      <c r="E792" s="1350"/>
      <c r="F792" s="1350"/>
      <c r="G792" s="1350"/>
      <c r="H792" s="1350"/>
      <c r="I792" s="1350"/>
      <c r="J792" s="1350"/>
      <c r="K792" s="1350"/>
      <c r="L792" s="1350"/>
      <c r="M792" s="1350"/>
      <c r="N792" s="1350"/>
      <c r="O792" s="1350"/>
      <c r="P792" s="1354"/>
      <c r="Q792" s="1355"/>
      <c r="R792" s="1355"/>
      <c r="S792" s="1350"/>
      <c r="T792" s="1349"/>
      <c r="U792" s="1348"/>
      <c r="V792" s="1348"/>
      <c r="W792" s="1349"/>
      <c r="X792" s="1350"/>
      <c r="Y792" s="1350"/>
      <c r="Z792" s="1349"/>
      <c r="AA792" s="1351"/>
      <c r="AB792" s="1350"/>
      <c r="AC792" s="1350"/>
      <c r="AD792" s="1350"/>
      <c r="AE792" s="1350"/>
      <c r="AF792" s="1350"/>
      <c r="AG792" s="1350"/>
      <c r="AH792" s="1350"/>
      <c r="AI792" s="1350"/>
      <c r="AJ792" s="1350"/>
      <c r="AK792" s="1350"/>
    </row>
    <row r="793">
      <c r="A793" s="1350"/>
      <c r="B793" s="1350"/>
      <c r="C793" s="1350"/>
      <c r="D793" s="1350"/>
      <c r="E793" s="1350"/>
      <c r="F793" s="1350"/>
      <c r="G793" s="1350"/>
      <c r="H793" s="1350"/>
      <c r="I793" s="1350"/>
      <c r="J793" s="1350"/>
      <c r="K793" s="1350"/>
      <c r="L793" s="1350"/>
      <c r="M793" s="1350"/>
      <c r="N793" s="1350"/>
      <c r="O793" s="1350"/>
      <c r="P793" s="1354"/>
      <c r="Q793" s="1355"/>
      <c r="R793" s="1355"/>
      <c r="S793" s="1350"/>
      <c r="T793" s="1349"/>
      <c r="U793" s="1348"/>
      <c r="V793" s="1348"/>
      <c r="W793" s="1349"/>
      <c r="X793" s="1350"/>
      <c r="Y793" s="1350"/>
      <c r="Z793" s="1349"/>
      <c r="AA793" s="1351"/>
      <c r="AB793" s="1350"/>
      <c r="AC793" s="1350"/>
      <c r="AD793" s="1350"/>
      <c r="AE793" s="1350"/>
      <c r="AF793" s="1350"/>
      <c r="AG793" s="1350"/>
      <c r="AH793" s="1350"/>
      <c r="AI793" s="1350"/>
      <c r="AJ793" s="1350"/>
      <c r="AK793" s="1350"/>
    </row>
    <row r="794">
      <c r="A794" s="1350"/>
      <c r="B794" s="1350"/>
      <c r="C794" s="1350"/>
      <c r="D794" s="1350"/>
      <c r="E794" s="1350"/>
      <c r="F794" s="1350"/>
      <c r="G794" s="1350"/>
      <c r="H794" s="1350"/>
      <c r="I794" s="1350"/>
      <c r="J794" s="1350"/>
      <c r="K794" s="1350"/>
      <c r="L794" s="1350"/>
      <c r="M794" s="1350"/>
      <c r="N794" s="1350"/>
      <c r="O794" s="1350"/>
      <c r="P794" s="1354"/>
      <c r="Q794" s="1355"/>
      <c r="R794" s="1355"/>
      <c r="S794" s="1350"/>
      <c r="T794" s="1349"/>
      <c r="U794" s="1348"/>
      <c r="V794" s="1348"/>
      <c r="W794" s="1349"/>
      <c r="X794" s="1350"/>
      <c r="Y794" s="1350"/>
      <c r="Z794" s="1349"/>
      <c r="AA794" s="1351"/>
      <c r="AB794" s="1350"/>
      <c r="AC794" s="1350"/>
      <c r="AD794" s="1350"/>
      <c r="AE794" s="1350"/>
      <c r="AF794" s="1350"/>
      <c r="AG794" s="1350"/>
      <c r="AH794" s="1350"/>
      <c r="AI794" s="1350"/>
      <c r="AJ794" s="1350"/>
      <c r="AK794" s="1350"/>
    </row>
    <row r="795">
      <c r="A795" s="1350"/>
      <c r="B795" s="1350"/>
      <c r="C795" s="1350"/>
      <c r="D795" s="1350"/>
      <c r="E795" s="1350"/>
      <c r="F795" s="1350"/>
      <c r="G795" s="1350"/>
      <c r="H795" s="1350"/>
      <c r="I795" s="1350"/>
      <c r="J795" s="1350"/>
      <c r="K795" s="1350"/>
      <c r="L795" s="1350"/>
      <c r="M795" s="1350"/>
      <c r="N795" s="1350"/>
      <c r="O795" s="1350"/>
      <c r="P795" s="1354"/>
      <c r="Q795" s="1355"/>
      <c r="R795" s="1355"/>
      <c r="S795" s="1350"/>
      <c r="T795" s="1349"/>
      <c r="U795" s="1348"/>
      <c r="V795" s="1348"/>
      <c r="W795" s="1349"/>
      <c r="X795" s="1350"/>
      <c r="Y795" s="1350"/>
      <c r="Z795" s="1349"/>
      <c r="AA795" s="1351"/>
      <c r="AB795" s="1350"/>
      <c r="AC795" s="1350"/>
      <c r="AD795" s="1350"/>
      <c r="AE795" s="1350"/>
      <c r="AF795" s="1350"/>
      <c r="AG795" s="1350"/>
      <c r="AH795" s="1350"/>
      <c r="AI795" s="1350"/>
      <c r="AJ795" s="1350"/>
      <c r="AK795" s="1350"/>
    </row>
    <row r="796">
      <c r="A796" s="1350"/>
      <c r="B796" s="1350"/>
      <c r="C796" s="1350"/>
      <c r="D796" s="1350"/>
      <c r="E796" s="1350"/>
      <c r="F796" s="1350"/>
      <c r="G796" s="1350"/>
      <c r="H796" s="1350"/>
      <c r="I796" s="1350"/>
      <c r="J796" s="1350"/>
      <c r="K796" s="1350"/>
      <c r="L796" s="1350"/>
      <c r="M796" s="1350"/>
      <c r="N796" s="1350"/>
      <c r="O796" s="1350"/>
      <c r="P796" s="1354"/>
      <c r="Q796" s="1355"/>
      <c r="R796" s="1355"/>
      <c r="S796" s="1350"/>
      <c r="T796" s="1349"/>
      <c r="U796" s="1348"/>
      <c r="V796" s="1348"/>
      <c r="W796" s="1349"/>
      <c r="X796" s="1350"/>
      <c r="Y796" s="1350"/>
      <c r="Z796" s="1349"/>
      <c r="AA796" s="1351"/>
      <c r="AB796" s="1350"/>
      <c r="AC796" s="1350"/>
      <c r="AD796" s="1350"/>
      <c r="AE796" s="1350"/>
      <c r="AF796" s="1350"/>
      <c r="AG796" s="1350"/>
      <c r="AH796" s="1350"/>
      <c r="AI796" s="1350"/>
      <c r="AJ796" s="1350"/>
      <c r="AK796" s="1350"/>
    </row>
    <row r="797">
      <c r="A797" s="1350"/>
      <c r="B797" s="1350"/>
      <c r="C797" s="1350"/>
      <c r="D797" s="1350"/>
      <c r="E797" s="1350"/>
      <c r="F797" s="1350"/>
      <c r="G797" s="1350"/>
      <c r="H797" s="1350"/>
      <c r="I797" s="1350"/>
      <c r="J797" s="1350"/>
      <c r="K797" s="1350"/>
      <c r="L797" s="1350"/>
      <c r="M797" s="1350"/>
      <c r="N797" s="1350"/>
      <c r="O797" s="1350"/>
      <c r="P797" s="1354"/>
      <c r="Q797" s="1355"/>
      <c r="R797" s="1355"/>
      <c r="S797" s="1350"/>
      <c r="T797" s="1349"/>
      <c r="U797" s="1348"/>
      <c r="V797" s="1348"/>
      <c r="W797" s="1349"/>
      <c r="X797" s="1350"/>
      <c r="Y797" s="1350"/>
      <c r="Z797" s="1349"/>
      <c r="AA797" s="1351"/>
      <c r="AB797" s="1350"/>
      <c r="AC797" s="1350"/>
      <c r="AD797" s="1350"/>
      <c r="AE797" s="1350"/>
      <c r="AF797" s="1350"/>
      <c r="AG797" s="1350"/>
      <c r="AH797" s="1350"/>
      <c r="AI797" s="1350"/>
      <c r="AJ797" s="1350"/>
      <c r="AK797" s="1350"/>
    </row>
    <row r="798">
      <c r="A798" s="1350"/>
      <c r="B798" s="1350"/>
      <c r="C798" s="1350"/>
      <c r="D798" s="1350"/>
      <c r="E798" s="1350"/>
      <c r="F798" s="1350"/>
      <c r="G798" s="1350"/>
      <c r="H798" s="1350"/>
      <c r="I798" s="1350"/>
      <c r="J798" s="1350"/>
      <c r="K798" s="1350"/>
      <c r="L798" s="1350"/>
      <c r="M798" s="1350"/>
      <c r="N798" s="1350"/>
      <c r="O798" s="1350"/>
      <c r="P798" s="1354"/>
      <c r="Q798" s="1355"/>
      <c r="R798" s="1355"/>
      <c r="S798" s="1350"/>
      <c r="T798" s="1349"/>
      <c r="U798" s="1348"/>
      <c r="V798" s="1348"/>
      <c r="W798" s="1349"/>
      <c r="X798" s="1350"/>
      <c r="Y798" s="1350"/>
      <c r="Z798" s="1349"/>
      <c r="AA798" s="1351"/>
      <c r="AB798" s="1350"/>
      <c r="AC798" s="1350"/>
      <c r="AD798" s="1350"/>
      <c r="AE798" s="1350"/>
      <c r="AF798" s="1350"/>
      <c r="AG798" s="1350"/>
      <c r="AH798" s="1350"/>
      <c r="AI798" s="1350"/>
      <c r="AJ798" s="1350"/>
      <c r="AK798" s="1350"/>
    </row>
    <row r="799">
      <c r="A799" s="1350"/>
      <c r="B799" s="1350"/>
      <c r="C799" s="1350"/>
      <c r="D799" s="1350"/>
      <c r="E799" s="1350"/>
      <c r="F799" s="1350"/>
      <c r="G799" s="1350"/>
      <c r="H799" s="1350"/>
      <c r="I799" s="1350"/>
      <c r="J799" s="1350"/>
      <c r="K799" s="1350"/>
      <c r="L799" s="1350"/>
      <c r="M799" s="1350"/>
      <c r="N799" s="1350"/>
      <c r="O799" s="1350"/>
      <c r="P799" s="1354"/>
      <c r="Q799" s="1355"/>
      <c r="R799" s="1355"/>
      <c r="S799" s="1350"/>
      <c r="T799" s="1349"/>
      <c r="U799" s="1348"/>
      <c r="V799" s="1348"/>
      <c r="W799" s="1349"/>
      <c r="X799" s="1350"/>
      <c r="Y799" s="1350"/>
      <c r="Z799" s="1349"/>
      <c r="AA799" s="1351"/>
      <c r="AB799" s="1350"/>
      <c r="AC799" s="1350"/>
      <c r="AD799" s="1350"/>
      <c r="AE799" s="1350"/>
      <c r="AF799" s="1350"/>
      <c r="AG799" s="1350"/>
      <c r="AH799" s="1350"/>
      <c r="AI799" s="1350"/>
      <c r="AJ799" s="1350"/>
      <c r="AK799" s="1350"/>
    </row>
    <row r="800">
      <c r="A800" s="1350"/>
      <c r="B800" s="1350"/>
      <c r="C800" s="1350"/>
      <c r="D800" s="1350"/>
      <c r="E800" s="1350"/>
      <c r="F800" s="1350"/>
      <c r="G800" s="1350"/>
      <c r="H800" s="1350"/>
      <c r="I800" s="1350"/>
      <c r="J800" s="1350"/>
      <c r="K800" s="1350"/>
      <c r="L800" s="1350"/>
      <c r="M800" s="1350"/>
      <c r="N800" s="1350"/>
      <c r="O800" s="1350"/>
      <c r="P800" s="1354"/>
      <c r="Q800" s="1355"/>
      <c r="R800" s="1355"/>
      <c r="S800" s="1350"/>
      <c r="T800" s="1349"/>
      <c r="U800" s="1348"/>
      <c r="V800" s="1348"/>
      <c r="W800" s="1349"/>
      <c r="X800" s="1350"/>
      <c r="Y800" s="1350"/>
      <c r="Z800" s="1349"/>
      <c r="AA800" s="1351"/>
      <c r="AB800" s="1350"/>
      <c r="AC800" s="1350"/>
      <c r="AD800" s="1350"/>
      <c r="AE800" s="1350"/>
      <c r="AF800" s="1350"/>
      <c r="AG800" s="1350"/>
      <c r="AH800" s="1350"/>
      <c r="AI800" s="1350"/>
      <c r="AJ800" s="1350"/>
      <c r="AK800" s="1350"/>
    </row>
    <row r="801">
      <c r="A801" s="1350"/>
      <c r="B801" s="1350"/>
      <c r="C801" s="1350"/>
      <c r="D801" s="1350"/>
      <c r="E801" s="1350"/>
      <c r="F801" s="1350"/>
      <c r="G801" s="1350"/>
      <c r="H801" s="1350"/>
      <c r="I801" s="1350"/>
      <c r="J801" s="1350"/>
      <c r="K801" s="1350"/>
      <c r="L801" s="1350"/>
      <c r="M801" s="1350"/>
      <c r="N801" s="1350"/>
      <c r="O801" s="1350"/>
      <c r="P801" s="1354"/>
      <c r="Q801" s="1355"/>
      <c r="R801" s="1355"/>
      <c r="S801" s="1350"/>
      <c r="T801" s="1349"/>
      <c r="U801" s="1348"/>
      <c r="V801" s="1348"/>
      <c r="W801" s="1349"/>
      <c r="X801" s="1350"/>
      <c r="Y801" s="1350"/>
      <c r="Z801" s="1349"/>
      <c r="AA801" s="1351"/>
      <c r="AB801" s="1350"/>
      <c r="AC801" s="1350"/>
      <c r="AD801" s="1350"/>
      <c r="AE801" s="1350"/>
      <c r="AF801" s="1350"/>
      <c r="AG801" s="1350"/>
      <c r="AH801" s="1350"/>
      <c r="AI801" s="1350"/>
      <c r="AJ801" s="1350"/>
      <c r="AK801" s="1350"/>
    </row>
    <row r="802">
      <c r="A802" s="1350"/>
      <c r="B802" s="1350"/>
      <c r="C802" s="1350"/>
      <c r="D802" s="1350"/>
      <c r="E802" s="1350"/>
      <c r="F802" s="1350"/>
      <c r="G802" s="1350"/>
      <c r="H802" s="1350"/>
      <c r="I802" s="1350"/>
      <c r="J802" s="1350"/>
      <c r="K802" s="1350"/>
      <c r="L802" s="1350"/>
      <c r="M802" s="1350"/>
      <c r="N802" s="1350"/>
      <c r="O802" s="1350"/>
      <c r="P802" s="1354"/>
      <c r="Q802" s="1355"/>
      <c r="R802" s="1355"/>
      <c r="S802" s="1350"/>
      <c r="T802" s="1349"/>
      <c r="U802" s="1348"/>
      <c r="V802" s="1348"/>
      <c r="W802" s="1349"/>
      <c r="X802" s="1350"/>
      <c r="Y802" s="1350"/>
      <c r="Z802" s="1349"/>
      <c r="AA802" s="1351"/>
      <c r="AB802" s="1350"/>
      <c r="AC802" s="1350"/>
      <c r="AD802" s="1350"/>
      <c r="AE802" s="1350"/>
      <c r="AF802" s="1350"/>
      <c r="AG802" s="1350"/>
      <c r="AH802" s="1350"/>
      <c r="AI802" s="1350"/>
      <c r="AJ802" s="1350"/>
      <c r="AK802" s="1350"/>
    </row>
    <row r="803">
      <c r="A803" s="1350"/>
      <c r="B803" s="1350"/>
      <c r="C803" s="1350"/>
      <c r="D803" s="1350"/>
      <c r="E803" s="1350"/>
      <c r="F803" s="1350"/>
      <c r="G803" s="1350"/>
      <c r="H803" s="1350"/>
      <c r="I803" s="1350"/>
      <c r="J803" s="1350"/>
      <c r="K803" s="1350"/>
      <c r="L803" s="1350"/>
      <c r="M803" s="1350"/>
      <c r="N803" s="1350"/>
      <c r="O803" s="1350"/>
      <c r="P803" s="1354"/>
      <c r="Q803" s="1355"/>
      <c r="R803" s="1355"/>
      <c r="S803" s="1350"/>
      <c r="T803" s="1349"/>
      <c r="U803" s="1348"/>
      <c r="V803" s="1348"/>
      <c r="W803" s="1349"/>
      <c r="X803" s="1350"/>
      <c r="Y803" s="1350"/>
      <c r="Z803" s="1349"/>
      <c r="AA803" s="1351"/>
      <c r="AB803" s="1350"/>
      <c r="AC803" s="1350"/>
      <c r="AD803" s="1350"/>
      <c r="AE803" s="1350"/>
      <c r="AF803" s="1350"/>
      <c r="AG803" s="1350"/>
      <c r="AH803" s="1350"/>
      <c r="AI803" s="1350"/>
      <c r="AJ803" s="1350"/>
      <c r="AK803" s="1350"/>
    </row>
    <row r="804">
      <c r="A804" s="1350"/>
      <c r="B804" s="1350"/>
      <c r="C804" s="1350"/>
      <c r="D804" s="1350"/>
      <c r="E804" s="1350"/>
      <c r="F804" s="1350"/>
      <c r="G804" s="1350"/>
      <c r="H804" s="1350"/>
      <c r="I804" s="1350"/>
      <c r="J804" s="1350"/>
      <c r="K804" s="1350"/>
      <c r="L804" s="1350"/>
      <c r="M804" s="1350"/>
      <c r="N804" s="1350"/>
      <c r="O804" s="1350"/>
      <c r="P804" s="1354"/>
      <c r="Q804" s="1355"/>
      <c r="R804" s="1355"/>
      <c r="S804" s="1350"/>
      <c r="T804" s="1349"/>
      <c r="U804" s="1348"/>
      <c r="V804" s="1348"/>
      <c r="W804" s="1349"/>
      <c r="X804" s="1350"/>
      <c r="Y804" s="1350"/>
      <c r="Z804" s="1349"/>
      <c r="AA804" s="1351"/>
      <c r="AB804" s="1350"/>
      <c r="AC804" s="1350"/>
      <c r="AD804" s="1350"/>
      <c r="AE804" s="1350"/>
      <c r="AF804" s="1350"/>
      <c r="AG804" s="1350"/>
      <c r="AH804" s="1350"/>
      <c r="AI804" s="1350"/>
      <c r="AJ804" s="1350"/>
      <c r="AK804" s="1350"/>
    </row>
    <row r="805">
      <c r="A805" s="1350"/>
      <c r="B805" s="1350"/>
      <c r="C805" s="1350"/>
      <c r="D805" s="1350"/>
      <c r="E805" s="1350"/>
      <c r="F805" s="1350"/>
      <c r="G805" s="1350"/>
      <c r="H805" s="1350"/>
      <c r="I805" s="1350"/>
      <c r="J805" s="1350"/>
      <c r="K805" s="1350"/>
      <c r="L805" s="1350"/>
      <c r="M805" s="1350"/>
      <c r="N805" s="1350"/>
      <c r="O805" s="1350"/>
      <c r="P805" s="1354"/>
      <c r="Q805" s="1355"/>
      <c r="R805" s="1355"/>
      <c r="S805" s="1350"/>
      <c r="T805" s="1349"/>
      <c r="U805" s="1348"/>
      <c r="V805" s="1348"/>
      <c r="W805" s="1349"/>
      <c r="X805" s="1350"/>
      <c r="Y805" s="1350"/>
      <c r="Z805" s="1349"/>
      <c r="AA805" s="1351"/>
      <c r="AB805" s="1350"/>
      <c r="AC805" s="1350"/>
      <c r="AD805" s="1350"/>
      <c r="AE805" s="1350"/>
      <c r="AF805" s="1350"/>
      <c r="AG805" s="1350"/>
      <c r="AH805" s="1350"/>
      <c r="AI805" s="1350"/>
      <c r="AJ805" s="1350"/>
      <c r="AK805" s="1350"/>
    </row>
    <row r="806">
      <c r="A806" s="1350"/>
      <c r="B806" s="1350"/>
      <c r="C806" s="1350"/>
      <c r="D806" s="1350"/>
      <c r="E806" s="1350"/>
      <c r="F806" s="1350"/>
      <c r="G806" s="1350"/>
      <c r="H806" s="1350"/>
      <c r="I806" s="1350"/>
      <c r="J806" s="1350"/>
      <c r="K806" s="1350"/>
      <c r="L806" s="1350"/>
      <c r="M806" s="1350"/>
      <c r="N806" s="1350"/>
      <c r="O806" s="1350"/>
      <c r="P806" s="1354"/>
      <c r="Q806" s="1355"/>
      <c r="R806" s="1355"/>
      <c r="S806" s="1350"/>
      <c r="T806" s="1349"/>
      <c r="U806" s="1348"/>
      <c r="V806" s="1348"/>
      <c r="W806" s="1349"/>
      <c r="X806" s="1350"/>
      <c r="Y806" s="1350"/>
      <c r="Z806" s="1349"/>
      <c r="AA806" s="1351"/>
      <c r="AB806" s="1350"/>
      <c r="AC806" s="1350"/>
      <c r="AD806" s="1350"/>
      <c r="AE806" s="1350"/>
      <c r="AF806" s="1350"/>
      <c r="AG806" s="1350"/>
      <c r="AH806" s="1350"/>
      <c r="AI806" s="1350"/>
      <c r="AJ806" s="1350"/>
      <c r="AK806" s="1350"/>
    </row>
    <row r="807">
      <c r="A807" s="1350"/>
      <c r="B807" s="1350"/>
      <c r="C807" s="1350"/>
      <c r="D807" s="1350"/>
      <c r="E807" s="1350"/>
      <c r="F807" s="1350"/>
      <c r="G807" s="1350"/>
      <c r="H807" s="1350"/>
      <c r="I807" s="1350"/>
      <c r="J807" s="1350"/>
      <c r="K807" s="1350"/>
      <c r="L807" s="1350"/>
      <c r="M807" s="1350"/>
      <c r="N807" s="1350"/>
      <c r="O807" s="1350"/>
      <c r="P807" s="1354"/>
      <c r="Q807" s="1355"/>
      <c r="R807" s="1355"/>
      <c r="S807" s="1350"/>
      <c r="T807" s="1349"/>
      <c r="U807" s="1348"/>
      <c r="V807" s="1348"/>
      <c r="W807" s="1349"/>
      <c r="X807" s="1350"/>
      <c r="Y807" s="1350"/>
      <c r="Z807" s="1349"/>
      <c r="AA807" s="1351"/>
      <c r="AB807" s="1350"/>
      <c r="AC807" s="1350"/>
      <c r="AD807" s="1350"/>
      <c r="AE807" s="1350"/>
      <c r="AF807" s="1350"/>
      <c r="AG807" s="1350"/>
      <c r="AH807" s="1350"/>
      <c r="AI807" s="1350"/>
      <c r="AJ807" s="1350"/>
      <c r="AK807" s="1350"/>
    </row>
    <row r="808">
      <c r="A808" s="1350"/>
      <c r="B808" s="1350"/>
      <c r="C808" s="1350"/>
      <c r="D808" s="1350"/>
      <c r="E808" s="1350"/>
      <c r="F808" s="1350"/>
      <c r="G808" s="1350"/>
      <c r="H808" s="1350"/>
      <c r="I808" s="1350"/>
      <c r="J808" s="1350"/>
      <c r="K808" s="1350"/>
      <c r="L808" s="1350"/>
      <c r="M808" s="1350"/>
      <c r="N808" s="1350"/>
      <c r="O808" s="1350"/>
      <c r="P808" s="1354"/>
      <c r="Q808" s="1355"/>
      <c r="R808" s="1355"/>
      <c r="S808" s="1350"/>
      <c r="T808" s="1349"/>
      <c r="U808" s="1348"/>
      <c r="V808" s="1348"/>
      <c r="W808" s="1349"/>
      <c r="X808" s="1350"/>
      <c r="Y808" s="1350"/>
      <c r="Z808" s="1349"/>
      <c r="AA808" s="1351"/>
      <c r="AB808" s="1350"/>
      <c r="AC808" s="1350"/>
      <c r="AD808" s="1350"/>
      <c r="AE808" s="1350"/>
      <c r="AF808" s="1350"/>
      <c r="AG808" s="1350"/>
      <c r="AH808" s="1350"/>
      <c r="AI808" s="1350"/>
      <c r="AJ808" s="1350"/>
      <c r="AK808" s="1350"/>
    </row>
    <row r="809">
      <c r="A809" s="1350"/>
      <c r="B809" s="1350"/>
      <c r="C809" s="1350"/>
      <c r="D809" s="1350"/>
      <c r="E809" s="1350"/>
      <c r="F809" s="1350"/>
      <c r="G809" s="1350"/>
      <c r="H809" s="1350"/>
      <c r="I809" s="1350"/>
      <c r="J809" s="1350"/>
      <c r="K809" s="1350"/>
      <c r="L809" s="1350"/>
      <c r="M809" s="1350"/>
      <c r="N809" s="1350"/>
      <c r="O809" s="1350"/>
      <c r="P809" s="1354"/>
      <c r="Q809" s="1355"/>
      <c r="R809" s="1355"/>
      <c r="S809" s="1350"/>
      <c r="T809" s="1349"/>
      <c r="U809" s="1348"/>
      <c r="V809" s="1348"/>
      <c r="W809" s="1349"/>
      <c r="X809" s="1350"/>
      <c r="Y809" s="1350"/>
      <c r="Z809" s="1349"/>
      <c r="AA809" s="1351"/>
      <c r="AB809" s="1350"/>
      <c r="AC809" s="1350"/>
      <c r="AD809" s="1350"/>
      <c r="AE809" s="1350"/>
      <c r="AF809" s="1350"/>
      <c r="AG809" s="1350"/>
      <c r="AH809" s="1350"/>
      <c r="AI809" s="1350"/>
      <c r="AJ809" s="1350"/>
      <c r="AK809" s="1350"/>
    </row>
    <row r="810">
      <c r="A810" s="1350"/>
      <c r="B810" s="1350"/>
      <c r="C810" s="1350"/>
      <c r="D810" s="1350"/>
      <c r="E810" s="1350"/>
      <c r="F810" s="1350"/>
      <c r="G810" s="1350"/>
      <c r="H810" s="1350"/>
      <c r="I810" s="1350"/>
      <c r="J810" s="1350"/>
      <c r="K810" s="1350"/>
      <c r="L810" s="1350"/>
      <c r="M810" s="1350"/>
      <c r="N810" s="1350"/>
      <c r="O810" s="1350"/>
      <c r="P810" s="1354"/>
      <c r="Q810" s="1355"/>
      <c r="R810" s="1355"/>
      <c r="S810" s="1350"/>
      <c r="T810" s="1349"/>
      <c r="U810" s="1348"/>
      <c r="V810" s="1348"/>
      <c r="W810" s="1349"/>
      <c r="X810" s="1350"/>
      <c r="Y810" s="1350"/>
      <c r="Z810" s="1349"/>
      <c r="AA810" s="1351"/>
      <c r="AB810" s="1350"/>
      <c r="AC810" s="1350"/>
      <c r="AD810" s="1350"/>
      <c r="AE810" s="1350"/>
      <c r="AF810" s="1350"/>
      <c r="AG810" s="1350"/>
      <c r="AH810" s="1350"/>
      <c r="AI810" s="1350"/>
      <c r="AJ810" s="1350"/>
      <c r="AK810" s="1350"/>
    </row>
    <row r="811">
      <c r="A811" s="1350"/>
      <c r="B811" s="1350"/>
      <c r="C811" s="1350"/>
      <c r="D811" s="1350"/>
      <c r="E811" s="1350"/>
      <c r="F811" s="1350"/>
      <c r="G811" s="1350"/>
      <c r="H811" s="1350"/>
      <c r="I811" s="1350"/>
      <c r="J811" s="1350"/>
      <c r="K811" s="1350"/>
      <c r="L811" s="1350"/>
      <c r="M811" s="1350"/>
      <c r="N811" s="1350"/>
      <c r="O811" s="1350"/>
      <c r="P811" s="1354"/>
      <c r="Q811" s="1355"/>
      <c r="R811" s="1355"/>
      <c r="S811" s="1350"/>
      <c r="T811" s="1349"/>
      <c r="U811" s="1348"/>
      <c r="V811" s="1348"/>
      <c r="W811" s="1349"/>
      <c r="X811" s="1350"/>
      <c r="Y811" s="1350"/>
      <c r="Z811" s="1349"/>
      <c r="AA811" s="1351"/>
      <c r="AB811" s="1350"/>
      <c r="AC811" s="1350"/>
      <c r="AD811" s="1350"/>
      <c r="AE811" s="1350"/>
      <c r="AF811" s="1350"/>
      <c r="AG811" s="1350"/>
      <c r="AH811" s="1350"/>
      <c r="AI811" s="1350"/>
      <c r="AJ811" s="1350"/>
      <c r="AK811" s="1350"/>
    </row>
    <row r="812">
      <c r="A812" s="1350"/>
      <c r="B812" s="1350"/>
      <c r="C812" s="1350"/>
      <c r="D812" s="1350"/>
      <c r="E812" s="1350"/>
      <c r="F812" s="1350"/>
      <c r="G812" s="1350"/>
      <c r="H812" s="1350"/>
      <c r="I812" s="1350"/>
      <c r="J812" s="1350"/>
      <c r="K812" s="1350"/>
      <c r="L812" s="1350"/>
      <c r="M812" s="1350"/>
      <c r="N812" s="1350"/>
      <c r="O812" s="1350"/>
      <c r="P812" s="1354"/>
      <c r="Q812" s="1355"/>
      <c r="R812" s="1355"/>
      <c r="S812" s="1350"/>
      <c r="T812" s="1349"/>
      <c r="U812" s="1348"/>
      <c r="V812" s="1348"/>
      <c r="W812" s="1349"/>
      <c r="X812" s="1350"/>
      <c r="Y812" s="1350"/>
      <c r="Z812" s="1349"/>
      <c r="AA812" s="1351"/>
      <c r="AB812" s="1350"/>
      <c r="AC812" s="1350"/>
      <c r="AD812" s="1350"/>
      <c r="AE812" s="1350"/>
      <c r="AF812" s="1350"/>
      <c r="AG812" s="1350"/>
      <c r="AH812" s="1350"/>
      <c r="AI812" s="1350"/>
      <c r="AJ812" s="1350"/>
      <c r="AK812" s="1350"/>
    </row>
    <row r="813">
      <c r="A813" s="1350"/>
      <c r="B813" s="1350"/>
      <c r="C813" s="1350"/>
      <c r="D813" s="1350"/>
      <c r="E813" s="1350"/>
      <c r="F813" s="1350"/>
      <c r="G813" s="1350"/>
      <c r="H813" s="1350"/>
      <c r="I813" s="1350"/>
      <c r="J813" s="1350"/>
      <c r="K813" s="1350"/>
      <c r="L813" s="1350"/>
      <c r="M813" s="1350"/>
      <c r="N813" s="1350"/>
      <c r="O813" s="1350"/>
      <c r="P813" s="1354"/>
      <c r="Q813" s="1355"/>
      <c r="R813" s="1355"/>
      <c r="S813" s="1350"/>
      <c r="T813" s="1349"/>
      <c r="U813" s="1348"/>
      <c r="V813" s="1348"/>
      <c r="W813" s="1349"/>
      <c r="X813" s="1350"/>
      <c r="Y813" s="1350"/>
      <c r="Z813" s="1349"/>
      <c r="AA813" s="1351"/>
      <c r="AB813" s="1350"/>
      <c r="AC813" s="1350"/>
      <c r="AD813" s="1350"/>
      <c r="AE813" s="1350"/>
      <c r="AF813" s="1350"/>
      <c r="AG813" s="1350"/>
      <c r="AH813" s="1350"/>
      <c r="AI813" s="1350"/>
      <c r="AJ813" s="1350"/>
      <c r="AK813" s="1350"/>
    </row>
    <row r="814">
      <c r="A814" s="1350"/>
      <c r="B814" s="1350"/>
      <c r="C814" s="1350"/>
      <c r="D814" s="1350"/>
      <c r="E814" s="1350"/>
      <c r="F814" s="1350"/>
      <c r="G814" s="1350"/>
      <c r="H814" s="1350"/>
      <c r="I814" s="1350"/>
      <c r="J814" s="1350"/>
      <c r="K814" s="1350"/>
      <c r="L814" s="1350"/>
      <c r="M814" s="1350"/>
      <c r="N814" s="1350"/>
      <c r="O814" s="1350"/>
      <c r="P814" s="1354"/>
      <c r="Q814" s="1355"/>
      <c r="R814" s="1355"/>
      <c r="S814" s="1350"/>
      <c r="T814" s="1349"/>
      <c r="U814" s="1348"/>
      <c r="V814" s="1348"/>
      <c r="W814" s="1349"/>
      <c r="X814" s="1350"/>
      <c r="Y814" s="1350"/>
      <c r="Z814" s="1349"/>
      <c r="AA814" s="1351"/>
      <c r="AB814" s="1350"/>
      <c r="AC814" s="1350"/>
      <c r="AD814" s="1350"/>
      <c r="AE814" s="1350"/>
      <c r="AF814" s="1350"/>
      <c r="AG814" s="1350"/>
      <c r="AH814" s="1350"/>
      <c r="AI814" s="1350"/>
      <c r="AJ814" s="1350"/>
      <c r="AK814" s="1350"/>
    </row>
    <row r="815">
      <c r="A815" s="1350"/>
      <c r="B815" s="1350"/>
      <c r="C815" s="1350"/>
      <c r="D815" s="1350"/>
      <c r="E815" s="1350"/>
      <c r="F815" s="1350"/>
      <c r="G815" s="1350"/>
      <c r="H815" s="1350"/>
      <c r="I815" s="1350"/>
      <c r="J815" s="1350"/>
      <c r="K815" s="1350"/>
      <c r="L815" s="1350"/>
      <c r="M815" s="1350"/>
      <c r="N815" s="1350"/>
      <c r="O815" s="1350"/>
      <c r="P815" s="1354"/>
      <c r="Q815" s="1355"/>
      <c r="R815" s="1355"/>
      <c r="S815" s="1350"/>
      <c r="T815" s="1349"/>
      <c r="U815" s="1348"/>
      <c r="V815" s="1348"/>
      <c r="W815" s="1349"/>
      <c r="X815" s="1350"/>
      <c r="Y815" s="1350"/>
      <c r="Z815" s="1349"/>
      <c r="AA815" s="1351"/>
      <c r="AB815" s="1350"/>
      <c r="AC815" s="1350"/>
      <c r="AD815" s="1350"/>
      <c r="AE815" s="1350"/>
      <c r="AF815" s="1350"/>
      <c r="AG815" s="1350"/>
      <c r="AH815" s="1350"/>
      <c r="AI815" s="1350"/>
      <c r="AJ815" s="1350"/>
      <c r="AK815" s="1350"/>
    </row>
    <row r="816">
      <c r="A816" s="1350"/>
      <c r="B816" s="1350"/>
      <c r="C816" s="1350"/>
      <c r="D816" s="1350"/>
      <c r="E816" s="1350"/>
      <c r="F816" s="1350"/>
      <c r="G816" s="1350"/>
      <c r="H816" s="1350"/>
      <c r="I816" s="1350"/>
      <c r="J816" s="1350"/>
      <c r="K816" s="1350"/>
      <c r="L816" s="1350"/>
      <c r="M816" s="1350"/>
      <c r="N816" s="1350"/>
      <c r="O816" s="1350"/>
      <c r="P816" s="1354"/>
      <c r="Q816" s="1355"/>
      <c r="R816" s="1355"/>
      <c r="S816" s="1350"/>
      <c r="T816" s="1349"/>
      <c r="U816" s="1348"/>
      <c r="V816" s="1348"/>
      <c r="W816" s="1349"/>
      <c r="X816" s="1350"/>
      <c r="Y816" s="1350"/>
      <c r="Z816" s="1349"/>
      <c r="AA816" s="1351"/>
      <c r="AB816" s="1350"/>
      <c r="AC816" s="1350"/>
      <c r="AD816" s="1350"/>
      <c r="AE816" s="1350"/>
      <c r="AF816" s="1350"/>
      <c r="AG816" s="1350"/>
      <c r="AH816" s="1350"/>
      <c r="AI816" s="1350"/>
      <c r="AJ816" s="1350"/>
      <c r="AK816" s="1350"/>
    </row>
    <row r="817">
      <c r="A817" s="1350"/>
      <c r="B817" s="1350"/>
      <c r="C817" s="1350"/>
      <c r="D817" s="1350"/>
      <c r="E817" s="1350"/>
      <c r="F817" s="1350"/>
      <c r="G817" s="1350"/>
      <c r="H817" s="1350"/>
      <c r="I817" s="1350"/>
      <c r="J817" s="1350"/>
      <c r="K817" s="1350"/>
      <c r="L817" s="1350"/>
      <c r="M817" s="1350"/>
      <c r="N817" s="1350"/>
      <c r="O817" s="1350"/>
      <c r="P817" s="1354"/>
      <c r="Q817" s="1355"/>
      <c r="R817" s="1355"/>
      <c r="S817" s="1350"/>
      <c r="T817" s="1349"/>
      <c r="U817" s="1348"/>
      <c r="V817" s="1348"/>
      <c r="W817" s="1349"/>
      <c r="X817" s="1350"/>
      <c r="Y817" s="1350"/>
      <c r="Z817" s="1349"/>
      <c r="AA817" s="1351"/>
      <c r="AB817" s="1350"/>
      <c r="AC817" s="1350"/>
      <c r="AD817" s="1350"/>
      <c r="AE817" s="1350"/>
      <c r="AF817" s="1350"/>
      <c r="AG817" s="1350"/>
      <c r="AH817" s="1350"/>
      <c r="AI817" s="1350"/>
      <c r="AJ817" s="1350"/>
      <c r="AK817" s="1350"/>
    </row>
    <row r="818">
      <c r="A818" s="1350"/>
      <c r="B818" s="1350"/>
      <c r="C818" s="1350"/>
      <c r="D818" s="1350"/>
      <c r="E818" s="1350"/>
      <c r="F818" s="1350"/>
      <c r="G818" s="1350"/>
      <c r="H818" s="1350"/>
      <c r="I818" s="1350"/>
      <c r="J818" s="1350"/>
      <c r="K818" s="1350"/>
      <c r="L818" s="1350"/>
      <c r="M818" s="1350"/>
      <c r="N818" s="1350"/>
      <c r="O818" s="1350"/>
      <c r="P818" s="1354"/>
      <c r="Q818" s="1355"/>
      <c r="R818" s="1355"/>
      <c r="S818" s="1350"/>
      <c r="T818" s="1349"/>
      <c r="U818" s="1348"/>
      <c r="V818" s="1348"/>
      <c r="W818" s="1349"/>
      <c r="X818" s="1350"/>
      <c r="Y818" s="1350"/>
      <c r="Z818" s="1349"/>
      <c r="AA818" s="1351"/>
      <c r="AB818" s="1350"/>
      <c r="AC818" s="1350"/>
      <c r="AD818" s="1350"/>
      <c r="AE818" s="1350"/>
      <c r="AF818" s="1350"/>
      <c r="AG818" s="1350"/>
      <c r="AH818" s="1350"/>
      <c r="AI818" s="1350"/>
      <c r="AJ818" s="1350"/>
      <c r="AK818" s="1350"/>
    </row>
    <row r="819">
      <c r="A819" s="1350"/>
      <c r="B819" s="1350"/>
      <c r="C819" s="1350"/>
      <c r="D819" s="1350"/>
      <c r="E819" s="1350"/>
      <c r="F819" s="1350"/>
      <c r="G819" s="1350"/>
      <c r="H819" s="1350"/>
      <c r="I819" s="1350"/>
      <c r="J819" s="1350"/>
      <c r="K819" s="1350"/>
      <c r="L819" s="1350"/>
      <c r="M819" s="1350"/>
      <c r="N819" s="1350"/>
      <c r="O819" s="1350"/>
      <c r="P819" s="1354"/>
      <c r="Q819" s="1355"/>
      <c r="R819" s="1355"/>
      <c r="S819" s="1350"/>
      <c r="T819" s="1349"/>
      <c r="U819" s="1348"/>
      <c r="V819" s="1348"/>
      <c r="W819" s="1349"/>
      <c r="X819" s="1350"/>
      <c r="Y819" s="1350"/>
      <c r="Z819" s="1349"/>
      <c r="AA819" s="1351"/>
      <c r="AB819" s="1350"/>
      <c r="AC819" s="1350"/>
      <c r="AD819" s="1350"/>
      <c r="AE819" s="1350"/>
      <c r="AF819" s="1350"/>
      <c r="AG819" s="1350"/>
      <c r="AH819" s="1350"/>
      <c r="AI819" s="1350"/>
      <c r="AJ819" s="1350"/>
      <c r="AK819" s="1350"/>
    </row>
    <row r="820">
      <c r="A820" s="1350"/>
      <c r="B820" s="1350"/>
      <c r="C820" s="1350"/>
      <c r="D820" s="1350"/>
      <c r="E820" s="1350"/>
      <c r="F820" s="1350"/>
      <c r="G820" s="1350"/>
      <c r="H820" s="1350"/>
      <c r="I820" s="1350"/>
      <c r="J820" s="1350"/>
      <c r="K820" s="1350"/>
      <c r="L820" s="1350"/>
      <c r="M820" s="1350"/>
      <c r="N820" s="1350"/>
      <c r="O820" s="1350"/>
      <c r="P820" s="1354"/>
      <c r="Q820" s="1355"/>
      <c r="R820" s="1355"/>
      <c r="S820" s="1350"/>
      <c r="T820" s="1349"/>
      <c r="U820" s="1348"/>
      <c r="V820" s="1348"/>
      <c r="W820" s="1349"/>
      <c r="X820" s="1350"/>
      <c r="Y820" s="1350"/>
      <c r="Z820" s="1349"/>
      <c r="AA820" s="1351"/>
      <c r="AB820" s="1350"/>
      <c r="AC820" s="1350"/>
      <c r="AD820" s="1350"/>
      <c r="AE820" s="1350"/>
      <c r="AF820" s="1350"/>
      <c r="AG820" s="1350"/>
      <c r="AH820" s="1350"/>
      <c r="AI820" s="1350"/>
      <c r="AJ820" s="1350"/>
      <c r="AK820" s="1350"/>
    </row>
    <row r="821">
      <c r="A821" s="1350"/>
      <c r="B821" s="1350"/>
      <c r="C821" s="1350"/>
      <c r="D821" s="1350"/>
      <c r="E821" s="1350"/>
      <c r="F821" s="1350"/>
      <c r="G821" s="1350"/>
      <c r="H821" s="1350"/>
      <c r="I821" s="1350"/>
      <c r="J821" s="1350"/>
      <c r="K821" s="1350"/>
      <c r="L821" s="1350"/>
      <c r="M821" s="1350"/>
      <c r="N821" s="1350"/>
      <c r="O821" s="1350"/>
      <c r="P821" s="1354"/>
      <c r="Q821" s="1355"/>
      <c r="R821" s="1355"/>
      <c r="S821" s="1350"/>
      <c r="T821" s="1349"/>
      <c r="U821" s="1348"/>
      <c r="V821" s="1348"/>
      <c r="W821" s="1349"/>
      <c r="X821" s="1350"/>
      <c r="Y821" s="1350"/>
      <c r="Z821" s="1349"/>
      <c r="AA821" s="1351"/>
      <c r="AB821" s="1350"/>
      <c r="AC821" s="1350"/>
      <c r="AD821" s="1350"/>
      <c r="AE821" s="1350"/>
      <c r="AF821" s="1350"/>
      <c r="AG821" s="1350"/>
      <c r="AH821" s="1350"/>
      <c r="AI821" s="1350"/>
      <c r="AJ821" s="1350"/>
      <c r="AK821" s="1350"/>
    </row>
    <row r="822">
      <c r="A822" s="1350"/>
      <c r="B822" s="1350"/>
      <c r="C822" s="1350"/>
      <c r="D822" s="1350"/>
      <c r="E822" s="1350"/>
      <c r="F822" s="1350"/>
      <c r="G822" s="1350"/>
      <c r="H822" s="1350"/>
      <c r="I822" s="1350"/>
      <c r="J822" s="1350"/>
      <c r="K822" s="1350"/>
      <c r="L822" s="1350"/>
      <c r="M822" s="1350"/>
      <c r="N822" s="1350"/>
      <c r="O822" s="1350"/>
      <c r="P822" s="1354"/>
      <c r="Q822" s="1355"/>
      <c r="R822" s="1355"/>
      <c r="S822" s="1350"/>
      <c r="T822" s="1349"/>
      <c r="U822" s="1348"/>
      <c r="V822" s="1348"/>
      <c r="W822" s="1349"/>
      <c r="X822" s="1350"/>
      <c r="Y822" s="1350"/>
      <c r="Z822" s="1349"/>
      <c r="AA822" s="1351"/>
      <c r="AB822" s="1350"/>
      <c r="AC822" s="1350"/>
      <c r="AD822" s="1350"/>
      <c r="AE822" s="1350"/>
      <c r="AF822" s="1350"/>
      <c r="AG822" s="1350"/>
      <c r="AH822" s="1350"/>
      <c r="AI822" s="1350"/>
      <c r="AJ822" s="1350"/>
      <c r="AK822" s="1350"/>
    </row>
    <row r="823">
      <c r="A823" s="1350"/>
      <c r="B823" s="1350"/>
      <c r="C823" s="1350"/>
      <c r="D823" s="1350"/>
      <c r="E823" s="1350"/>
      <c r="F823" s="1350"/>
      <c r="G823" s="1350"/>
      <c r="H823" s="1350"/>
      <c r="I823" s="1350"/>
      <c r="J823" s="1350"/>
      <c r="K823" s="1350"/>
      <c r="L823" s="1350"/>
      <c r="M823" s="1350"/>
      <c r="N823" s="1350"/>
      <c r="O823" s="1350"/>
      <c r="P823" s="1354"/>
      <c r="Q823" s="1355"/>
      <c r="R823" s="1355"/>
      <c r="S823" s="1350"/>
      <c r="T823" s="1349"/>
      <c r="U823" s="1348"/>
      <c r="V823" s="1348"/>
      <c r="W823" s="1349"/>
      <c r="X823" s="1350"/>
      <c r="Y823" s="1350"/>
      <c r="Z823" s="1349"/>
      <c r="AA823" s="1351"/>
      <c r="AB823" s="1350"/>
      <c r="AC823" s="1350"/>
      <c r="AD823" s="1350"/>
      <c r="AE823" s="1350"/>
      <c r="AF823" s="1350"/>
      <c r="AG823" s="1350"/>
      <c r="AH823" s="1350"/>
      <c r="AI823" s="1350"/>
      <c r="AJ823" s="1350"/>
      <c r="AK823" s="1350"/>
    </row>
    <row r="824">
      <c r="A824" s="1350"/>
      <c r="B824" s="1350"/>
      <c r="C824" s="1350"/>
      <c r="D824" s="1350"/>
      <c r="E824" s="1350"/>
      <c r="F824" s="1350"/>
      <c r="G824" s="1350"/>
      <c r="H824" s="1350"/>
      <c r="I824" s="1350"/>
      <c r="J824" s="1350"/>
      <c r="K824" s="1350"/>
      <c r="L824" s="1350"/>
      <c r="M824" s="1350"/>
      <c r="N824" s="1350"/>
      <c r="O824" s="1350"/>
      <c r="P824" s="1354"/>
      <c r="Q824" s="1355"/>
      <c r="R824" s="1355"/>
      <c r="S824" s="1350"/>
      <c r="T824" s="1349"/>
      <c r="U824" s="1348"/>
      <c r="V824" s="1348"/>
      <c r="W824" s="1349"/>
      <c r="X824" s="1350"/>
      <c r="Y824" s="1350"/>
      <c r="Z824" s="1349"/>
      <c r="AA824" s="1351"/>
      <c r="AB824" s="1350"/>
      <c r="AC824" s="1350"/>
      <c r="AD824" s="1350"/>
      <c r="AE824" s="1350"/>
      <c r="AF824" s="1350"/>
      <c r="AG824" s="1350"/>
      <c r="AH824" s="1350"/>
      <c r="AI824" s="1350"/>
      <c r="AJ824" s="1350"/>
      <c r="AK824" s="1350"/>
    </row>
    <row r="825">
      <c r="A825" s="1350"/>
      <c r="B825" s="1350"/>
      <c r="C825" s="1350"/>
      <c r="D825" s="1350"/>
      <c r="E825" s="1350"/>
      <c r="F825" s="1350"/>
      <c r="G825" s="1350"/>
      <c r="H825" s="1350"/>
      <c r="I825" s="1350"/>
      <c r="J825" s="1350"/>
      <c r="K825" s="1350"/>
      <c r="L825" s="1350"/>
      <c r="M825" s="1350"/>
      <c r="N825" s="1350"/>
      <c r="O825" s="1350"/>
      <c r="P825" s="1354"/>
      <c r="Q825" s="1355"/>
      <c r="R825" s="1355"/>
      <c r="S825" s="1350"/>
      <c r="T825" s="1349"/>
      <c r="U825" s="1348"/>
      <c r="V825" s="1348"/>
      <c r="W825" s="1349"/>
      <c r="X825" s="1350"/>
      <c r="Y825" s="1350"/>
      <c r="Z825" s="1349"/>
      <c r="AA825" s="1351"/>
      <c r="AB825" s="1350"/>
      <c r="AC825" s="1350"/>
      <c r="AD825" s="1350"/>
      <c r="AE825" s="1350"/>
      <c r="AF825" s="1350"/>
      <c r="AG825" s="1350"/>
      <c r="AH825" s="1350"/>
      <c r="AI825" s="1350"/>
      <c r="AJ825" s="1350"/>
      <c r="AK825" s="1350"/>
    </row>
    <row r="826">
      <c r="A826" s="1350"/>
      <c r="B826" s="1350"/>
      <c r="C826" s="1350"/>
      <c r="D826" s="1350"/>
      <c r="E826" s="1350"/>
      <c r="F826" s="1350"/>
      <c r="G826" s="1350"/>
      <c r="H826" s="1350"/>
      <c r="I826" s="1350"/>
      <c r="J826" s="1350"/>
      <c r="K826" s="1350"/>
      <c r="L826" s="1350"/>
      <c r="M826" s="1350"/>
      <c r="N826" s="1350"/>
      <c r="O826" s="1350"/>
      <c r="P826" s="1354"/>
      <c r="Q826" s="1355"/>
      <c r="R826" s="1355"/>
      <c r="S826" s="1350"/>
      <c r="T826" s="1349"/>
      <c r="U826" s="1348"/>
      <c r="V826" s="1348"/>
      <c r="W826" s="1349"/>
      <c r="X826" s="1350"/>
      <c r="Y826" s="1350"/>
      <c r="Z826" s="1349"/>
      <c r="AA826" s="1351"/>
      <c r="AB826" s="1350"/>
      <c r="AC826" s="1350"/>
      <c r="AD826" s="1350"/>
      <c r="AE826" s="1350"/>
      <c r="AF826" s="1350"/>
      <c r="AG826" s="1350"/>
      <c r="AH826" s="1350"/>
      <c r="AI826" s="1350"/>
      <c r="AJ826" s="1350"/>
      <c r="AK826" s="1350"/>
    </row>
    <row r="827">
      <c r="A827" s="1350"/>
      <c r="B827" s="1350"/>
      <c r="C827" s="1350"/>
      <c r="D827" s="1350"/>
      <c r="E827" s="1350"/>
      <c r="F827" s="1350"/>
      <c r="G827" s="1350"/>
      <c r="H827" s="1350"/>
      <c r="I827" s="1350"/>
      <c r="J827" s="1350"/>
      <c r="K827" s="1350"/>
      <c r="L827" s="1350"/>
      <c r="M827" s="1350"/>
      <c r="N827" s="1350"/>
      <c r="O827" s="1350"/>
      <c r="P827" s="1354"/>
      <c r="Q827" s="1355"/>
      <c r="R827" s="1355"/>
      <c r="S827" s="1350"/>
      <c r="T827" s="1349"/>
      <c r="U827" s="1348"/>
      <c r="V827" s="1348"/>
      <c r="W827" s="1349"/>
      <c r="X827" s="1350"/>
      <c r="Y827" s="1350"/>
      <c r="Z827" s="1349"/>
      <c r="AA827" s="1351"/>
      <c r="AB827" s="1350"/>
      <c r="AC827" s="1350"/>
      <c r="AD827" s="1350"/>
      <c r="AE827" s="1350"/>
      <c r="AF827" s="1350"/>
      <c r="AG827" s="1350"/>
      <c r="AH827" s="1350"/>
      <c r="AI827" s="1350"/>
      <c r="AJ827" s="1350"/>
      <c r="AK827" s="1350"/>
    </row>
    <row r="828">
      <c r="A828" s="1350"/>
      <c r="B828" s="1350"/>
      <c r="C828" s="1350"/>
      <c r="D828" s="1350"/>
      <c r="E828" s="1350"/>
      <c r="F828" s="1350"/>
      <c r="G828" s="1350"/>
      <c r="H828" s="1350"/>
      <c r="I828" s="1350"/>
      <c r="J828" s="1350"/>
      <c r="K828" s="1350"/>
      <c r="L828" s="1350"/>
      <c r="M828" s="1350"/>
      <c r="N828" s="1350"/>
      <c r="O828" s="1350"/>
      <c r="P828" s="1354"/>
      <c r="Q828" s="1355"/>
      <c r="R828" s="1355"/>
      <c r="S828" s="1350"/>
      <c r="T828" s="1349"/>
      <c r="U828" s="1348"/>
      <c r="V828" s="1348"/>
      <c r="W828" s="1349"/>
      <c r="X828" s="1350"/>
      <c r="Y828" s="1350"/>
      <c r="Z828" s="1349"/>
      <c r="AA828" s="1351"/>
      <c r="AB828" s="1350"/>
      <c r="AC828" s="1350"/>
      <c r="AD828" s="1350"/>
      <c r="AE828" s="1350"/>
      <c r="AF828" s="1350"/>
      <c r="AG828" s="1350"/>
      <c r="AH828" s="1350"/>
      <c r="AI828" s="1350"/>
      <c r="AJ828" s="1350"/>
      <c r="AK828" s="1350"/>
    </row>
    <row r="829">
      <c r="A829" s="1350"/>
      <c r="B829" s="1350"/>
      <c r="C829" s="1350"/>
      <c r="D829" s="1350"/>
      <c r="E829" s="1350"/>
      <c r="F829" s="1350"/>
      <c r="G829" s="1350"/>
      <c r="H829" s="1350"/>
      <c r="I829" s="1350"/>
      <c r="J829" s="1350"/>
      <c r="K829" s="1350"/>
      <c r="L829" s="1350"/>
      <c r="M829" s="1350"/>
      <c r="N829" s="1350"/>
      <c r="O829" s="1350"/>
      <c r="P829" s="1354"/>
      <c r="Q829" s="1355"/>
      <c r="R829" s="1355"/>
      <c r="S829" s="1350"/>
      <c r="T829" s="1349"/>
      <c r="U829" s="1348"/>
      <c r="V829" s="1348"/>
      <c r="W829" s="1349"/>
      <c r="X829" s="1350"/>
      <c r="Y829" s="1350"/>
      <c r="Z829" s="1349"/>
      <c r="AA829" s="1351"/>
      <c r="AB829" s="1350"/>
      <c r="AC829" s="1350"/>
      <c r="AD829" s="1350"/>
      <c r="AE829" s="1350"/>
      <c r="AF829" s="1350"/>
      <c r="AG829" s="1350"/>
      <c r="AH829" s="1350"/>
      <c r="AI829" s="1350"/>
      <c r="AJ829" s="1350"/>
      <c r="AK829" s="1350"/>
    </row>
    <row r="830">
      <c r="A830" s="1350"/>
      <c r="B830" s="1350"/>
      <c r="C830" s="1350"/>
      <c r="D830" s="1350"/>
      <c r="E830" s="1350"/>
      <c r="F830" s="1350"/>
      <c r="G830" s="1350"/>
      <c r="H830" s="1350"/>
      <c r="I830" s="1350"/>
      <c r="J830" s="1350"/>
      <c r="K830" s="1350"/>
      <c r="L830" s="1350"/>
      <c r="M830" s="1350"/>
      <c r="N830" s="1350"/>
      <c r="O830" s="1350"/>
      <c r="P830" s="1354"/>
      <c r="Q830" s="1355"/>
      <c r="R830" s="1355"/>
      <c r="S830" s="1350"/>
      <c r="T830" s="1349"/>
      <c r="U830" s="1348"/>
      <c r="V830" s="1348"/>
      <c r="W830" s="1349"/>
      <c r="X830" s="1350"/>
      <c r="Y830" s="1350"/>
      <c r="Z830" s="1349"/>
      <c r="AA830" s="1351"/>
      <c r="AB830" s="1350"/>
      <c r="AC830" s="1350"/>
      <c r="AD830" s="1350"/>
      <c r="AE830" s="1350"/>
      <c r="AF830" s="1350"/>
      <c r="AG830" s="1350"/>
      <c r="AH830" s="1350"/>
      <c r="AI830" s="1350"/>
      <c r="AJ830" s="1350"/>
      <c r="AK830" s="1350"/>
    </row>
    <row r="831">
      <c r="A831" s="1350"/>
      <c r="B831" s="1350"/>
      <c r="C831" s="1350"/>
      <c r="D831" s="1350"/>
      <c r="E831" s="1350"/>
      <c r="F831" s="1350"/>
      <c r="G831" s="1350"/>
      <c r="H831" s="1350"/>
      <c r="I831" s="1350"/>
      <c r="J831" s="1350"/>
      <c r="K831" s="1350"/>
      <c r="L831" s="1350"/>
      <c r="M831" s="1350"/>
      <c r="N831" s="1350"/>
      <c r="O831" s="1350"/>
      <c r="P831" s="1354"/>
      <c r="Q831" s="1355"/>
      <c r="R831" s="1355"/>
      <c r="S831" s="1350"/>
      <c r="T831" s="1349"/>
      <c r="U831" s="1348"/>
      <c r="V831" s="1348"/>
      <c r="W831" s="1349"/>
      <c r="X831" s="1350"/>
      <c r="Y831" s="1350"/>
      <c r="Z831" s="1349"/>
      <c r="AA831" s="1351"/>
      <c r="AB831" s="1350"/>
      <c r="AC831" s="1350"/>
      <c r="AD831" s="1350"/>
      <c r="AE831" s="1350"/>
      <c r="AF831" s="1350"/>
      <c r="AG831" s="1350"/>
      <c r="AH831" s="1350"/>
      <c r="AI831" s="1350"/>
      <c r="AJ831" s="1350"/>
      <c r="AK831" s="1350"/>
    </row>
    <row r="832">
      <c r="A832" s="1350"/>
      <c r="B832" s="1350"/>
      <c r="C832" s="1350"/>
      <c r="D832" s="1350"/>
      <c r="E832" s="1350"/>
      <c r="F832" s="1350"/>
      <c r="G832" s="1350"/>
      <c r="H832" s="1350"/>
      <c r="I832" s="1350"/>
      <c r="J832" s="1350"/>
      <c r="K832" s="1350"/>
      <c r="L832" s="1350"/>
      <c r="M832" s="1350"/>
      <c r="N832" s="1350"/>
      <c r="O832" s="1350"/>
      <c r="P832" s="1354"/>
      <c r="Q832" s="1355"/>
      <c r="R832" s="1355"/>
      <c r="S832" s="1350"/>
      <c r="T832" s="1349"/>
      <c r="U832" s="1348"/>
      <c r="V832" s="1348"/>
      <c r="W832" s="1349"/>
      <c r="X832" s="1350"/>
      <c r="Y832" s="1350"/>
      <c r="Z832" s="1349"/>
      <c r="AA832" s="1351"/>
      <c r="AB832" s="1350"/>
      <c r="AC832" s="1350"/>
      <c r="AD832" s="1350"/>
      <c r="AE832" s="1350"/>
      <c r="AF832" s="1350"/>
      <c r="AG832" s="1350"/>
      <c r="AH832" s="1350"/>
      <c r="AI832" s="1350"/>
      <c r="AJ832" s="1350"/>
      <c r="AK832" s="1350"/>
    </row>
    <row r="833">
      <c r="A833" s="1350"/>
      <c r="B833" s="1350"/>
      <c r="C833" s="1350"/>
      <c r="D833" s="1350"/>
      <c r="E833" s="1350"/>
      <c r="F833" s="1350"/>
      <c r="G833" s="1350"/>
      <c r="H833" s="1350"/>
      <c r="I833" s="1350"/>
      <c r="J833" s="1350"/>
      <c r="K833" s="1350"/>
      <c r="L833" s="1350"/>
      <c r="M833" s="1350"/>
      <c r="N833" s="1350"/>
      <c r="O833" s="1350"/>
      <c r="P833" s="1354"/>
      <c r="Q833" s="1355"/>
      <c r="R833" s="1355"/>
      <c r="S833" s="1350"/>
      <c r="T833" s="1349"/>
      <c r="U833" s="1348"/>
      <c r="V833" s="1348"/>
      <c r="W833" s="1349"/>
      <c r="X833" s="1350"/>
      <c r="Y833" s="1350"/>
      <c r="Z833" s="1349"/>
      <c r="AA833" s="1351"/>
      <c r="AB833" s="1350"/>
      <c r="AC833" s="1350"/>
      <c r="AD833" s="1350"/>
      <c r="AE833" s="1350"/>
      <c r="AF833" s="1350"/>
      <c r="AG833" s="1350"/>
      <c r="AH833" s="1350"/>
      <c r="AI833" s="1350"/>
      <c r="AJ833" s="1350"/>
      <c r="AK833" s="1350"/>
    </row>
    <row r="834">
      <c r="A834" s="1350"/>
      <c r="B834" s="1350"/>
      <c r="C834" s="1350"/>
      <c r="D834" s="1350"/>
      <c r="E834" s="1350"/>
      <c r="F834" s="1350"/>
      <c r="G834" s="1350"/>
      <c r="H834" s="1350"/>
      <c r="I834" s="1350"/>
      <c r="J834" s="1350"/>
      <c r="K834" s="1350"/>
      <c r="L834" s="1350"/>
      <c r="M834" s="1350"/>
      <c r="N834" s="1350"/>
      <c r="O834" s="1350"/>
      <c r="P834" s="1354"/>
      <c r="Q834" s="1355"/>
      <c r="R834" s="1355"/>
      <c r="S834" s="1350"/>
      <c r="T834" s="1349"/>
      <c r="U834" s="1348"/>
      <c r="V834" s="1348"/>
      <c r="W834" s="1349"/>
      <c r="X834" s="1350"/>
      <c r="Y834" s="1350"/>
      <c r="Z834" s="1349"/>
      <c r="AA834" s="1351"/>
      <c r="AB834" s="1350"/>
      <c r="AC834" s="1350"/>
      <c r="AD834" s="1350"/>
      <c r="AE834" s="1350"/>
      <c r="AF834" s="1350"/>
      <c r="AG834" s="1350"/>
      <c r="AH834" s="1350"/>
      <c r="AI834" s="1350"/>
      <c r="AJ834" s="1350"/>
      <c r="AK834" s="1350"/>
    </row>
    <row r="835">
      <c r="A835" s="1350"/>
      <c r="B835" s="1350"/>
      <c r="C835" s="1350"/>
      <c r="D835" s="1350"/>
      <c r="E835" s="1350"/>
      <c r="F835" s="1350"/>
      <c r="G835" s="1350"/>
      <c r="H835" s="1350"/>
      <c r="I835" s="1350"/>
      <c r="J835" s="1350"/>
      <c r="K835" s="1350"/>
      <c r="L835" s="1350"/>
      <c r="M835" s="1350"/>
      <c r="N835" s="1350"/>
      <c r="O835" s="1350"/>
      <c r="P835" s="1354"/>
      <c r="Q835" s="1355"/>
      <c r="R835" s="1355"/>
      <c r="S835" s="1350"/>
      <c r="T835" s="1349"/>
      <c r="U835" s="1348"/>
      <c r="V835" s="1348"/>
      <c r="W835" s="1349"/>
      <c r="X835" s="1350"/>
      <c r="Y835" s="1350"/>
      <c r="Z835" s="1349"/>
      <c r="AA835" s="1351"/>
      <c r="AB835" s="1350"/>
      <c r="AC835" s="1350"/>
      <c r="AD835" s="1350"/>
      <c r="AE835" s="1350"/>
      <c r="AF835" s="1350"/>
      <c r="AG835" s="1350"/>
      <c r="AH835" s="1350"/>
      <c r="AI835" s="1350"/>
      <c r="AJ835" s="1350"/>
      <c r="AK835" s="1350"/>
    </row>
    <row r="836">
      <c r="A836" s="1350"/>
      <c r="B836" s="1350"/>
      <c r="C836" s="1350"/>
      <c r="D836" s="1350"/>
      <c r="E836" s="1350"/>
      <c r="F836" s="1350"/>
      <c r="G836" s="1350"/>
      <c r="H836" s="1350"/>
      <c r="I836" s="1350"/>
      <c r="J836" s="1350"/>
      <c r="K836" s="1350"/>
      <c r="L836" s="1350"/>
      <c r="M836" s="1350"/>
      <c r="N836" s="1350"/>
      <c r="O836" s="1350"/>
      <c r="P836" s="1354"/>
      <c r="Q836" s="1355"/>
      <c r="R836" s="1355"/>
      <c r="S836" s="1350"/>
      <c r="T836" s="1349"/>
      <c r="U836" s="1348"/>
      <c r="V836" s="1348"/>
      <c r="W836" s="1349"/>
      <c r="X836" s="1350"/>
      <c r="Y836" s="1350"/>
      <c r="Z836" s="1349"/>
      <c r="AA836" s="1351"/>
      <c r="AB836" s="1350"/>
      <c r="AC836" s="1350"/>
      <c r="AD836" s="1350"/>
      <c r="AE836" s="1350"/>
      <c r="AF836" s="1350"/>
      <c r="AG836" s="1350"/>
      <c r="AH836" s="1350"/>
      <c r="AI836" s="1350"/>
      <c r="AJ836" s="1350"/>
      <c r="AK836" s="1350"/>
    </row>
    <row r="837">
      <c r="A837" s="1350"/>
      <c r="B837" s="1350"/>
      <c r="C837" s="1350"/>
      <c r="D837" s="1350"/>
      <c r="E837" s="1350"/>
      <c r="F837" s="1350"/>
      <c r="G837" s="1350"/>
      <c r="H837" s="1350"/>
      <c r="I837" s="1350"/>
      <c r="J837" s="1350"/>
      <c r="K837" s="1350"/>
      <c r="L837" s="1350"/>
      <c r="M837" s="1350"/>
      <c r="N837" s="1350"/>
      <c r="O837" s="1350"/>
      <c r="P837" s="1354"/>
      <c r="Q837" s="1355"/>
      <c r="R837" s="1355"/>
      <c r="S837" s="1350"/>
      <c r="T837" s="1349"/>
      <c r="U837" s="1348"/>
      <c r="V837" s="1348"/>
      <c r="W837" s="1349"/>
      <c r="X837" s="1350"/>
      <c r="Y837" s="1350"/>
      <c r="Z837" s="1349"/>
      <c r="AA837" s="1351"/>
      <c r="AB837" s="1350"/>
      <c r="AC837" s="1350"/>
      <c r="AD837" s="1350"/>
      <c r="AE837" s="1350"/>
      <c r="AF837" s="1350"/>
      <c r="AG837" s="1350"/>
      <c r="AH837" s="1350"/>
      <c r="AI837" s="1350"/>
      <c r="AJ837" s="1350"/>
      <c r="AK837" s="1350"/>
    </row>
    <row r="838">
      <c r="A838" s="1350"/>
      <c r="B838" s="1350"/>
      <c r="C838" s="1350"/>
      <c r="D838" s="1350"/>
      <c r="E838" s="1350"/>
      <c r="F838" s="1350"/>
      <c r="G838" s="1350"/>
      <c r="H838" s="1350"/>
      <c r="I838" s="1350"/>
      <c r="J838" s="1350"/>
      <c r="K838" s="1350"/>
      <c r="L838" s="1350"/>
      <c r="M838" s="1350"/>
      <c r="N838" s="1350"/>
      <c r="O838" s="1350"/>
      <c r="P838" s="1354"/>
      <c r="Q838" s="1355"/>
      <c r="R838" s="1355"/>
      <c r="S838" s="1350"/>
      <c r="T838" s="1349"/>
      <c r="U838" s="1348"/>
      <c r="V838" s="1348"/>
      <c r="W838" s="1349"/>
      <c r="X838" s="1350"/>
      <c r="Y838" s="1350"/>
      <c r="Z838" s="1349"/>
      <c r="AA838" s="1351"/>
      <c r="AB838" s="1350"/>
      <c r="AC838" s="1350"/>
      <c r="AD838" s="1350"/>
      <c r="AE838" s="1350"/>
      <c r="AF838" s="1350"/>
      <c r="AG838" s="1350"/>
      <c r="AH838" s="1350"/>
      <c r="AI838" s="1350"/>
      <c r="AJ838" s="1350"/>
      <c r="AK838" s="1350"/>
    </row>
    <row r="839">
      <c r="A839" s="1350"/>
      <c r="B839" s="1350"/>
      <c r="C839" s="1350"/>
      <c r="D839" s="1350"/>
      <c r="E839" s="1350"/>
      <c r="F839" s="1350"/>
      <c r="G839" s="1350"/>
      <c r="H839" s="1350"/>
      <c r="I839" s="1350"/>
      <c r="J839" s="1350"/>
      <c r="K839" s="1350"/>
      <c r="L839" s="1350"/>
      <c r="M839" s="1350"/>
      <c r="N839" s="1350"/>
      <c r="O839" s="1350"/>
      <c r="P839" s="1354"/>
      <c r="Q839" s="1355"/>
      <c r="R839" s="1355"/>
      <c r="S839" s="1350"/>
      <c r="T839" s="1349"/>
      <c r="U839" s="1348"/>
      <c r="V839" s="1348"/>
      <c r="W839" s="1349"/>
      <c r="X839" s="1350"/>
      <c r="Y839" s="1350"/>
      <c r="Z839" s="1349"/>
      <c r="AA839" s="1351"/>
      <c r="AB839" s="1350"/>
      <c r="AC839" s="1350"/>
      <c r="AD839" s="1350"/>
      <c r="AE839" s="1350"/>
      <c r="AF839" s="1350"/>
      <c r="AG839" s="1350"/>
      <c r="AH839" s="1350"/>
      <c r="AI839" s="1350"/>
      <c r="AJ839" s="1350"/>
      <c r="AK839" s="1350"/>
    </row>
    <row r="840">
      <c r="A840" s="1350"/>
      <c r="B840" s="1350"/>
      <c r="C840" s="1350"/>
      <c r="D840" s="1350"/>
      <c r="E840" s="1350"/>
      <c r="F840" s="1350"/>
      <c r="G840" s="1350"/>
      <c r="H840" s="1350"/>
      <c r="I840" s="1350"/>
      <c r="J840" s="1350"/>
      <c r="K840" s="1350"/>
      <c r="L840" s="1350"/>
      <c r="M840" s="1350"/>
      <c r="N840" s="1350"/>
      <c r="O840" s="1350"/>
      <c r="P840" s="1354"/>
      <c r="Q840" s="1355"/>
      <c r="R840" s="1355"/>
      <c r="S840" s="1350"/>
      <c r="T840" s="1349"/>
      <c r="U840" s="1348"/>
      <c r="V840" s="1348"/>
      <c r="W840" s="1349"/>
      <c r="X840" s="1350"/>
      <c r="Y840" s="1350"/>
      <c r="Z840" s="1349"/>
      <c r="AA840" s="1351"/>
      <c r="AB840" s="1350"/>
      <c r="AC840" s="1350"/>
      <c r="AD840" s="1350"/>
      <c r="AE840" s="1350"/>
      <c r="AF840" s="1350"/>
      <c r="AG840" s="1350"/>
      <c r="AH840" s="1350"/>
      <c r="AI840" s="1350"/>
      <c r="AJ840" s="1350"/>
      <c r="AK840" s="1350"/>
    </row>
    <row r="841">
      <c r="A841" s="1350"/>
      <c r="B841" s="1350"/>
      <c r="C841" s="1350"/>
      <c r="D841" s="1350"/>
      <c r="E841" s="1350"/>
      <c r="F841" s="1350"/>
      <c r="G841" s="1350"/>
      <c r="H841" s="1350"/>
      <c r="I841" s="1350"/>
      <c r="J841" s="1350"/>
      <c r="K841" s="1350"/>
      <c r="L841" s="1350"/>
      <c r="M841" s="1350"/>
      <c r="N841" s="1350"/>
      <c r="O841" s="1350"/>
      <c r="P841" s="1354"/>
      <c r="Q841" s="1355"/>
      <c r="R841" s="1355"/>
      <c r="S841" s="1350"/>
      <c r="T841" s="1349"/>
      <c r="U841" s="1348"/>
      <c r="V841" s="1348"/>
      <c r="W841" s="1349"/>
      <c r="X841" s="1350"/>
      <c r="Y841" s="1350"/>
      <c r="Z841" s="1349"/>
      <c r="AA841" s="1351"/>
      <c r="AB841" s="1350"/>
      <c r="AC841" s="1350"/>
      <c r="AD841" s="1350"/>
      <c r="AE841" s="1350"/>
      <c r="AF841" s="1350"/>
      <c r="AG841" s="1350"/>
      <c r="AH841" s="1350"/>
      <c r="AI841" s="1350"/>
      <c r="AJ841" s="1350"/>
      <c r="AK841" s="1350"/>
    </row>
    <row r="842">
      <c r="A842" s="1350"/>
      <c r="B842" s="1350"/>
      <c r="C842" s="1350"/>
      <c r="D842" s="1350"/>
      <c r="E842" s="1350"/>
      <c r="F842" s="1350"/>
      <c r="G842" s="1350"/>
      <c r="H842" s="1350"/>
      <c r="I842" s="1350"/>
      <c r="J842" s="1350"/>
      <c r="K842" s="1350"/>
      <c r="L842" s="1350"/>
      <c r="M842" s="1350"/>
      <c r="N842" s="1350"/>
      <c r="O842" s="1350"/>
      <c r="P842" s="1354"/>
      <c r="Q842" s="1355"/>
      <c r="R842" s="1355"/>
      <c r="S842" s="1350"/>
      <c r="T842" s="1349"/>
      <c r="U842" s="1348"/>
      <c r="V842" s="1348"/>
      <c r="W842" s="1349"/>
      <c r="X842" s="1350"/>
      <c r="Y842" s="1350"/>
      <c r="Z842" s="1349"/>
      <c r="AA842" s="1351"/>
      <c r="AB842" s="1350"/>
      <c r="AC842" s="1350"/>
      <c r="AD842" s="1350"/>
      <c r="AE842" s="1350"/>
      <c r="AF842" s="1350"/>
      <c r="AG842" s="1350"/>
      <c r="AH842" s="1350"/>
      <c r="AI842" s="1350"/>
      <c r="AJ842" s="1350"/>
      <c r="AK842" s="1350"/>
    </row>
    <row r="843">
      <c r="A843" s="1350"/>
      <c r="B843" s="1350"/>
      <c r="C843" s="1350"/>
      <c r="D843" s="1350"/>
      <c r="E843" s="1350"/>
      <c r="F843" s="1350"/>
      <c r="G843" s="1350"/>
      <c r="H843" s="1350"/>
      <c r="I843" s="1350"/>
      <c r="J843" s="1350"/>
      <c r="K843" s="1350"/>
      <c r="L843" s="1350"/>
      <c r="M843" s="1350"/>
      <c r="N843" s="1350"/>
      <c r="O843" s="1350"/>
      <c r="P843" s="1354"/>
      <c r="Q843" s="1355"/>
      <c r="R843" s="1355"/>
      <c r="S843" s="1350"/>
      <c r="T843" s="1349"/>
      <c r="U843" s="1348"/>
      <c r="V843" s="1348"/>
      <c r="W843" s="1349"/>
      <c r="X843" s="1350"/>
      <c r="Y843" s="1350"/>
      <c r="Z843" s="1349"/>
      <c r="AA843" s="1351"/>
      <c r="AB843" s="1350"/>
      <c r="AC843" s="1350"/>
      <c r="AD843" s="1350"/>
      <c r="AE843" s="1350"/>
      <c r="AF843" s="1350"/>
      <c r="AG843" s="1350"/>
      <c r="AH843" s="1350"/>
      <c r="AI843" s="1350"/>
      <c r="AJ843" s="1350"/>
      <c r="AK843" s="1350"/>
    </row>
    <row r="844">
      <c r="A844" s="1350"/>
      <c r="B844" s="1350"/>
      <c r="C844" s="1350"/>
      <c r="D844" s="1350"/>
      <c r="E844" s="1350"/>
      <c r="F844" s="1350"/>
      <c r="G844" s="1350"/>
      <c r="H844" s="1350"/>
      <c r="I844" s="1350"/>
      <c r="J844" s="1350"/>
      <c r="K844" s="1350"/>
      <c r="L844" s="1350"/>
      <c r="M844" s="1350"/>
      <c r="N844" s="1350"/>
      <c r="O844" s="1350"/>
      <c r="P844" s="1354"/>
      <c r="Q844" s="1355"/>
      <c r="R844" s="1355"/>
      <c r="S844" s="1350"/>
      <c r="T844" s="1349"/>
      <c r="U844" s="1348"/>
      <c r="V844" s="1348"/>
      <c r="W844" s="1349"/>
      <c r="X844" s="1350"/>
      <c r="Y844" s="1350"/>
      <c r="Z844" s="1349"/>
      <c r="AA844" s="1351"/>
      <c r="AB844" s="1350"/>
      <c r="AC844" s="1350"/>
      <c r="AD844" s="1350"/>
      <c r="AE844" s="1350"/>
      <c r="AF844" s="1350"/>
      <c r="AG844" s="1350"/>
      <c r="AH844" s="1350"/>
      <c r="AI844" s="1350"/>
      <c r="AJ844" s="1350"/>
      <c r="AK844" s="1350"/>
    </row>
    <row r="845">
      <c r="A845" s="1350"/>
      <c r="B845" s="1350"/>
      <c r="C845" s="1350"/>
      <c r="D845" s="1350"/>
      <c r="E845" s="1350"/>
      <c r="F845" s="1350"/>
      <c r="G845" s="1350"/>
      <c r="H845" s="1350"/>
      <c r="I845" s="1350"/>
      <c r="J845" s="1350"/>
      <c r="K845" s="1350"/>
      <c r="L845" s="1350"/>
      <c r="M845" s="1350"/>
      <c r="N845" s="1350"/>
      <c r="O845" s="1350"/>
      <c r="P845" s="1354"/>
      <c r="Q845" s="1355"/>
      <c r="R845" s="1355"/>
      <c r="S845" s="1350"/>
      <c r="T845" s="1349"/>
      <c r="U845" s="1348"/>
      <c r="V845" s="1348"/>
      <c r="W845" s="1349"/>
      <c r="X845" s="1350"/>
      <c r="Y845" s="1350"/>
      <c r="Z845" s="1349"/>
      <c r="AA845" s="1351"/>
      <c r="AB845" s="1350"/>
      <c r="AC845" s="1350"/>
      <c r="AD845" s="1350"/>
      <c r="AE845" s="1350"/>
      <c r="AF845" s="1350"/>
      <c r="AG845" s="1350"/>
      <c r="AH845" s="1350"/>
      <c r="AI845" s="1350"/>
      <c r="AJ845" s="1350"/>
      <c r="AK845" s="1350"/>
    </row>
    <row r="846">
      <c r="A846" s="1350"/>
      <c r="B846" s="1350"/>
      <c r="C846" s="1350"/>
      <c r="D846" s="1350"/>
      <c r="E846" s="1350"/>
      <c r="F846" s="1350"/>
      <c r="G846" s="1350"/>
      <c r="H846" s="1350"/>
      <c r="I846" s="1350"/>
      <c r="J846" s="1350"/>
      <c r="K846" s="1350"/>
      <c r="L846" s="1350"/>
      <c r="M846" s="1350"/>
      <c r="N846" s="1350"/>
      <c r="O846" s="1350"/>
      <c r="P846" s="1354"/>
      <c r="Q846" s="1355"/>
      <c r="R846" s="1355"/>
      <c r="S846" s="1350"/>
      <c r="T846" s="1349"/>
      <c r="U846" s="1348"/>
      <c r="V846" s="1348"/>
      <c r="W846" s="1349"/>
      <c r="X846" s="1350"/>
      <c r="Y846" s="1350"/>
      <c r="Z846" s="1349"/>
      <c r="AA846" s="1351"/>
      <c r="AB846" s="1350"/>
      <c r="AC846" s="1350"/>
      <c r="AD846" s="1350"/>
      <c r="AE846" s="1350"/>
      <c r="AF846" s="1350"/>
      <c r="AG846" s="1350"/>
      <c r="AH846" s="1350"/>
      <c r="AI846" s="1350"/>
      <c r="AJ846" s="1350"/>
      <c r="AK846" s="1350"/>
    </row>
    <row r="847">
      <c r="A847" s="1350"/>
      <c r="B847" s="1350"/>
      <c r="C847" s="1350"/>
      <c r="D847" s="1350"/>
      <c r="E847" s="1350"/>
      <c r="F847" s="1350"/>
      <c r="G847" s="1350"/>
      <c r="H847" s="1350"/>
      <c r="I847" s="1350"/>
      <c r="J847" s="1350"/>
      <c r="K847" s="1350"/>
      <c r="L847" s="1350"/>
      <c r="M847" s="1350"/>
      <c r="N847" s="1350"/>
      <c r="O847" s="1350"/>
      <c r="P847" s="1354"/>
      <c r="Q847" s="1355"/>
      <c r="R847" s="1355"/>
      <c r="S847" s="1350"/>
      <c r="T847" s="1349"/>
      <c r="U847" s="1348"/>
      <c r="V847" s="1348"/>
      <c r="W847" s="1349"/>
      <c r="X847" s="1350"/>
      <c r="Y847" s="1350"/>
      <c r="Z847" s="1349"/>
      <c r="AA847" s="1351"/>
      <c r="AB847" s="1350"/>
      <c r="AC847" s="1350"/>
      <c r="AD847" s="1350"/>
      <c r="AE847" s="1350"/>
      <c r="AF847" s="1350"/>
      <c r="AG847" s="1350"/>
      <c r="AH847" s="1350"/>
      <c r="AI847" s="1350"/>
      <c r="AJ847" s="1350"/>
      <c r="AK847" s="1350"/>
    </row>
    <row r="848">
      <c r="A848" s="1350"/>
      <c r="B848" s="1350"/>
      <c r="C848" s="1350"/>
      <c r="D848" s="1350"/>
      <c r="E848" s="1350"/>
      <c r="F848" s="1350"/>
      <c r="G848" s="1350"/>
      <c r="H848" s="1350"/>
      <c r="I848" s="1350"/>
      <c r="J848" s="1350"/>
      <c r="K848" s="1350"/>
      <c r="L848" s="1350"/>
      <c r="M848" s="1350"/>
      <c r="N848" s="1350"/>
      <c r="O848" s="1350"/>
      <c r="P848" s="1354"/>
      <c r="Q848" s="1355"/>
      <c r="R848" s="1355"/>
      <c r="S848" s="1350"/>
      <c r="T848" s="1349"/>
      <c r="U848" s="1348"/>
      <c r="V848" s="1348"/>
      <c r="W848" s="1349"/>
      <c r="X848" s="1350"/>
      <c r="Y848" s="1350"/>
      <c r="Z848" s="1349"/>
      <c r="AA848" s="1351"/>
      <c r="AB848" s="1350"/>
      <c r="AC848" s="1350"/>
      <c r="AD848" s="1350"/>
      <c r="AE848" s="1350"/>
      <c r="AF848" s="1350"/>
      <c r="AG848" s="1350"/>
      <c r="AH848" s="1350"/>
      <c r="AI848" s="1350"/>
      <c r="AJ848" s="1350"/>
      <c r="AK848" s="1350"/>
    </row>
    <row r="849">
      <c r="A849" s="1350"/>
      <c r="B849" s="1350"/>
      <c r="C849" s="1350"/>
      <c r="D849" s="1350"/>
      <c r="E849" s="1350"/>
      <c r="F849" s="1350"/>
      <c r="G849" s="1350"/>
      <c r="H849" s="1350"/>
      <c r="I849" s="1350"/>
      <c r="J849" s="1350"/>
      <c r="K849" s="1350"/>
      <c r="L849" s="1350"/>
      <c r="M849" s="1350"/>
      <c r="N849" s="1350"/>
      <c r="O849" s="1350"/>
      <c r="P849" s="1354"/>
      <c r="Q849" s="1355"/>
      <c r="R849" s="1355"/>
      <c r="S849" s="1350"/>
      <c r="T849" s="1349"/>
      <c r="U849" s="1348"/>
      <c r="V849" s="1348"/>
      <c r="W849" s="1349"/>
      <c r="X849" s="1350"/>
      <c r="Y849" s="1350"/>
      <c r="Z849" s="1349"/>
      <c r="AA849" s="1351"/>
      <c r="AB849" s="1350"/>
      <c r="AC849" s="1350"/>
      <c r="AD849" s="1350"/>
      <c r="AE849" s="1350"/>
      <c r="AF849" s="1350"/>
      <c r="AG849" s="1350"/>
      <c r="AH849" s="1350"/>
      <c r="AI849" s="1350"/>
      <c r="AJ849" s="1350"/>
      <c r="AK849" s="1350"/>
    </row>
    <row r="850">
      <c r="A850" s="1350"/>
      <c r="B850" s="1350"/>
      <c r="C850" s="1350"/>
      <c r="D850" s="1350"/>
      <c r="E850" s="1350"/>
      <c r="F850" s="1350"/>
      <c r="G850" s="1350"/>
      <c r="H850" s="1350"/>
      <c r="I850" s="1350"/>
      <c r="J850" s="1350"/>
      <c r="K850" s="1350"/>
      <c r="L850" s="1350"/>
      <c r="M850" s="1350"/>
      <c r="N850" s="1350"/>
      <c r="O850" s="1350"/>
      <c r="P850" s="1354"/>
      <c r="Q850" s="1355"/>
      <c r="R850" s="1355"/>
      <c r="S850" s="1350"/>
      <c r="T850" s="1349"/>
      <c r="U850" s="1348"/>
      <c r="V850" s="1348"/>
      <c r="W850" s="1349"/>
      <c r="X850" s="1350"/>
      <c r="Y850" s="1350"/>
      <c r="Z850" s="1349"/>
      <c r="AA850" s="1351"/>
      <c r="AB850" s="1350"/>
      <c r="AC850" s="1350"/>
      <c r="AD850" s="1350"/>
      <c r="AE850" s="1350"/>
      <c r="AF850" s="1350"/>
      <c r="AG850" s="1350"/>
      <c r="AH850" s="1350"/>
      <c r="AI850" s="1350"/>
      <c r="AJ850" s="1350"/>
      <c r="AK850" s="1350"/>
    </row>
    <row r="851">
      <c r="A851" s="1350"/>
      <c r="B851" s="1350"/>
      <c r="C851" s="1350"/>
      <c r="D851" s="1350"/>
      <c r="E851" s="1350"/>
      <c r="F851" s="1350"/>
      <c r="G851" s="1350"/>
      <c r="H851" s="1350"/>
      <c r="I851" s="1350"/>
      <c r="J851" s="1350"/>
      <c r="K851" s="1350"/>
      <c r="L851" s="1350"/>
      <c r="M851" s="1350"/>
      <c r="N851" s="1350"/>
      <c r="O851" s="1350"/>
      <c r="P851" s="1354"/>
      <c r="Q851" s="1355"/>
      <c r="R851" s="1355"/>
      <c r="S851" s="1350"/>
      <c r="T851" s="1349"/>
      <c r="U851" s="1348"/>
      <c r="V851" s="1348"/>
      <c r="W851" s="1349"/>
      <c r="X851" s="1350"/>
      <c r="Y851" s="1350"/>
      <c r="Z851" s="1349"/>
      <c r="AA851" s="1351"/>
      <c r="AB851" s="1350"/>
      <c r="AC851" s="1350"/>
      <c r="AD851" s="1350"/>
      <c r="AE851" s="1350"/>
      <c r="AF851" s="1350"/>
      <c r="AG851" s="1350"/>
      <c r="AH851" s="1350"/>
      <c r="AI851" s="1350"/>
      <c r="AJ851" s="1350"/>
      <c r="AK851" s="1350"/>
    </row>
    <row r="852">
      <c r="A852" s="1350"/>
      <c r="B852" s="1350"/>
      <c r="C852" s="1350"/>
      <c r="D852" s="1350"/>
      <c r="E852" s="1350"/>
      <c r="F852" s="1350"/>
      <c r="G852" s="1350"/>
      <c r="H852" s="1350"/>
      <c r="I852" s="1350"/>
      <c r="J852" s="1350"/>
      <c r="K852" s="1350"/>
      <c r="L852" s="1350"/>
      <c r="M852" s="1350"/>
      <c r="N852" s="1350"/>
      <c r="O852" s="1350"/>
      <c r="P852" s="1354"/>
      <c r="Q852" s="1355"/>
      <c r="R852" s="1355"/>
      <c r="S852" s="1350"/>
      <c r="T852" s="1349"/>
      <c r="U852" s="1348"/>
      <c r="V852" s="1348"/>
      <c r="W852" s="1349"/>
      <c r="X852" s="1350"/>
      <c r="Y852" s="1350"/>
      <c r="Z852" s="1349"/>
      <c r="AA852" s="1351"/>
      <c r="AB852" s="1350"/>
      <c r="AC852" s="1350"/>
      <c r="AD852" s="1350"/>
      <c r="AE852" s="1350"/>
      <c r="AF852" s="1350"/>
      <c r="AG852" s="1350"/>
      <c r="AH852" s="1350"/>
      <c r="AI852" s="1350"/>
      <c r="AJ852" s="1350"/>
      <c r="AK852" s="1350"/>
    </row>
    <row r="853">
      <c r="A853" s="1350"/>
      <c r="B853" s="1350"/>
      <c r="C853" s="1350"/>
      <c r="D853" s="1350"/>
      <c r="E853" s="1350"/>
      <c r="F853" s="1350"/>
      <c r="G853" s="1350"/>
      <c r="H853" s="1350"/>
      <c r="I853" s="1350"/>
      <c r="J853" s="1350"/>
      <c r="K853" s="1350"/>
      <c r="L853" s="1350"/>
      <c r="M853" s="1350"/>
      <c r="N853" s="1350"/>
      <c r="O853" s="1350"/>
      <c r="P853" s="1354"/>
      <c r="Q853" s="1355"/>
      <c r="R853" s="1355"/>
      <c r="S853" s="1350"/>
      <c r="T853" s="1349"/>
      <c r="U853" s="1348"/>
      <c r="V853" s="1348"/>
      <c r="W853" s="1349"/>
      <c r="X853" s="1350"/>
      <c r="Y853" s="1350"/>
      <c r="Z853" s="1349"/>
      <c r="AA853" s="1351"/>
      <c r="AB853" s="1350"/>
      <c r="AC853" s="1350"/>
      <c r="AD853" s="1350"/>
      <c r="AE853" s="1350"/>
      <c r="AF853" s="1350"/>
      <c r="AG853" s="1350"/>
      <c r="AH853" s="1350"/>
      <c r="AI853" s="1350"/>
      <c r="AJ853" s="1350"/>
      <c r="AK853" s="1350"/>
    </row>
    <row r="854">
      <c r="A854" s="1350"/>
      <c r="B854" s="1350"/>
      <c r="C854" s="1350"/>
      <c r="D854" s="1350"/>
      <c r="E854" s="1350"/>
      <c r="F854" s="1350"/>
      <c r="G854" s="1350"/>
      <c r="H854" s="1350"/>
      <c r="I854" s="1350"/>
      <c r="J854" s="1350"/>
      <c r="K854" s="1350"/>
      <c r="L854" s="1350"/>
      <c r="M854" s="1350"/>
      <c r="N854" s="1350"/>
      <c r="O854" s="1350"/>
      <c r="P854" s="1354"/>
      <c r="Q854" s="1355"/>
      <c r="R854" s="1355"/>
      <c r="S854" s="1350"/>
      <c r="T854" s="1349"/>
      <c r="U854" s="1348"/>
      <c r="V854" s="1348"/>
      <c r="W854" s="1349"/>
      <c r="X854" s="1350"/>
      <c r="Y854" s="1350"/>
      <c r="Z854" s="1349"/>
      <c r="AA854" s="1351"/>
      <c r="AB854" s="1350"/>
      <c r="AC854" s="1350"/>
      <c r="AD854" s="1350"/>
      <c r="AE854" s="1350"/>
      <c r="AF854" s="1350"/>
      <c r="AG854" s="1350"/>
      <c r="AH854" s="1350"/>
      <c r="AI854" s="1350"/>
      <c r="AJ854" s="1350"/>
      <c r="AK854" s="1350"/>
    </row>
    <row r="855">
      <c r="A855" s="1350"/>
      <c r="B855" s="1350"/>
      <c r="C855" s="1350"/>
      <c r="D855" s="1350"/>
      <c r="E855" s="1350"/>
      <c r="F855" s="1350"/>
      <c r="G855" s="1350"/>
      <c r="H855" s="1350"/>
      <c r="I855" s="1350"/>
      <c r="J855" s="1350"/>
      <c r="K855" s="1350"/>
      <c r="L855" s="1350"/>
      <c r="M855" s="1350"/>
      <c r="N855" s="1350"/>
      <c r="O855" s="1350"/>
      <c r="P855" s="1354"/>
      <c r="Q855" s="1355"/>
      <c r="R855" s="1355"/>
      <c r="S855" s="1350"/>
      <c r="T855" s="1349"/>
      <c r="U855" s="1348"/>
      <c r="V855" s="1348"/>
      <c r="W855" s="1349"/>
      <c r="X855" s="1350"/>
      <c r="Y855" s="1350"/>
      <c r="Z855" s="1349"/>
      <c r="AA855" s="1351"/>
      <c r="AB855" s="1350"/>
      <c r="AC855" s="1350"/>
      <c r="AD855" s="1350"/>
      <c r="AE855" s="1350"/>
      <c r="AF855" s="1350"/>
      <c r="AG855" s="1350"/>
      <c r="AH855" s="1350"/>
      <c r="AI855" s="1350"/>
      <c r="AJ855" s="1350"/>
      <c r="AK855" s="1350"/>
    </row>
    <row r="856">
      <c r="A856" s="1350"/>
      <c r="B856" s="1350"/>
      <c r="C856" s="1350"/>
      <c r="D856" s="1350"/>
      <c r="E856" s="1350"/>
      <c r="F856" s="1350"/>
      <c r="G856" s="1350"/>
      <c r="H856" s="1350"/>
      <c r="I856" s="1350"/>
      <c r="J856" s="1350"/>
      <c r="K856" s="1350"/>
      <c r="L856" s="1350"/>
      <c r="M856" s="1350"/>
      <c r="N856" s="1350"/>
      <c r="O856" s="1350"/>
      <c r="P856" s="1354"/>
      <c r="Q856" s="1355"/>
      <c r="R856" s="1355"/>
      <c r="S856" s="1350"/>
      <c r="T856" s="1349"/>
      <c r="U856" s="1348"/>
      <c r="V856" s="1348"/>
      <c r="W856" s="1349"/>
      <c r="X856" s="1350"/>
      <c r="Y856" s="1350"/>
      <c r="Z856" s="1349"/>
      <c r="AA856" s="1351"/>
      <c r="AB856" s="1350"/>
      <c r="AC856" s="1350"/>
      <c r="AD856" s="1350"/>
      <c r="AE856" s="1350"/>
      <c r="AF856" s="1350"/>
      <c r="AG856" s="1350"/>
      <c r="AH856" s="1350"/>
      <c r="AI856" s="1350"/>
      <c r="AJ856" s="1350"/>
      <c r="AK856" s="1350"/>
    </row>
    <row r="857">
      <c r="A857" s="1350"/>
      <c r="B857" s="1350"/>
      <c r="C857" s="1350"/>
      <c r="D857" s="1350"/>
      <c r="E857" s="1350"/>
      <c r="F857" s="1350"/>
      <c r="G857" s="1350"/>
      <c r="H857" s="1350"/>
      <c r="I857" s="1350"/>
      <c r="J857" s="1350"/>
      <c r="K857" s="1350"/>
      <c r="L857" s="1350"/>
      <c r="M857" s="1350"/>
      <c r="N857" s="1350"/>
      <c r="O857" s="1350"/>
      <c r="P857" s="1354"/>
      <c r="Q857" s="1355"/>
      <c r="R857" s="1355"/>
      <c r="S857" s="1350"/>
      <c r="T857" s="1349"/>
      <c r="U857" s="1348"/>
      <c r="V857" s="1348"/>
      <c r="W857" s="1349"/>
      <c r="X857" s="1350"/>
      <c r="Y857" s="1350"/>
      <c r="Z857" s="1349"/>
      <c r="AA857" s="1351"/>
      <c r="AB857" s="1350"/>
      <c r="AC857" s="1350"/>
      <c r="AD857" s="1350"/>
      <c r="AE857" s="1350"/>
      <c r="AF857" s="1350"/>
      <c r="AG857" s="1350"/>
      <c r="AH857" s="1350"/>
      <c r="AI857" s="1350"/>
      <c r="AJ857" s="1350"/>
      <c r="AK857" s="1350"/>
    </row>
    <row r="858">
      <c r="A858" s="1350"/>
      <c r="B858" s="1350"/>
      <c r="C858" s="1350"/>
      <c r="D858" s="1350"/>
      <c r="E858" s="1350"/>
      <c r="F858" s="1350"/>
      <c r="G858" s="1350"/>
      <c r="H858" s="1350"/>
      <c r="I858" s="1350"/>
      <c r="J858" s="1350"/>
      <c r="K858" s="1350"/>
      <c r="L858" s="1350"/>
      <c r="M858" s="1350"/>
      <c r="N858" s="1350"/>
      <c r="O858" s="1350"/>
      <c r="P858" s="1354"/>
      <c r="Q858" s="1355"/>
      <c r="R858" s="1355"/>
      <c r="S858" s="1350"/>
      <c r="T858" s="1349"/>
      <c r="U858" s="1348"/>
      <c r="V858" s="1348"/>
      <c r="W858" s="1349"/>
      <c r="X858" s="1350"/>
      <c r="Y858" s="1350"/>
      <c r="Z858" s="1349"/>
      <c r="AA858" s="1351"/>
      <c r="AB858" s="1350"/>
      <c r="AC858" s="1350"/>
      <c r="AD858" s="1350"/>
      <c r="AE858" s="1350"/>
      <c r="AF858" s="1350"/>
      <c r="AG858" s="1350"/>
      <c r="AH858" s="1350"/>
      <c r="AI858" s="1350"/>
      <c r="AJ858" s="1350"/>
      <c r="AK858" s="1350"/>
    </row>
    <row r="859">
      <c r="A859" s="1350"/>
      <c r="B859" s="1350"/>
      <c r="C859" s="1350"/>
      <c r="D859" s="1350"/>
      <c r="E859" s="1350"/>
      <c r="F859" s="1350"/>
      <c r="G859" s="1350"/>
      <c r="H859" s="1350"/>
      <c r="I859" s="1350"/>
      <c r="J859" s="1350"/>
      <c r="K859" s="1350"/>
      <c r="L859" s="1350"/>
      <c r="M859" s="1350"/>
      <c r="N859" s="1350"/>
      <c r="O859" s="1350"/>
      <c r="P859" s="1354"/>
      <c r="Q859" s="1355"/>
      <c r="R859" s="1355"/>
      <c r="S859" s="1350"/>
      <c r="T859" s="1349"/>
      <c r="U859" s="1348"/>
      <c r="V859" s="1348"/>
      <c r="W859" s="1349"/>
      <c r="X859" s="1350"/>
      <c r="Y859" s="1350"/>
      <c r="Z859" s="1349"/>
      <c r="AA859" s="1351"/>
      <c r="AB859" s="1350"/>
      <c r="AC859" s="1350"/>
      <c r="AD859" s="1350"/>
      <c r="AE859" s="1350"/>
      <c r="AF859" s="1350"/>
      <c r="AG859" s="1350"/>
      <c r="AH859" s="1350"/>
      <c r="AI859" s="1350"/>
      <c r="AJ859" s="1350"/>
      <c r="AK859" s="1350"/>
    </row>
    <row r="860">
      <c r="A860" s="1350"/>
      <c r="B860" s="1350"/>
      <c r="C860" s="1350"/>
      <c r="D860" s="1350"/>
      <c r="E860" s="1350"/>
      <c r="F860" s="1350"/>
      <c r="G860" s="1350"/>
      <c r="H860" s="1350"/>
      <c r="I860" s="1350"/>
      <c r="J860" s="1350"/>
      <c r="K860" s="1350"/>
      <c r="L860" s="1350"/>
      <c r="M860" s="1350"/>
      <c r="N860" s="1350"/>
      <c r="O860" s="1350"/>
      <c r="P860" s="1354"/>
      <c r="Q860" s="1355"/>
      <c r="R860" s="1355"/>
      <c r="S860" s="1350"/>
      <c r="T860" s="1349"/>
      <c r="U860" s="1348"/>
      <c r="V860" s="1348"/>
      <c r="W860" s="1349"/>
      <c r="X860" s="1350"/>
      <c r="Y860" s="1350"/>
      <c r="Z860" s="1349"/>
      <c r="AA860" s="1351"/>
      <c r="AB860" s="1350"/>
      <c r="AC860" s="1350"/>
      <c r="AD860" s="1350"/>
      <c r="AE860" s="1350"/>
      <c r="AF860" s="1350"/>
      <c r="AG860" s="1350"/>
      <c r="AH860" s="1350"/>
      <c r="AI860" s="1350"/>
      <c r="AJ860" s="1350"/>
      <c r="AK860" s="1350"/>
    </row>
    <row r="861">
      <c r="A861" s="1350"/>
      <c r="B861" s="1350"/>
      <c r="C861" s="1350"/>
      <c r="D861" s="1350"/>
      <c r="E861" s="1350"/>
      <c r="F861" s="1350"/>
      <c r="G861" s="1350"/>
      <c r="H861" s="1350"/>
      <c r="I861" s="1350"/>
      <c r="J861" s="1350"/>
      <c r="K861" s="1350"/>
      <c r="L861" s="1350"/>
      <c r="M861" s="1350"/>
      <c r="N861" s="1350"/>
      <c r="O861" s="1350"/>
      <c r="P861" s="1354"/>
      <c r="Q861" s="1355"/>
      <c r="R861" s="1355"/>
      <c r="S861" s="1350"/>
      <c r="T861" s="1349"/>
      <c r="U861" s="1348"/>
      <c r="V861" s="1348"/>
      <c r="W861" s="1349"/>
      <c r="X861" s="1350"/>
      <c r="Y861" s="1350"/>
      <c r="Z861" s="1349"/>
      <c r="AA861" s="1351"/>
      <c r="AB861" s="1350"/>
      <c r="AC861" s="1350"/>
      <c r="AD861" s="1350"/>
      <c r="AE861" s="1350"/>
      <c r="AF861" s="1350"/>
      <c r="AG861" s="1350"/>
      <c r="AH861" s="1350"/>
      <c r="AI861" s="1350"/>
      <c r="AJ861" s="1350"/>
      <c r="AK861" s="1350"/>
    </row>
    <row r="862">
      <c r="A862" s="1350"/>
      <c r="B862" s="1350"/>
      <c r="C862" s="1350"/>
      <c r="D862" s="1350"/>
      <c r="E862" s="1350"/>
      <c r="F862" s="1350"/>
      <c r="G862" s="1350"/>
      <c r="H862" s="1350"/>
      <c r="I862" s="1350"/>
      <c r="J862" s="1350"/>
      <c r="K862" s="1350"/>
      <c r="L862" s="1350"/>
      <c r="M862" s="1350"/>
      <c r="N862" s="1350"/>
      <c r="O862" s="1350"/>
      <c r="P862" s="1354"/>
      <c r="Q862" s="1355"/>
      <c r="R862" s="1355"/>
      <c r="S862" s="1350"/>
      <c r="T862" s="1349"/>
      <c r="U862" s="1348"/>
      <c r="V862" s="1348"/>
      <c r="W862" s="1349"/>
      <c r="X862" s="1350"/>
      <c r="Y862" s="1350"/>
      <c r="Z862" s="1349"/>
      <c r="AA862" s="1351"/>
      <c r="AB862" s="1350"/>
      <c r="AC862" s="1350"/>
      <c r="AD862" s="1350"/>
      <c r="AE862" s="1350"/>
      <c r="AF862" s="1350"/>
      <c r="AG862" s="1350"/>
      <c r="AH862" s="1350"/>
      <c r="AI862" s="1350"/>
      <c r="AJ862" s="1350"/>
      <c r="AK862" s="1350"/>
    </row>
    <row r="863">
      <c r="A863" s="1350"/>
      <c r="B863" s="1350"/>
      <c r="C863" s="1350"/>
      <c r="D863" s="1350"/>
      <c r="E863" s="1350"/>
      <c r="F863" s="1350"/>
      <c r="G863" s="1350"/>
      <c r="H863" s="1350"/>
      <c r="I863" s="1350"/>
      <c r="J863" s="1350"/>
      <c r="K863" s="1350"/>
      <c r="L863" s="1350"/>
      <c r="M863" s="1350"/>
      <c r="N863" s="1350"/>
      <c r="O863" s="1350"/>
      <c r="P863" s="1354"/>
      <c r="Q863" s="1355"/>
      <c r="R863" s="1355"/>
      <c r="S863" s="1350"/>
      <c r="T863" s="1349"/>
      <c r="U863" s="1348"/>
      <c r="V863" s="1348"/>
      <c r="W863" s="1349"/>
      <c r="X863" s="1350"/>
      <c r="Y863" s="1350"/>
      <c r="Z863" s="1349"/>
      <c r="AA863" s="1351"/>
      <c r="AB863" s="1350"/>
      <c r="AC863" s="1350"/>
      <c r="AD863" s="1350"/>
      <c r="AE863" s="1350"/>
      <c r="AF863" s="1350"/>
      <c r="AG863" s="1350"/>
      <c r="AH863" s="1350"/>
      <c r="AI863" s="1350"/>
      <c r="AJ863" s="1350"/>
      <c r="AK863" s="1350"/>
    </row>
    <row r="864">
      <c r="A864" s="1350"/>
      <c r="B864" s="1350"/>
      <c r="C864" s="1350"/>
      <c r="D864" s="1350"/>
      <c r="E864" s="1350"/>
      <c r="F864" s="1350"/>
      <c r="G864" s="1350"/>
      <c r="H864" s="1350"/>
      <c r="I864" s="1350"/>
      <c r="J864" s="1350"/>
      <c r="K864" s="1350"/>
      <c r="L864" s="1350"/>
      <c r="M864" s="1350"/>
      <c r="N864" s="1350"/>
      <c r="O864" s="1350"/>
      <c r="P864" s="1354"/>
      <c r="Q864" s="1355"/>
      <c r="R864" s="1355"/>
      <c r="S864" s="1350"/>
      <c r="T864" s="1349"/>
      <c r="U864" s="1348"/>
      <c r="V864" s="1348"/>
      <c r="W864" s="1349"/>
      <c r="X864" s="1350"/>
      <c r="Y864" s="1350"/>
      <c r="Z864" s="1349"/>
      <c r="AA864" s="1351"/>
      <c r="AB864" s="1350"/>
      <c r="AC864" s="1350"/>
      <c r="AD864" s="1350"/>
      <c r="AE864" s="1350"/>
      <c r="AF864" s="1350"/>
      <c r="AG864" s="1350"/>
      <c r="AH864" s="1350"/>
      <c r="AI864" s="1350"/>
      <c r="AJ864" s="1350"/>
      <c r="AK864" s="1350"/>
    </row>
    <row r="865">
      <c r="A865" s="1350"/>
      <c r="B865" s="1350"/>
      <c r="C865" s="1350"/>
      <c r="D865" s="1350"/>
      <c r="E865" s="1350"/>
      <c r="F865" s="1350"/>
      <c r="G865" s="1350"/>
      <c r="H865" s="1350"/>
      <c r="I865" s="1350"/>
      <c r="J865" s="1350"/>
      <c r="K865" s="1350"/>
      <c r="L865" s="1350"/>
      <c r="M865" s="1350"/>
      <c r="N865" s="1350"/>
      <c r="O865" s="1350"/>
      <c r="P865" s="1354"/>
      <c r="Q865" s="1355"/>
      <c r="R865" s="1355"/>
      <c r="S865" s="1350"/>
      <c r="T865" s="1349"/>
      <c r="U865" s="1348"/>
      <c r="V865" s="1348"/>
      <c r="W865" s="1349"/>
      <c r="X865" s="1350"/>
      <c r="Y865" s="1350"/>
      <c r="Z865" s="1349"/>
      <c r="AA865" s="1351"/>
      <c r="AB865" s="1350"/>
      <c r="AC865" s="1350"/>
      <c r="AD865" s="1350"/>
      <c r="AE865" s="1350"/>
      <c r="AF865" s="1350"/>
      <c r="AG865" s="1350"/>
      <c r="AH865" s="1350"/>
      <c r="AI865" s="1350"/>
      <c r="AJ865" s="1350"/>
      <c r="AK865" s="1350"/>
    </row>
    <row r="866">
      <c r="A866" s="1350"/>
      <c r="B866" s="1350"/>
      <c r="C866" s="1350"/>
      <c r="D866" s="1350"/>
      <c r="E866" s="1350"/>
      <c r="F866" s="1350"/>
      <c r="G866" s="1350"/>
      <c r="H866" s="1350"/>
      <c r="I866" s="1350"/>
      <c r="J866" s="1350"/>
      <c r="K866" s="1350"/>
      <c r="L866" s="1350"/>
      <c r="M866" s="1350"/>
      <c r="N866" s="1350"/>
      <c r="O866" s="1350"/>
      <c r="P866" s="1354"/>
      <c r="Q866" s="1355"/>
      <c r="R866" s="1355"/>
      <c r="S866" s="1350"/>
      <c r="T866" s="1349"/>
      <c r="U866" s="1348"/>
      <c r="V866" s="1348"/>
      <c r="W866" s="1349"/>
      <c r="X866" s="1350"/>
      <c r="Y866" s="1350"/>
      <c r="Z866" s="1349"/>
      <c r="AA866" s="1351"/>
      <c r="AB866" s="1350"/>
      <c r="AC866" s="1350"/>
      <c r="AD866" s="1350"/>
      <c r="AE866" s="1350"/>
      <c r="AF866" s="1350"/>
      <c r="AG866" s="1350"/>
      <c r="AH866" s="1350"/>
      <c r="AI866" s="1350"/>
      <c r="AJ866" s="1350"/>
      <c r="AK866" s="1350"/>
    </row>
    <row r="867">
      <c r="A867" s="1350"/>
      <c r="B867" s="1350"/>
      <c r="C867" s="1350"/>
      <c r="D867" s="1350"/>
      <c r="E867" s="1350"/>
      <c r="F867" s="1350"/>
      <c r="G867" s="1350"/>
      <c r="H867" s="1350"/>
      <c r="I867" s="1350"/>
      <c r="J867" s="1350"/>
      <c r="K867" s="1350"/>
      <c r="L867" s="1350"/>
      <c r="M867" s="1350"/>
      <c r="N867" s="1350"/>
      <c r="O867" s="1350"/>
      <c r="P867" s="1354"/>
      <c r="Q867" s="1355"/>
      <c r="R867" s="1355"/>
      <c r="S867" s="1350"/>
      <c r="T867" s="1349"/>
      <c r="U867" s="1348"/>
      <c r="V867" s="1348"/>
      <c r="W867" s="1349"/>
      <c r="X867" s="1350"/>
      <c r="Y867" s="1350"/>
      <c r="Z867" s="1349"/>
      <c r="AA867" s="1351"/>
      <c r="AB867" s="1350"/>
      <c r="AC867" s="1350"/>
      <c r="AD867" s="1350"/>
      <c r="AE867" s="1350"/>
      <c r="AF867" s="1350"/>
      <c r="AG867" s="1350"/>
      <c r="AH867" s="1350"/>
      <c r="AI867" s="1350"/>
      <c r="AJ867" s="1350"/>
      <c r="AK867" s="1350"/>
    </row>
    <row r="868">
      <c r="A868" s="1350"/>
      <c r="B868" s="1350"/>
      <c r="C868" s="1350"/>
      <c r="D868" s="1350"/>
      <c r="E868" s="1350"/>
      <c r="F868" s="1350"/>
      <c r="G868" s="1350"/>
      <c r="H868" s="1350"/>
      <c r="I868" s="1350"/>
      <c r="J868" s="1350"/>
      <c r="K868" s="1350"/>
      <c r="L868" s="1350"/>
      <c r="M868" s="1350"/>
      <c r="N868" s="1350"/>
      <c r="O868" s="1350"/>
      <c r="P868" s="1354"/>
      <c r="Q868" s="1355"/>
      <c r="R868" s="1355"/>
      <c r="S868" s="1350"/>
      <c r="T868" s="1349"/>
      <c r="U868" s="1348"/>
      <c r="V868" s="1348"/>
      <c r="W868" s="1349"/>
      <c r="X868" s="1350"/>
      <c r="Y868" s="1350"/>
      <c r="Z868" s="1349"/>
      <c r="AA868" s="1351"/>
      <c r="AB868" s="1350"/>
      <c r="AC868" s="1350"/>
      <c r="AD868" s="1350"/>
      <c r="AE868" s="1350"/>
      <c r="AF868" s="1350"/>
      <c r="AG868" s="1350"/>
      <c r="AH868" s="1350"/>
      <c r="AI868" s="1350"/>
      <c r="AJ868" s="1350"/>
      <c r="AK868" s="1350"/>
    </row>
    <row r="869">
      <c r="A869" s="1350"/>
      <c r="B869" s="1350"/>
      <c r="C869" s="1350"/>
      <c r="D869" s="1350"/>
      <c r="E869" s="1350"/>
      <c r="F869" s="1350"/>
      <c r="G869" s="1350"/>
      <c r="H869" s="1350"/>
      <c r="I869" s="1350"/>
      <c r="J869" s="1350"/>
      <c r="K869" s="1350"/>
      <c r="L869" s="1350"/>
      <c r="M869" s="1350"/>
      <c r="N869" s="1350"/>
      <c r="O869" s="1350"/>
      <c r="P869" s="1354"/>
      <c r="Q869" s="1355"/>
      <c r="R869" s="1355"/>
      <c r="S869" s="1350"/>
      <c r="T869" s="1349"/>
      <c r="U869" s="1348"/>
      <c r="V869" s="1348"/>
      <c r="W869" s="1349"/>
      <c r="X869" s="1350"/>
      <c r="Y869" s="1350"/>
      <c r="Z869" s="1349"/>
      <c r="AA869" s="1351"/>
      <c r="AB869" s="1350"/>
      <c r="AC869" s="1350"/>
      <c r="AD869" s="1350"/>
      <c r="AE869" s="1350"/>
      <c r="AF869" s="1350"/>
      <c r="AG869" s="1350"/>
      <c r="AH869" s="1350"/>
      <c r="AI869" s="1350"/>
      <c r="AJ869" s="1350"/>
      <c r="AK869" s="1350"/>
    </row>
    <row r="870">
      <c r="A870" s="1350"/>
      <c r="B870" s="1350"/>
      <c r="C870" s="1350"/>
      <c r="D870" s="1350"/>
      <c r="E870" s="1350"/>
      <c r="F870" s="1350"/>
      <c r="G870" s="1350"/>
      <c r="H870" s="1350"/>
      <c r="I870" s="1350"/>
      <c r="J870" s="1350"/>
      <c r="K870" s="1350"/>
      <c r="L870" s="1350"/>
      <c r="M870" s="1350"/>
      <c r="N870" s="1350"/>
      <c r="O870" s="1350"/>
      <c r="P870" s="1354"/>
      <c r="Q870" s="1355"/>
      <c r="R870" s="1355"/>
      <c r="S870" s="1350"/>
      <c r="T870" s="1349"/>
      <c r="U870" s="1348"/>
      <c r="V870" s="1348"/>
      <c r="W870" s="1349"/>
      <c r="X870" s="1350"/>
      <c r="Y870" s="1350"/>
      <c r="Z870" s="1349"/>
      <c r="AA870" s="1351"/>
      <c r="AB870" s="1350"/>
      <c r="AC870" s="1350"/>
      <c r="AD870" s="1350"/>
      <c r="AE870" s="1350"/>
      <c r="AF870" s="1350"/>
      <c r="AG870" s="1350"/>
      <c r="AH870" s="1350"/>
      <c r="AI870" s="1350"/>
      <c r="AJ870" s="1350"/>
      <c r="AK870" s="1350"/>
    </row>
    <row r="871">
      <c r="A871" s="1350"/>
      <c r="B871" s="1350"/>
      <c r="C871" s="1350"/>
      <c r="D871" s="1350"/>
      <c r="E871" s="1350"/>
      <c r="F871" s="1350"/>
      <c r="G871" s="1350"/>
      <c r="H871" s="1350"/>
      <c r="I871" s="1350"/>
      <c r="J871" s="1350"/>
      <c r="K871" s="1350"/>
      <c r="L871" s="1350"/>
      <c r="M871" s="1350"/>
      <c r="N871" s="1350"/>
      <c r="O871" s="1350"/>
      <c r="P871" s="1354"/>
      <c r="Q871" s="1355"/>
      <c r="R871" s="1355"/>
      <c r="S871" s="1350"/>
      <c r="T871" s="1349"/>
      <c r="U871" s="1348"/>
      <c r="V871" s="1348"/>
      <c r="W871" s="1349"/>
      <c r="X871" s="1350"/>
      <c r="Y871" s="1350"/>
      <c r="Z871" s="1349"/>
      <c r="AA871" s="1351"/>
      <c r="AB871" s="1350"/>
      <c r="AC871" s="1350"/>
      <c r="AD871" s="1350"/>
      <c r="AE871" s="1350"/>
      <c r="AF871" s="1350"/>
      <c r="AG871" s="1350"/>
      <c r="AH871" s="1350"/>
      <c r="AI871" s="1350"/>
      <c r="AJ871" s="1350"/>
      <c r="AK871" s="1350"/>
    </row>
    <row r="872">
      <c r="A872" s="1350"/>
      <c r="B872" s="1350"/>
      <c r="C872" s="1350"/>
      <c r="D872" s="1350"/>
      <c r="E872" s="1350"/>
      <c r="F872" s="1350"/>
      <c r="G872" s="1350"/>
      <c r="H872" s="1350"/>
      <c r="I872" s="1350"/>
      <c r="J872" s="1350"/>
      <c r="K872" s="1350"/>
      <c r="L872" s="1350"/>
      <c r="M872" s="1350"/>
      <c r="N872" s="1350"/>
      <c r="O872" s="1350"/>
      <c r="P872" s="1354"/>
      <c r="Q872" s="1355"/>
      <c r="R872" s="1355"/>
      <c r="S872" s="1350"/>
      <c r="T872" s="1349"/>
      <c r="U872" s="1348"/>
      <c r="V872" s="1348"/>
      <c r="W872" s="1349"/>
      <c r="X872" s="1350"/>
      <c r="Y872" s="1350"/>
      <c r="Z872" s="1349"/>
      <c r="AA872" s="1351"/>
      <c r="AB872" s="1350"/>
      <c r="AC872" s="1350"/>
      <c r="AD872" s="1350"/>
      <c r="AE872" s="1350"/>
      <c r="AF872" s="1350"/>
      <c r="AG872" s="1350"/>
      <c r="AH872" s="1350"/>
      <c r="AI872" s="1350"/>
      <c r="AJ872" s="1350"/>
      <c r="AK872" s="1350"/>
    </row>
    <row r="873">
      <c r="A873" s="1350"/>
      <c r="B873" s="1350"/>
      <c r="C873" s="1350"/>
      <c r="D873" s="1350"/>
      <c r="E873" s="1350"/>
      <c r="F873" s="1350"/>
      <c r="G873" s="1350"/>
      <c r="H873" s="1350"/>
      <c r="I873" s="1350"/>
      <c r="J873" s="1350"/>
      <c r="K873" s="1350"/>
      <c r="L873" s="1350"/>
      <c r="M873" s="1350"/>
      <c r="N873" s="1350"/>
      <c r="O873" s="1350"/>
      <c r="P873" s="1354"/>
      <c r="Q873" s="1355"/>
      <c r="R873" s="1355"/>
      <c r="S873" s="1350"/>
      <c r="T873" s="1349"/>
      <c r="U873" s="1348"/>
      <c r="V873" s="1348"/>
      <c r="W873" s="1349"/>
      <c r="X873" s="1350"/>
      <c r="Y873" s="1350"/>
      <c r="Z873" s="1349"/>
      <c r="AA873" s="1351"/>
      <c r="AB873" s="1350"/>
      <c r="AC873" s="1350"/>
      <c r="AD873" s="1350"/>
      <c r="AE873" s="1350"/>
      <c r="AF873" s="1350"/>
      <c r="AG873" s="1350"/>
      <c r="AH873" s="1350"/>
      <c r="AI873" s="1350"/>
      <c r="AJ873" s="1350"/>
      <c r="AK873" s="1350"/>
    </row>
    <row r="874">
      <c r="A874" s="1350"/>
      <c r="B874" s="1350"/>
      <c r="C874" s="1350"/>
      <c r="D874" s="1350"/>
      <c r="E874" s="1350"/>
      <c r="F874" s="1350"/>
      <c r="G874" s="1350"/>
      <c r="H874" s="1350"/>
      <c r="I874" s="1350"/>
      <c r="J874" s="1350"/>
      <c r="K874" s="1350"/>
      <c r="L874" s="1350"/>
      <c r="M874" s="1350"/>
      <c r="N874" s="1350"/>
      <c r="O874" s="1350"/>
      <c r="P874" s="1354"/>
      <c r="Q874" s="1355"/>
      <c r="R874" s="1355"/>
      <c r="S874" s="1350"/>
      <c r="T874" s="1349"/>
      <c r="U874" s="1348"/>
      <c r="V874" s="1348"/>
      <c r="W874" s="1349"/>
      <c r="X874" s="1350"/>
      <c r="Y874" s="1350"/>
      <c r="Z874" s="1349"/>
      <c r="AA874" s="1351"/>
      <c r="AB874" s="1350"/>
      <c r="AC874" s="1350"/>
      <c r="AD874" s="1350"/>
      <c r="AE874" s="1350"/>
      <c r="AF874" s="1350"/>
      <c r="AG874" s="1350"/>
      <c r="AH874" s="1350"/>
      <c r="AI874" s="1350"/>
      <c r="AJ874" s="1350"/>
      <c r="AK874" s="1350"/>
    </row>
    <row r="875">
      <c r="A875" s="1350"/>
      <c r="B875" s="1350"/>
      <c r="C875" s="1350"/>
      <c r="D875" s="1350"/>
      <c r="E875" s="1350"/>
      <c r="F875" s="1350"/>
      <c r="G875" s="1350"/>
      <c r="H875" s="1350"/>
      <c r="I875" s="1350"/>
      <c r="J875" s="1350"/>
      <c r="K875" s="1350"/>
      <c r="L875" s="1350"/>
      <c r="M875" s="1350"/>
      <c r="N875" s="1350"/>
      <c r="O875" s="1350"/>
      <c r="P875" s="1354"/>
      <c r="Q875" s="1355"/>
      <c r="R875" s="1355"/>
      <c r="S875" s="1350"/>
      <c r="T875" s="1349"/>
      <c r="U875" s="1348"/>
      <c r="V875" s="1348"/>
      <c r="W875" s="1349"/>
      <c r="X875" s="1350"/>
      <c r="Y875" s="1350"/>
      <c r="Z875" s="1349"/>
      <c r="AA875" s="1351"/>
      <c r="AB875" s="1350"/>
      <c r="AC875" s="1350"/>
      <c r="AD875" s="1350"/>
      <c r="AE875" s="1350"/>
      <c r="AF875" s="1350"/>
      <c r="AG875" s="1350"/>
      <c r="AH875" s="1350"/>
      <c r="AI875" s="1350"/>
      <c r="AJ875" s="1350"/>
      <c r="AK875" s="1350"/>
    </row>
    <row r="876">
      <c r="A876" s="1350"/>
      <c r="B876" s="1350"/>
      <c r="C876" s="1350"/>
      <c r="D876" s="1350"/>
      <c r="E876" s="1350"/>
      <c r="F876" s="1350"/>
      <c r="G876" s="1350"/>
      <c r="H876" s="1350"/>
      <c r="I876" s="1350"/>
      <c r="J876" s="1350"/>
      <c r="K876" s="1350"/>
      <c r="L876" s="1350"/>
      <c r="M876" s="1350"/>
      <c r="N876" s="1350"/>
      <c r="O876" s="1350"/>
      <c r="P876" s="1354"/>
      <c r="Q876" s="1355"/>
      <c r="R876" s="1355"/>
      <c r="S876" s="1350"/>
      <c r="T876" s="1349"/>
      <c r="U876" s="1348"/>
      <c r="V876" s="1348"/>
      <c r="W876" s="1349"/>
      <c r="X876" s="1350"/>
      <c r="Y876" s="1350"/>
      <c r="Z876" s="1349"/>
      <c r="AA876" s="1351"/>
      <c r="AB876" s="1350"/>
      <c r="AC876" s="1350"/>
      <c r="AD876" s="1350"/>
      <c r="AE876" s="1350"/>
      <c r="AF876" s="1350"/>
      <c r="AG876" s="1350"/>
      <c r="AH876" s="1350"/>
      <c r="AI876" s="1350"/>
      <c r="AJ876" s="1350"/>
      <c r="AK876" s="1350"/>
    </row>
    <row r="877">
      <c r="A877" s="1350"/>
      <c r="B877" s="1350"/>
      <c r="C877" s="1350"/>
      <c r="D877" s="1350"/>
      <c r="E877" s="1350"/>
      <c r="F877" s="1350"/>
      <c r="G877" s="1350"/>
      <c r="H877" s="1350"/>
      <c r="I877" s="1350"/>
      <c r="J877" s="1350"/>
      <c r="K877" s="1350"/>
      <c r="L877" s="1350"/>
      <c r="M877" s="1350"/>
      <c r="N877" s="1350"/>
      <c r="O877" s="1350"/>
      <c r="P877" s="1354"/>
      <c r="Q877" s="1355"/>
      <c r="R877" s="1355"/>
      <c r="S877" s="1350"/>
      <c r="T877" s="1349"/>
      <c r="U877" s="1348"/>
      <c r="V877" s="1348"/>
      <c r="W877" s="1349"/>
      <c r="X877" s="1350"/>
      <c r="Y877" s="1350"/>
      <c r="Z877" s="1349"/>
      <c r="AA877" s="1351"/>
      <c r="AB877" s="1350"/>
      <c r="AC877" s="1350"/>
      <c r="AD877" s="1350"/>
      <c r="AE877" s="1350"/>
      <c r="AF877" s="1350"/>
      <c r="AG877" s="1350"/>
      <c r="AH877" s="1350"/>
      <c r="AI877" s="1350"/>
      <c r="AJ877" s="1350"/>
      <c r="AK877" s="1350"/>
    </row>
    <row r="878">
      <c r="A878" s="1350"/>
      <c r="B878" s="1350"/>
      <c r="C878" s="1350"/>
      <c r="D878" s="1350"/>
      <c r="E878" s="1350"/>
      <c r="F878" s="1350"/>
      <c r="G878" s="1350"/>
      <c r="H878" s="1350"/>
      <c r="I878" s="1350"/>
      <c r="J878" s="1350"/>
      <c r="K878" s="1350"/>
      <c r="L878" s="1350"/>
      <c r="M878" s="1350"/>
      <c r="N878" s="1350"/>
      <c r="O878" s="1350"/>
      <c r="P878" s="1354"/>
      <c r="Q878" s="1355"/>
      <c r="R878" s="1355"/>
      <c r="S878" s="1350"/>
      <c r="T878" s="1349"/>
      <c r="U878" s="1348"/>
      <c r="V878" s="1348"/>
      <c r="W878" s="1349"/>
      <c r="X878" s="1350"/>
      <c r="Y878" s="1350"/>
      <c r="Z878" s="1349"/>
      <c r="AA878" s="1351"/>
      <c r="AB878" s="1350"/>
      <c r="AC878" s="1350"/>
      <c r="AD878" s="1350"/>
      <c r="AE878" s="1350"/>
      <c r="AF878" s="1350"/>
      <c r="AG878" s="1350"/>
      <c r="AH878" s="1350"/>
      <c r="AI878" s="1350"/>
      <c r="AJ878" s="1350"/>
      <c r="AK878" s="1350"/>
    </row>
    <row r="879">
      <c r="A879" s="1350"/>
      <c r="B879" s="1350"/>
      <c r="C879" s="1350"/>
      <c r="D879" s="1350"/>
      <c r="E879" s="1350"/>
      <c r="F879" s="1350"/>
      <c r="G879" s="1350"/>
      <c r="H879" s="1350"/>
      <c r="I879" s="1350"/>
      <c r="J879" s="1350"/>
      <c r="K879" s="1350"/>
      <c r="L879" s="1350"/>
      <c r="M879" s="1350"/>
      <c r="N879" s="1350"/>
      <c r="O879" s="1350"/>
      <c r="P879" s="1354"/>
      <c r="Q879" s="1355"/>
      <c r="R879" s="1355"/>
      <c r="S879" s="1350"/>
      <c r="T879" s="1349"/>
      <c r="U879" s="1348"/>
      <c r="V879" s="1348"/>
      <c r="W879" s="1349"/>
      <c r="X879" s="1350"/>
      <c r="Y879" s="1350"/>
      <c r="Z879" s="1349"/>
      <c r="AA879" s="1351"/>
      <c r="AB879" s="1350"/>
      <c r="AC879" s="1350"/>
      <c r="AD879" s="1350"/>
      <c r="AE879" s="1350"/>
      <c r="AF879" s="1350"/>
      <c r="AG879" s="1350"/>
      <c r="AH879" s="1350"/>
      <c r="AI879" s="1350"/>
      <c r="AJ879" s="1350"/>
      <c r="AK879" s="1350"/>
    </row>
    <row r="880">
      <c r="A880" s="1350"/>
      <c r="B880" s="1350"/>
      <c r="C880" s="1350"/>
      <c r="D880" s="1350"/>
      <c r="E880" s="1350"/>
      <c r="F880" s="1350"/>
      <c r="G880" s="1350"/>
      <c r="H880" s="1350"/>
      <c r="I880" s="1350"/>
      <c r="J880" s="1350"/>
      <c r="K880" s="1350"/>
      <c r="L880" s="1350"/>
      <c r="M880" s="1350"/>
      <c r="N880" s="1350"/>
      <c r="O880" s="1350"/>
      <c r="P880" s="1354"/>
      <c r="Q880" s="1355"/>
      <c r="R880" s="1355"/>
      <c r="S880" s="1350"/>
      <c r="T880" s="1349"/>
      <c r="U880" s="1348"/>
      <c r="V880" s="1348"/>
      <c r="W880" s="1349"/>
      <c r="X880" s="1350"/>
      <c r="Y880" s="1350"/>
      <c r="Z880" s="1349"/>
      <c r="AA880" s="1351"/>
      <c r="AB880" s="1350"/>
      <c r="AC880" s="1350"/>
      <c r="AD880" s="1350"/>
      <c r="AE880" s="1350"/>
      <c r="AF880" s="1350"/>
      <c r="AG880" s="1350"/>
      <c r="AH880" s="1350"/>
      <c r="AI880" s="1350"/>
      <c r="AJ880" s="1350"/>
      <c r="AK880" s="1350"/>
    </row>
    <row r="881">
      <c r="A881" s="1350"/>
      <c r="B881" s="1350"/>
      <c r="C881" s="1350"/>
      <c r="D881" s="1350"/>
      <c r="E881" s="1350"/>
      <c r="F881" s="1350"/>
      <c r="G881" s="1350"/>
      <c r="H881" s="1350"/>
      <c r="I881" s="1350"/>
      <c r="J881" s="1350"/>
      <c r="K881" s="1350"/>
      <c r="L881" s="1350"/>
      <c r="M881" s="1350"/>
      <c r="N881" s="1350"/>
      <c r="O881" s="1350"/>
      <c r="P881" s="1354"/>
      <c r="Q881" s="1355"/>
      <c r="R881" s="1355"/>
      <c r="S881" s="1350"/>
      <c r="T881" s="1349"/>
      <c r="U881" s="1348"/>
      <c r="V881" s="1348"/>
      <c r="W881" s="1349"/>
      <c r="X881" s="1350"/>
      <c r="Y881" s="1350"/>
      <c r="Z881" s="1349"/>
      <c r="AA881" s="1351"/>
      <c r="AB881" s="1350"/>
      <c r="AC881" s="1350"/>
      <c r="AD881" s="1350"/>
      <c r="AE881" s="1350"/>
      <c r="AF881" s="1350"/>
      <c r="AG881" s="1350"/>
      <c r="AH881" s="1350"/>
      <c r="AI881" s="1350"/>
      <c r="AJ881" s="1350"/>
      <c r="AK881" s="1350"/>
    </row>
    <row r="882">
      <c r="A882" s="1350"/>
      <c r="B882" s="1350"/>
      <c r="C882" s="1350"/>
      <c r="D882" s="1350"/>
      <c r="E882" s="1350"/>
      <c r="F882" s="1350"/>
      <c r="G882" s="1350"/>
      <c r="H882" s="1350"/>
      <c r="I882" s="1350"/>
      <c r="J882" s="1350"/>
      <c r="K882" s="1350"/>
      <c r="L882" s="1350"/>
      <c r="M882" s="1350"/>
      <c r="N882" s="1350"/>
      <c r="O882" s="1350"/>
      <c r="P882" s="1354"/>
      <c r="Q882" s="1355"/>
      <c r="R882" s="1355"/>
      <c r="S882" s="1350"/>
      <c r="T882" s="1349"/>
      <c r="U882" s="1348"/>
      <c r="V882" s="1348"/>
      <c r="W882" s="1349"/>
      <c r="X882" s="1350"/>
      <c r="Y882" s="1350"/>
      <c r="Z882" s="1349"/>
      <c r="AA882" s="1351"/>
      <c r="AB882" s="1350"/>
      <c r="AC882" s="1350"/>
      <c r="AD882" s="1350"/>
      <c r="AE882" s="1350"/>
      <c r="AF882" s="1350"/>
      <c r="AG882" s="1350"/>
      <c r="AH882" s="1350"/>
      <c r="AI882" s="1350"/>
      <c r="AJ882" s="1350"/>
      <c r="AK882" s="1350"/>
    </row>
    <row r="883">
      <c r="A883" s="1350"/>
      <c r="B883" s="1350"/>
      <c r="C883" s="1350"/>
      <c r="D883" s="1350"/>
      <c r="E883" s="1350"/>
      <c r="F883" s="1350"/>
      <c r="G883" s="1350"/>
      <c r="H883" s="1350"/>
      <c r="I883" s="1350"/>
      <c r="J883" s="1350"/>
      <c r="K883" s="1350"/>
      <c r="L883" s="1350"/>
      <c r="M883" s="1350"/>
      <c r="N883" s="1350"/>
      <c r="O883" s="1350"/>
      <c r="P883" s="1354"/>
      <c r="Q883" s="1355"/>
      <c r="R883" s="1355"/>
      <c r="S883" s="1350"/>
      <c r="T883" s="1349"/>
      <c r="U883" s="1348"/>
      <c r="V883" s="1348"/>
      <c r="W883" s="1349"/>
      <c r="X883" s="1350"/>
      <c r="Y883" s="1350"/>
      <c r="Z883" s="1349"/>
      <c r="AA883" s="1351"/>
      <c r="AB883" s="1350"/>
      <c r="AC883" s="1350"/>
      <c r="AD883" s="1350"/>
      <c r="AE883" s="1350"/>
      <c r="AF883" s="1350"/>
      <c r="AG883" s="1350"/>
      <c r="AH883" s="1350"/>
      <c r="AI883" s="1350"/>
      <c r="AJ883" s="1350"/>
      <c r="AK883" s="1350"/>
    </row>
    <row r="884">
      <c r="A884" s="1350"/>
      <c r="B884" s="1350"/>
      <c r="C884" s="1350"/>
      <c r="D884" s="1350"/>
      <c r="E884" s="1350"/>
      <c r="F884" s="1350"/>
      <c r="G884" s="1350"/>
      <c r="H884" s="1350"/>
      <c r="I884" s="1350"/>
      <c r="J884" s="1350"/>
      <c r="K884" s="1350"/>
      <c r="L884" s="1350"/>
      <c r="M884" s="1350"/>
      <c r="N884" s="1350"/>
      <c r="O884" s="1350"/>
      <c r="P884" s="1354"/>
      <c r="Q884" s="1355"/>
      <c r="R884" s="1355"/>
      <c r="S884" s="1350"/>
      <c r="T884" s="1349"/>
      <c r="U884" s="1348"/>
      <c r="V884" s="1348"/>
      <c r="W884" s="1349"/>
      <c r="X884" s="1350"/>
      <c r="Y884" s="1350"/>
      <c r="Z884" s="1349"/>
      <c r="AA884" s="1351"/>
      <c r="AB884" s="1350"/>
      <c r="AC884" s="1350"/>
      <c r="AD884" s="1350"/>
      <c r="AE884" s="1350"/>
      <c r="AF884" s="1350"/>
      <c r="AG884" s="1350"/>
      <c r="AH884" s="1350"/>
      <c r="AI884" s="1350"/>
      <c r="AJ884" s="1350"/>
      <c r="AK884" s="1350"/>
    </row>
    <row r="885">
      <c r="A885" s="1350"/>
      <c r="B885" s="1350"/>
      <c r="C885" s="1350"/>
      <c r="D885" s="1350"/>
      <c r="E885" s="1350"/>
      <c r="F885" s="1350"/>
      <c r="G885" s="1350"/>
      <c r="H885" s="1350"/>
      <c r="I885" s="1350"/>
      <c r="J885" s="1350"/>
      <c r="K885" s="1350"/>
      <c r="L885" s="1350"/>
      <c r="M885" s="1350"/>
      <c r="N885" s="1350"/>
      <c r="O885" s="1350"/>
      <c r="P885" s="1354"/>
      <c r="Q885" s="1355"/>
      <c r="R885" s="1355"/>
      <c r="S885" s="1350"/>
      <c r="T885" s="1349"/>
      <c r="U885" s="1348"/>
      <c r="V885" s="1348"/>
      <c r="W885" s="1349"/>
      <c r="X885" s="1350"/>
      <c r="Y885" s="1350"/>
      <c r="Z885" s="1349"/>
      <c r="AA885" s="1351"/>
      <c r="AB885" s="1350"/>
      <c r="AC885" s="1350"/>
      <c r="AD885" s="1350"/>
      <c r="AE885" s="1350"/>
      <c r="AF885" s="1350"/>
      <c r="AG885" s="1350"/>
      <c r="AH885" s="1350"/>
      <c r="AI885" s="1350"/>
      <c r="AJ885" s="1350"/>
      <c r="AK885" s="1350"/>
    </row>
    <row r="886">
      <c r="A886" s="1350"/>
      <c r="B886" s="1350"/>
      <c r="C886" s="1350"/>
      <c r="D886" s="1350"/>
      <c r="E886" s="1350"/>
      <c r="F886" s="1350"/>
      <c r="G886" s="1350"/>
      <c r="H886" s="1350"/>
      <c r="I886" s="1350"/>
      <c r="J886" s="1350"/>
      <c r="K886" s="1350"/>
      <c r="L886" s="1350"/>
      <c r="M886" s="1350"/>
      <c r="N886" s="1350"/>
      <c r="O886" s="1350"/>
      <c r="P886" s="1354"/>
      <c r="Q886" s="1355"/>
      <c r="R886" s="1355"/>
      <c r="S886" s="1350"/>
      <c r="T886" s="1349"/>
      <c r="U886" s="1348"/>
      <c r="V886" s="1348"/>
      <c r="W886" s="1349"/>
      <c r="X886" s="1350"/>
      <c r="Y886" s="1350"/>
      <c r="Z886" s="1349"/>
      <c r="AA886" s="1351"/>
      <c r="AB886" s="1350"/>
      <c r="AC886" s="1350"/>
      <c r="AD886" s="1350"/>
      <c r="AE886" s="1350"/>
      <c r="AF886" s="1350"/>
      <c r="AG886" s="1350"/>
      <c r="AH886" s="1350"/>
      <c r="AI886" s="1350"/>
      <c r="AJ886" s="1350"/>
      <c r="AK886" s="1350"/>
    </row>
    <row r="887">
      <c r="A887" s="1350"/>
      <c r="B887" s="1350"/>
      <c r="C887" s="1350"/>
      <c r="D887" s="1350"/>
      <c r="E887" s="1350"/>
      <c r="F887" s="1350"/>
      <c r="G887" s="1350"/>
      <c r="H887" s="1350"/>
      <c r="I887" s="1350"/>
      <c r="J887" s="1350"/>
      <c r="K887" s="1350"/>
      <c r="L887" s="1350"/>
      <c r="M887" s="1350"/>
      <c r="N887" s="1350"/>
      <c r="O887" s="1350"/>
      <c r="P887" s="1354"/>
      <c r="Q887" s="1355"/>
      <c r="R887" s="1355"/>
      <c r="S887" s="1350"/>
      <c r="T887" s="1349"/>
      <c r="U887" s="1348"/>
      <c r="V887" s="1348"/>
      <c r="W887" s="1349"/>
      <c r="X887" s="1350"/>
      <c r="Y887" s="1350"/>
      <c r="Z887" s="1349"/>
      <c r="AA887" s="1351"/>
      <c r="AB887" s="1350"/>
      <c r="AC887" s="1350"/>
      <c r="AD887" s="1350"/>
      <c r="AE887" s="1350"/>
      <c r="AF887" s="1350"/>
      <c r="AG887" s="1350"/>
      <c r="AH887" s="1350"/>
      <c r="AI887" s="1350"/>
      <c r="AJ887" s="1350"/>
      <c r="AK887" s="1350"/>
    </row>
    <row r="888">
      <c r="A888" s="1350"/>
      <c r="B888" s="1350"/>
      <c r="C888" s="1350"/>
      <c r="D888" s="1350"/>
      <c r="E888" s="1350"/>
      <c r="F888" s="1350"/>
      <c r="G888" s="1350"/>
      <c r="H888" s="1350"/>
      <c r="I888" s="1350"/>
      <c r="J888" s="1350"/>
      <c r="K888" s="1350"/>
      <c r="L888" s="1350"/>
      <c r="M888" s="1350"/>
      <c r="N888" s="1350"/>
      <c r="O888" s="1350"/>
      <c r="P888" s="1354"/>
      <c r="Q888" s="1355"/>
      <c r="R888" s="1355"/>
      <c r="S888" s="1350"/>
      <c r="T888" s="1349"/>
      <c r="U888" s="1348"/>
      <c r="V888" s="1348"/>
      <c r="W888" s="1349"/>
      <c r="X888" s="1350"/>
      <c r="Y888" s="1350"/>
      <c r="Z888" s="1349"/>
      <c r="AA888" s="1351"/>
      <c r="AB888" s="1350"/>
      <c r="AC888" s="1350"/>
      <c r="AD888" s="1350"/>
      <c r="AE888" s="1350"/>
      <c r="AF888" s="1350"/>
      <c r="AG888" s="1350"/>
      <c r="AH888" s="1350"/>
      <c r="AI888" s="1350"/>
      <c r="AJ888" s="1350"/>
      <c r="AK888" s="1350"/>
    </row>
    <row r="889">
      <c r="A889" s="1350"/>
      <c r="B889" s="1350"/>
      <c r="C889" s="1350"/>
      <c r="D889" s="1350"/>
      <c r="E889" s="1350"/>
      <c r="F889" s="1350"/>
      <c r="G889" s="1350"/>
      <c r="H889" s="1350"/>
      <c r="I889" s="1350"/>
      <c r="J889" s="1350"/>
      <c r="K889" s="1350"/>
      <c r="L889" s="1350"/>
      <c r="M889" s="1350"/>
      <c r="N889" s="1350"/>
      <c r="O889" s="1350"/>
      <c r="P889" s="1354"/>
      <c r="Q889" s="1355"/>
      <c r="R889" s="1355"/>
      <c r="S889" s="1350"/>
      <c r="T889" s="1349"/>
      <c r="U889" s="1348"/>
      <c r="V889" s="1348"/>
      <c r="W889" s="1349"/>
      <c r="X889" s="1350"/>
      <c r="Y889" s="1350"/>
      <c r="Z889" s="1349"/>
      <c r="AA889" s="1351"/>
      <c r="AB889" s="1350"/>
      <c r="AC889" s="1350"/>
      <c r="AD889" s="1350"/>
      <c r="AE889" s="1350"/>
      <c r="AF889" s="1350"/>
      <c r="AG889" s="1350"/>
      <c r="AH889" s="1350"/>
      <c r="AI889" s="1350"/>
      <c r="AJ889" s="1350"/>
      <c r="AK889" s="1350"/>
    </row>
    <row r="890">
      <c r="A890" s="1350"/>
      <c r="B890" s="1350"/>
      <c r="C890" s="1350"/>
      <c r="D890" s="1350"/>
      <c r="E890" s="1350"/>
      <c r="F890" s="1350"/>
      <c r="G890" s="1350"/>
      <c r="H890" s="1350"/>
      <c r="I890" s="1350"/>
      <c r="J890" s="1350"/>
      <c r="K890" s="1350"/>
      <c r="L890" s="1350"/>
      <c r="M890" s="1350"/>
      <c r="N890" s="1350"/>
      <c r="O890" s="1350"/>
      <c r="P890" s="1354"/>
      <c r="Q890" s="1355"/>
      <c r="R890" s="1355"/>
      <c r="S890" s="1350"/>
      <c r="T890" s="1349"/>
      <c r="U890" s="1348"/>
      <c r="V890" s="1348"/>
      <c r="W890" s="1349"/>
      <c r="X890" s="1350"/>
      <c r="Y890" s="1350"/>
      <c r="Z890" s="1349"/>
      <c r="AA890" s="1351"/>
      <c r="AB890" s="1350"/>
      <c r="AC890" s="1350"/>
      <c r="AD890" s="1350"/>
      <c r="AE890" s="1350"/>
      <c r="AF890" s="1350"/>
      <c r="AG890" s="1350"/>
      <c r="AH890" s="1350"/>
      <c r="AI890" s="1350"/>
      <c r="AJ890" s="1350"/>
      <c r="AK890" s="1350"/>
    </row>
    <row r="891">
      <c r="A891" s="1350"/>
      <c r="B891" s="1350"/>
      <c r="C891" s="1350"/>
      <c r="D891" s="1350"/>
      <c r="E891" s="1350"/>
      <c r="F891" s="1350"/>
      <c r="G891" s="1350"/>
      <c r="H891" s="1350"/>
      <c r="I891" s="1350"/>
      <c r="J891" s="1350"/>
      <c r="K891" s="1350"/>
      <c r="L891" s="1350"/>
      <c r="M891" s="1350"/>
      <c r="N891" s="1350"/>
      <c r="O891" s="1350"/>
      <c r="P891" s="1354"/>
      <c r="Q891" s="1355"/>
      <c r="R891" s="1355"/>
      <c r="S891" s="1350"/>
      <c r="T891" s="1349"/>
      <c r="U891" s="1348"/>
      <c r="V891" s="1348"/>
      <c r="W891" s="1349"/>
      <c r="X891" s="1350"/>
      <c r="Y891" s="1350"/>
      <c r="Z891" s="1349"/>
      <c r="AA891" s="1351"/>
      <c r="AB891" s="1350"/>
      <c r="AC891" s="1350"/>
      <c r="AD891" s="1350"/>
      <c r="AE891" s="1350"/>
      <c r="AF891" s="1350"/>
      <c r="AG891" s="1350"/>
      <c r="AH891" s="1350"/>
      <c r="AI891" s="1350"/>
      <c r="AJ891" s="1350"/>
      <c r="AK891" s="1350"/>
    </row>
    <row r="892">
      <c r="A892" s="1350"/>
      <c r="B892" s="1350"/>
      <c r="C892" s="1350"/>
      <c r="D892" s="1350"/>
      <c r="E892" s="1350"/>
      <c r="F892" s="1350"/>
      <c r="G892" s="1350"/>
      <c r="H892" s="1350"/>
      <c r="I892" s="1350"/>
      <c r="J892" s="1350"/>
      <c r="K892" s="1350"/>
      <c r="L892" s="1350"/>
      <c r="M892" s="1350"/>
      <c r="N892" s="1350"/>
      <c r="O892" s="1350"/>
      <c r="P892" s="1354"/>
      <c r="Q892" s="1355"/>
      <c r="R892" s="1355"/>
      <c r="S892" s="1350"/>
      <c r="T892" s="1349"/>
      <c r="U892" s="1348"/>
      <c r="V892" s="1348"/>
      <c r="W892" s="1349"/>
      <c r="X892" s="1350"/>
      <c r="Y892" s="1350"/>
      <c r="Z892" s="1349"/>
      <c r="AA892" s="1351"/>
      <c r="AB892" s="1350"/>
      <c r="AC892" s="1350"/>
      <c r="AD892" s="1350"/>
      <c r="AE892" s="1350"/>
      <c r="AF892" s="1350"/>
      <c r="AG892" s="1350"/>
      <c r="AH892" s="1350"/>
      <c r="AI892" s="1350"/>
      <c r="AJ892" s="1350"/>
      <c r="AK892" s="1350"/>
    </row>
    <row r="893">
      <c r="A893" s="1350"/>
      <c r="B893" s="1350"/>
      <c r="C893" s="1350"/>
      <c r="D893" s="1350"/>
      <c r="E893" s="1350"/>
      <c r="F893" s="1350"/>
      <c r="G893" s="1350"/>
      <c r="H893" s="1350"/>
      <c r="I893" s="1350"/>
      <c r="J893" s="1350"/>
      <c r="K893" s="1350"/>
      <c r="L893" s="1350"/>
      <c r="M893" s="1350"/>
      <c r="N893" s="1350"/>
      <c r="O893" s="1350"/>
      <c r="P893" s="1354"/>
      <c r="Q893" s="1355"/>
      <c r="R893" s="1355"/>
      <c r="S893" s="1350"/>
      <c r="T893" s="1349"/>
      <c r="U893" s="1348"/>
      <c r="V893" s="1348"/>
      <c r="W893" s="1349"/>
      <c r="X893" s="1350"/>
      <c r="Y893" s="1350"/>
      <c r="Z893" s="1349"/>
      <c r="AA893" s="1351"/>
      <c r="AB893" s="1350"/>
      <c r="AC893" s="1350"/>
      <c r="AD893" s="1350"/>
      <c r="AE893" s="1350"/>
      <c r="AF893" s="1350"/>
      <c r="AG893" s="1350"/>
      <c r="AH893" s="1350"/>
      <c r="AI893" s="1350"/>
      <c r="AJ893" s="1350"/>
      <c r="AK893" s="1350"/>
    </row>
    <row r="894">
      <c r="A894" s="1350"/>
      <c r="B894" s="1350"/>
      <c r="C894" s="1350"/>
      <c r="D894" s="1350"/>
      <c r="E894" s="1350"/>
      <c r="F894" s="1350"/>
      <c r="G894" s="1350"/>
      <c r="H894" s="1350"/>
      <c r="I894" s="1350"/>
      <c r="J894" s="1350"/>
      <c r="K894" s="1350"/>
      <c r="L894" s="1350"/>
      <c r="M894" s="1350"/>
      <c r="N894" s="1350"/>
      <c r="O894" s="1350"/>
      <c r="P894" s="1354"/>
      <c r="Q894" s="1355"/>
      <c r="R894" s="1355"/>
      <c r="S894" s="1350"/>
      <c r="T894" s="1349"/>
      <c r="U894" s="1348"/>
      <c r="V894" s="1348"/>
      <c r="W894" s="1349"/>
      <c r="X894" s="1350"/>
      <c r="Y894" s="1350"/>
      <c r="Z894" s="1349"/>
      <c r="AA894" s="1351"/>
      <c r="AB894" s="1350"/>
      <c r="AC894" s="1350"/>
      <c r="AD894" s="1350"/>
      <c r="AE894" s="1350"/>
      <c r="AF894" s="1350"/>
      <c r="AG894" s="1350"/>
      <c r="AH894" s="1350"/>
      <c r="AI894" s="1350"/>
      <c r="AJ894" s="1350"/>
      <c r="AK894" s="1350"/>
    </row>
    <row r="895">
      <c r="A895" s="1350"/>
      <c r="B895" s="1350"/>
      <c r="C895" s="1350"/>
      <c r="D895" s="1350"/>
      <c r="E895" s="1350"/>
      <c r="F895" s="1350"/>
      <c r="G895" s="1350"/>
      <c r="H895" s="1350"/>
      <c r="I895" s="1350"/>
      <c r="J895" s="1350"/>
      <c r="K895" s="1350"/>
      <c r="L895" s="1350"/>
      <c r="M895" s="1350"/>
      <c r="N895" s="1350"/>
      <c r="O895" s="1350"/>
      <c r="P895" s="1354"/>
      <c r="Q895" s="1355"/>
      <c r="R895" s="1355"/>
      <c r="S895" s="1350"/>
      <c r="T895" s="1349"/>
      <c r="U895" s="1348"/>
      <c r="V895" s="1348"/>
      <c r="W895" s="1349"/>
      <c r="X895" s="1350"/>
      <c r="Y895" s="1350"/>
      <c r="Z895" s="1349"/>
      <c r="AA895" s="1351"/>
      <c r="AB895" s="1350"/>
      <c r="AC895" s="1350"/>
      <c r="AD895" s="1350"/>
      <c r="AE895" s="1350"/>
      <c r="AF895" s="1350"/>
      <c r="AG895" s="1350"/>
      <c r="AH895" s="1350"/>
      <c r="AI895" s="1350"/>
      <c r="AJ895" s="1350"/>
      <c r="AK895" s="1350"/>
    </row>
    <row r="896">
      <c r="A896" s="1350"/>
      <c r="B896" s="1350"/>
      <c r="C896" s="1350"/>
      <c r="D896" s="1350"/>
      <c r="E896" s="1350"/>
      <c r="F896" s="1350"/>
      <c r="G896" s="1350"/>
      <c r="H896" s="1350"/>
      <c r="I896" s="1350"/>
      <c r="J896" s="1350"/>
      <c r="K896" s="1350"/>
      <c r="L896" s="1350"/>
      <c r="M896" s="1350"/>
      <c r="N896" s="1350"/>
      <c r="O896" s="1350"/>
      <c r="P896" s="1354"/>
      <c r="Q896" s="1355"/>
      <c r="R896" s="1355"/>
      <c r="S896" s="1350"/>
      <c r="T896" s="1349"/>
      <c r="U896" s="1348"/>
      <c r="V896" s="1348"/>
      <c r="W896" s="1349"/>
      <c r="X896" s="1350"/>
      <c r="Y896" s="1350"/>
      <c r="Z896" s="1349"/>
      <c r="AA896" s="1351"/>
      <c r="AB896" s="1350"/>
      <c r="AC896" s="1350"/>
      <c r="AD896" s="1350"/>
      <c r="AE896" s="1350"/>
      <c r="AF896" s="1350"/>
      <c r="AG896" s="1350"/>
      <c r="AH896" s="1350"/>
      <c r="AI896" s="1350"/>
      <c r="AJ896" s="1350"/>
      <c r="AK896" s="1350"/>
    </row>
    <row r="897">
      <c r="A897" s="1350"/>
      <c r="B897" s="1350"/>
      <c r="C897" s="1350"/>
      <c r="D897" s="1350"/>
      <c r="E897" s="1350"/>
      <c r="F897" s="1350"/>
      <c r="G897" s="1350"/>
      <c r="H897" s="1350"/>
      <c r="I897" s="1350"/>
      <c r="J897" s="1350"/>
      <c r="K897" s="1350"/>
      <c r="L897" s="1350"/>
      <c r="M897" s="1350"/>
      <c r="N897" s="1350"/>
      <c r="O897" s="1350"/>
      <c r="P897" s="1354"/>
      <c r="Q897" s="1355"/>
      <c r="R897" s="1355"/>
      <c r="S897" s="1350"/>
      <c r="T897" s="1349"/>
      <c r="U897" s="1348"/>
      <c r="V897" s="1348"/>
      <c r="W897" s="1349"/>
      <c r="X897" s="1350"/>
      <c r="Y897" s="1350"/>
      <c r="Z897" s="1349"/>
      <c r="AA897" s="1351"/>
      <c r="AB897" s="1350"/>
      <c r="AC897" s="1350"/>
      <c r="AD897" s="1350"/>
      <c r="AE897" s="1350"/>
      <c r="AF897" s="1350"/>
      <c r="AG897" s="1350"/>
      <c r="AH897" s="1350"/>
      <c r="AI897" s="1350"/>
      <c r="AJ897" s="1350"/>
      <c r="AK897" s="1350"/>
    </row>
    <row r="898">
      <c r="A898" s="1350"/>
      <c r="B898" s="1350"/>
      <c r="C898" s="1350"/>
      <c r="D898" s="1350"/>
      <c r="E898" s="1350"/>
      <c r="F898" s="1350"/>
      <c r="G898" s="1350"/>
      <c r="H898" s="1350"/>
      <c r="I898" s="1350"/>
      <c r="J898" s="1350"/>
      <c r="K898" s="1350"/>
      <c r="L898" s="1350"/>
      <c r="M898" s="1350"/>
      <c r="N898" s="1350"/>
      <c r="O898" s="1350"/>
      <c r="P898" s="1354"/>
      <c r="Q898" s="1355"/>
      <c r="R898" s="1355"/>
      <c r="S898" s="1350"/>
      <c r="T898" s="1349"/>
      <c r="U898" s="1348"/>
      <c r="V898" s="1348"/>
      <c r="W898" s="1349"/>
      <c r="X898" s="1350"/>
      <c r="Y898" s="1350"/>
      <c r="Z898" s="1349"/>
      <c r="AA898" s="1351"/>
      <c r="AB898" s="1350"/>
      <c r="AC898" s="1350"/>
      <c r="AD898" s="1350"/>
      <c r="AE898" s="1350"/>
      <c r="AF898" s="1350"/>
      <c r="AG898" s="1350"/>
      <c r="AH898" s="1350"/>
      <c r="AI898" s="1350"/>
      <c r="AJ898" s="1350"/>
      <c r="AK898" s="1350"/>
    </row>
    <row r="899">
      <c r="A899" s="1350"/>
      <c r="B899" s="1350"/>
      <c r="C899" s="1350"/>
      <c r="D899" s="1350"/>
      <c r="E899" s="1350"/>
      <c r="F899" s="1350"/>
      <c r="G899" s="1350"/>
      <c r="H899" s="1350"/>
      <c r="I899" s="1350"/>
      <c r="J899" s="1350"/>
      <c r="K899" s="1350"/>
      <c r="L899" s="1350"/>
      <c r="M899" s="1350"/>
      <c r="N899" s="1350"/>
      <c r="O899" s="1350"/>
      <c r="P899" s="1354"/>
      <c r="Q899" s="1355"/>
      <c r="R899" s="1355"/>
      <c r="S899" s="1350"/>
      <c r="T899" s="1349"/>
      <c r="U899" s="1348"/>
      <c r="V899" s="1348"/>
      <c r="W899" s="1349"/>
      <c r="X899" s="1350"/>
      <c r="Y899" s="1350"/>
      <c r="Z899" s="1349"/>
      <c r="AA899" s="1351"/>
      <c r="AB899" s="1350"/>
      <c r="AC899" s="1350"/>
      <c r="AD899" s="1350"/>
      <c r="AE899" s="1350"/>
      <c r="AF899" s="1350"/>
      <c r="AG899" s="1350"/>
      <c r="AH899" s="1350"/>
      <c r="AI899" s="1350"/>
      <c r="AJ899" s="1350"/>
      <c r="AK899" s="1350"/>
    </row>
    <row r="900">
      <c r="A900" s="1350"/>
      <c r="B900" s="1350"/>
      <c r="C900" s="1350"/>
      <c r="D900" s="1350"/>
      <c r="E900" s="1350"/>
      <c r="F900" s="1350"/>
      <c r="G900" s="1350"/>
      <c r="H900" s="1350"/>
      <c r="I900" s="1350"/>
      <c r="J900" s="1350"/>
      <c r="K900" s="1350"/>
      <c r="L900" s="1350"/>
      <c r="M900" s="1350"/>
      <c r="N900" s="1350"/>
      <c r="O900" s="1350"/>
      <c r="P900" s="1354"/>
      <c r="Q900" s="1355"/>
      <c r="R900" s="1355"/>
      <c r="S900" s="1350"/>
      <c r="T900" s="1349"/>
      <c r="U900" s="1348"/>
      <c r="V900" s="1348"/>
      <c r="W900" s="1349"/>
      <c r="X900" s="1350"/>
      <c r="Y900" s="1350"/>
      <c r="Z900" s="1349"/>
      <c r="AA900" s="1351"/>
      <c r="AB900" s="1350"/>
      <c r="AC900" s="1350"/>
      <c r="AD900" s="1350"/>
      <c r="AE900" s="1350"/>
      <c r="AF900" s="1350"/>
      <c r="AG900" s="1350"/>
      <c r="AH900" s="1350"/>
      <c r="AI900" s="1350"/>
      <c r="AJ900" s="1350"/>
      <c r="AK900" s="1350"/>
    </row>
    <row r="901">
      <c r="A901" s="1350"/>
      <c r="B901" s="1350"/>
      <c r="C901" s="1350"/>
      <c r="D901" s="1350"/>
      <c r="E901" s="1350"/>
      <c r="F901" s="1350"/>
      <c r="G901" s="1350"/>
      <c r="H901" s="1350"/>
      <c r="I901" s="1350"/>
      <c r="J901" s="1350"/>
      <c r="K901" s="1350"/>
      <c r="L901" s="1350"/>
      <c r="M901" s="1350"/>
      <c r="N901" s="1350"/>
      <c r="O901" s="1350"/>
      <c r="P901" s="1354"/>
      <c r="Q901" s="1355"/>
      <c r="R901" s="1355"/>
      <c r="S901" s="1350"/>
      <c r="T901" s="1349"/>
      <c r="U901" s="1348"/>
      <c r="V901" s="1348"/>
      <c r="W901" s="1349"/>
      <c r="X901" s="1350"/>
      <c r="Y901" s="1350"/>
      <c r="Z901" s="1349"/>
      <c r="AA901" s="1351"/>
      <c r="AB901" s="1350"/>
      <c r="AC901" s="1350"/>
      <c r="AD901" s="1350"/>
      <c r="AE901" s="1350"/>
      <c r="AF901" s="1350"/>
      <c r="AG901" s="1350"/>
      <c r="AH901" s="1350"/>
      <c r="AI901" s="1350"/>
      <c r="AJ901" s="1350"/>
      <c r="AK901" s="1350"/>
    </row>
    <row r="902">
      <c r="A902" s="1350"/>
      <c r="B902" s="1350"/>
      <c r="C902" s="1350"/>
      <c r="D902" s="1350"/>
      <c r="E902" s="1350"/>
      <c r="F902" s="1350"/>
      <c r="G902" s="1350"/>
      <c r="H902" s="1350"/>
      <c r="I902" s="1350"/>
      <c r="J902" s="1350"/>
      <c r="K902" s="1350"/>
      <c r="L902" s="1350"/>
      <c r="M902" s="1350"/>
      <c r="N902" s="1350"/>
      <c r="O902" s="1350"/>
      <c r="P902" s="1354"/>
      <c r="Q902" s="1355"/>
      <c r="R902" s="1355"/>
      <c r="S902" s="1350"/>
      <c r="T902" s="1349"/>
      <c r="U902" s="1348"/>
      <c r="V902" s="1348"/>
      <c r="W902" s="1349"/>
      <c r="X902" s="1350"/>
      <c r="Y902" s="1350"/>
      <c r="Z902" s="1349"/>
      <c r="AA902" s="1351"/>
      <c r="AB902" s="1350"/>
      <c r="AC902" s="1350"/>
      <c r="AD902" s="1350"/>
      <c r="AE902" s="1350"/>
      <c r="AF902" s="1350"/>
      <c r="AG902" s="1350"/>
      <c r="AH902" s="1350"/>
      <c r="AI902" s="1350"/>
      <c r="AJ902" s="1350"/>
      <c r="AK902" s="1350"/>
    </row>
    <row r="903">
      <c r="A903" s="1350"/>
      <c r="B903" s="1350"/>
      <c r="C903" s="1350"/>
      <c r="D903" s="1350"/>
      <c r="E903" s="1350"/>
      <c r="F903" s="1350"/>
      <c r="G903" s="1350"/>
      <c r="H903" s="1350"/>
      <c r="I903" s="1350"/>
      <c r="J903" s="1350"/>
      <c r="K903" s="1350"/>
      <c r="L903" s="1350"/>
      <c r="M903" s="1350"/>
      <c r="N903" s="1350"/>
      <c r="O903" s="1350"/>
      <c r="P903" s="1354"/>
      <c r="Q903" s="1355"/>
      <c r="R903" s="1355"/>
      <c r="S903" s="1350"/>
      <c r="T903" s="1349"/>
      <c r="U903" s="1348"/>
      <c r="V903" s="1348"/>
      <c r="W903" s="1349"/>
      <c r="X903" s="1350"/>
      <c r="Y903" s="1350"/>
      <c r="Z903" s="1349"/>
      <c r="AA903" s="1351"/>
      <c r="AB903" s="1350"/>
      <c r="AC903" s="1350"/>
      <c r="AD903" s="1350"/>
      <c r="AE903" s="1350"/>
      <c r="AF903" s="1350"/>
      <c r="AG903" s="1350"/>
      <c r="AH903" s="1350"/>
      <c r="AI903" s="1350"/>
      <c r="AJ903" s="1350"/>
      <c r="AK903" s="1350"/>
    </row>
    <row r="904">
      <c r="A904" s="1350"/>
      <c r="B904" s="1350"/>
      <c r="C904" s="1350"/>
      <c r="D904" s="1350"/>
      <c r="E904" s="1350"/>
      <c r="F904" s="1350"/>
      <c r="G904" s="1350"/>
      <c r="H904" s="1350"/>
      <c r="I904" s="1350"/>
      <c r="J904" s="1350"/>
      <c r="K904" s="1350"/>
      <c r="L904" s="1350"/>
      <c r="M904" s="1350"/>
      <c r="N904" s="1350"/>
      <c r="O904" s="1350"/>
      <c r="P904" s="1354"/>
      <c r="Q904" s="1355"/>
      <c r="R904" s="1355"/>
      <c r="S904" s="1350"/>
      <c r="T904" s="1349"/>
      <c r="U904" s="1348"/>
      <c r="V904" s="1348"/>
      <c r="W904" s="1349"/>
      <c r="X904" s="1350"/>
      <c r="Y904" s="1350"/>
      <c r="Z904" s="1349"/>
      <c r="AA904" s="1351"/>
      <c r="AB904" s="1350"/>
      <c r="AC904" s="1350"/>
      <c r="AD904" s="1350"/>
      <c r="AE904" s="1350"/>
      <c r="AF904" s="1350"/>
      <c r="AG904" s="1350"/>
      <c r="AH904" s="1350"/>
      <c r="AI904" s="1350"/>
      <c r="AJ904" s="1350"/>
      <c r="AK904" s="1350"/>
    </row>
    <row r="905">
      <c r="A905" s="1350"/>
      <c r="B905" s="1350"/>
      <c r="C905" s="1350"/>
      <c r="D905" s="1350"/>
      <c r="E905" s="1350"/>
      <c r="F905" s="1350"/>
      <c r="G905" s="1350"/>
      <c r="H905" s="1350"/>
      <c r="I905" s="1350"/>
      <c r="J905" s="1350"/>
      <c r="K905" s="1350"/>
      <c r="L905" s="1350"/>
      <c r="M905" s="1350"/>
      <c r="N905" s="1350"/>
      <c r="O905" s="1350"/>
      <c r="P905" s="1354"/>
      <c r="Q905" s="1355"/>
      <c r="R905" s="1355"/>
      <c r="S905" s="1350"/>
      <c r="T905" s="1349"/>
      <c r="U905" s="1348"/>
      <c r="V905" s="1348"/>
      <c r="W905" s="1349"/>
      <c r="X905" s="1350"/>
      <c r="Y905" s="1350"/>
      <c r="Z905" s="1349"/>
      <c r="AA905" s="1351"/>
      <c r="AB905" s="1350"/>
      <c r="AC905" s="1350"/>
      <c r="AD905" s="1350"/>
      <c r="AE905" s="1350"/>
      <c r="AF905" s="1350"/>
      <c r="AG905" s="1350"/>
      <c r="AH905" s="1350"/>
      <c r="AI905" s="1350"/>
      <c r="AJ905" s="1350"/>
      <c r="AK905" s="1350"/>
    </row>
    <row r="906">
      <c r="A906" s="1350"/>
      <c r="B906" s="1350"/>
      <c r="C906" s="1350"/>
      <c r="D906" s="1350"/>
      <c r="E906" s="1350"/>
      <c r="F906" s="1350"/>
      <c r="G906" s="1350"/>
      <c r="H906" s="1350"/>
      <c r="I906" s="1350"/>
      <c r="J906" s="1350"/>
      <c r="K906" s="1350"/>
      <c r="L906" s="1350"/>
      <c r="M906" s="1350"/>
      <c r="N906" s="1350"/>
      <c r="O906" s="1350"/>
      <c r="P906" s="1354"/>
      <c r="Q906" s="1355"/>
      <c r="R906" s="1355"/>
      <c r="S906" s="1350"/>
      <c r="T906" s="1349"/>
      <c r="U906" s="1348"/>
      <c r="V906" s="1348"/>
      <c r="W906" s="1349"/>
      <c r="X906" s="1350"/>
      <c r="Y906" s="1350"/>
      <c r="Z906" s="1349"/>
      <c r="AA906" s="1351"/>
      <c r="AB906" s="1350"/>
      <c r="AC906" s="1350"/>
      <c r="AD906" s="1350"/>
      <c r="AE906" s="1350"/>
      <c r="AF906" s="1350"/>
      <c r="AG906" s="1350"/>
      <c r="AH906" s="1350"/>
      <c r="AI906" s="1350"/>
      <c r="AJ906" s="1350"/>
      <c r="AK906" s="1350"/>
    </row>
    <row r="907">
      <c r="A907" s="1350"/>
      <c r="B907" s="1350"/>
      <c r="C907" s="1350"/>
      <c r="D907" s="1350"/>
      <c r="E907" s="1350"/>
      <c r="F907" s="1350"/>
      <c r="G907" s="1350"/>
      <c r="H907" s="1350"/>
      <c r="I907" s="1350"/>
      <c r="J907" s="1350"/>
      <c r="K907" s="1350"/>
      <c r="L907" s="1350"/>
      <c r="M907" s="1350"/>
      <c r="N907" s="1350"/>
      <c r="O907" s="1350"/>
      <c r="P907" s="1354"/>
      <c r="Q907" s="1355"/>
      <c r="R907" s="1355"/>
      <c r="S907" s="1350"/>
      <c r="T907" s="1349"/>
      <c r="U907" s="1348"/>
      <c r="V907" s="1348"/>
      <c r="W907" s="1349"/>
      <c r="X907" s="1350"/>
      <c r="Y907" s="1350"/>
      <c r="Z907" s="1349"/>
      <c r="AA907" s="1351"/>
      <c r="AB907" s="1350"/>
      <c r="AC907" s="1350"/>
      <c r="AD907" s="1350"/>
      <c r="AE907" s="1350"/>
      <c r="AF907" s="1350"/>
      <c r="AG907" s="1350"/>
      <c r="AH907" s="1350"/>
      <c r="AI907" s="1350"/>
      <c r="AJ907" s="1350"/>
      <c r="AK907" s="1350"/>
    </row>
    <row r="908">
      <c r="A908" s="1350"/>
      <c r="B908" s="1350"/>
      <c r="C908" s="1350"/>
      <c r="D908" s="1350"/>
      <c r="E908" s="1350"/>
      <c r="F908" s="1350"/>
      <c r="G908" s="1350"/>
      <c r="H908" s="1350"/>
      <c r="I908" s="1350"/>
      <c r="J908" s="1350"/>
      <c r="K908" s="1350"/>
      <c r="L908" s="1350"/>
      <c r="M908" s="1350"/>
      <c r="N908" s="1350"/>
      <c r="O908" s="1350"/>
      <c r="P908" s="1354"/>
      <c r="Q908" s="1355"/>
      <c r="R908" s="1355"/>
      <c r="S908" s="1350"/>
      <c r="T908" s="1349"/>
      <c r="U908" s="1348"/>
      <c r="V908" s="1348"/>
      <c r="W908" s="1349"/>
      <c r="X908" s="1350"/>
      <c r="Y908" s="1350"/>
      <c r="Z908" s="1349"/>
      <c r="AA908" s="1351"/>
      <c r="AB908" s="1350"/>
      <c r="AC908" s="1350"/>
      <c r="AD908" s="1350"/>
      <c r="AE908" s="1350"/>
      <c r="AF908" s="1350"/>
      <c r="AG908" s="1350"/>
      <c r="AH908" s="1350"/>
      <c r="AI908" s="1350"/>
      <c r="AJ908" s="1350"/>
      <c r="AK908" s="1350"/>
    </row>
    <row r="909">
      <c r="A909" s="1350"/>
      <c r="B909" s="1350"/>
      <c r="C909" s="1350"/>
      <c r="D909" s="1350"/>
      <c r="E909" s="1350"/>
      <c r="F909" s="1350"/>
      <c r="G909" s="1350"/>
      <c r="H909" s="1350"/>
      <c r="I909" s="1350"/>
      <c r="J909" s="1350"/>
      <c r="K909" s="1350"/>
      <c r="L909" s="1350"/>
      <c r="M909" s="1350"/>
      <c r="N909" s="1350"/>
      <c r="O909" s="1350"/>
      <c r="P909" s="1354"/>
      <c r="Q909" s="1355"/>
      <c r="R909" s="1355"/>
      <c r="S909" s="1350"/>
      <c r="T909" s="1349"/>
      <c r="U909" s="1348"/>
      <c r="V909" s="1348"/>
      <c r="W909" s="1349"/>
      <c r="X909" s="1350"/>
      <c r="Y909" s="1350"/>
      <c r="Z909" s="1349"/>
      <c r="AA909" s="1351"/>
      <c r="AB909" s="1350"/>
      <c r="AC909" s="1350"/>
      <c r="AD909" s="1350"/>
      <c r="AE909" s="1350"/>
      <c r="AF909" s="1350"/>
      <c r="AG909" s="1350"/>
      <c r="AH909" s="1350"/>
      <c r="AI909" s="1350"/>
      <c r="AJ909" s="1350"/>
      <c r="AK909" s="1350"/>
    </row>
    <row r="910">
      <c r="A910" s="1350"/>
      <c r="B910" s="1350"/>
      <c r="C910" s="1350"/>
      <c r="D910" s="1350"/>
      <c r="E910" s="1350"/>
      <c r="F910" s="1350"/>
      <c r="G910" s="1350"/>
      <c r="H910" s="1350"/>
      <c r="I910" s="1350"/>
      <c r="J910" s="1350"/>
      <c r="K910" s="1350"/>
      <c r="L910" s="1350"/>
      <c r="M910" s="1350"/>
      <c r="N910" s="1350"/>
      <c r="O910" s="1350"/>
      <c r="P910" s="1354"/>
      <c r="Q910" s="1355"/>
      <c r="R910" s="1355"/>
      <c r="S910" s="1350"/>
      <c r="T910" s="1349"/>
      <c r="U910" s="1348"/>
      <c r="V910" s="1348"/>
      <c r="W910" s="1349"/>
      <c r="X910" s="1350"/>
      <c r="Y910" s="1350"/>
      <c r="Z910" s="1349"/>
      <c r="AA910" s="1351"/>
      <c r="AB910" s="1350"/>
      <c r="AC910" s="1350"/>
      <c r="AD910" s="1350"/>
      <c r="AE910" s="1350"/>
      <c r="AF910" s="1350"/>
      <c r="AG910" s="1350"/>
      <c r="AH910" s="1350"/>
      <c r="AI910" s="1350"/>
      <c r="AJ910" s="1350"/>
      <c r="AK910" s="1350"/>
    </row>
    <row r="911">
      <c r="A911" s="1350"/>
      <c r="B911" s="1350"/>
      <c r="C911" s="1350"/>
      <c r="D911" s="1350"/>
      <c r="E911" s="1350"/>
      <c r="F911" s="1350"/>
      <c r="G911" s="1350"/>
      <c r="H911" s="1350"/>
      <c r="I911" s="1350"/>
      <c r="J911" s="1350"/>
      <c r="K911" s="1350"/>
      <c r="L911" s="1350"/>
      <c r="M911" s="1350"/>
      <c r="N911" s="1350"/>
      <c r="O911" s="1350"/>
      <c r="P911" s="1354"/>
      <c r="Q911" s="1355"/>
      <c r="R911" s="1355"/>
      <c r="S911" s="1350"/>
      <c r="T911" s="1349"/>
      <c r="U911" s="1348"/>
      <c r="V911" s="1348"/>
      <c r="W911" s="1349"/>
      <c r="X911" s="1350"/>
      <c r="Y911" s="1350"/>
      <c r="Z911" s="1349"/>
      <c r="AA911" s="1351"/>
      <c r="AB911" s="1350"/>
      <c r="AC911" s="1350"/>
      <c r="AD911" s="1350"/>
      <c r="AE911" s="1350"/>
      <c r="AF911" s="1350"/>
      <c r="AG911" s="1350"/>
      <c r="AH911" s="1350"/>
      <c r="AI911" s="1350"/>
      <c r="AJ911" s="1350"/>
      <c r="AK911" s="1350"/>
    </row>
    <row r="912">
      <c r="A912" s="1350"/>
      <c r="B912" s="1350"/>
      <c r="C912" s="1350"/>
      <c r="D912" s="1350"/>
      <c r="E912" s="1350"/>
      <c r="F912" s="1350"/>
      <c r="G912" s="1350"/>
      <c r="H912" s="1350"/>
      <c r="I912" s="1350"/>
      <c r="J912" s="1350"/>
      <c r="K912" s="1350"/>
      <c r="L912" s="1350"/>
      <c r="M912" s="1350"/>
      <c r="N912" s="1350"/>
      <c r="O912" s="1350"/>
      <c r="P912" s="1354"/>
      <c r="Q912" s="1355"/>
      <c r="R912" s="1355"/>
      <c r="S912" s="1350"/>
      <c r="T912" s="1349"/>
      <c r="U912" s="1348"/>
      <c r="V912" s="1348"/>
      <c r="W912" s="1349"/>
      <c r="X912" s="1350"/>
      <c r="Y912" s="1350"/>
      <c r="Z912" s="1349"/>
      <c r="AA912" s="1351"/>
      <c r="AB912" s="1350"/>
      <c r="AC912" s="1350"/>
      <c r="AD912" s="1350"/>
      <c r="AE912" s="1350"/>
      <c r="AF912" s="1350"/>
      <c r="AG912" s="1350"/>
      <c r="AH912" s="1350"/>
      <c r="AI912" s="1350"/>
      <c r="AJ912" s="1350"/>
      <c r="AK912" s="1350"/>
    </row>
    <row r="913">
      <c r="A913" s="1350"/>
      <c r="B913" s="1350"/>
      <c r="C913" s="1350"/>
      <c r="D913" s="1350"/>
      <c r="E913" s="1350"/>
      <c r="F913" s="1350"/>
      <c r="G913" s="1350"/>
      <c r="H913" s="1350"/>
      <c r="I913" s="1350"/>
      <c r="J913" s="1350"/>
      <c r="K913" s="1350"/>
      <c r="L913" s="1350"/>
      <c r="M913" s="1350"/>
      <c r="N913" s="1350"/>
      <c r="O913" s="1350"/>
      <c r="P913" s="1354"/>
      <c r="Q913" s="1355"/>
      <c r="R913" s="1355"/>
      <c r="S913" s="1350"/>
      <c r="T913" s="1349"/>
      <c r="U913" s="1348"/>
      <c r="V913" s="1348"/>
      <c r="W913" s="1349"/>
      <c r="X913" s="1350"/>
      <c r="Y913" s="1350"/>
      <c r="Z913" s="1349"/>
      <c r="AA913" s="1351"/>
      <c r="AB913" s="1350"/>
      <c r="AC913" s="1350"/>
      <c r="AD913" s="1350"/>
      <c r="AE913" s="1350"/>
      <c r="AF913" s="1350"/>
      <c r="AG913" s="1350"/>
      <c r="AH913" s="1350"/>
      <c r="AI913" s="1350"/>
      <c r="AJ913" s="1350"/>
      <c r="AK913" s="1350"/>
    </row>
    <row r="914">
      <c r="A914" s="1350"/>
      <c r="B914" s="1350"/>
      <c r="C914" s="1350"/>
      <c r="D914" s="1350"/>
      <c r="E914" s="1350"/>
      <c r="F914" s="1350"/>
      <c r="G914" s="1350"/>
      <c r="H914" s="1350"/>
      <c r="I914" s="1350"/>
      <c r="J914" s="1350"/>
      <c r="K914" s="1350"/>
      <c r="L914" s="1350"/>
      <c r="M914" s="1350"/>
      <c r="N914" s="1350"/>
      <c r="O914" s="1350"/>
      <c r="P914" s="1354"/>
      <c r="Q914" s="1355"/>
      <c r="R914" s="1355"/>
      <c r="S914" s="1350"/>
      <c r="T914" s="1349"/>
      <c r="U914" s="1348"/>
      <c r="V914" s="1348"/>
      <c r="W914" s="1349"/>
      <c r="X914" s="1350"/>
      <c r="Y914" s="1350"/>
      <c r="Z914" s="1349"/>
      <c r="AA914" s="1351"/>
      <c r="AB914" s="1350"/>
      <c r="AC914" s="1350"/>
      <c r="AD914" s="1350"/>
      <c r="AE914" s="1350"/>
      <c r="AF914" s="1350"/>
      <c r="AG914" s="1350"/>
      <c r="AH914" s="1350"/>
      <c r="AI914" s="1350"/>
      <c r="AJ914" s="1350"/>
      <c r="AK914" s="1350"/>
    </row>
    <row r="915">
      <c r="A915" s="1350"/>
      <c r="B915" s="1350"/>
      <c r="C915" s="1350"/>
      <c r="D915" s="1350"/>
      <c r="E915" s="1350"/>
      <c r="F915" s="1350"/>
      <c r="G915" s="1350"/>
      <c r="H915" s="1350"/>
      <c r="I915" s="1350"/>
      <c r="J915" s="1350"/>
      <c r="K915" s="1350"/>
      <c r="L915" s="1350"/>
      <c r="M915" s="1350"/>
      <c r="N915" s="1350"/>
      <c r="O915" s="1350"/>
      <c r="P915" s="1354"/>
      <c r="Q915" s="1355"/>
      <c r="R915" s="1355"/>
      <c r="S915" s="1350"/>
      <c r="T915" s="1349"/>
      <c r="U915" s="1348"/>
      <c r="V915" s="1348"/>
      <c r="W915" s="1349"/>
      <c r="X915" s="1350"/>
      <c r="Y915" s="1350"/>
      <c r="Z915" s="1349"/>
      <c r="AA915" s="1351"/>
      <c r="AB915" s="1350"/>
      <c r="AC915" s="1350"/>
      <c r="AD915" s="1350"/>
      <c r="AE915" s="1350"/>
      <c r="AF915" s="1350"/>
      <c r="AG915" s="1350"/>
      <c r="AH915" s="1350"/>
      <c r="AI915" s="1350"/>
      <c r="AJ915" s="1350"/>
      <c r="AK915" s="1350"/>
    </row>
    <row r="916">
      <c r="A916" s="1350"/>
      <c r="B916" s="1350"/>
      <c r="C916" s="1350"/>
      <c r="D916" s="1350"/>
      <c r="E916" s="1350"/>
      <c r="F916" s="1350"/>
      <c r="G916" s="1350"/>
      <c r="H916" s="1350"/>
      <c r="I916" s="1350"/>
      <c r="J916" s="1350"/>
      <c r="K916" s="1350"/>
      <c r="L916" s="1350"/>
      <c r="M916" s="1350"/>
      <c r="N916" s="1350"/>
      <c r="O916" s="1350"/>
      <c r="P916" s="1354"/>
      <c r="Q916" s="1355"/>
      <c r="R916" s="1355"/>
      <c r="S916" s="1350"/>
      <c r="T916" s="1349"/>
      <c r="U916" s="1348"/>
      <c r="V916" s="1348"/>
      <c r="W916" s="1349"/>
      <c r="X916" s="1350"/>
      <c r="Y916" s="1350"/>
      <c r="Z916" s="1349"/>
      <c r="AA916" s="1351"/>
      <c r="AB916" s="1350"/>
      <c r="AC916" s="1350"/>
      <c r="AD916" s="1350"/>
      <c r="AE916" s="1350"/>
      <c r="AF916" s="1350"/>
      <c r="AG916" s="1350"/>
      <c r="AH916" s="1350"/>
      <c r="AI916" s="1350"/>
      <c r="AJ916" s="1350"/>
      <c r="AK916" s="1350"/>
    </row>
    <row r="917">
      <c r="A917" s="1350"/>
      <c r="B917" s="1350"/>
      <c r="C917" s="1350"/>
      <c r="D917" s="1350"/>
      <c r="E917" s="1350"/>
      <c r="F917" s="1350"/>
      <c r="G917" s="1350"/>
      <c r="H917" s="1350"/>
      <c r="I917" s="1350"/>
      <c r="J917" s="1350"/>
      <c r="K917" s="1350"/>
      <c r="L917" s="1350"/>
      <c r="M917" s="1350"/>
      <c r="N917" s="1350"/>
      <c r="O917" s="1350"/>
      <c r="P917" s="1354"/>
      <c r="Q917" s="1355"/>
      <c r="R917" s="1355"/>
      <c r="S917" s="1350"/>
      <c r="T917" s="1349"/>
      <c r="U917" s="1348"/>
      <c r="V917" s="1348"/>
      <c r="W917" s="1349"/>
      <c r="X917" s="1350"/>
      <c r="Y917" s="1350"/>
      <c r="Z917" s="1349"/>
      <c r="AA917" s="1351"/>
      <c r="AB917" s="1350"/>
      <c r="AC917" s="1350"/>
      <c r="AD917" s="1350"/>
      <c r="AE917" s="1350"/>
      <c r="AF917" s="1350"/>
      <c r="AG917" s="1350"/>
      <c r="AH917" s="1350"/>
      <c r="AI917" s="1350"/>
      <c r="AJ917" s="1350"/>
      <c r="AK917" s="1350"/>
    </row>
    <row r="918">
      <c r="A918" s="1350"/>
      <c r="B918" s="1350"/>
      <c r="C918" s="1350"/>
      <c r="D918" s="1350"/>
      <c r="E918" s="1350"/>
      <c r="F918" s="1350"/>
      <c r="G918" s="1350"/>
      <c r="H918" s="1350"/>
      <c r="I918" s="1350"/>
      <c r="J918" s="1350"/>
      <c r="K918" s="1350"/>
      <c r="L918" s="1350"/>
      <c r="M918" s="1350"/>
      <c r="N918" s="1350"/>
      <c r="O918" s="1350"/>
      <c r="P918" s="1354"/>
      <c r="Q918" s="1355"/>
      <c r="R918" s="1355"/>
      <c r="S918" s="1350"/>
      <c r="T918" s="1349"/>
      <c r="U918" s="1348"/>
      <c r="V918" s="1348"/>
      <c r="W918" s="1349"/>
      <c r="X918" s="1350"/>
      <c r="Y918" s="1350"/>
      <c r="Z918" s="1349"/>
      <c r="AA918" s="1351"/>
      <c r="AB918" s="1350"/>
      <c r="AC918" s="1350"/>
      <c r="AD918" s="1350"/>
      <c r="AE918" s="1350"/>
      <c r="AF918" s="1350"/>
      <c r="AG918" s="1350"/>
      <c r="AH918" s="1350"/>
      <c r="AI918" s="1350"/>
      <c r="AJ918" s="1350"/>
      <c r="AK918" s="1350"/>
    </row>
    <row r="919">
      <c r="A919" s="1350"/>
      <c r="B919" s="1350"/>
      <c r="C919" s="1350"/>
      <c r="D919" s="1350"/>
      <c r="E919" s="1350"/>
      <c r="F919" s="1350"/>
      <c r="G919" s="1350"/>
      <c r="H919" s="1350"/>
      <c r="I919" s="1350"/>
      <c r="J919" s="1350"/>
      <c r="K919" s="1350"/>
      <c r="L919" s="1350"/>
      <c r="M919" s="1350"/>
      <c r="N919" s="1350"/>
      <c r="O919" s="1350"/>
      <c r="P919" s="1354"/>
      <c r="Q919" s="1355"/>
      <c r="R919" s="1355"/>
      <c r="S919" s="1350"/>
      <c r="T919" s="1349"/>
      <c r="U919" s="1348"/>
      <c r="V919" s="1348"/>
      <c r="W919" s="1349"/>
      <c r="X919" s="1350"/>
      <c r="Y919" s="1350"/>
      <c r="Z919" s="1349"/>
      <c r="AA919" s="1351"/>
      <c r="AB919" s="1350"/>
      <c r="AC919" s="1350"/>
      <c r="AD919" s="1350"/>
      <c r="AE919" s="1350"/>
      <c r="AF919" s="1350"/>
      <c r="AG919" s="1350"/>
      <c r="AH919" s="1350"/>
      <c r="AI919" s="1350"/>
      <c r="AJ919" s="1350"/>
      <c r="AK919" s="1350"/>
    </row>
    <row r="920">
      <c r="A920" s="1350"/>
      <c r="B920" s="1350"/>
      <c r="C920" s="1350"/>
      <c r="D920" s="1350"/>
      <c r="E920" s="1350"/>
      <c r="F920" s="1350"/>
      <c r="G920" s="1350"/>
      <c r="H920" s="1350"/>
      <c r="I920" s="1350"/>
      <c r="J920" s="1350"/>
      <c r="K920" s="1350"/>
      <c r="L920" s="1350"/>
      <c r="M920" s="1350"/>
      <c r="N920" s="1350"/>
      <c r="O920" s="1350"/>
      <c r="P920" s="1354"/>
      <c r="Q920" s="1355"/>
      <c r="R920" s="1355"/>
      <c r="S920" s="1350"/>
      <c r="T920" s="1349"/>
      <c r="U920" s="1348"/>
      <c r="V920" s="1348"/>
      <c r="W920" s="1349"/>
      <c r="X920" s="1350"/>
      <c r="Y920" s="1350"/>
      <c r="Z920" s="1349"/>
      <c r="AA920" s="1351"/>
      <c r="AB920" s="1350"/>
      <c r="AC920" s="1350"/>
      <c r="AD920" s="1350"/>
      <c r="AE920" s="1350"/>
      <c r="AF920" s="1350"/>
      <c r="AG920" s="1350"/>
      <c r="AH920" s="1350"/>
      <c r="AI920" s="1350"/>
      <c r="AJ920" s="1350"/>
      <c r="AK920" s="1350"/>
    </row>
    <row r="921">
      <c r="A921" s="1350"/>
      <c r="B921" s="1350"/>
      <c r="C921" s="1350"/>
      <c r="D921" s="1350"/>
      <c r="E921" s="1350"/>
      <c r="F921" s="1350"/>
      <c r="G921" s="1350"/>
      <c r="H921" s="1350"/>
      <c r="I921" s="1350"/>
      <c r="J921" s="1350"/>
      <c r="K921" s="1350"/>
      <c r="L921" s="1350"/>
      <c r="M921" s="1350"/>
      <c r="N921" s="1350"/>
      <c r="O921" s="1350"/>
      <c r="P921" s="1354"/>
      <c r="Q921" s="1355"/>
      <c r="R921" s="1355"/>
      <c r="S921" s="1350"/>
      <c r="T921" s="1349"/>
      <c r="U921" s="1348"/>
      <c r="V921" s="1348"/>
      <c r="W921" s="1349"/>
      <c r="X921" s="1350"/>
      <c r="Y921" s="1350"/>
      <c r="Z921" s="1349"/>
      <c r="AA921" s="1351"/>
      <c r="AB921" s="1350"/>
      <c r="AC921" s="1350"/>
      <c r="AD921" s="1350"/>
      <c r="AE921" s="1350"/>
      <c r="AF921" s="1350"/>
      <c r="AG921" s="1350"/>
      <c r="AH921" s="1350"/>
      <c r="AI921" s="1350"/>
      <c r="AJ921" s="1350"/>
      <c r="AK921" s="1350"/>
    </row>
    <row r="922">
      <c r="A922" s="1350"/>
      <c r="B922" s="1350"/>
      <c r="C922" s="1350"/>
      <c r="D922" s="1350"/>
      <c r="E922" s="1350"/>
      <c r="F922" s="1350"/>
      <c r="G922" s="1350"/>
      <c r="H922" s="1350"/>
      <c r="I922" s="1350"/>
      <c r="J922" s="1350"/>
      <c r="K922" s="1350"/>
      <c r="L922" s="1350"/>
      <c r="M922" s="1350"/>
      <c r="N922" s="1350"/>
      <c r="O922" s="1350"/>
      <c r="P922" s="1354"/>
      <c r="Q922" s="1355"/>
      <c r="R922" s="1355"/>
      <c r="S922" s="1350"/>
      <c r="T922" s="1349"/>
      <c r="U922" s="1348"/>
      <c r="V922" s="1348"/>
      <c r="W922" s="1349"/>
      <c r="X922" s="1350"/>
      <c r="Y922" s="1350"/>
      <c r="Z922" s="1349"/>
      <c r="AA922" s="1351"/>
      <c r="AB922" s="1350"/>
      <c r="AC922" s="1350"/>
      <c r="AD922" s="1350"/>
      <c r="AE922" s="1350"/>
      <c r="AF922" s="1350"/>
      <c r="AG922" s="1350"/>
      <c r="AH922" s="1350"/>
      <c r="AI922" s="1350"/>
      <c r="AJ922" s="1350"/>
      <c r="AK922" s="1350"/>
    </row>
    <row r="923">
      <c r="A923" s="1350"/>
      <c r="B923" s="1350"/>
      <c r="C923" s="1350"/>
      <c r="D923" s="1350"/>
      <c r="E923" s="1350"/>
      <c r="F923" s="1350"/>
      <c r="G923" s="1350"/>
      <c r="H923" s="1350"/>
      <c r="I923" s="1350"/>
      <c r="J923" s="1350"/>
      <c r="K923" s="1350"/>
      <c r="L923" s="1350"/>
      <c r="M923" s="1350"/>
      <c r="N923" s="1350"/>
      <c r="O923" s="1350"/>
      <c r="P923" s="1354"/>
      <c r="Q923" s="1355"/>
      <c r="R923" s="1355"/>
      <c r="S923" s="1350"/>
      <c r="T923" s="1349"/>
      <c r="U923" s="1348"/>
      <c r="V923" s="1348"/>
      <c r="W923" s="1349"/>
      <c r="X923" s="1350"/>
      <c r="Y923" s="1350"/>
      <c r="Z923" s="1349"/>
      <c r="AA923" s="1351"/>
      <c r="AB923" s="1350"/>
      <c r="AC923" s="1350"/>
      <c r="AD923" s="1350"/>
      <c r="AE923" s="1350"/>
      <c r="AF923" s="1350"/>
      <c r="AG923" s="1350"/>
      <c r="AH923" s="1350"/>
      <c r="AI923" s="1350"/>
      <c r="AJ923" s="1350"/>
      <c r="AK923" s="1350"/>
    </row>
    <row r="924">
      <c r="A924" s="1350"/>
      <c r="B924" s="1350"/>
      <c r="C924" s="1350"/>
      <c r="D924" s="1350"/>
      <c r="E924" s="1350"/>
      <c r="F924" s="1350"/>
      <c r="G924" s="1350"/>
      <c r="H924" s="1350"/>
      <c r="I924" s="1350"/>
      <c r="J924" s="1350"/>
      <c r="K924" s="1350"/>
      <c r="L924" s="1350"/>
      <c r="M924" s="1350"/>
      <c r="N924" s="1350"/>
      <c r="O924" s="1350"/>
      <c r="P924" s="1354"/>
      <c r="Q924" s="1355"/>
      <c r="R924" s="1355"/>
      <c r="S924" s="1350"/>
      <c r="T924" s="1349"/>
      <c r="U924" s="1348"/>
      <c r="V924" s="1348"/>
      <c r="W924" s="1349"/>
      <c r="X924" s="1350"/>
      <c r="Y924" s="1350"/>
      <c r="Z924" s="1349"/>
      <c r="AA924" s="1351"/>
      <c r="AB924" s="1350"/>
      <c r="AC924" s="1350"/>
      <c r="AD924" s="1350"/>
      <c r="AE924" s="1350"/>
      <c r="AF924" s="1350"/>
      <c r="AG924" s="1350"/>
      <c r="AH924" s="1350"/>
      <c r="AI924" s="1350"/>
      <c r="AJ924" s="1350"/>
      <c r="AK924" s="1350"/>
    </row>
    <row r="925">
      <c r="A925" s="1350"/>
      <c r="B925" s="1350"/>
      <c r="C925" s="1350"/>
      <c r="D925" s="1350"/>
      <c r="E925" s="1350"/>
      <c r="F925" s="1350"/>
      <c r="G925" s="1350"/>
      <c r="H925" s="1350"/>
      <c r="I925" s="1350"/>
      <c r="J925" s="1350"/>
      <c r="K925" s="1350"/>
      <c r="L925" s="1350"/>
      <c r="M925" s="1350"/>
      <c r="N925" s="1350"/>
      <c r="O925" s="1350"/>
      <c r="P925" s="1354"/>
      <c r="Q925" s="1355"/>
      <c r="R925" s="1355"/>
      <c r="S925" s="1350"/>
      <c r="T925" s="1349"/>
      <c r="U925" s="1348"/>
      <c r="V925" s="1348"/>
      <c r="W925" s="1349"/>
      <c r="X925" s="1350"/>
      <c r="Y925" s="1350"/>
      <c r="Z925" s="1349"/>
      <c r="AA925" s="1351"/>
      <c r="AB925" s="1350"/>
      <c r="AC925" s="1350"/>
      <c r="AD925" s="1350"/>
      <c r="AE925" s="1350"/>
      <c r="AF925" s="1350"/>
      <c r="AG925" s="1350"/>
      <c r="AH925" s="1350"/>
      <c r="AI925" s="1350"/>
      <c r="AJ925" s="1350"/>
      <c r="AK925" s="1350"/>
    </row>
    <row r="926">
      <c r="A926" s="1350"/>
      <c r="B926" s="1350"/>
      <c r="C926" s="1350"/>
      <c r="D926" s="1350"/>
      <c r="E926" s="1350"/>
      <c r="F926" s="1350"/>
      <c r="G926" s="1350"/>
      <c r="H926" s="1350"/>
      <c r="I926" s="1350"/>
      <c r="J926" s="1350"/>
      <c r="K926" s="1350"/>
      <c r="L926" s="1350"/>
      <c r="M926" s="1350"/>
      <c r="N926" s="1350"/>
      <c r="O926" s="1350"/>
      <c r="P926" s="1354"/>
      <c r="Q926" s="1355"/>
      <c r="R926" s="1355"/>
      <c r="S926" s="1350"/>
      <c r="T926" s="1349"/>
      <c r="U926" s="1348"/>
      <c r="V926" s="1348"/>
      <c r="W926" s="1349"/>
      <c r="X926" s="1350"/>
      <c r="Y926" s="1350"/>
      <c r="Z926" s="1349"/>
      <c r="AA926" s="1351"/>
      <c r="AB926" s="1350"/>
      <c r="AC926" s="1350"/>
      <c r="AD926" s="1350"/>
      <c r="AE926" s="1350"/>
      <c r="AF926" s="1350"/>
      <c r="AG926" s="1350"/>
      <c r="AH926" s="1350"/>
      <c r="AI926" s="1350"/>
      <c r="AJ926" s="1350"/>
      <c r="AK926" s="1350"/>
    </row>
    <row r="927">
      <c r="A927" s="1350"/>
      <c r="B927" s="1350"/>
      <c r="C927" s="1350"/>
      <c r="D927" s="1350"/>
      <c r="E927" s="1350"/>
      <c r="F927" s="1350"/>
      <c r="G927" s="1350"/>
      <c r="H927" s="1350"/>
      <c r="I927" s="1350"/>
      <c r="J927" s="1350"/>
      <c r="K927" s="1350"/>
      <c r="L927" s="1350"/>
      <c r="M927" s="1350"/>
      <c r="N927" s="1350"/>
      <c r="O927" s="1350"/>
      <c r="P927" s="1354"/>
      <c r="Q927" s="1355"/>
      <c r="R927" s="1355"/>
      <c r="S927" s="1350"/>
      <c r="T927" s="1349"/>
      <c r="U927" s="1348"/>
      <c r="V927" s="1348"/>
      <c r="W927" s="1349"/>
      <c r="X927" s="1350"/>
      <c r="Y927" s="1350"/>
      <c r="Z927" s="1349"/>
      <c r="AA927" s="1351"/>
      <c r="AB927" s="1350"/>
      <c r="AC927" s="1350"/>
      <c r="AD927" s="1350"/>
      <c r="AE927" s="1350"/>
      <c r="AF927" s="1350"/>
      <c r="AG927" s="1350"/>
      <c r="AH927" s="1350"/>
      <c r="AI927" s="1350"/>
      <c r="AJ927" s="1350"/>
      <c r="AK927" s="1350"/>
    </row>
    <row r="928">
      <c r="A928" s="1350"/>
      <c r="B928" s="1350"/>
      <c r="C928" s="1350"/>
      <c r="D928" s="1350"/>
      <c r="E928" s="1350"/>
      <c r="F928" s="1350"/>
      <c r="G928" s="1350"/>
      <c r="H928" s="1350"/>
      <c r="I928" s="1350"/>
      <c r="J928" s="1350"/>
      <c r="K928" s="1350"/>
      <c r="L928" s="1350"/>
      <c r="M928" s="1350"/>
      <c r="N928" s="1350"/>
      <c r="O928" s="1350"/>
      <c r="P928" s="1354"/>
      <c r="Q928" s="1355"/>
      <c r="R928" s="1355"/>
      <c r="S928" s="1350"/>
      <c r="T928" s="1349"/>
      <c r="U928" s="1348"/>
      <c r="V928" s="1348"/>
      <c r="W928" s="1349"/>
      <c r="X928" s="1350"/>
      <c r="Y928" s="1350"/>
      <c r="Z928" s="1349"/>
      <c r="AA928" s="1351"/>
      <c r="AB928" s="1350"/>
      <c r="AC928" s="1350"/>
      <c r="AD928" s="1350"/>
      <c r="AE928" s="1350"/>
      <c r="AF928" s="1350"/>
      <c r="AG928" s="1350"/>
      <c r="AH928" s="1350"/>
      <c r="AI928" s="1350"/>
      <c r="AJ928" s="1350"/>
      <c r="AK928" s="1350"/>
    </row>
    <row r="929">
      <c r="A929" s="1350"/>
      <c r="B929" s="1350"/>
      <c r="C929" s="1350"/>
      <c r="D929" s="1350"/>
      <c r="E929" s="1350"/>
      <c r="F929" s="1350"/>
      <c r="G929" s="1350"/>
      <c r="H929" s="1350"/>
      <c r="I929" s="1350"/>
      <c r="J929" s="1350"/>
      <c r="K929" s="1350"/>
      <c r="L929" s="1350"/>
      <c r="M929" s="1350"/>
      <c r="N929" s="1350"/>
      <c r="O929" s="1350"/>
      <c r="P929" s="1354"/>
      <c r="Q929" s="1355"/>
      <c r="R929" s="1355"/>
      <c r="S929" s="1350"/>
      <c r="T929" s="1349"/>
      <c r="U929" s="1348"/>
      <c r="V929" s="1348"/>
      <c r="W929" s="1349"/>
      <c r="X929" s="1350"/>
      <c r="Y929" s="1350"/>
      <c r="Z929" s="1349"/>
      <c r="AA929" s="1351"/>
      <c r="AB929" s="1350"/>
      <c r="AC929" s="1350"/>
      <c r="AD929" s="1350"/>
      <c r="AE929" s="1350"/>
      <c r="AF929" s="1350"/>
      <c r="AG929" s="1350"/>
      <c r="AH929" s="1350"/>
      <c r="AI929" s="1350"/>
      <c r="AJ929" s="1350"/>
      <c r="AK929" s="1350"/>
    </row>
    <row r="930">
      <c r="A930" s="1350"/>
      <c r="B930" s="1350"/>
      <c r="C930" s="1350"/>
      <c r="D930" s="1350"/>
      <c r="E930" s="1350"/>
      <c r="F930" s="1350"/>
      <c r="G930" s="1350"/>
      <c r="H930" s="1350"/>
      <c r="I930" s="1350"/>
      <c r="J930" s="1350"/>
      <c r="K930" s="1350"/>
      <c r="L930" s="1350"/>
      <c r="M930" s="1350"/>
      <c r="N930" s="1350"/>
      <c r="O930" s="1350"/>
      <c r="P930" s="1354"/>
      <c r="Q930" s="1355"/>
      <c r="R930" s="1355"/>
      <c r="S930" s="1350"/>
      <c r="T930" s="1349"/>
      <c r="U930" s="1348"/>
      <c r="V930" s="1348"/>
      <c r="W930" s="1349"/>
      <c r="X930" s="1350"/>
      <c r="Y930" s="1350"/>
      <c r="Z930" s="1349"/>
      <c r="AA930" s="1351"/>
      <c r="AB930" s="1350"/>
      <c r="AC930" s="1350"/>
      <c r="AD930" s="1350"/>
      <c r="AE930" s="1350"/>
      <c r="AF930" s="1350"/>
      <c r="AG930" s="1350"/>
      <c r="AH930" s="1350"/>
      <c r="AI930" s="1350"/>
      <c r="AJ930" s="1350"/>
      <c r="AK930" s="1350"/>
    </row>
    <row r="931">
      <c r="A931" s="1350"/>
      <c r="B931" s="1350"/>
      <c r="C931" s="1350"/>
      <c r="D931" s="1350"/>
      <c r="E931" s="1350"/>
      <c r="F931" s="1350"/>
      <c r="G931" s="1350"/>
      <c r="H931" s="1350"/>
      <c r="I931" s="1350"/>
      <c r="J931" s="1350"/>
      <c r="K931" s="1350"/>
      <c r="L931" s="1350"/>
      <c r="M931" s="1350"/>
      <c r="N931" s="1350"/>
      <c r="O931" s="1350"/>
      <c r="P931" s="1354"/>
      <c r="Q931" s="1355"/>
      <c r="R931" s="1355"/>
      <c r="S931" s="1350"/>
      <c r="T931" s="1349"/>
      <c r="U931" s="1348"/>
      <c r="V931" s="1348"/>
      <c r="W931" s="1349"/>
      <c r="X931" s="1350"/>
      <c r="Y931" s="1350"/>
      <c r="Z931" s="1349"/>
      <c r="AA931" s="1351"/>
      <c r="AB931" s="1350"/>
      <c r="AC931" s="1350"/>
      <c r="AD931" s="1350"/>
      <c r="AE931" s="1350"/>
      <c r="AF931" s="1350"/>
      <c r="AG931" s="1350"/>
      <c r="AH931" s="1350"/>
      <c r="AI931" s="1350"/>
      <c r="AJ931" s="1350"/>
      <c r="AK931" s="1350"/>
    </row>
    <row r="932">
      <c r="A932" s="1350"/>
      <c r="B932" s="1350"/>
      <c r="C932" s="1350"/>
      <c r="D932" s="1350"/>
      <c r="E932" s="1350"/>
      <c r="F932" s="1350"/>
      <c r="G932" s="1350"/>
      <c r="H932" s="1350"/>
      <c r="I932" s="1350"/>
      <c r="J932" s="1350"/>
      <c r="K932" s="1350"/>
      <c r="L932" s="1350"/>
      <c r="M932" s="1350"/>
      <c r="N932" s="1350"/>
      <c r="O932" s="1350"/>
      <c r="P932" s="1354"/>
      <c r="Q932" s="1355"/>
      <c r="R932" s="1355"/>
      <c r="S932" s="1350"/>
      <c r="T932" s="1349"/>
      <c r="U932" s="1348"/>
      <c r="V932" s="1348"/>
      <c r="W932" s="1349"/>
      <c r="X932" s="1350"/>
      <c r="Y932" s="1350"/>
      <c r="Z932" s="1349"/>
      <c r="AA932" s="1351"/>
      <c r="AB932" s="1350"/>
      <c r="AC932" s="1350"/>
      <c r="AD932" s="1350"/>
      <c r="AE932" s="1350"/>
      <c r="AF932" s="1350"/>
      <c r="AG932" s="1350"/>
      <c r="AH932" s="1350"/>
      <c r="AI932" s="1350"/>
      <c r="AJ932" s="1350"/>
      <c r="AK932" s="1350"/>
    </row>
    <row r="933">
      <c r="A933" s="1350"/>
      <c r="B933" s="1350"/>
      <c r="C933" s="1350"/>
      <c r="D933" s="1350"/>
      <c r="E933" s="1350"/>
      <c r="F933" s="1350"/>
      <c r="G933" s="1350"/>
      <c r="H933" s="1350"/>
      <c r="I933" s="1350"/>
      <c r="J933" s="1350"/>
      <c r="K933" s="1350"/>
      <c r="L933" s="1350"/>
      <c r="M933" s="1350"/>
      <c r="N933" s="1350"/>
      <c r="O933" s="1350"/>
      <c r="P933" s="1354"/>
      <c r="Q933" s="1355"/>
      <c r="R933" s="1355"/>
      <c r="S933" s="1350"/>
      <c r="T933" s="1349"/>
      <c r="U933" s="1348"/>
      <c r="V933" s="1348"/>
      <c r="W933" s="1349"/>
      <c r="X933" s="1350"/>
      <c r="Y933" s="1350"/>
      <c r="Z933" s="1349"/>
      <c r="AA933" s="1351"/>
      <c r="AB933" s="1350"/>
      <c r="AC933" s="1350"/>
      <c r="AD933" s="1350"/>
      <c r="AE933" s="1350"/>
      <c r="AF933" s="1350"/>
      <c r="AG933" s="1350"/>
      <c r="AH933" s="1350"/>
      <c r="AI933" s="1350"/>
      <c r="AJ933" s="1350"/>
      <c r="AK933" s="1350"/>
    </row>
    <row r="934">
      <c r="A934" s="1350"/>
      <c r="B934" s="1350"/>
      <c r="C934" s="1350"/>
      <c r="D934" s="1350"/>
      <c r="E934" s="1350"/>
      <c r="F934" s="1350"/>
      <c r="G934" s="1350"/>
      <c r="H934" s="1350"/>
      <c r="I934" s="1350"/>
      <c r="J934" s="1350"/>
      <c r="K934" s="1350"/>
      <c r="L934" s="1350"/>
      <c r="M934" s="1350"/>
      <c r="N934" s="1350"/>
      <c r="O934" s="1350"/>
      <c r="P934" s="1354"/>
      <c r="Q934" s="1355"/>
      <c r="R934" s="1355"/>
      <c r="S934" s="1350"/>
      <c r="T934" s="1349"/>
      <c r="U934" s="1348"/>
      <c r="V934" s="1348"/>
      <c r="W934" s="1349"/>
      <c r="X934" s="1350"/>
      <c r="Y934" s="1350"/>
      <c r="Z934" s="1349"/>
      <c r="AA934" s="1351"/>
      <c r="AB934" s="1350"/>
      <c r="AC934" s="1350"/>
      <c r="AD934" s="1350"/>
      <c r="AE934" s="1350"/>
      <c r="AF934" s="1350"/>
      <c r="AG934" s="1350"/>
      <c r="AH934" s="1350"/>
      <c r="AI934" s="1350"/>
      <c r="AJ934" s="1350"/>
      <c r="AK934" s="1350"/>
    </row>
    <row r="935">
      <c r="A935" s="1350"/>
      <c r="B935" s="1350"/>
      <c r="C935" s="1350"/>
      <c r="D935" s="1350"/>
      <c r="E935" s="1350"/>
      <c r="F935" s="1350"/>
      <c r="G935" s="1350"/>
      <c r="H935" s="1350"/>
      <c r="I935" s="1350"/>
      <c r="J935" s="1350"/>
      <c r="K935" s="1350"/>
      <c r="L935" s="1350"/>
      <c r="M935" s="1350"/>
      <c r="N935" s="1350"/>
      <c r="O935" s="1350"/>
      <c r="P935" s="1354"/>
      <c r="Q935" s="1355"/>
      <c r="R935" s="1355"/>
      <c r="S935" s="1350"/>
      <c r="T935" s="1349"/>
      <c r="U935" s="1348"/>
      <c r="V935" s="1348"/>
      <c r="W935" s="1349"/>
      <c r="X935" s="1350"/>
      <c r="Y935" s="1350"/>
      <c r="Z935" s="1349"/>
      <c r="AA935" s="1351"/>
      <c r="AB935" s="1350"/>
      <c r="AC935" s="1350"/>
      <c r="AD935" s="1350"/>
      <c r="AE935" s="1350"/>
      <c r="AF935" s="1350"/>
      <c r="AG935" s="1350"/>
      <c r="AH935" s="1350"/>
      <c r="AI935" s="1350"/>
      <c r="AJ935" s="1350"/>
      <c r="AK935" s="1350"/>
    </row>
    <row r="936">
      <c r="A936" s="1350"/>
      <c r="B936" s="1350"/>
      <c r="C936" s="1350"/>
      <c r="D936" s="1350"/>
      <c r="E936" s="1350"/>
      <c r="F936" s="1350"/>
      <c r="G936" s="1350"/>
      <c r="H936" s="1350"/>
      <c r="I936" s="1350"/>
      <c r="J936" s="1350"/>
      <c r="K936" s="1350"/>
      <c r="L936" s="1350"/>
      <c r="M936" s="1350"/>
      <c r="N936" s="1350"/>
      <c r="O936" s="1350"/>
      <c r="P936" s="1354"/>
      <c r="Q936" s="1355"/>
      <c r="R936" s="1355"/>
      <c r="S936" s="1350"/>
      <c r="T936" s="1349"/>
      <c r="U936" s="1348"/>
      <c r="V936" s="1348"/>
      <c r="W936" s="1349"/>
      <c r="X936" s="1350"/>
      <c r="Y936" s="1350"/>
      <c r="Z936" s="1349"/>
      <c r="AA936" s="1351"/>
      <c r="AB936" s="1350"/>
      <c r="AC936" s="1350"/>
      <c r="AD936" s="1350"/>
      <c r="AE936" s="1350"/>
      <c r="AF936" s="1350"/>
      <c r="AG936" s="1350"/>
      <c r="AH936" s="1350"/>
      <c r="AI936" s="1350"/>
      <c r="AJ936" s="1350"/>
      <c r="AK936" s="1350"/>
    </row>
    <row r="937">
      <c r="A937" s="1350"/>
      <c r="B937" s="1350"/>
      <c r="C937" s="1350"/>
      <c r="D937" s="1350"/>
      <c r="E937" s="1350"/>
      <c r="F937" s="1350"/>
      <c r="G937" s="1350"/>
      <c r="H937" s="1350"/>
      <c r="I937" s="1350"/>
      <c r="J937" s="1350"/>
      <c r="K937" s="1350"/>
      <c r="L937" s="1350"/>
      <c r="M937" s="1350"/>
      <c r="N937" s="1350"/>
      <c r="O937" s="1350"/>
      <c r="P937" s="1354"/>
      <c r="Q937" s="1355"/>
      <c r="R937" s="1355"/>
      <c r="S937" s="1350"/>
      <c r="T937" s="1349"/>
      <c r="U937" s="1348"/>
      <c r="V937" s="1348"/>
      <c r="W937" s="1349"/>
      <c r="X937" s="1350"/>
      <c r="Y937" s="1350"/>
      <c r="Z937" s="1349"/>
      <c r="AA937" s="1351"/>
      <c r="AB937" s="1350"/>
      <c r="AC937" s="1350"/>
      <c r="AD937" s="1350"/>
      <c r="AE937" s="1350"/>
      <c r="AF937" s="1350"/>
      <c r="AG937" s="1350"/>
      <c r="AH937" s="1350"/>
      <c r="AI937" s="1350"/>
      <c r="AJ937" s="1350"/>
      <c r="AK937" s="1350"/>
    </row>
    <row r="938">
      <c r="A938" s="1350"/>
      <c r="B938" s="1350"/>
      <c r="C938" s="1350"/>
      <c r="D938" s="1350"/>
      <c r="E938" s="1350"/>
      <c r="F938" s="1350"/>
      <c r="G938" s="1350"/>
      <c r="H938" s="1350"/>
      <c r="I938" s="1350"/>
      <c r="J938" s="1350"/>
      <c r="K938" s="1350"/>
      <c r="L938" s="1350"/>
      <c r="M938" s="1350"/>
      <c r="N938" s="1350"/>
      <c r="O938" s="1350"/>
      <c r="P938" s="1354"/>
      <c r="Q938" s="1355"/>
      <c r="R938" s="1355"/>
      <c r="S938" s="1350"/>
      <c r="T938" s="1349"/>
      <c r="U938" s="1348"/>
      <c r="V938" s="1348"/>
      <c r="W938" s="1349"/>
      <c r="X938" s="1350"/>
      <c r="Y938" s="1350"/>
      <c r="Z938" s="1349"/>
      <c r="AA938" s="1351"/>
      <c r="AB938" s="1350"/>
      <c r="AC938" s="1350"/>
      <c r="AD938" s="1350"/>
      <c r="AE938" s="1350"/>
      <c r="AF938" s="1350"/>
      <c r="AG938" s="1350"/>
      <c r="AH938" s="1350"/>
      <c r="AI938" s="1350"/>
      <c r="AJ938" s="1350"/>
      <c r="AK938" s="1350"/>
    </row>
    <row r="939">
      <c r="A939" s="1350"/>
      <c r="B939" s="1350"/>
      <c r="C939" s="1350"/>
      <c r="D939" s="1350"/>
      <c r="E939" s="1350"/>
      <c r="F939" s="1350"/>
      <c r="G939" s="1350"/>
      <c r="H939" s="1350"/>
      <c r="I939" s="1350"/>
      <c r="J939" s="1350"/>
      <c r="K939" s="1350"/>
      <c r="L939" s="1350"/>
      <c r="M939" s="1350"/>
      <c r="N939" s="1350"/>
      <c r="O939" s="1350"/>
      <c r="P939" s="1354"/>
      <c r="Q939" s="1355"/>
      <c r="R939" s="1355"/>
      <c r="S939" s="1350"/>
      <c r="T939" s="1349"/>
      <c r="U939" s="1348"/>
      <c r="V939" s="1348"/>
      <c r="W939" s="1349"/>
      <c r="X939" s="1350"/>
      <c r="Y939" s="1350"/>
      <c r="Z939" s="1349"/>
      <c r="AA939" s="1351"/>
      <c r="AB939" s="1350"/>
      <c r="AC939" s="1350"/>
      <c r="AD939" s="1350"/>
      <c r="AE939" s="1350"/>
      <c r="AF939" s="1350"/>
      <c r="AG939" s="1350"/>
      <c r="AH939" s="1350"/>
      <c r="AI939" s="1350"/>
      <c r="AJ939" s="1350"/>
      <c r="AK939" s="1350"/>
    </row>
    <row r="940">
      <c r="A940" s="1350"/>
      <c r="B940" s="1350"/>
      <c r="C940" s="1350"/>
      <c r="D940" s="1350"/>
      <c r="E940" s="1350"/>
      <c r="F940" s="1350"/>
      <c r="G940" s="1350"/>
      <c r="H940" s="1350"/>
      <c r="I940" s="1350"/>
      <c r="J940" s="1350"/>
      <c r="K940" s="1350"/>
      <c r="L940" s="1350"/>
      <c r="M940" s="1350"/>
      <c r="N940" s="1350"/>
      <c r="O940" s="1350"/>
      <c r="P940" s="1354"/>
      <c r="Q940" s="1355"/>
      <c r="R940" s="1355"/>
      <c r="S940" s="1350"/>
      <c r="T940" s="1349"/>
      <c r="U940" s="1348"/>
      <c r="V940" s="1348"/>
      <c r="W940" s="1349"/>
      <c r="X940" s="1350"/>
      <c r="Y940" s="1350"/>
      <c r="Z940" s="1349"/>
      <c r="AA940" s="1351"/>
      <c r="AB940" s="1350"/>
      <c r="AC940" s="1350"/>
      <c r="AD940" s="1350"/>
      <c r="AE940" s="1350"/>
      <c r="AF940" s="1350"/>
      <c r="AG940" s="1350"/>
      <c r="AH940" s="1350"/>
      <c r="AI940" s="1350"/>
      <c r="AJ940" s="1350"/>
      <c r="AK940" s="1350"/>
    </row>
    <row r="941">
      <c r="A941" s="1350"/>
      <c r="B941" s="1350"/>
      <c r="C941" s="1350"/>
      <c r="D941" s="1350"/>
      <c r="E941" s="1350"/>
      <c r="F941" s="1350"/>
      <c r="G941" s="1350"/>
      <c r="H941" s="1350"/>
      <c r="I941" s="1350"/>
      <c r="J941" s="1350"/>
      <c r="K941" s="1350"/>
      <c r="L941" s="1350"/>
      <c r="M941" s="1350"/>
      <c r="N941" s="1350"/>
      <c r="O941" s="1350"/>
      <c r="P941" s="1354"/>
      <c r="Q941" s="1355"/>
      <c r="R941" s="1355"/>
      <c r="S941" s="1350"/>
      <c r="T941" s="1349"/>
      <c r="U941" s="1348"/>
      <c r="V941" s="1348"/>
      <c r="W941" s="1349"/>
      <c r="X941" s="1350"/>
      <c r="Y941" s="1350"/>
      <c r="Z941" s="1349"/>
      <c r="AA941" s="1351"/>
      <c r="AB941" s="1350"/>
      <c r="AC941" s="1350"/>
      <c r="AD941" s="1350"/>
      <c r="AE941" s="1350"/>
      <c r="AF941" s="1350"/>
      <c r="AG941" s="1350"/>
      <c r="AH941" s="1350"/>
      <c r="AI941" s="1350"/>
      <c r="AJ941" s="1350"/>
      <c r="AK941" s="1350"/>
    </row>
    <row r="942">
      <c r="A942" s="1350"/>
      <c r="B942" s="1350"/>
      <c r="C942" s="1350"/>
      <c r="D942" s="1350"/>
      <c r="E942" s="1350"/>
      <c r="F942" s="1350"/>
      <c r="G942" s="1350"/>
      <c r="H942" s="1350"/>
      <c r="I942" s="1350"/>
      <c r="J942" s="1350"/>
      <c r="K942" s="1350"/>
      <c r="L942" s="1350"/>
      <c r="M942" s="1350"/>
      <c r="N942" s="1350"/>
      <c r="O942" s="1350"/>
      <c r="P942" s="1354"/>
      <c r="Q942" s="1355"/>
      <c r="R942" s="1355"/>
      <c r="S942" s="1350"/>
      <c r="T942" s="1349"/>
      <c r="U942" s="1348"/>
      <c r="V942" s="1348"/>
      <c r="W942" s="1349"/>
      <c r="X942" s="1350"/>
      <c r="Y942" s="1350"/>
      <c r="Z942" s="1349"/>
      <c r="AA942" s="1351"/>
      <c r="AB942" s="1350"/>
      <c r="AC942" s="1350"/>
      <c r="AD942" s="1350"/>
      <c r="AE942" s="1350"/>
      <c r="AF942" s="1350"/>
      <c r="AG942" s="1350"/>
      <c r="AH942" s="1350"/>
      <c r="AI942" s="1350"/>
      <c r="AJ942" s="1350"/>
      <c r="AK942" s="1350"/>
    </row>
    <row r="943">
      <c r="A943" s="1350"/>
      <c r="B943" s="1350"/>
      <c r="C943" s="1350"/>
      <c r="D943" s="1350"/>
      <c r="E943" s="1350"/>
      <c r="F943" s="1350"/>
      <c r="G943" s="1350"/>
      <c r="H943" s="1350"/>
      <c r="I943" s="1350"/>
      <c r="J943" s="1350"/>
      <c r="K943" s="1350"/>
      <c r="L943" s="1350"/>
      <c r="M943" s="1350"/>
      <c r="N943" s="1350"/>
      <c r="O943" s="1350"/>
      <c r="P943" s="1354"/>
      <c r="Q943" s="1355"/>
      <c r="R943" s="1355"/>
      <c r="S943" s="1350"/>
      <c r="T943" s="1349"/>
      <c r="U943" s="1348"/>
      <c r="V943" s="1348"/>
      <c r="W943" s="1349"/>
      <c r="X943" s="1350"/>
      <c r="Y943" s="1350"/>
      <c r="Z943" s="1349"/>
      <c r="AA943" s="1351"/>
      <c r="AB943" s="1350"/>
      <c r="AC943" s="1350"/>
      <c r="AD943" s="1350"/>
      <c r="AE943" s="1350"/>
      <c r="AF943" s="1350"/>
      <c r="AG943" s="1350"/>
      <c r="AH943" s="1350"/>
      <c r="AI943" s="1350"/>
      <c r="AJ943" s="1350"/>
      <c r="AK943" s="1350"/>
    </row>
    <row r="944">
      <c r="A944" s="1350"/>
      <c r="B944" s="1350"/>
      <c r="C944" s="1350"/>
      <c r="D944" s="1350"/>
      <c r="E944" s="1350"/>
      <c r="F944" s="1350"/>
      <c r="G944" s="1350"/>
      <c r="H944" s="1350"/>
      <c r="I944" s="1350"/>
      <c r="J944" s="1350"/>
      <c r="K944" s="1350"/>
      <c r="L944" s="1350"/>
      <c r="M944" s="1350"/>
      <c r="N944" s="1350"/>
      <c r="O944" s="1350"/>
      <c r="P944" s="1354"/>
      <c r="Q944" s="1355"/>
      <c r="R944" s="1355"/>
      <c r="S944" s="1350"/>
      <c r="T944" s="1349"/>
      <c r="U944" s="1348"/>
      <c r="V944" s="1348"/>
      <c r="W944" s="1349"/>
      <c r="X944" s="1350"/>
      <c r="Y944" s="1350"/>
      <c r="Z944" s="1349"/>
      <c r="AA944" s="1351"/>
      <c r="AB944" s="1350"/>
      <c r="AC944" s="1350"/>
      <c r="AD944" s="1350"/>
      <c r="AE944" s="1350"/>
      <c r="AF944" s="1350"/>
      <c r="AG944" s="1350"/>
      <c r="AH944" s="1350"/>
      <c r="AI944" s="1350"/>
      <c r="AJ944" s="1350"/>
      <c r="AK944" s="1350"/>
    </row>
    <row r="945">
      <c r="A945" s="1350"/>
      <c r="B945" s="1350"/>
      <c r="C945" s="1350"/>
      <c r="D945" s="1350"/>
      <c r="E945" s="1350"/>
      <c r="F945" s="1350"/>
      <c r="G945" s="1350"/>
      <c r="H945" s="1350"/>
      <c r="I945" s="1350"/>
      <c r="J945" s="1350"/>
      <c r="K945" s="1350"/>
      <c r="L945" s="1350"/>
      <c r="M945" s="1350"/>
      <c r="N945" s="1350"/>
      <c r="O945" s="1350"/>
      <c r="P945" s="1354"/>
      <c r="Q945" s="1355"/>
      <c r="R945" s="1355"/>
      <c r="S945" s="1350"/>
      <c r="T945" s="1349"/>
      <c r="U945" s="1348"/>
      <c r="V945" s="1348"/>
      <c r="W945" s="1349"/>
      <c r="X945" s="1350"/>
      <c r="Y945" s="1350"/>
      <c r="Z945" s="1349"/>
      <c r="AA945" s="1351"/>
      <c r="AB945" s="1350"/>
      <c r="AC945" s="1350"/>
      <c r="AD945" s="1350"/>
      <c r="AE945" s="1350"/>
      <c r="AF945" s="1350"/>
      <c r="AG945" s="1350"/>
      <c r="AH945" s="1350"/>
      <c r="AI945" s="1350"/>
      <c r="AJ945" s="1350"/>
      <c r="AK945" s="1350"/>
    </row>
    <row r="946">
      <c r="A946" s="1350"/>
      <c r="B946" s="1350"/>
      <c r="C946" s="1350"/>
      <c r="D946" s="1350"/>
      <c r="E946" s="1350"/>
      <c r="F946" s="1350"/>
      <c r="G946" s="1350"/>
      <c r="H946" s="1350"/>
      <c r="I946" s="1350"/>
      <c r="J946" s="1350"/>
      <c r="K946" s="1350"/>
      <c r="L946" s="1350"/>
      <c r="M946" s="1350"/>
      <c r="N946" s="1350"/>
      <c r="O946" s="1350"/>
      <c r="P946" s="1354"/>
      <c r="Q946" s="1355"/>
      <c r="R946" s="1355"/>
      <c r="S946" s="1350"/>
      <c r="T946" s="1349"/>
      <c r="U946" s="1348"/>
      <c r="V946" s="1348"/>
      <c r="W946" s="1349"/>
      <c r="X946" s="1350"/>
      <c r="Y946" s="1350"/>
      <c r="Z946" s="1349"/>
      <c r="AA946" s="1351"/>
      <c r="AB946" s="1350"/>
      <c r="AC946" s="1350"/>
      <c r="AD946" s="1350"/>
      <c r="AE946" s="1350"/>
      <c r="AF946" s="1350"/>
      <c r="AG946" s="1350"/>
      <c r="AH946" s="1350"/>
      <c r="AI946" s="1350"/>
      <c r="AJ946" s="1350"/>
      <c r="AK946" s="1350"/>
    </row>
    <row r="947">
      <c r="A947" s="1350"/>
      <c r="B947" s="1350"/>
      <c r="C947" s="1350"/>
      <c r="D947" s="1350"/>
      <c r="E947" s="1350"/>
      <c r="F947" s="1350"/>
      <c r="G947" s="1350"/>
      <c r="H947" s="1350"/>
      <c r="I947" s="1350"/>
      <c r="J947" s="1350"/>
      <c r="K947" s="1350"/>
      <c r="L947" s="1350"/>
      <c r="M947" s="1350"/>
      <c r="N947" s="1350"/>
      <c r="O947" s="1350"/>
      <c r="P947" s="1354"/>
      <c r="Q947" s="1355"/>
      <c r="R947" s="1355"/>
      <c r="S947" s="1350"/>
      <c r="T947" s="1349"/>
      <c r="U947" s="1348"/>
      <c r="V947" s="1348"/>
      <c r="W947" s="1349"/>
      <c r="X947" s="1350"/>
      <c r="Y947" s="1350"/>
      <c r="Z947" s="1349"/>
      <c r="AA947" s="1351"/>
      <c r="AB947" s="1350"/>
      <c r="AC947" s="1350"/>
      <c r="AD947" s="1350"/>
      <c r="AE947" s="1350"/>
      <c r="AF947" s="1350"/>
      <c r="AG947" s="1350"/>
      <c r="AH947" s="1350"/>
      <c r="AI947" s="1350"/>
      <c r="AJ947" s="1350"/>
      <c r="AK947" s="1350"/>
    </row>
    <row r="948">
      <c r="A948" s="1350"/>
      <c r="B948" s="1350"/>
      <c r="C948" s="1350"/>
      <c r="D948" s="1350"/>
      <c r="E948" s="1350"/>
      <c r="F948" s="1350"/>
      <c r="G948" s="1350"/>
      <c r="H948" s="1350"/>
      <c r="I948" s="1350"/>
      <c r="J948" s="1350"/>
      <c r="K948" s="1350"/>
      <c r="L948" s="1350"/>
      <c r="M948" s="1350"/>
      <c r="N948" s="1350"/>
      <c r="O948" s="1350"/>
      <c r="P948" s="1354"/>
      <c r="Q948" s="1355"/>
      <c r="R948" s="1355"/>
      <c r="S948" s="1350"/>
      <c r="T948" s="1349"/>
      <c r="U948" s="1348"/>
      <c r="V948" s="1348"/>
      <c r="W948" s="1349"/>
      <c r="X948" s="1350"/>
      <c r="Y948" s="1350"/>
      <c r="Z948" s="1349"/>
      <c r="AA948" s="1351"/>
      <c r="AB948" s="1350"/>
      <c r="AC948" s="1350"/>
      <c r="AD948" s="1350"/>
      <c r="AE948" s="1350"/>
      <c r="AF948" s="1350"/>
      <c r="AG948" s="1350"/>
      <c r="AH948" s="1350"/>
      <c r="AI948" s="1350"/>
      <c r="AJ948" s="1350"/>
      <c r="AK948" s="1350"/>
    </row>
    <row r="949">
      <c r="A949" s="1350"/>
      <c r="B949" s="1350"/>
      <c r="C949" s="1350"/>
      <c r="D949" s="1350"/>
      <c r="E949" s="1350"/>
      <c r="F949" s="1350"/>
      <c r="G949" s="1350"/>
      <c r="H949" s="1350"/>
      <c r="I949" s="1350"/>
      <c r="J949" s="1350"/>
      <c r="K949" s="1350"/>
      <c r="L949" s="1350"/>
      <c r="M949" s="1350"/>
      <c r="N949" s="1350"/>
      <c r="O949" s="1350"/>
      <c r="P949" s="1354"/>
      <c r="Q949" s="1355"/>
      <c r="R949" s="1355"/>
      <c r="S949" s="1350"/>
      <c r="T949" s="1349"/>
      <c r="U949" s="1348"/>
      <c r="V949" s="1348"/>
      <c r="W949" s="1349"/>
      <c r="X949" s="1350"/>
      <c r="Y949" s="1350"/>
      <c r="Z949" s="1349"/>
      <c r="AA949" s="1351"/>
      <c r="AB949" s="1350"/>
      <c r="AC949" s="1350"/>
      <c r="AD949" s="1350"/>
      <c r="AE949" s="1350"/>
      <c r="AF949" s="1350"/>
      <c r="AG949" s="1350"/>
      <c r="AH949" s="1350"/>
      <c r="AI949" s="1350"/>
      <c r="AJ949" s="1350"/>
      <c r="AK949" s="1350"/>
    </row>
    <row r="950">
      <c r="A950" s="1350"/>
      <c r="B950" s="1350"/>
      <c r="C950" s="1350"/>
      <c r="D950" s="1350"/>
      <c r="E950" s="1350"/>
      <c r="F950" s="1350"/>
      <c r="G950" s="1350"/>
      <c r="H950" s="1350"/>
      <c r="I950" s="1350"/>
      <c r="J950" s="1350"/>
      <c r="K950" s="1350"/>
      <c r="L950" s="1350"/>
      <c r="M950" s="1350"/>
      <c r="N950" s="1350"/>
      <c r="O950" s="1350"/>
      <c r="P950" s="1354"/>
      <c r="Q950" s="1355"/>
      <c r="R950" s="1355"/>
      <c r="S950" s="1350"/>
      <c r="T950" s="1349"/>
      <c r="U950" s="1348"/>
      <c r="V950" s="1348"/>
      <c r="W950" s="1349"/>
      <c r="X950" s="1350"/>
      <c r="Y950" s="1350"/>
      <c r="Z950" s="1349"/>
      <c r="AA950" s="1351"/>
      <c r="AB950" s="1350"/>
      <c r="AC950" s="1350"/>
      <c r="AD950" s="1350"/>
      <c r="AE950" s="1350"/>
      <c r="AF950" s="1350"/>
      <c r="AG950" s="1350"/>
      <c r="AH950" s="1350"/>
      <c r="AI950" s="1350"/>
      <c r="AJ950" s="1350"/>
      <c r="AK950" s="1350"/>
    </row>
    <row r="951">
      <c r="A951" s="1350"/>
      <c r="B951" s="1350"/>
      <c r="C951" s="1350"/>
      <c r="D951" s="1350"/>
      <c r="E951" s="1350"/>
      <c r="F951" s="1350"/>
      <c r="G951" s="1350"/>
      <c r="H951" s="1350"/>
      <c r="I951" s="1350"/>
      <c r="J951" s="1350"/>
      <c r="K951" s="1350"/>
      <c r="L951" s="1350"/>
      <c r="M951" s="1350"/>
      <c r="N951" s="1350"/>
      <c r="O951" s="1350"/>
      <c r="P951" s="1354"/>
      <c r="Q951" s="1355"/>
      <c r="R951" s="1355"/>
      <c r="S951" s="1350"/>
      <c r="T951" s="1349"/>
      <c r="U951" s="1348"/>
      <c r="V951" s="1348"/>
      <c r="W951" s="1349"/>
      <c r="X951" s="1350"/>
      <c r="Y951" s="1350"/>
      <c r="Z951" s="1349"/>
      <c r="AA951" s="1351"/>
      <c r="AB951" s="1350"/>
      <c r="AC951" s="1350"/>
      <c r="AD951" s="1350"/>
      <c r="AE951" s="1350"/>
      <c r="AF951" s="1350"/>
      <c r="AG951" s="1350"/>
      <c r="AH951" s="1350"/>
      <c r="AI951" s="1350"/>
      <c r="AJ951" s="1350"/>
      <c r="AK951" s="1350"/>
    </row>
    <row r="952">
      <c r="A952" s="1350"/>
      <c r="B952" s="1350"/>
      <c r="C952" s="1350"/>
      <c r="D952" s="1350"/>
      <c r="E952" s="1350"/>
      <c r="F952" s="1350"/>
      <c r="G952" s="1350"/>
      <c r="H952" s="1350"/>
      <c r="I952" s="1350"/>
      <c r="J952" s="1350"/>
      <c r="K952" s="1350"/>
      <c r="L952" s="1350"/>
      <c r="M952" s="1350"/>
      <c r="N952" s="1350"/>
      <c r="O952" s="1350"/>
      <c r="P952" s="1354"/>
      <c r="Q952" s="1355"/>
      <c r="R952" s="1355"/>
      <c r="S952" s="1350"/>
      <c r="T952" s="1349"/>
      <c r="U952" s="1348"/>
      <c r="V952" s="1348"/>
      <c r="W952" s="1349"/>
      <c r="X952" s="1350"/>
      <c r="Y952" s="1350"/>
      <c r="Z952" s="1349"/>
      <c r="AA952" s="1351"/>
      <c r="AB952" s="1350"/>
      <c r="AC952" s="1350"/>
      <c r="AD952" s="1350"/>
      <c r="AE952" s="1350"/>
      <c r="AF952" s="1350"/>
      <c r="AG952" s="1350"/>
      <c r="AH952" s="1350"/>
      <c r="AI952" s="1350"/>
      <c r="AJ952" s="1350"/>
      <c r="AK952" s="1350"/>
    </row>
    <row r="953">
      <c r="A953" s="1350"/>
      <c r="B953" s="1350"/>
      <c r="C953" s="1350"/>
      <c r="D953" s="1350"/>
      <c r="E953" s="1350"/>
      <c r="F953" s="1350"/>
      <c r="G953" s="1350"/>
      <c r="H953" s="1350"/>
      <c r="I953" s="1350"/>
      <c r="J953" s="1350"/>
      <c r="K953" s="1350"/>
      <c r="L953" s="1350"/>
      <c r="M953" s="1350"/>
      <c r="N953" s="1350"/>
      <c r="O953" s="1350"/>
      <c r="P953" s="1354"/>
      <c r="Q953" s="1355"/>
      <c r="R953" s="1355"/>
      <c r="S953" s="1350"/>
      <c r="T953" s="1349"/>
      <c r="U953" s="1348"/>
      <c r="V953" s="1348"/>
      <c r="W953" s="1349"/>
      <c r="X953" s="1350"/>
      <c r="Y953" s="1350"/>
      <c r="Z953" s="1349"/>
      <c r="AA953" s="1351"/>
      <c r="AB953" s="1350"/>
      <c r="AC953" s="1350"/>
      <c r="AD953" s="1350"/>
      <c r="AE953" s="1350"/>
      <c r="AF953" s="1350"/>
      <c r="AG953" s="1350"/>
      <c r="AH953" s="1350"/>
      <c r="AI953" s="1350"/>
      <c r="AJ953" s="1350"/>
      <c r="AK953" s="1350"/>
    </row>
    <row r="954">
      <c r="A954" s="1350"/>
      <c r="B954" s="1350"/>
      <c r="C954" s="1350"/>
      <c r="D954" s="1350"/>
      <c r="E954" s="1350"/>
      <c r="F954" s="1350"/>
      <c r="G954" s="1350"/>
      <c r="H954" s="1350"/>
      <c r="I954" s="1350"/>
      <c r="J954" s="1350"/>
      <c r="K954" s="1350"/>
      <c r="L954" s="1350"/>
      <c r="M954" s="1350"/>
      <c r="N954" s="1350"/>
      <c r="O954" s="1350"/>
      <c r="P954" s="1354"/>
      <c r="Q954" s="1355"/>
      <c r="R954" s="1355"/>
      <c r="S954" s="1350"/>
      <c r="T954" s="1349"/>
      <c r="U954" s="1348"/>
      <c r="V954" s="1348"/>
      <c r="W954" s="1349"/>
      <c r="X954" s="1350"/>
      <c r="Y954" s="1350"/>
      <c r="Z954" s="1349"/>
      <c r="AA954" s="1351"/>
      <c r="AB954" s="1350"/>
      <c r="AC954" s="1350"/>
      <c r="AD954" s="1350"/>
      <c r="AE954" s="1350"/>
      <c r="AF954" s="1350"/>
      <c r="AG954" s="1350"/>
      <c r="AH954" s="1350"/>
      <c r="AI954" s="1350"/>
      <c r="AJ954" s="1350"/>
      <c r="AK954" s="1350"/>
    </row>
    <row r="955">
      <c r="A955" s="1350"/>
      <c r="B955" s="1350"/>
      <c r="C955" s="1350"/>
      <c r="D955" s="1350"/>
      <c r="E955" s="1350"/>
      <c r="F955" s="1350"/>
      <c r="G955" s="1350"/>
      <c r="H955" s="1350"/>
      <c r="I955" s="1350"/>
      <c r="J955" s="1350"/>
      <c r="K955" s="1350"/>
      <c r="L955" s="1350"/>
      <c r="M955" s="1350"/>
      <c r="N955" s="1350"/>
      <c r="O955" s="1350"/>
      <c r="P955" s="1354"/>
      <c r="Q955" s="1355"/>
      <c r="R955" s="1355"/>
      <c r="S955" s="1350"/>
      <c r="T955" s="1349"/>
      <c r="U955" s="1348"/>
      <c r="V955" s="1348"/>
      <c r="W955" s="1349"/>
      <c r="X955" s="1350"/>
      <c r="Y955" s="1350"/>
      <c r="Z955" s="1349"/>
      <c r="AA955" s="1351"/>
      <c r="AB955" s="1350"/>
      <c r="AC955" s="1350"/>
      <c r="AD955" s="1350"/>
      <c r="AE955" s="1350"/>
      <c r="AF955" s="1350"/>
      <c r="AG955" s="1350"/>
      <c r="AH955" s="1350"/>
      <c r="AI955" s="1350"/>
      <c r="AJ955" s="1350"/>
      <c r="AK955" s="1350"/>
    </row>
    <row r="956">
      <c r="A956" s="1350"/>
      <c r="B956" s="1350"/>
      <c r="C956" s="1350"/>
      <c r="D956" s="1350"/>
      <c r="E956" s="1350"/>
      <c r="F956" s="1350"/>
      <c r="G956" s="1350"/>
      <c r="H956" s="1350"/>
      <c r="I956" s="1350"/>
      <c r="J956" s="1350"/>
      <c r="K956" s="1350"/>
      <c r="L956" s="1350"/>
      <c r="M956" s="1350"/>
      <c r="N956" s="1350"/>
      <c r="O956" s="1350"/>
      <c r="P956" s="1354"/>
      <c r="Q956" s="1355"/>
      <c r="R956" s="1355"/>
      <c r="S956" s="1350"/>
      <c r="T956" s="1349"/>
      <c r="U956" s="1348"/>
      <c r="V956" s="1348"/>
      <c r="W956" s="1349"/>
      <c r="X956" s="1350"/>
      <c r="Y956" s="1350"/>
      <c r="Z956" s="1349"/>
      <c r="AA956" s="1351"/>
      <c r="AB956" s="1350"/>
      <c r="AC956" s="1350"/>
      <c r="AD956" s="1350"/>
      <c r="AE956" s="1350"/>
      <c r="AF956" s="1350"/>
      <c r="AG956" s="1350"/>
      <c r="AH956" s="1350"/>
      <c r="AI956" s="1350"/>
      <c r="AJ956" s="1350"/>
      <c r="AK956" s="1350"/>
    </row>
    <row r="957">
      <c r="A957" s="1350"/>
      <c r="B957" s="1350"/>
      <c r="C957" s="1350"/>
      <c r="D957" s="1350"/>
      <c r="E957" s="1350"/>
      <c r="F957" s="1350"/>
      <c r="G957" s="1350"/>
      <c r="H957" s="1350"/>
      <c r="I957" s="1350"/>
      <c r="J957" s="1350"/>
      <c r="K957" s="1350"/>
      <c r="L957" s="1350"/>
      <c r="M957" s="1350"/>
      <c r="N957" s="1350"/>
      <c r="O957" s="1350"/>
      <c r="P957" s="1354"/>
      <c r="Q957" s="1355"/>
      <c r="R957" s="1355"/>
      <c r="S957" s="1350"/>
      <c r="T957" s="1349"/>
      <c r="U957" s="1348"/>
      <c r="V957" s="1348"/>
      <c r="W957" s="1349"/>
      <c r="X957" s="1350"/>
      <c r="Y957" s="1350"/>
      <c r="Z957" s="1349"/>
      <c r="AA957" s="1351"/>
      <c r="AB957" s="1350"/>
      <c r="AC957" s="1350"/>
      <c r="AD957" s="1350"/>
      <c r="AE957" s="1350"/>
      <c r="AF957" s="1350"/>
      <c r="AG957" s="1350"/>
      <c r="AH957" s="1350"/>
      <c r="AI957" s="1350"/>
      <c r="AJ957" s="1350"/>
      <c r="AK957" s="1350"/>
    </row>
    <row r="958">
      <c r="A958" s="1350"/>
      <c r="B958" s="1350"/>
      <c r="C958" s="1350"/>
      <c r="D958" s="1350"/>
      <c r="E958" s="1350"/>
      <c r="F958" s="1350"/>
      <c r="G958" s="1350"/>
      <c r="H958" s="1350"/>
      <c r="I958" s="1350"/>
      <c r="J958" s="1350"/>
      <c r="K958" s="1350"/>
      <c r="L958" s="1350"/>
      <c r="M958" s="1350"/>
      <c r="N958" s="1350"/>
      <c r="O958" s="1350"/>
      <c r="P958" s="1354"/>
      <c r="Q958" s="1355"/>
      <c r="R958" s="1355"/>
      <c r="S958" s="1350"/>
      <c r="T958" s="1349"/>
      <c r="U958" s="1348"/>
      <c r="V958" s="1348"/>
      <c r="W958" s="1349"/>
      <c r="X958" s="1350"/>
      <c r="Y958" s="1350"/>
      <c r="Z958" s="1349"/>
      <c r="AA958" s="1351"/>
      <c r="AB958" s="1350"/>
      <c r="AC958" s="1350"/>
      <c r="AD958" s="1350"/>
      <c r="AE958" s="1350"/>
      <c r="AF958" s="1350"/>
      <c r="AG958" s="1350"/>
      <c r="AH958" s="1350"/>
      <c r="AI958" s="1350"/>
      <c r="AJ958" s="1350"/>
      <c r="AK958" s="1350"/>
    </row>
    <row r="959">
      <c r="A959" s="1350"/>
      <c r="B959" s="1350"/>
      <c r="C959" s="1350"/>
      <c r="D959" s="1350"/>
      <c r="E959" s="1350"/>
      <c r="F959" s="1350"/>
      <c r="G959" s="1350"/>
      <c r="H959" s="1350"/>
      <c r="I959" s="1350"/>
      <c r="J959" s="1350"/>
      <c r="K959" s="1350"/>
      <c r="L959" s="1350"/>
      <c r="M959" s="1350"/>
      <c r="N959" s="1350"/>
      <c r="O959" s="1350"/>
      <c r="P959" s="1354"/>
      <c r="Q959" s="1355"/>
      <c r="R959" s="1355"/>
      <c r="S959" s="1350"/>
      <c r="T959" s="1349"/>
      <c r="U959" s="1348"/>
      <c r="V959" s="1348"/>
      <c r="W959" s="1349"/>
      <c r="X959" s="1350"/>
      <c r="Y959" s="1350"/>
      <c r="Z959" s="1349"/>
      <c r="AA959" s="1351"/>
      <c r="AB959" s="1350"/>
      <c r="AC959" s="1350"/>
      <c r="AD959" s="1350"/>
      <c r="AE959" s="1350"/>
      <c r="AF959" s="1350"/>
      <c r="AG959" s="1350"/>
      <c r="AH959" s="1350"/>
      <c r="AI959" s="1350"/>
      <c r="AJ959" s="1350"/>
      <c r="AK959" s="1350"/>
    </row>
    <row r="960">
      <c r="A960" s="1350"/>
      <c r="B960" s="1350"/>
      <c r="C960" s="1350"/>
      <c r="D960" s="1350"/>
      <c r="E960" s="1350"/>
      <c r="F960" s="1350"/>
      <c r="G960" s="1350"/>
      <c r="H960" s="1350"/>
      <c r="I960" s="1350"/>
      <c r="J960" s="1350"/>
      <c r="K960" s="1350"/>
      <c r="L960" s="1350"/>
      <c r="M960" s="1350"/>
      <c r="N960" s="1350"/>
      <c r="O960" s="1350"/>
      <c r="P960" s="1354"/>
      <c r="Q960" s="1355"/>
      <c r="R960" s="1355"/>
      <c r="S960" s="1350"/>
      <c r="T960" s="1349"/>
      <c r="U960" s="1348"/>
      <c r="V960" s="1348"/>
      <c r="W960" s="1349"/>
      <c r="X960" s="1350"/>
      <c r="Y960" s="1350"/>
      <c r="Z960" s="1349"/>
      <c r="AA960" s="1351"/>
      <c r="AB960" s="1350"/>
      <c r="AC960" s="1350"/>
      <c r="AD960" s="1350"/>
      <c r="AE960" s="1350"/>
      <c r="AF960" s="1350"/>
      <c r="AG960" s="1350"/>
      <c r="AH960" s="1350"/>
      <c r="AI960" s="1350"/>
      <c r="AJ960" s="1350"/>
      <c r="AK960" s="1350"/>
    </row>
    <row r="961">
      <c r="A961" s="1350"/>
      <c r="B961" s="1350"/>
      <c r="C961" s="1350"/>
      <c r="D961" s="1350"/>
      <c r="E961" s="1350"/>
      <c r="F961" s="1350"/>
      <c r="G961" s="1350"/>
      <c r="H961" s="1350"/>
      <c r="I961" s="1350"/>
      <c r="J961" s="1350"/>
      <c r="K961" s="1350"/>
      <c r="L961" s="1350"/>
      <c r="M961" s="1350"/>
      <c r="N961" s="1350"/>
      <c r="O961" s="1350"/>
      <c r="P961" s="1354"/>
      <c r="Q961" s="1355"/>
      <c r="R961" s="1355"/>
      <c r="S961" s="1350"/>
      <c r="T961" s="1349"/>
      <c r="U961" s="1348"/>
      <c r="V961" s="1348"/>
      <c r="W961" s="1349"/>
      <c r="X961" s="1350"/>
      <c r="Y961" s="1350"/>
      <c r="Z961" s="1349"/>
      <c r="AA961" s="1351"/>
      <c r="AB961" s="1350"/>
      <c r="AC961" s="1350"/>
      <c r="AD961" s="1350"/>
      <c r="AE961" s="1350"/>
      <c r="AF961" s="1350"/>
      <c r="AG961" s="1350"/>
      <c r="AH961" s="1350"/>
      <c r="AI961" s="1350"/>
      <c r="AJ961" s="1350"/>
      <c r="AK961" s="1350"/>
    </row>
    <row r="962">
      <c r="A962" s="1350"/>
      <c r="B962" s="1350"/>
      <c r="C962" s="1350"/>
      <c r="D962" s="1350"/>
      <c r="E962" s="1350"/>
      <c r="F962" s="1350"/>
      <c r="G962" s="1350"/>
      <c r="H962" s="1350"/>
      <c r="I962" s="1350"/>
      <c r="J962" s="1350"/>
      <c r="K962" s="1350"/>
      <c r="L962" s="1350"/>
      <c r="M962" s="1350"/>
      <c r="N962" s="1350"/>
      <c r="O962" s="1350"/>
      <c r="P962" s="1354"/>
      <c r="Q962" s="1355"/>
      <c r="R962" s="1355"/>
      <c r="S962" s="1350"/>
      <c r="T962" s="1349"/>
      <c r="U962" s="1348"/>
      <c r="V962" s="1348"/>
      <c r="W962" s="1349"/>
      <c r="X962" s="1350"/>
      <c r="Y962" s="1350"/>
      <c r="Z962" s="1349"/>
      <c r="AA962" s="1351"/>
      <c r="AB962" s="1350"/>
      <c r="AC962" s="1350"/>
      <c r="AD962" s="1350"/>
      <c r="AE962" s="1350"/>
      <c r="AF962" s="1350"/>
      <c r="AG962" s="1350"/>
      <c r="AH962" s="1350"/>
      <c r="AI962" s="1350"/>
      <c r="AJ962" s="1350"/>
      <c r="AK962" s="1350"/>
    </row>
    <row r="963">
      <c r="A963" s="1350"/>
      <c r="B963" s="1350"/>
      <c r="C963" s="1350"/>
      <c r="D963" s="1350"/>
      <c r="E963" s="1350"/>
      <c r="F963" s="1350"/>
      <c r="G963" s="1350"/>
      <c r="H963" s="1350"/>
      <c r="I963" s="1350"/>
      <c r="J963" s="1350"/>
      <c r="K963" s="1350"/>
      <c r="L963" s="1350"/>
      <c r="M963" s="1350"/>
      <c r="N963" s="1350"/>
      <c r="O963" s="1350"/>
      <c r="P963" s="1354"/>
      <c r="Q963" s="1355"/>
      <c r="R963" s="1355"/>
      <c r="S963" s="1350"/>
      <c r="T963" s="1349"/>
      <c r="U963" s="1348"/>
      <c r="V963" s="1348"/>
      <c r="W963" s="1349"/>
      <c r="X963" s="1350"/>
      <c r="Y963" s="1350"/>
      <c r="Z963" s="1349"/>
      <c r="AA963" s="1351"/>
      <c r="AB963" s="1350"/>
      <c r="AC963" s="1350"/>
      <c r="AD963" s="1350"/>
      <c r="AE963" s="1350"/>
      <c r="AF963" s="1350"/>
      <c r="AG963" s="1350"/>
      <c r="AH963" s="1350"/>
      <c r="AI963" s="1350"/>
      <c r="AJ963" s="1350"/>
      <c r="AK963" s="1350"/>
    </row>
    <row r="964">
      <c r="A964" s="1350"/>
      <c r="B964" s="1350"/>
      <c r="C964" s="1350"/>
      <c r="D964" s="1350"/>
      <c r="E964" s="1350"/>
      <c r="F964" s="1350"/>
      <c r="G964" s="1350"/>
      <c r="H964" s="1350"/>
      <c r="I964" s="1350"/>
      <c r="J964" s="1350"/>
      <c r="K964" s="1350"/>
      <c r="L964" s="1350"/>
      <c r="M964" s="1350"/>
      <c r="N964" s="1350"/>
      <c r="O964" s="1350"/>
      <c r="P964" s="1354"/>
      <c r="Q964" s="1355"/>
      <c r="R964" s="1355"/>
      <c r="S964" s="1350"/>
      <c r="T964" s="1349"/>
      <c r="U964" s="1348"/>
      <c r="V964" s="1348"/>
      <c r="W964" s="1349"/>
      <c r="X964" s="1350"/>
      <c r="Y964" s="1350"/>
      <c r="Z964" s="1349"/>
      <c r="AA964" s="1351"/>
      <c r="AB964" s="1350"/>
      <c r="AC964" s="1350"/>
      <c r="AD964" s="1350"/>
      <c r="AE964" s="1350"/>
      <c r="AF964" s="1350"/>
      <c r="AG964" s="1350"/>
      <c r="AH964" s="1350"/>
      <c r="AI964" s="1350"/>
      <c r="AJ964" s="1350"/>
      <c r="AK964" s="1350"/>
    </row>
    <row r="965">
      <c r="A965" s="1350"/>
      <c r="B965" s="1350"/>
      <c r="C965" s="1350"/>
      <c r="D965" s="1350"/>
      <c r="E965" s="1350"/>
      <c r="F965" s="1350"/>
      <c r="G965" s="1350"/>
      <c r="H965" s="1350"/>
      <c r="I965" s="1350"/>
      <c r="J965" s="1350"/>
      <c r="K965" s="1350"/>
      <c r="L965" s="1350"/>
      <c r="M965" s="1350"/>
      <c r="N965" s="1350"/>
      <c r="O965" s="1350"/>
      <c r="P965" s="1354"/>
      <c r="Q965" s="1355"/>
      <c r="R965" s="1355"/>
      <c r="S965" s="1350"/>
      <c r="T965" s="1349"/>
      <c r="U965" s="1348"/>
      <c r="V965" s="1348"/>
      <c r="W965" s="1349"/>
      <c r="X965" s="1350"/>
      <c r="Y965" s="1350"/>
      <c r="Z965" s="1349"/>
      <c r="AA965" s="1351"/>
      <c r="AB965" s="1350"/>
      <c r="AC965" s="1350"/>
      <c r="AD965" s="1350"/>
      <c r="AE965" s="1350"/>
      <c r="AF965" s="1350"/>
      <c r="AG965" s="1350"/>
      <c r="AH965" s="1350"/>
      <c r="AI965" s="1350"/>
      <c r="AJ965" s="1350"/>
      <c r="AK965" s="1350"/>
    </row>
    <row r="966">
      <c r="A966" s="1350"/>
      <c r="B966" s="1350"/>
      <c r="C966" s="1350"/>
      <c r="D966" s="1350"/>
      <c r="E966" s="1350"/>
      <c r="F966" s="1350"/>
      <c r="G966" s="1350"/>
      <c r="H966" s="1350"/>
      <c r="I966" s="1350"/>
      <c r="J966" s="1350"/>
      <c r="K966" s="1350"/>
      <c r="L966" s="1350"/>
      <c r="M966" s="1350"/>
      <c r="N966" s="1350"/>
      <c r="O966" s="1350"/>
      <c r="P966" s="1354"/>
      <c r="Q966" s="1355"/>
      <c r="R966" s="1355"/>
      <c r="S966" s="1350"/>
      <c r="T966" s="1349"/>
      <c r="U966" s="1348"/>
      <c r="V966" s="1348"/>
      <c r="W966" s="1349"/>
      <c r="X966" s="1350"/>
      <c r="Y966" s="1350"/>
      <c r="Z966" s="1349"/>
      <c r="AA966" s="1351"/>
      <c r="AB966" s="1350"/>
      <c r="AC966" s="1350"/>
      <c r="AD966" s="1350"/>
      <c r="AE966" s="1350"/>
      <c r="AF966" s="1350"/>
      <c r="AG966" s="1350"/>
      <c r="AH966" s="1350"/>
      <c r="AI966" s="1350"/>
      <c r="AJ966" s="1350"/>
      <c r="AK966" s="1350"/>
    </row>
    <row r="967">
      <c r="A967" s="1350"/>
      <c r="B967" s="1350"/>
      <c r="C967" s="1350"/>
      <c r="D967" s="1350"/>
      <c r="E967" s="1350"/>
      <c r="F967" s="1350"/>
      <c r="G967" s="1350"/>
      <c r="H967" s="1350"/>
      <c r="I967" s="1350"/>
      <c r="J967" s="1350"/>
      <c r="K967" s="1350"/>
      <c r="L967" s="1350"/>
      <c r="M967" s="1350"/>
      <c r="N967" s="1350"/>
      <c r="O967" s="1350"/>
      <c r="P967" s="1354"/>
      <c r="Q967" s="1355"/>
      <c r="R967" s="1355"/>
      <c r="S967" s="1350"/>
      <c r="T967" s="1349"/>
      <c r="U967" s="1348"/>
      <c r="V967" s="1348"/>
      <c r="W967" s="1349"/>
      <c r="X967" s="1350"/>
      <c r="Y967" s="1350"/>
      <c r="Z967" s="1349"/>
      <c r="AA967" s="1351"/>
      <c r="AB967" s="1350"/>
      <c r="AC967" s="1350"/>
      <c r="AD967" s="1350"/>
      <c r="AE967" s="1350"/>
      <c r="AF967" s="1350"/>
      <c r="AG967" s="1350"/>
      <c r="AH967" s="1350"/>
      <c r="AI967" s="1350"/>
      <c r="AJ967" s="1350"/>
      <c r="AK967" s="1350"/>
    </row>
    <row r="968">
      <c r="A968" s="1350"/>
      <c r="B968" s="1350"/>
      <c r="C968" s="1350"/>
      <c r="D968" s="1350"/>
      <c r="E968" s="1350"/>
      <c r="F968" s="1350"/>
      <c r="G968" s="1350"/>
      <c r="H968" s="1350"/>
      <c r="I968" s="1350"/>
      <c r="J968" s="1350"/>
      <c r="K968" s="1350"/>
      <c r="L968" s="1350"/>
      <c r="M968" s="1350"/>
      <c r="N968" s="1350"/>
      <c r="O968" s="1350"/>
      <c r="P968" s="1354"/>
      <c r="Q968" s="1355"/>
      <c r="R968" s="1355"/>
      <c r="S968" s="1350"/>
      <c r="T968" s="1349"/>
      <c r="U968" s="1348"/>
      <c r="V968" s="1348"/>
      <c r="W968" s="1349"/>
      <c r="X968" s="1350"/>
      <c r="Y968" s="1350"/>
      <c r="Z968" s="1349"/>
      <c r="AA968" s="1351"/>
      <c r="AB968" s="1350"/>
      <c r="AC968" s="1350"/>
      <c r="AD968" s="1350"/>
      <c r="AE968" s="1350"/>
      <c r="AF968" s="1350"/>
      <c r="AG968" s="1350"/>
      <c r="AH968" s="1350"/>
      <c r="AI968" s="1350"/>
      <c r="AJ968" s="1350"/>
      <c r="AK968" s="1350"/>
    </row>
    <row r="969">
      <c r="A969" s="1350"/>
      <c r="B969" s="1350"/>
      <c r="C969" s="1350"/>
      <c r="D969" s="1350"/>
      <c r="E969" s="1350"/>
      <c r="F969" s="1350"/>
      <c r="G969" s="1350"/>
      <c r="H969" s="1350"/>
      <c r="I969" s="1350"/>
      <c r="J969" s="1350"/>
      <c r="K969" s="1350"/>
      <c r="L969" s="1350"/>
      <c r="M969" s="1350"/>
      <c r="N969" s="1350"/>
      <c r="O969" s="1350"/>
      <c r="P969" s="1354"/>
      <c r="Q969" s="1355"/>
      <c r="R969" s="1355"/>
      <c r="S969" s="1350"/>
      <c r="T969" s="1349"/>
      <c r="U969" s="1348"/>
      <c r="V969" s="1348"/>
      <c r="W969" s="1349"/>
      <c r="X969" s="1350"/>
      <c r="Y969" s="1350"/>
      <c r="Z969" s="1349"/>
      <c r="AA969" s="1351"/>
      <c r="AB969" s="1350"/>
      <c r="AC969" s="1350"/>
      <c r="AD969" s="1350"/>
      <c r="AE969" s="1350"/>
      <c r="AF969" s="1350"/>
      <c r="AG969" s="1350"/>
      <c r="AH969" s="1350"/>
      <c r="AI969" s="1350"/>
      <c r="AJ969" s="1350"/>
      <c r="AK969" s="1350"/>
    </row>
    <row r="970">
      <c r="A970" s="1350"/>
      <c r="B970" s="1350"/>
      <c r="C970" s="1350"/>
      <c r="D970" s="1350"/>
      <c r="E970" s="1350"/>
      <c r="F970" s="1350"/>
      <c r="G970" s="1350"/>
      <c r="H970" s="1350"/>
      <c r="I970" s="1350"/>
      <c r="J970" s="1350"/>
      <c r="K970" s="1350"/>
      <c r="L970" s="1350"/>
      <c r="M970" s="1350"/>
      <c r="N970" s="1350"/>
      <c r="O970" s="1350"/>
      <c r="P970" s="1354"/>
      <c r="Q970" s="1355"/>
      <c r="R970" s="1355"/>
      <c r="S970" s="1350"/>
      <c r="T970" s="1349"/>
      <c r="U970" s="1348"/>
      <c r="V970" s="1348"/>
      <c r="W970" s="1349"/>
      <c r="X970" s="1350"/>
      <c r="Y970" s="1350"/>
      <c r="Z970" s="1349"/>
      <c r="AA970" s="1351"/>
      <c r="AB970" s="1350"/>
      <c r="AC970" s="1350"/>
      <c r="AD970" s="1350"/>
      <c r="AE970" s="1350"/>
      <c r="AF970" s="1350"/>
      <c r="AG970" s="1350"/>
      <c r="AH970" s="1350"/>
      <c r="AI970" s="1350"/>
      <c r="AJ970" s="1350"/>
      <c r="AK970" s="1350"/>
    </row>
    <row r="971">
      <c r="A971" s="1350"/>
      <c r="B971" s="1350"/>
      <c r="C971" s="1350"/>
      <c r="D971" s="1350"/>
      <c r="E971" s="1350"/>
      <c r="F971" s="1350"/>
      <c r="G971" s="1350"/>
      <c r="H971" s="1350"/>
      <c r="I971" s="1350"/>
      <c r="J971" s="1350"/>
      <c r="K971" s="1350"/>
      <c r="L971" s="1350"/>
      <c r="M971" s="1350"/>
      <c r="N971" s="1350"/>
      <c r="O971" s="1350"/>
      <c r="P971" s="1354"/>
      <c r="Q971" s="1355"/>
      <c r="R971" s="1355"/>
      <c r="S971" s="1350"/>
      <c r="T971" s="1349"/>
      <c r="U971" s="1348"/>
      <c r="V971" s="1348"/>
      <c r="W971" s="1349"/>
      <c r="X971" s="1350"/>
      <c r="Y971" s="1350"/>
      <c r="Z971" s="1349"/>
      <c r="AA971" s="1351"/>
      <c r="AB971" s="1350"/>
      <c r="AC971" s="1350"/>
      <c r="AD971" s="1350"/>
      <c r="AE971" s="1350"/>
      <c r="AF971" s="1350"/>
      <c r="AG971" s="1350"/>
      <c r="AH971" s="1350"/>
      <c r="AI971" s="1350"/>
      <c r="AJ971" s="1350"/>
      <c r="AK971" s="1350"/>
    </row>
    <row r="972">
      <c r="A972" s="1350"/>
      <c r="B972" s="1350"/>
      <c r="C972" s="1350"/>
      <c r="D972" s="1350"/>
      <c r="E972" s="1350"/>
      <c r="F972" s="1350"/>
      <c r="G972" s="1350"/>
      <c r="H972" s="1350"/>
      <c r="I972" s="1350"/>
      <c r="J972" s="1350"/>
      <c r="K972" s="1350"/>
      <c r="L972" s="1350"/>
      <c r="M972" s="1350"/>
      <c r="N972" s="1350"/>
      <c r="O972" s="1350"/>
      <c r="P972" s="1354"/>
      <c r="Q972" s="1355"/>
      <c r="R972" s="1355"/>
      <c r="S972" s="1350"/>
      <c r="T972" s="1349"/>
      <c r="U972" s="1348"/>
      <c r="V972" s="1348"/>
      <c r="W972" s="1349"/>
      <c r="X972" s="1350"/>
      <c r="Y972" s="1350"/>
      <c r="Z972" s="1349"/>
      <c r="AA972" s="1351"/>
      <c r="AB972" s="1350"/>
      <c r="AC972" s="1350"/>
      <c r="AD972" s="1350"/>
      <c r="AE972" s="1350"/>
      <c r="AF972" s="1350"/>
      <c r="AG972" s="1350"/>
      <c r="AH972" s="1350"/>
      <c r="AI972" s="1350"/>
      <c r="AJ972" s="1350"/>
      <c r="AK972" s="1350"/>
    </row>
    <row r="973">
      <c r="A973" s="1350"/>
      <c r="B973" s="1350"/>
      <c r="C973" s="1350"/>
      <c r="D973" s="1350"/>
      <c r="E973" s="1350"/>
      <c r="F973" s="1350"/>
      <c r="G973" s="1350"/>
      <c r="H973" s="1350"/>
      <c r="I973" s="1350"/>
      <c r="J973" s="1350"/>
      <c r="K973" s="1350"/>
      <c r="L973" s="1350"/>
      <c r="M973" s="1350"/>
      <c r="N973" s="1350"/>
      <c r="O973" s="1350"/>
      <c r="P973" s="1354"/>
      <c r="Q973" s="1355"/>
      <c r="R973" s="1355"/>
      <c r="S973" s="1350"/>
      <c r="T973" s="1349"/>
      <c r="U973" s="1348"/>
      <c r="V973" s="1348"/>
      <c r="W973" s="1349"/>
      <c r="X973" s="1350"/>
      <c r="Y973" s="1350"/>
      <c r="Z973" s="1349"/>
      <c r="AA973" s="1351"/>
      <c r="AB973" s="1350"/>
      <c r="AC973" s="1350"/>
      <c r="AD973" s="1350"/>
      <c r="AE973" s="1350"/>
      <c r="AF973" s="1350"/>
      <c r="AG973" s="1350"/>
      <c r="AH973" s="1350"/>
      <c r="AI973" s="1350"/>
      <c r="AJ973" s="1350"/>
      <c r="AK973" s="1350"/>
    </row>
    <row r="974">
      <c r="A974" s="1350"/>
      <c r="B974" s="1350"/>
      <c r="C974" s="1350"/>
      <c r="D974" s="1350"/>
      <c r="E974" s="1350"/>
      <c r="F974" s="1350"/>
      <c r="G974" s="1350"/>
      <c r="H974" s="1350"/>
      <c r="I974" s="1350"/>
      <c r="J974" s="1350"/>
      <c r="K974" s="1350"/>
      <c r="L974" s="1350"/>
      <c r="M974" s="1350"/>
      <c r="N974" s="1350"/>
      <c r="O974" s="1350"/>
      <c r="P974" s="1354"/>
      <c r="Q974" s="1355"/>
      <c r="R974" s="1355"/>
      <c r="S974" s="1350"/>
      <c r="T974" s="1349"/>
      <c r="U974" s="1348"/>
      <c r="V974" s="1348"/>
      <c r="W974" s="1349"/>
      <c r="X974" s="1350"/>
      <c r="Y974" s="1350"/>
      <c r="Z974" s="1349"/>
      <c r="AA974" s="1351"/>
      <c r="AB974" s="1350"/>
      <c r="AC974" s="1350"/>
      <c r="AD974" s="1350"/>
      <c r="AE974" s="1350"/>
      <c r="AF974" s="1350"/>
      <c r="AG974" s="1350"/>
      <c r="AH974" s="1350"/>
      <c r="AI974" s="1350"/>
      <c r="AJ974" s="1350"/>
      <c r="AK974" s="1350"/>
    </row>
    <row r="975">
      <c r="A975" s="1350"/>
      <c r="B975" s="1350"/>
      <c r="C975" s="1350"/>
      <c r="D975" s="1350"/>
      <c r="E975" s="1350"/>
      <c r="F975" s="1350"/>
      <c r="G975" s="1350"/>
      <c r="H975" s="1350"/>
      <c r="I975" s="1350"/>
      <c r="J975" s="1350"/>
      <c r="K975" s="1350"/>
      <c r="L975" s="1350"/>
      <c r="M975" s="1350"/>
      <c r="N975" s="1350"/>
      <c r="O975" s="1350"/>
      <c r="P975" s="1354"/>
      <c r="Q975" s="1355"/>
      <c r="R975" s="1355"/>
      <c r="S975" s="1350"/>
      <c r="T975" s="1349"/>
      <c r="U975" s="1348"/>
      <c r="V975" s="1348"/>
      <c r="W975" s="1349"/>
      <c r="X975" s="1350"/>
      <c r="Y975" s="1350"/>
      <c r="Z975" s="1349"/>
      <c r="AA975" s="1351"/>
      <c r="AB975" s="1350"/>
      <c r="AC975" s="1350"/>
      <c r="AD975" s="1350"/>
      <c r="AE975" s="1350"/>
      <c r="AF975" s="1350"/>
      <c r="AG975" s="1350"/>
      <c r="AH975" s="1350"/>
      <c r="AI975" s="1350"/>
      <c r="AJ975" s="1350"/>
      <c r="AK975" s="1350"/>
    </row>
    <row r="976">
      <c r="A976" s="1350"/>
      <c r="B976" s="1350"/>
      <c r="C976" s="1350"/>
      <c r="D976" s="1350"/>
      <c r="E976" s="1350"/>
      <c r="F976" s="1350"/>
      <c r="G976" s="1350"/>
      <c r="H976" s="1350"/>
      <c r="I976" s="1350"/>
      <c r="J976" s="1350"/>
      <c r="K976" s="1350"/>
      <c r="L976" s="1350"/>
      <c r="M976" s="1350"/>
      <c r="N976" s="1350"/>
      <c r="O976" s="1350"/>
      <c r="P976" s="1354"/>
      <c r="Q976" s="1355"/>
      <c r="R976" s="1355"/>
      <c r="S976" s="1350"/>
      <c r="T976" s="1349"/>
      <c r="U976" s="1348"/>
      <c r="V976" s="1348"/>
      <c r="W976" s="1349"/>
      <c r="X976" s="1350"/>
      <c r="Y976" s="1350"/>
      <c r="Z976" s="1349"/>
      <c r="AA976" s="1351"/>
      <c r="AB976" s="1350"/>
      <c r="AC976" s="1350"/>
      <c r="AD976" s="1350"/>
      <c r="AE976" s="1350"/>
      <c r="AF976" s="1350"/>
      <c r="AG976" s="1350"/>
      <c r="AH976" s="1350"/>
      <c r="AI976" s="1350"/>
      <c r="AJ976" s="1350"/>
      <c r="AK976" s="1350"/>
    </row>
    <row r="977">
      <c r="A977" s="1350"/>
      <c r="B977" s="1350"/>
      <c r="C977" s="1350"/>
      <c r="D977" s="1350"/>
      <c r="E977" s="1350"/>
      <c r="F977" s="1350"/>
      <c r="G977" s="1350"/>
      <c r="H977" s="1350"/>
      <c r="I977" s="1350"/>
      <c r="J977" s="1350"/>
      <c r="K977" s="1350"/>
      <c r="L977" s="1350"/>
      <c r="M977" s="1350"/>
      <c r="N977" s="1350"/>
      <c r="O977" s="1350"/>
      <c r="P977" s="1354"/>
      <c r="Q977" s="1355"/>
      <c r="R977" s="1355"/>
      <c r="S977" s="1350"/>
      <c r="T977" s="1349"/>
      <c r="U977" s="1348"/>
      <c r="V977" s="1348"/>
      <c r="W977" s="1349"/>
      <c r="X977" s="1350"/>
      <c r="Y977" s="1350"/>
      <c r="Z977" s="1349"/>
      <c r="AA977" s="1351"/>
      <c r="AB977" s="1350"/>
      <c r="AC977" s="1350"/>
      <c r="AD977" s="1350"/>
      <c r="AE977" s="1350"/>
      <c r="AF977" s="1350"/>
      <c r="AG977" s="1350"/>
      <c r="AH977" s="1350"/>
      <c r="AI977" s="1350"/>
      <c r="AJ977" s="1350"/>
      <c r="AK977" s="1350"/>
    </row>
    <row r="978">
      <c r="A978" s="1350"/>
      <c r="B978" s="1350"/>
      <c r="C978" s="1350"/>
      <c r="D978" s="1350"/>
      <c r="E978" s="1350"/>
      <c r="F978" s="1350"/>
      <c r="G978" s="1350"/>
      <c r="H978" s="1350"/>
      <c r="I978" s="1350"/>
      <c r="J978" s="1350"/>
      <c r="K978" s="1350"/>
      <c r="L978" s="1350"/>
      <c r="M978" s="1350"/>
      <c r="N978" s="1350"/>
      <c r="O978" s="1350"/>
      <c r="P978" s="1354"/>
      <c r="Q978" s="1355"/>
      <c r="R978" s="1355"/>
      <c r="S978" s="1350"/>
      <c r="T978" s="1349"/>
      <c r="U978" s="1348"/>
      <c r="V978" s="1348"/>
      <c r="W978" s="1349"/>
      <c r="X978" s="1350"/>
      <c r="Y978" s="1350"/>
      <c r="Z978" s="1349"/>
      <c r="AA978" s="1351"/>
      <c r="AB978" s="1350"/>
      <c r="AC978" s="1350"/>
      <c r="AD978" s="1350"/>
      <c r="AE978" s="1350"/>
      <c r="AF978" s="1350"/>
      <c r="AG978" s="1350"/>
      <c r="AH978" s="1350"/>
      <c r="AI978" s="1350"/>
      <c r="AJ978" s="1350"/>
      <c r="AK978" s="1350"/>
    </row>
    <row r="979">
      <c r="A979" s="1350"/>
      <c r="B979" s="1350"/>
      <c r="C979" s="1350"/>
      <c r="D979" s="1350"/>
      <c r="E979" s="1350"/>
      <c r="F979" s="1350"/>
      <c r="G979" s="1350"/>
      <c r="H979" s="1350"/>
      <c r="I979" s="1350"/>
      <c r="J979" s="1350"/>
      <c r="K979" s="1350"/>
      <c r="L979" s="1350"/>
      <c r="M979" s="1350"/>
      <c r="N979" s="1350"/>
      <c r="O979" s="1350"/>
      <c r="P979" s="1354"/>
      <c r="Q979" s="1355"/>
      <c r="R979" s="1355"/>
      <c r="S979" s="1350"/>
      <c r="T979" s="1349"/>
      <c r="U979" s="1348"/>
      <c r="V979" s="1348"/>
      <c r="W979" s="1349"/>
      <c r="X979" s="1350"/>
      <c r="Y979" s="1350"/>
      <c r="Z979" s="1349"/>
      <c r="AA979" s="1351"/>
      <c r="AB979" s="1350"/>
      <c r="AC979" s="1350"/>
      <c r="AD979" s="1350"/>
      <c r="AE979" s="1350"/>
      <c r="AF979" s="1350"/>
      <c r="AG979" s="1350"/>
      <c r="AH979" s="1350"/>
      <c r="AI979" s="1350"/>
      <c r="AJ979" s="1350"/>
      <c r="AK979" s="1350"/>
    </row>
    <row r="980">
      <c r="A980" s="1350"/>
      <c r="B980" s="1350"/>
      <c r="C980" s="1350"/>
      <c r="D980" s="1350"/>
      <c r="E980" s="1350"/>
      <c r="F980" s="1350"/>
      <c r="G980" s="1350"/>
      <c r="H980" s="1350"/>
      <c r="I980" s="1350"/>
      <c r="J980" s="1350"/>
      <c r="K980" s="1350"/>
      <c r="L980" s="1350"/>
      <c r="M980" s="1350"/>
      <c r="N980" s="1350"/>
      <c r="O980" s="1350"/>
      <c r="P980" s="1354"/>
      <c r="Q980" s="1355"/>
      <c r="R980" s="1355"/>
      <c r="S980" s="1350"/>
      <c r="T980" s="1349"/>
      <c r="U980" s="1348"/>
      <c r="V980" s="1348"/>
      <c r="W980" s="1349"/>
      <c r="X980" s="1350"/>
      <c r="Y980" s="1350"/>
      <c r="Z980" s="1349"/>
      <c r="AA980" s="1351"/>
      <c r="AB980" s="1350"/>
      <c r="AC980" s="1350"/>
      <c r="AD980" s="1350"/>
      <c r="AE980" s="1350"/>
      <c r="AF980" s="1350"/>
      <c r="AG980" s="1350"/>
      <c r="AH980" s="1350"/>
      <c r="AI980" s="1350"/>
      <c r="AJ980" s="1350"/>
      <c r="AK980" s="1350"/>
    </row>
    <row r="981">
      <c r="A981" s="1350"/>
      <c r="B981" s="1350"/>
      <c r="C981" s="1350"/>
      <c r="D981" s="1350"/>
      <c r="E981" s="1350"/>
      <c r="F981" s="1350"/>
      <c r="G981" s="1350"/>
      <c r="H981" s="1350"/>
      <c r="I981" s="1350"/>
      <c r="J981" s="1350"/>
      <c r="K981" s="1350"/>
      <c r="L981" s="1350"/>
      <c r="M981" s="1350"/>
      <c r="N981" s="1350"/>
      <c r="O981" s="1350"/>
      <c r="P981" s="1354"/>
      <c r="Q981" s="1355"/>
      <c r="R981" s="1355"/>
      <c r="S981" s="1350"/>
      <c r="T981" s="1349"/>
      <c r="U981" s="1348"/>
      <c r="V981" s="1348"/>
      <c r="W981" s="1349"/>
      <c r="X981" s="1350"/>
      <c r="Y981" s="1350"/>
      <c r="Z981" s="1349"/>
      <c r="AA981" s="1351"/>
      <c r="AB981" s="1350"/>
      <c r="AC981" s="1350"/>
      <c r="AD981" s="1350"/>
      <c r="AE981" s="1350"/>
      <c r="AF981" s="1350"/>
      <c r="AG981" s="1350"/>
      <c r="AH981" s="1350"/>
      <c r="AI981" s="1350"/>
      <c r="AJ981" s="1350"/>
      <c r="AK981" s="1350"/>
    </row>
    <row r="982">
      <c r="A982" s="1350"/>
      <c r="B982" s="1350"/>
      <c r="C982" s="1350"/>
      <c r="D982" s="1350"/>
      <c r="E982" s="1350"/>
      <c r="F982" s="1350"/>
      <c r="G982" s="1350"/>
      <c r="H982" s="1350"/>
      <c r="I982" s="1350"/>
      <c r="J982" s="1350"/>
      <c r="K982" s="1350"/>
      <c r="L982" s="1350"/>
      <c r="M982" s="1350"/>
      <c r="N982" s="1350"/>
      <c r="O982" s="1350"/>
      <c r="P982" s="1354"/>
      <c r="Q982" s="1355"/>
      <c r="R982" s="1355"/>
      <c r="S982" s="1350"/>
      <c r="T982" s="1349"/>
      <c r="U982" s="1348"/>
      <c r="V982" s="1348"/>
      <c r="W982" s="1349"/>
      <c r="X982" s="1350"/>
      <c r="Y982" s="1350"/>
      <c r="Z982" s="1349"/>
      <c r="AA982" s="1351"/>
      <c r="AB982" s="1350"/>
      <c r="AC982" s="1350"/>
      <c r="AD982" s="1350"/>
      <c r="AE982" s="1350"/>
      <c r="AF982" s="1350"/>
      <c r="AG982" s="1350"/>
      <c r="AH982" s="1350"/>
      <c r="AI982" s="1350"/>
      <c r="AJ982" s="1350"/>
      <c r="AK982" s="1350"/>
    </row>
    <row r="983">
      <c r="A983" s="1350"/>
      <c r="B983" s="1350"/>
      <c r="C983" s="1350"/>
      <c r="D983" s="1350"/>
      <c r="E983" s="1350"/>
      <c r="F983" s="1350"/>
      <c r="G983" s="1350"/>
      <c r="H983" s="1350"/>
      <c r="I983" s="1350"/>
      <c r="J983" s="1350"/>
      <c r="K983" s="1350"/>
      <c r="L983" s="1350"/>
      <c r="M983" s="1350"/>
      <c r="N983" s="1350"/>
      <c r="O983" s="1350"/>
      <c r="P983" s="1354"/>
      <c r="Q983" s="1355"/>
      <c r="R983" s="1355"/>
      <c r="S983" s="1350"/>
      <c r="T983" s="1349"/>
      <c r="U983" s="1348"/>
      <c r="V983" s="1348"/>
      <c r="W983" s="1349"/>
      <c r="X983" s="1350"/>
      <c r="Y983" s="1350"/>
      <c r="Z983" s="1349"/>
      <c r="AA983" s="1351"/>
      <c r="AB983" s="1350"/>
      <c r="AC983" s="1350"/>
      <c r="AD983" s="1350"/>
      <c r="AE983" s="1350"/>
      <c r="AF983" s="1350"/>
      <c r="AG983" s="1350"/>
      <c r="AH983" s="1350"/>
      <c r="AI983" s="1350"/>
      <c r="AJ983" s="1350"/>
      <c r="AK983" s="1350"/>
    </row>
    <row r="984">
      <c r="A984" s="1350"/>
      <c r="B984" s="1350"/>
      <c r="C984" s="1350"/>
      <c r="D984" s="1350"/>
      <c r="E984" s="1350"/>
      <c r="F984" s="1350"/>
      <c r="G984" s="1350"/>
      <c r="H984" s="1350"/>
      <c r="I984" s="1350"/>
      <c r="J984" s="1350"/>
      <c r="K984" s="1350"/>
      <c r="L984" s="1350"/>
      <c r="M984" s="1350"/>
      <c r="N984" s="1350"/>
      <c r="O984" s="1350"/>
      <c r="P984" s="1354"/>
      <c r="Q984" s="1355"/>
      <c r="R984" s="1355"/>
      <c r="S984" s="1350"/>
      <c r="T984" s="1349"/>
      <c r="U984" s="1348"/>
      <c r="V984" s="1348"/>
      <c r="W984" s="1349"/>
      <c r="X984" s="1350"/>
      <c r="Y984" s="1350"/>
      <c r="Z984" s="1349"/>
      <c r="AA984" s="1351"/>
      <c r="AB984" s="1350"/>
      <c r="AC984" s="1350"/>
      <c r="AD984" s="1350"/>
      <c r="AE984" s="1350"/>
      <c r="AF984" s="1350"/>
      <c r="AG984" s="1350"/>
      <c r="AH984" s="1350"/>
      <c r="AI984" s="1350"/>
      <c r="AJ984" s="1350"/>
      <c r="AK984" s="1350"/>
    </row>
    <row r="985">
      <c r="A985" s="1350"/>
      <c r="B985" s="1350"/>
      <c r="C985" s="1350"/>
      <c r="D985" s="1350"/>
      <c r="E985" s="1350"/>
      <c r="F985" s="1350"/>
      <c r="G985" s="1350"/>
      <c r="H985" s="1350"/>
      <c r="I985" s="1350"/>
      <c r="J985" s="1350"/>
      <c r="K985" s="1350"/>
      <c r="L985" s="1350"/>
      <c r="M985" s="1350"/>
      <c r="N985" s="1350"/>
      <c r="O985" s="1350"/>
      <c r="P985" s="1354"/>
      <c r="Q985" s="1355"/>
      <c r="R985" s="1355"/>
      <c r="S985" s="1350"/>
      <c r="T985" s="1349"/>
      <c r="U985" s="1348"/>
      <c r="V985" s="1348"/>
      <c r="W985" s="1349"/>
      <c r="X985" s="1350"/>
      <c r="Y985" s="1350"/>
      <c r="Z985" s="1349"/>
      <c r="AA985" s="1351"/>
      <c r="AB985" s="1350"/>
      <c r="AC985" s="1350"/>
      <c r="AD985" s="1350"/>
      <c r="AE985" s="1350"/>
      <c r="AF985" s="1350"/>
      <c r="AG985" s="1350"/>
      <c r="AH985" s="1350"/>
      <c r="AI985" s="1350"/>
      <c r="AJ985" s="1350"/>
      <c r="AK985" s="1350"/>
    </row>
    <row r="986">
      <c r="A986" s="1350"/>
      <c r="B986" s="1350"/>
      <c r="C986" s="1350"/>
      <c r="D986" s="1350"/>
      <c r="E986" s="1350"/>
      <c r="F986" s="1350"/>
      <c r="G986" s="1350"/>
      <c r="H986" s="1350"/>
      <c r="I986" s="1350"/>
      <c r="J986" s="1350"/>
      <c r="K986" s="1350"/>
      <c r="L986" s="1350"/>
      <c r="M986" s="1350"/>
      <c r="N986" s="1350"/>
      <c r="O986" s="1350"/>
      <c r="P986" s="1354"/>
      <c r="Q986" s="1355"/>
      <c r="R986" s="1355"/>
      <c r="S986" s="1350"/>
      <c r="T986" s="1349"/>
      <c r="U986" s="1348"/>
      <c r="V986" s="1348"/>
      <c r="W986" s="1349"/>
      <c r="X986" s="1350"/>
      <c r="Y986" s="1350"/>
      <c r="Z986" s="1349"/>
      <c r="AA986" s="1351"/>
      <c r="AB986" s="1350"/>
      <c r="AC986" s="1350"/>
      <c r="AD986" s="1350"/>
      <c r="AE986" s="1350"/>
      <c r="AF986" s="1350"/>
      <c r="AG986" s="1350"/>
      <c r="AH986" s="1350"/>
      <c r="AI986" s="1350"/>
      <c r="AJ986" s="1350"/>
      <c r="AK986" s="1350"/>
    </row>
    <row r="987">
      <c r="A987" s="1350"/>
      <c r="B987" s="1350"/>
      <c r="C987" s="1350"/>
      <c r="D987" s="1350"/>
      <c r="E987" s="1350"/>
      <c r="F987" s="1350"/>
      <c r="G987" s="1350"/>
      <c r="H987" s="1350"/>
      <c r="I987" s="1350"/>
      <c r="J987" s="1350"/>
      <c r="K987" s="1350"/>
      <c r="L987" s="1350"/>
      <c r="M987" s="1350"/>
      <c r="N987" s="1350"/>
      <c r="O987" s="1350"/>
      <c r="P987" s="1354"/>
      <c r="Q987" s="1355"/>
      <c r="R987" s="1355"/>
      <c r="S987" s="1350"/>
      <c r="T987" s="1349"/>
      <c r="U987" s="1348"/>
      <c r="V987" s="1348"/>
      <c r="W987" s="1349"/>
      <c r="X987" s="1350"/>
      <c r="Y987" s="1350"/>
      <c r="Z987" s="1349"/>
      <c r="AA987" s="1351"/>
      <c r="AB987" s="1350"/>
      <c r="AC987" s="1350"/>
      <c r="AD987" s="1350"/>
      <c r="AE987" s="1350"/>
      <c r="AF987" s="1350"/>
      <c r="AG987" s="1350"/>
      <c r="AH987" s="1350"/>
      <c r="AI987" s="1350"/>
      <c r="AJ987" s="1350"/>
      <c r="AK987" s="1350"/>
    </row>
    <row r="988">
      <c r="A988" s="1350"/>
      <c r="B988" s="1350"/>
      <c r="C988" s="1350"/>
      <c r="D988" s="1350"/>
      <c r="E988" s="1350"/>
      <c r="F988" s="1350"/>
      <c r="G988" s="1350"/>
      <c r="H988" s="1350"/>
      <c r="I988" s="1350"/>
      <c r="J988" s="1350"/>
      <c r="K988" s="1350"/>
      <c r="L988" s="1350"/>
      <c r="M988" s="1350"/>
      <c r="N988" s="1350"/>
      <c r="O988" s="1350"/>
      <c r="P988" s="1354"/>
      <c r="Q988" s="1355"/>
      <c r="R988" s="1355"/>
      <c r="S988" s="1350"/>
      <c r="T988" s="1349"/>
      <c r="U988" s="1348"/>
      <c r="V988" s="1348"/>
      <c r="W988" s="1349"/>
      <c r="X988" s="1350"/>
      <c r="Y988" s="1350"/>
      <c r="Z988" s="1349"/>
      <c r="AA988" s="1351"/>
      <c r="AB988" s="1350"/>
      <c r="AC988" s="1350"/>
      <c r="AD988" s="1350"/>
      <c r="AE988" s="1350"/>
      <c r="AF988" s="1350"/>
      <c r="AG988" s="1350"/>
      <c r="AH988" s="1350"/>
      <c r="AI988" s="1350"/>
      <c r="AJ988" s="1350"/>
      <c r="AK988" s="1350"/>
    </row>
    <row r="989">
      <c r="A989" s="1350"/>
      <c r="B989" s="1350"/>
      <c r="C989" s="1350"/>
      <c r="D989" s="1350"/>
      <c r="E989" s="1350"/>
      <c r="F989" s="1350"/>
      <c r="G989" s="1350"/>
      <c r="H989" s="1350"/>
      <c r="I989" s="1350"/>
      <c r="J989" s="1350"/>
      <c r="K989" s="1350"/>
      <c r="L989" s="1350"/>
      <c r="M989" s="1350"/>
      <c r="N989" s="1350"/>
      <c r="O989" s="1350"/>
      <c r="P989" s="1354"/>
      <c r="Q989" s="1355"/>
      <c r="R989" s="1355"/>
      <c r="S989" s="1350"/>
      <c r="T989" s="1349"/>
      <c r="U989" s="1348"/>
      <c r="V989" s="1348"/>
      <c r="W989" s="1349"/>
      <c r="X989" s="1350"/>
      <c r="Y989" s="1350"/>
      <c r="Z989" s="1349"/>
      <c r="AA989" s="1351"/>
      <c r="AB989" s="1350"/>
      <c r="AC989" s="1350"/>
      <c r="AD989" s="1350"/>
      <c r="AE989" s="1350"/>
      <c r="AF989" s="1350"/>
      <c r="AG989" s="1350"/>
      <c r="AH989" s="1350"/>
      <c r="AI989" s="1350"/>
      <c r="AJ989" s="1350"/>
      <c r="AK989" s="1350"/>
    </row>
    <row r="990">
      <c r="A990" s="1350"/>
      <c r="B990" s="1350"/>
      <c r="C990" s="1350"/>
      <c r="D990" s="1350"/>
      <c r="E990" s="1350"/>
      <c r="F990" s="1350"/>
      <c r="G990" s="1350"/>
      <c r="H990" s="1350"/>
      <c r="I990" s="1350"/>
      <c r="J990" s="1350"/>
      <c r="K990" s="1350"/>
      <c r="L990" s="1350"/>
      <c r="M990" s="1350"/>
      <c r="N990" s="1350"/>
      <c r="O990" s="1350"/>
      <c r="P990" s="1354"/>
      <c r="Q990" s="1355"/>
      <c r="R990" s="1355"/>
      <c r="S990" s="1350"/>
      <c r="T990" s="1349"/>
      <c r="U990" s="1348"/>
      <c r="V990" s="1348"/>
      <c r="W990" s="1349"/>
      <c r="X990" s="1350"/>
      <c r="Y990" s="1350"/>
      <c r="Z990" s="1349"/>
      <c r="AA990" s="1351"/>
      <c r="AB990" s="1350"/>
      <c r="AC990" s="1350"/>
      <c r="AD990" s="1350"/>
      <c r="AE990" s="1350"/>
      <c r="AF990" s="1350"/>
      <c r="AG990" s="1350"/>
      <c r="AH990" s="1350"/>
      <c r="AI990" s="1350"/>
      <c r="AJ990" s="1350"/>
      <c r="AK990" s="1350"/>
    </row>
    <row r="991">
      <c r="A991" s="1350"/>
      <c r="B991" s="1350"/>
      <c r="C991" s="1350"/>
      <c r="D991" s="1350"/>
      <c r="E991" s="1350"/>
      <c r="F991" s="1350"/>
      <c r="G991" s="1350"/>
      <c r="H991" s="1350"/>
      <c r="I991" s="1350"/>
      <c r="J991" s="1350"/>
      <c r="K991" s="1350"/>
      <c r="L991" s="1350"/>
      <c r="M991" s="1350"/>
      <c r="N991" s="1350"/>
      <c r="O991" s="1350"/>
      <c r="P991" s="1354"/>
      <c r="Q991" s="1355"/>
      <c r="R991" s="1355"/>
      <c r="S991" s="1350"/>
      <c r="T991" s="1349"/>
      <c r="U991" s="1348"/>
      <c r="V991" s="1348"/>
      <c r="W991" s="1349"/>
      <c r="X991" s="1350"/>
      <c r="Y991" s="1350"/>
      <c r="Z991" s="1349"/>
      <c r="AA991" s="1351"/>
      <c r="AB991" s="1350"/>
      <c r="AC991" s="1350"/>
      <c r="AD991" s="1350"/>
      <c r="AE991" s="1350"/>
      <c r="AF991" s="1350"/>
      <c r="AG991" s="1350"/>
      <c r="AH991" s="1350"/>
      <c r="AI991" s="1350"/>
      <c r="AJ991" s="1350"/>
      <c r="AK991" s="1350"/>
    </row>
    <row r="992">
      <c r="A992" s="1350"/>
      <c r="B992" s="1350"/>
      <c r="C992" s="1350"/>
      <c r="D992" s="1350"/>
      <c r="E992" s="1350"/>
      <c r="F992" s="1350"/>
      <c r="G992" s="1350"/>
      <c r="H992" s="1350"/>
      <c r="I992" s="1350"/>
      <c r="J992" s="1350"/>
      <c r="K992" s="1350"/>
      <c r="L992" s="1350"/>
      <c r="M992" s="1350"/>
      <c r="N992" s="1350"/>
      <c r="O992" s="1350"/>
      <c r="P992" s="1354"/>
      <c r="Q992" s="1355"/>
      <c r="R992" s="1355"/>
      <c r="S992" s="1350"/>
      <c r="T992" s="1349"/>
      <c r="U992" s="1348"/>
      <c r="V992" s="1348"/>
      <c r="W992" s="1349"/>
      <c r="X992" s="1350"/>
      <c r="Y992" s="1350"/>
      <c r="Z992" s="1349"/>
      <c r="AA992" s="1351"/>
      <c r="AB992" s="1350"/>
      <c r="AC992" s="1350"/>
      <c r="AD992" s="1350"/>
      <c r="AE992" s="1350"/>
      <c r="AF992" s="1350"/>
      <c r="AG992" s="1350"/>
      <c r="AH992" s="1350"/>
      <c r="AI992" s="1350"/>
      <c r="AJ992" s="1350"/>
      <c r="AK992" s="1350"/>
    </row>
    <row r="993">
      <c r="A993" s="1350"/>
      <c r="B993" s="1350"/>
      <c r="C993" s="1350"/>
      <c r="D993" s="1350"/>
      <c r="E993" s="1350"/>
      <c r="F993" s="1350"/>
      <c r="G993" s="1350"/>
      <c r="H993" s="1350"/>
      <c r="I993" s="1350"/>
      <c r="J993" s="1350"/>
      <c r="K993" s="1350"/>
      <c r="L993" s="1350"/>
      <c r="M993" s="1350"/>
      <c r="N993" s="1350"/>
      <c r="O993" s="1350"/>
      <c r="P993" s="1354"/>
      <c r="Q993" s="1355"/>
      <c r="R993" s="1355"/>
      <c r="S993" s="1350"/>
      <c r="T993" s="1349"/>
      <c r="U993" s="1348"/>
      <c r="V993" s="1348"/>
      <c r="W993" s="1349"/>
      <c r="X993" s="1350"/>
      <c r="Y993" s="1350"/>
      <c r="Z993" s="1349"/>
      <c r="AA993" s="1351"/>
      <c r="AB993" s="1350"/>
      <c r="AC993" s="1350"/>
      <c r="AD993" s="1350"/>
      <c r="AE993" s="1350"/>
      <c r="AF993" s="1350"/>
      <c r="AG993" s="1350"/>
      <c r="AH993" s="1350"/>
      <c r="AI993" s="1350"/>
      <c r="AJ993" s="1350"/>
      <c r="AK993" s="1350"/>
    </row>
    <row r="994">
      <c r="A994" s="1350"/>
      <c r="B994" s="1350"/>
      <c r="C994" s="1350"/>
      <c r="D994" s="1350"/>
      <c r="E994" s="1350"/>
      <c r="F994" s="1350"/>
      <c r="G994" s="1350"/>
      <c r="H994" s="1350"/>
      <c r="I994" s="1350"/>
      <c r="J994" s="1350"/>
      <c r="K994" s="1350"/>
      <c r="L994" s="1350"/>
      <c r="M994" s="1350"/>
      <c r="N994" s="1350"/>
      <c r="O994" s="1350"/>
      <c r="P994" s="1354"/>
      <c r="Q994" s="1355"/>
      <c r="R994" s="1355"/>
      <c r="S994" s="1350"/>
      <c r="T994" s="1349"/>
      <c r="U994" s="1348"/>
      <c r="V994" s="1348"/>
      <c r="W994" s="1349"/>
      <c r="X994" s="1350"/>
      <c r="Y994" s="1350"/>
      <c r="Z994" s="1349"/>
      <c r="AA994" s="1351"/>
      <c r="AB994" s="1350"/>
      <c r="AC994" s="1350"/>
      <c r="AD994" s="1350"/>
      <c r="AE994" s="1350"/>
      <c r="AF994" s="1350"/>
      <c r="AG994" s="1350"/>
      <c r="AH994" s="1350"/>
      <c r="AI994" s="1350"/>
      <c r="AJ994" s="1350"/>
      <c r="AK994" s="1350"/>
    </row>
    <row r="995">
      <c r="A995" s="1350"/>
      <c r="B995" s="1350"/>
      <c r="C995" s="1350"/>
      <c r="D995" s="1350"/>
      <c r="E995" s="1350"/>
      <c r="F995" s="1350"/>
      <c r="G995" s="1350"/>
      <c r="H995" s="1350"/>
      <c r="I995" s="1350"/>
      <c r="J995" s="1350"/>
      <c r="K995" s="1350"/>
      <c r="L995" s="1350"/>
      <c r="M995" s="1350"/>
      <c r="N995" s="1350"/>
      <c r="O995" s="1350"/>
      <c r="P995" s="1354"/>
      <c r="Q995" s="1355"/>
      <c r="R995" s="1355"/>
      <c r="S995" s="1350"/>
      <c r="T995" s="1349"/>
      <c r="U995" s="1348"/>
      <c r="V995" s="1348"/>
      <c r="W995" s="1349"/>
      <c r="X995" s="1350"/>
      <c r="Y995" s="1350"/>
      <c r="Z995" s="1349"/>
      <c r="AA995" s="1351"/>
      <c r="AB995" s="1350"/>
      <c r="AC995" s="1350"/>
      <c r="AD995" s="1350"/>
      <c r="AE995" s="1350"/>
      <c r="AF995" s="1350"/>
      <c r="AG995" s="1350"/>
      <c r="AH995" s="1350"/>
      <c r="AI995" s="1350"/>
      <c r="AJ995" s="1350"/>
      <c r="AK995" s="1350"/>
    </row>
    <row r="996">
      <c r="A996" s="1350"/>
      <c r="B996" s="1350"/>
      <c r="C996" s="1350"/>
      <c r="D996" s="1350"/>
      <c r="E996" s="1350"/>
      <c r="F996" s="1350"/>
      <c r="G996" s="1350"/>
      <c r="H996" s="1350"/>
      <c r="I996" s="1350"/>
      <c r="J996" s="1350"/>
      <c r="K996" s="1350"/>
      <c r="L996" s="1350"/>
      <c r="M996" s="1350"/>
      <c r="N996" s="1350"/>
      <c r="O996" s="1350"/>
      <c r="P996" s="1354"/>
      <c r="Q996" s="1355"/>
      <c r="R996" s="1355"/>
      <c r="S996" s="1350"/>
      <c r="T996" s="1349"/>
      <c r="U996" s="1348"/>
      <c r="V996" s="1348"/>
      <c r="W996" s="1349"/>
      <c r="X996" s="1350"/>
      <c r="Y996" s="1350"/>
      <c r="Z996" s="1349"/>
      <c r="AA996" s="1351"/>
      <c r="AB996" s="1350"/>
      <c r="AC996" s="1350"/>
      <c r="AD996" s="1350"/>
      <c r="AE996" s="1350"/>
      <c r="AF996" s="1350"/>
      <c r="AG996" s="1350"/>
      <c r="AH996" s="1350"/>
      <c r="AI996" s="1350"/>
      <c r="AJ996" s="1350"/>
      <c r="AK996" s="1350"/>
    </row>
    <row r="997">
      <c r="A997" s="1350"/>
      <c r="B997" s="1350"/>
      <c r="C997" s="1350"/>
      <c r="D997" s="1350"/>
      <c r="E997" s="1350"/>
      <c r="F997" s="1350"/>
      <c r="G997" s="1350"/>
      <c r="H997" s="1350"/>
      <c r="I997" s="1350"/>
      <c r="J997" s="1350"/>
      <c r="K997" s="1350"/>
      <c r="L997" s="1350"/>
      <c r="M997" s="1350"/>
      <c r="N997" s="1350"/>
      <c r="O997" s="1350"/>
      <c r="P997" s="1354"/>
      <c r="Q997" s="1355"/>
      <c r="R997" s="1355"/>
      <c r="S997" s="1350"/>
      <c r="T997" s="1349"/>
      <c r="U997" s="1348"/>
      <c r="V997" s="1348"/>
      <c r="W997" s="1349"/>
      <c r="X997" s="1350"/>
      <c r="Y997" s="1350"/>
      <c r="Z997" s="1349"/>
      <c r="AA997" s="1351"/>
      <c r="AB997" s="1350"/>
      <c r="AC997" s="1350"/>
      <c r="AD997" s="1350"/>
      <c r="AE997" s="1350"/>
      <c r="AF997" s="1350"/>
      <c r="AG997" s="1350"/>
      <c r="AH997" s="1350"/>
      <c r="AI997" s="1350"/>
      <c r="AJ997" s="1350"/>
      <c r="AK997" s="1350"/>
    </row>
    <row r="998">
      <c r="A998" s="1350"/>
      <c r="B998" s="1350"/>
      <c r="C998" s="1350"/>
      <c r="D998" s="1350"/>
      <c r="E998" s="1350"/>
      <c r="F998" s="1350"/>
      <c r="G998" s="1350"/>
      <c r="H998" s="1350"/>
      <c r="I998" s="1350"/>
      <c r="J998" s="1350"/>
      <c r="K998" s="1350"/>
      <c r="L998" s="1350"/>
      <c r="M998" s="1350"/>
      <c r="N998" s="1350"/>
      <c r="O998" s="1350"/>
      <c r="P998" s="1354"/>
      <c r="Q998" s="1355"/>
      <c r="R998" s="1355"/>
      <c r="S998" s="1350"/>
      <c r="T998" s="1349"/>
      <c r="U998" s="1348"/>
      <c r="V998" s="1348"/>
      <c r="W998" s="1349"/>
      <c r="X998" s="1350"/>
      <c r="Y998" s="1350"/>
      <c r="Z998" s="1349"/>
      <c r="AA998" s="1351"/>
      <c r="AB998" s="1350"/>
      <c r="AC998" s="1350"/>
      <c r="AD998" s="1350"/>
      <c r="AE998" s="1350"/>
      <c r="AF998" s="1350"/>
      <c r="AG998" s="1350"/>
      <c r="AH998" s="1350"/>
      <c r="AI998" s="1350"/>
      <c r="AJ998" s="1350"/>
      <c r="AK998" s="1350"/>
    </row>
    <row r="999">
      <c r="A999" s="1350"/>
      <c r="B999" s="1350"/>
      <c r="C999" s="1350"/>
      <c r="D999" s="1350"/>
      <c r="E999" s="1350"/>
      <c r="F999" s="1350"/>
      <c r="G999" s="1350"/>
      <c r="H999" s="1350"/>
      <c r="I999" s="1350"/>
      <c r="J999" s="1350"/>
      <c r="K999" s="1350"/>
      <c r="L999" s="1350"/>
      <c r="M999" s="1350"/>
      <c r="N999" s="1350"/>
      <c r="O999" s="1350"/>
      <c r="P999" s="1354"/>
      <c r="Q999" s="1355"/>
      <c r="R999" s="1355"/>
      <c r="S999" s="1350"/>
      <c r="T999" s="1349"/>
      <c r="U999" s="1348"/>
      <c r="V999" s="1348"/>
      <c r="W999" s="1349"/>
      <c r="X999" s="1350"/>
      <c r="Y999" s="1350"/>
      <c r="Z999" s="1349"/>
      <c r="AA999" s="1351"/>
      <c r="AB999" s="1350"/>
      <c r="AC999" s="1350"/>
      <c r="AD999" s="1350"/>
      <c r="AE999" s="1350"/>
      <c r="AF999" s="1350"/>
      <c r="AG999" s="1350"/>
      <c r="AH999" s="1350"/>
      <c r="AI999" s="1350"/>
      <c r="AJ999" s="1350"/>
      <c r="AK999" s="1350"/>
    </row>
    <row r="1000">
      <c r="A1000" s="1350"/>
      <c r="B1000" s="1350"/>
      <c r="C1000" s="1350"/>
      <c r="D1000" s="1350"/>
      <c r="E1000" s="1350"/>
      <c r="F1000" s="1350"/>
      <c r="G1000" s="1350"/>
      <c r="H1000" s="1350"/>
      <c r="I1000" s="1350"/>
      <c r="J1000" s="1350"/>
      <c r="K1000" s="1350"/>
      <c r="L1000" s="1350"/>
      <c r="M1000" s="1350"/>
      <c r="N1000" s="1350"/>
      <c r="O1000" s="1350"/>
      <c r="P1000" s="1354"/>
      <c r="Q1000" s="1355"/>
      <c r="R1000" s="1355"/>
      <c r="S1000" s="1350"/>
      <c r="T1000" s="1349"/>
      <c r="U1000" s="1348"/>
      <c r="V1000" s="1348"/>
      <c r="W1000" s="1349"/>
      <c r="X1000" s="1350"/>
      <c r="Y1000" s="1350"/>
      <c r="Z1000" s="1349"/>
      <c r="AA1000" s="1351"/>
      <c r="AB1000" s="1350"/>
      <c r="AC1000" s="1350"/>
      <c r="AD1000" s="1350"/>
      <c r="AE1000" s="1350"/>
      <c r="AF1000" s="1350"/>
      <c r="AG1000" s="1350"/>
      <c r="AH1000" s="1350"/>
      <c r="AI1000" s="1350"/>
      <c r="AJ1000" s="1350"/>
      <c r="AK1000" s="1350"/>
    </row>
  </sheetData>
  <mergeCells count="1">
    <mergeCell ref="AB1:AK1"/>
  </mergeCells>
  <conditionalFormatting sqref="AB1:AK1">
    <cfRule type="notContainsBlanks" dxfId="9" priority="1">
      <formula>LEN(TRIM(AB1))&gt;0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56" t="str">
        <f t="array" ref="A1:A303">'in-situ Acer outplants'!B:B</f>
        <v>Date</v>
      </c>
      <c r="B1" s="1357" t="str">
        <f t="array" ref="B1:B303">'in-situ Acer outplants'!D:D</f>
        <v>Site ID</v>
      </c>
      <c r="C1" s="1358" t="str">
        <f t="array" ref="C1:C303">'in-situ Acer outplants'!I:I</f>
        <v>Tags</v>
      </c>
      <c r="D1" s="221" t="s">
        <v>1901</v>
      </c>
      <c r="E1" s="221" t="s">
        <v>1902</v>
      </c>
      <c r="F1" s="221" t="s">
        <v>1903</v>
      </c>
      <c r="G1" s="1359" t="s">
        <v>1904</v>
      </c>
      <c r="H1" s="1360"/>
      <c r="I1" s="1361"/>
      <c r="J1" s="1361"/>
      <c r="K1" s="1361"/>
      <c r="L1" s="1362" t="s">
        <v>1905</v>
      </c>
      <c r="M1" s="1363" t="s">
        <v>1906</v>
      </c>
      <c r="N1" s="1364" t="s">
        <v>1907</v>
      </c>
      <c r="O1" s="1365"/>
      <c r="P1" s="1361" t="str">
        <f t="array" ref="P1:P633">'ex-situ Apal outplants'!B:B</f>
        <v>Date</v>
      </c>
      <c r="Q1" s="1361" t="str">
        <f t="array" ref="Q1:Q633">'ex-situ Apal outplants'!D:D</f>
        <v>Site ID</v>
      </c>
      <c r="R1" s="1361" t="str">
        <f t="array" ref="R1:R633">'ex-situ Apal outplants'!I:I</f>
        <v>Tag #'s</v>
      </c>
      <c r="S1" s="221" t="s">
        <v>1901</v>
      </c>
      <c r="T1" s="221" t="s">
        <v>1902</v>
      </c>
      <c r="U1" s="221" t="s">
        <v>1903</v>
      </c>
      <c r="V1" s="1359" t="s">
        <v>1904</v>
      </c>
      <c r="W1" s="1361"/>
      <c r="X1" s="1361"/>
      <c r="Y1" s="1361"/>
      <c r="Z1" s="1361"/>
      <c r="AA1" s="1362" t="s">
        <v>1905</v>
      </c>
      <c r="AB1" s="1363" t="s">
        <v>1906</v>
      </c>
      <c r="AC1" s="1364" t="s">
        <v>1907</v>
      </c>
      <c r="AD1" s="1365"/>
      <c r="AE1" s="1361"/>
      <c r="AF1" s="1361"/>
      <c r="AG1" s="1361"/>
    </row>
    <row r="2">
      <c r="A2" s="1356">
        <v>39575.0</v>
      </c>
      <c r="B2" s="1357" t="s">
        <v>144</v>
      </c>
      <c r="C2" s="1358" t="s">
        <v>147</v>
      </c>
      <c r="D2" s="1366">
        <f t="shared" ref="D2:D400" si="1">DATE(year(A2), month(A2)+1, day(A2))</f>
        <v>39606</v>
      </c>
      <c r="E2" s="1366">
        <f t="shared" ref="E2:E400" si="2">DATE(year(A2)+1, month(A2), day(A2))</f>
        <v>39940</v>
      </c>
      <c r="F2" s="224" t="str">
        <f>IF(AND('in-situ Acer outplants'!D:D=B2,IF(VLOOKUP(B2,'in-situ Acer outplants'!D:M,10,FALSE)&lt;&gt;0,"TRUE", "FALSE")),"Completed",DATE(year(A2), month(A2)+1, day(A2)))</f>
        <v>Completed</v>
      </c>
      <c r="G2" s="1360" t="str">
        <f>IF(AND('in-situ Acer outplants'!D:D=B2,IF(VLOOKUP(B2,'in-situ Acer outplants'!D:T,17,FALSE)&lt;&gt;0,"TRUE", "FALSE")),"Completed",DATE(year(A2)+1, month(A2), day(A2)))</f>
        <v>Completed</v>
      </c>
      <c r="H2" s="1360"/>
      <c r="I2" s="1359"/>
      <c r="J2" s="224"/>
      <c r="K2" s="1359"/>
      <c r="L2" s="1367" t="str">
        <f>TEXT(DATE(2020,MONTH(TODAY()),1),"MMMM")</f>
        <v>January</v>
      </c>
      <c r="M2" s="1368" t="str">
        <f>TEXT(DATE(2020,MONTH(TODAY())-1,1),"MMMM")</f>
        <v>December</v>
      </c>
      <c r="N2" s="1369" t="str">
        <f>TEXT(DATE(2020,MONTH(TODAY())+1,1),"MMMM")</f>
        <v>February</v>
      </c>
      <c r="O2" s="1365"/>
      <c r="P2" s="1361">
        <v>43209.0</v>
      </c>
      <c r="Q2" s="1361" t="s">
        <v>983</v>
      </c>
      <c r="R2" s="1361" t="s">
        <v>985</v>
      </c>
      <c r="S2" s="1370">
        <f t="shared" ref="S2:S200" si="3">DATE(year(P2), month(P2)+1, day(P2))</f>
        <v>43239</v>
      </c>
      <c r="T2" s="1366">
        <f t="shared" ref="T2:T200" si="4">DATE(year(P2)+1, month(P2), day(P2))</f>
        <v>43574</v>
      </c>
      <c r="U2" s="1360" t="str">
        <f>IF(AND('ex-situ Apal outplants'!D:D=Q2,IF(VLOOKUP(Q2,'ex-situ Apal outplants'!D:M,10,FALSE)&lt;&gt;0,"TRUE", "FALSE")),"Completed",DATE(year(P2), month(P2)+1, day(P2)))</f>
        <v>Completed</v>
      </c>
      <c r="V2" s="1360" t="str">
        <f>IF(AND('ex-situ Apal outplants'!D:D=Q2,IF(VLOOKUP(Q2,'ex-situ Apal outplants'!D:T,17,FALSE)&lt;&gt;0,"TRUE", "FALSE")),"Completed",DATE(year(P2)+1, month(P2), day(P2)))</f>
        <v>Completed</v>
      </c>
      <c r="W2" s="1360"/>
      <c r="X2" s="1360"/>
      <c r="Y2" s="1360"/>
      <c r="Z2" s="1360"/>
      <c r="AA2" s="1367" t="str">
        <f>TEXT(DATE(2020,MONTH(TODAY()),1),"MMMM")</f>
        <v>January</v>
      </c>
      <c r="AB2" s="1368" t="str">
        <f>TEXT(DATE(2020,MONTH(TODAY())-1,1),"MMMM")</f>
        <v>December</v>
      </c>
      <c r="AC2" s="1369" t="str">
        <f>TEXT(DATE(2020,MONTH(TODAY())+1,1),"MMMM")</f>
        <v>February</v>
      </c>
      <c r="AD2" s="1371"/>
      <c r="AE2" s="1360"/>
      <c r="AF2" s="1360"/>
      <c r="AG2" s="1360"/>
    </row>
    <row r="3">
      <c r="A3" s="1356">
        <v>39575.0</v>
      </c>
      <c r="B3" s="1357" t="s">
        <v>152</v>
      </c>
      <c r="C3" s="1358" t="s">
        <v>147</v>
      </c>
      <c r="D3" s="1366">
        <f t="shared" si="1"/>
        <v>39606</v>
      </c>
      <c r="E3" s="1366">
        <f t="shared" si="2"/>
        <v>39940</v>
      </c>
      <c r="F3" s="224" t="str">
        <f>IF(AND('in-situ Acer outplants'!D:D=B3,IF(VLOOKUP(B3,'in-situ Acer outplants'!D:M,10,FALSE)&lt;&gt;0,"TRUE", "FALSE")),"Completed",DATE(year(A3), month(A3)+1, day(A3)))</f>
        <v>Completed</v>
      </c>
      <c r="G3" s="1360" t="str">
        <f>IF(AND('in-situ Acer outplants'!D:D=B3,IF(VLOOKUP(B3,'in-situ Acer outplants'!D:T,17,FALSE)&lt;&gt;0,"TRUE", "FALSE")),"Completed",DATE(year(A3)+1, month(A3), day(A3)))</f>
        <v>Completed</v>
      </c>
      <c r="H3" s="1360"/>
      <c r="I3" s="1361"/>
      <c r="J3" s="1361"/>
      <c r="K3" s="1361"/>
      <c r="L3" s="1372"/>
      <c r="M3" s="1361"/>
      <c r="N3" s="1373"/>
      <c r="O3" s="1365"/>
      <c r="P3" s="1361">
        <v>43210.0</v>
      </c>
      <c r="Q3" s="1361" t="s">
        <v>991</v>
      </c>
      <c r="R3" s="1361" t="s">
        <v>985</v>
      </c>
      <c r="S3" s="1370">
        <f t="shared" si="3"/>
        <v>43240</v>
      </c>
      <c r="T3" s="1366">
        <f t="shared" si="4"/>
        <v>43575</v>
      </c>
      <c r="U3" s="1360" t="str">
        <f>IF(AND('ex-situ Apal outplants'!D:D=Q3,IF(VLOOKUP(Q3,'ex-situ Apal outplants'!D:M,10,FALSE)&lt;&gt;0,"TRUE", "FALSE")),"Completed",DATE(year(P3), month(P3)+1, day(P3)))</f>
        <v>Completed</v>
      </c>
      <c r="V3" s="1360" t="str">
        <f>IF(AND('ex-situ Apal outplants'!D:D=Q3,IF(VLOOKUP(Q3,'ex-situ Apal outplants'!D:T,17,FALSE)&lt;&gt;0,"TRUE", "FALSE")),"Completed",DATE(year(P3)+1, month(P3), day(P3)))</f>
        <v>Completed</v>
      </c>
      <c r="W3" s="1360"/>
      <c r="X3" s="1360"/>
      <c r="Y3" s="1360"/>
      <c r="Z3" s="1360"/>
      <c r="AA3" s="1372"/>
      <c r="AB3" s="1361"/>
      <c r="AC3" s="1373"/>
      <c r="AD3" s="1371"/>
      <c r="AE3" s="1360"/>
      <c r="AF3" s="1360"/>
      <c r="AG3" s="1360"/>
    </row>
    <row r="4">
      <c r="A4" s="1356">
        <v>39575.0</v>
      </c>
      <c r="B4" s="1357" t="s">
        <v>155</v>
      </c>
      <c r="C4" s="1358" t="s">
        <v>147</v>
      </c>
      <c r="D4" s="1366">
        <f t="shared" si="1"/>
        <v>39606</v>
      </c>
      <c r="E4" s="1366">
        <f t="shared" si="2"/>
        <v>39940</v>
      </c>
      <c r="F4" s="224" t="str">
        <f>IF(AND('in-situ Acer outplants'!D:D=B4,IF(VLOOKUP(B4,'in-situ Acer outplants'!D:M,10,FALSE)&lt;&gt;0,"TRUE", "FALSE")),"Completed",DATE(year(A4), month(A4)+1, day(A4)))</f>
        <v>Completed</v>
      </c>
      <c r="G4" s="1360" t="str">
        <f>IF(AND('in-situ Acer outplants'!D:D=B4,IF(VLOOKUP(B4,'in-situ Acer outplants'!D:T,17,FALSE)&lt;&gt;0,"TRUE", "FALSE")),"Completed",DATE(year(A4)+1, month(A4), day(A4)))</f>
        <v>Completed</v>
      </c>
      <c r="H4" s="1360"/>
      <c r="I4" s="1361"/>
      <c r="J4" s="1361"/>
      <c r="K4" s="1359"/>
      <c r="L4" s="1374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375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376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365"/>
      <c r="P4" s="1361">
        <v>43210.0</v>
      </c>
      <c r="Q4" s="1361" t="s">
        <v>992</v>
      </c>
      <c r="R4" s="1361" t="s">
        <v>985</v>
      </c>
      <c r="S4" s="1370">
        <f t="shared" si="3"/>
        <v>43240</v>
      </c>
      <c r="T4" s="1366">
        <f t="shared" si="4"/>
        <v>43575</v>
      </c>
      <c r="U4" s="1360" t="str">
        <f>IF(AND('ex-situ Apal outplants'!D:D=Q4,IF(VLOOKUP(Q4,'ex-situ Apal outplants'!D:M,10,FALSE)&lt;&gt;0,"TRUE", "FALSE")),"Completed",DATE(year(P4), month(P4)+1, day(P4)))</f>
        <v>Completed</v>
      </c>
      <c r="V4" s="1360" t="str">
        <f>IF(AND('ex-situ Apal outplants'!D:D=Q4,IF(VLOOKUP(Q4,'ex-situ Apal outplants'!D:T,17,FALSE)&lt;&gt;0,"TRUE", "FALSE")),"Completed",DATE(year(P4)+1, month(P4), day(P4)))</f>
        <v>Completed</v>
      </c>
      <c r="W4" s="1360"/>
      <c r="X4" s="1360"/>
      <c r="Y4" s="1360"/>
      <c r="Z4" s="1360"/>
      <c r="AA4" s="1374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Complete</v>
      </c>
      <c r="AB4" s="1375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376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 / WS_AP_4  T_AP_21a  T_AP_21b  T_AP_22</v>
      </c>
      <c r="AD4" s="1371"/>
      <c r="AE4" s="1360"/>
      <c r="AF4" s="1360"/>
      <c r="AG4" s="1360"/>
    </row>
    <row r="5">
      <c r="A5" s="1356">
        <v>39575.0</v>
      </c>
      <c r="B5" s="1357" t="s">
        <v>157</v>
      </c>
      <c r="C5" s="1358" t="s">
        <v>147</v>
      </c>
      <c r="D5" s="1366">
        <f t="shared" si="1"/>
        <v>39606</v>
      </c>
      <c r="E5" s="1366">
        <f t="shared" si="2"/>
        <v>39940</v>
      </c>
      <c r="F5" s="224" t="str">
        <f>IF(AND('in-situ Acer outplants'!D:D=B5,IF(VLOOKUP(B5,'in-situ Acer outplants'!D:M,10,FALSE)&lt;&gt;0,"TRUE", "FALSE")),"Completed",DATE(year(A5), month(A5)+1, day(A5)))</f>
        <v>Completed</v>
      </c>
      <c r="G5" s="1360" t="str">
        <f>IF(AND('in-situ Acer outplants'!D:D=B5,IF(VLOOKUP(B5,'in-situ Acer outplants'!D:T,17,FALSE)&lt;&gt;0,"TRUE", "FALSE")),"Completed",DATE(year(A5)+1, month(A5), day(A5)))</f>
        <v>Completed</v>
      </c>
      <c r="H5" s="1360"/>
      <c r="I5" s="1361"/>
      <c r="J5" s="1361"/>
      <c r="K5" s="1361"/>
      <c r="L5" s="1361"/>
      <c r="M5" s="1361"/>
      <c r="N5" s="1370"/>
      <c r="O5" s="1365"/>
      <c r="P5" s="1361">
        <v>43211.0</v>
      </c>
      <c r="Q5" s="1361" t="s">
        <v>993</v>
      </c>
      <c r="R5" s="1361" t="s">
        <v>985</v>
      </c>
      <c r="S5" s="1370">
        <f t="shared" si="3"/>
        <v>43241</v>
      </c>
      <c r="T5" s="1366">
        <f t="shared" si="4"/>
        <v>43576</v>
      </c>
      <c r="U5" s="1360" t="str">
        <f>IF(AND('ex-situ Apal outplants'!D:D=Q5,IF(VLOOKUP(Q5,'ex-situ Apal outplants'!D:M,10,FALSE)&lt;&gt;0,"TRUE", "FALSE")),"Completed",DATE(year(P5), month(P5)+1, day(P5)))</f>
        <v>Completed</v>
      </c>
      <c r="V5" s="1360" t="str">
        <f>IF(AND('ex-situ Apal outplants'!D:D=Q5,IF(VLOOKUP(Q5,'ex-situ Apal outplants'!D:T,17,FALSE)&lt;&gt;0,"TRUE", "FALSE")),"Completed",DATE(year(P5)+1, month(P5), day(P5)))</f>
        <v>Completed</v>
      </c>
      <c r="W5" s="1360"/>
      <c r="X5" s="1360"/>
      <c r="Y5" s="1360"/>
      <c r="Z5" s="1360"/>
      <c r="AA5" s="1360"/>
      <c r="AB5" s="1360"/>
      <c r="AC5" s="1360"/>
      <c r="AD5" s="1371"/>
      <c r="AE5" s="1360"/>
      <c r="AF5" s="1360"/>
      <c r="AG5" s="1360"/>
    </row>
    <row r="6">
      <c r="A6" s="1356">
        <v>41024.0</v>
      </c>
      <c r="B6" s="1357" t="s">
        <v>159</v>
      </c>
      <c r="C6" s="1358" t="s">
        <v>162</v>
      </c>
      <c r="D6" s="1366">
        <f t="shared" si="1"/>
        <v>41054</v>
      </c>
      <c r="E6" s="1366">
        <f t="shared" si="2"/>
        <v>41389</v>
      </c>
      <c r="F6" s="224" t="str">
        <f>IF(AND('in-situ Acer outplants'!D:D=B6,IF(VLOOKUP(B6,'in-situ Acer outplants'!D:M,10,FALSE)&lt;&gt;0,"TRUE", "FALSE")),"Completed",DATE(year(A6), month(A6)+1, day(A6)))</f>
        <v>Completed</v>
      </c>
      <c r="G6" s="1360" t="str">
        <f>IF(AND('in-situ Acer outplants'!D:D=B6,IF(VLOOKUP(B6,'in-situ Acer outplants'!D:T,17,FALSE)&lt;&gt;0,"TRUE", "FALSE")),"Completed",DATE(year(A6)+1, month(A6), day(A6)))</f>
        <v>Completed</v>
      </c>
      <c r="H6" s="1359"/>
      <c r="I6" s="1361"/>
      <c r="J6" s="1361"/>
      <c r="K6" s="1361"/>
      <c r="L6" s="1361"/>
      <c r="M6" s="1361"/>
      <c r="N6" s="1361"/>
      <c r="O6" s="1365"/>
      <c r="P6" s="1361">
        <v>43211.0</v>
      </c>
      <c r="Q6" s="1361" t="s">
        <v>994</v>
      </c>
      <c r="R6" s="1361" t="s">
        <v>985</v>
      </c>
      <c r="S6" s="1370">
        <f t="shared" si="3"/>
        <v>43241</v>
      </c>
      <c r="T6" s="1366">
        <f t="shared" si="4"/>
        <v>43576</v>
      </c>
      <c r="U6" s="1360" t="str">
        <f>IF(AND('ex-situ Apal outplants'!D:D=Q6,IF(VLOOKUP(Q6,'ex-situ Apal outplants'!D:M,10,FALSE)&lt;&gt;0,"TRUE", "FALSE")),"Completed",DATE(year(P6), month(P6)+1, day(P6)))</f>
        <v>Completed</v>
      </c>
      <c r="V6" s="1360" t="str">
        <f>IF(AND('ex-situ Apal outplants'!D:D=Q6,IF(VLOOKUP(Q6,'ex-situ Apal outplants'!D:T,17,FALSE)&lt;&gt;0,"TRUE", "FALSE")),"Completed",DATE(year(P6)+1, month(P6), day(P6)))</f>
        <v>Completed</v>
      </c>
      <c r="W6" s="1360"/>
      <c r="X6" s="1360"/>
      <c r="Y6" s="1360"/>
      <c r="Z6" s="1360"/>
      <c r="AA6" s="1360"/>
      <c r="AB6" s="1360"/>
      <c r="AC6" s="1360"/>
      <c r="AD6" s="1371"/>
      <c r="AE6" s="1360"/>
      <c r="AF6" s="1360"/>
      <c r="AG6" s="1360"/>
    </row>
    <row r="7">
      <c r="A7" s="1356">
        <v>41043.0</v>
      </c>
      <c r="B7" s="1357" t="s">
        <v>165</v>
      </c>
      <c r="C7" s="1358" t="s">
        <v>162</v>
      </c>
      <c r="D7" s="1366">
        <f t="shared" si="1"/>
        <v>41074</v>
      </c>
      <c r="E7" s="1366">
        <f t="shared" si="2"/>
        <v>41408</v>
      </c>
      <c r="F7" s="224" t="str">
        <f>IF(AND('in-situ Acer outplants'!D:D=B7,IF(VLOOKUP(B7,'in-situ Acer outplants'!D:M,10,FALSE)&lt;&gt;0,"TRUE", "FALSE")),"Completed",DATE(year(A7), month(A7)+1, day(A7)))</f>
        <v>Completed</v>
      </c>
      <c r="G7" s="1360" t="str">
        <f>IF(AND('in-situ Acer outplants'!D:D=B7,IF(VLOOKUP(B7,'in-situ Acer outplants'!D:T,17,FALSE)&lt;&gt;0,"TRUE", "FALSE")),"Completed",DATE(year(A7)+1, month(A7), day(A7)))</f>
        <v>Completed</v>
      </c>
      <c r="H7" s="1377" t="s">
        <v>1908</v>
      </c>
      <c r="I7" s="1378" t="s">
        <v>1909</v>
      </c>
      <c r="J7" s="1378">
        <v>1.0</v>
      </c>
      <c r="K7" s="1379" t="str">
        <f>IFERROR(__xludf.DUMMYFUNCTION("JOIN(""  "",IFERROR(TRANSPOSE({FILTER($B:$B, MONTH($D:$D)=J7, YEAR($D:$D)=YEAR(TODAY()),F:F&lt;&gt;""Completed"")}),""""))"),"")</f>
        <v/>
      </c>
      <c r="L7" s="1361"/>
      <c r="M7" s="1361"/>
      <c r="N7" s="1361"/>
      <c r="O7" s="1365"/>
      <c r="P7" s="1361">
        <v>43213.0</v>
      </c>
      <c r="Q7" s="1361" t="s">
        <v>995</v>
      </c>
      <c r="R7" s="1361" t="s">
        <v>985</v>
      </c>
      <c r="S7" s="1370">
        <f t="shared" si="3"/>
        <v>43243</v>
      </c>
      <c r="T7" s="1366">
        <f t="shared" si="4"/>
        <v>43578</v>
      </c>
      <c r="U7" s="1360" t="str">
        <f>IF(AND('ex-situ Apal outplants'!D:D=Q7,IF(VLOOKUP(Q7,'ex-situ Apal outplants'!D:M,10,FALSE)&lt;&gt;0,"TRUE", "FALSE")),"Completed",DATE(year(P7), month(P7)+1, day(P7)))</f>
        <v>Completed</v>
      </c>
      <c r="V7" s="1360" t="str">
        <f>IF(AND('ex-situ Apal outplants'!D:D=Q7,IF(VLOOKUP(Q7,'ex-situ Apal outplants'!D:T,17,FALSE)&lt;&gt;0,"TRUE", "FALSE")),"Completed",DATE(year(P7)+1, month(P7), day(P7)))</f>
        <v>Completed</v>
      </c>
      <c r="W7" s="1377" t="s">
        <v>1908</v>
      </c>
      <c r="X7" s="1378" t="s">
        <v>1909</v>
      </c>
      <c r="Y7" s="1378">
        <v>1.0</v>
      </c>
      <c r="Z7" s="1379" t="str">
        <f>IFERROR(__xludf.DUMMYFUNCTION("JOIN(""  "",IFERROR(TRANSPOSE({FILTER($Q:$Q, MONTH($S:$S)=Y7, YEAR($S:$S)=YEAR(TODAY()),U:U&lt;&gt;""Completed"")}),""""))"),"")</f>
        <v/>
      </c>
      <c r="AA7" s="1360"/>
      <c r="AB7" s="1360"/>
      <c r="AC7" s="1360"/>
      <c r="AD7" s="1371"/>
      <c r="AE7" s="1360"/>
      <c r="AF7" s="1360"/>
      <c r="AG7" s="1360"/>
    </row>
    <row r="8">
      <c r="A8" s="1356">
        <v>41046.0</v>
      </c>
      <c r="B8" s="1357" t="s">
        <v>169</v>
      </c>
      <c r="C8" s="1358" t="s">
        <v>162</v>
      </c>
      <c r="D8" s="1366">
        <f t="shared" si="1"/>
        <v>41077</v>
      </c>
      <c r="E8" s="1366">
        <f t="shared" si="2"/>
        <v>41411</v>
      </c>
      <c r="F8" s="224" t="str">
        <f>IF(AND('in-situ Acer outplants'!D:D=B8,IF(VLOOKUP(B8,'in-situ Acer outplants'!D:M,10,FALSE)&lt;&gt;0,"TRUE", "FALSE")),"Completed",DATE(year(A8), month(A8)+1, day(A8)))</f>
        <v>Completed</v>
      </c>
      <c r="G8" s="1360" t="str">
        <f>IF(AND('in-situ Acer outplants'!D:D=B8,IF(VLOOKUP(B8,'in-situ Acer outplants'!D:T,17,FALSE)&lt;&gt;0,"TRUE", "FALSE")),"Completed",DATE(year(A8)+1, month(A8), day(A8)))</f>
        <v>Completed</v>
      </c>
      <c r="H8" s="1380"/>
      <c r="I8" s="1359" t="s">
        <v>1910</v>
      </c>
      <c r="J8" s="1359">
        <v>2.0</v>
      </c>
      <c r="K8" s="1373" t="str">
        <f>IFERROR(__xludf.DUMMYFUNCTION("JOIN(""  "",IFERROR(TRANSPOSE({FILTER($B:$B, MONTH($D:$D)=J8, YEAR($D:$D)=YEAR(TODAY()),F:F&lt;&gt;""Completed"")}),""""))"),"")</f>
        <v/>
      </c>
      <c r="L8" s="1361"/>
      <c r="M8" s="1361"/>
      <c r="N8" s="1361"/>
      <c r="O8" s="1365"/>
      <c r="P8" s="1361">
        <v>43213.0</v>
      </c>
      <c r="Q8" s="1361" t="s">
        <v>996</v>
      </c>
      <c r="R8" s="1361" t="s">
        <v>985</v>
      </c>
      <c r="S8" s="1370">
        <f t="shared" si="3"/>
        <v>43243</v>
      </c>
      <c r="T8" s="1366">
        <f t="shared" si="4"/>
        <v>43578</v>
      </c>
      <c r="U8" s="1360" t="str">
        <f>IF(AND('ex-situ Apal outplants'!D:D=Q8,IF(VLOOKUP(Q8,'ex-situ Apal outplants'!D:M,10,FALSE)&lt;&gt;0,"TRUE", "FALSE")),"Completed",DATE(year(P8), month(P8)+1, day(P8)))</f>
        <v>Completed</v>
      </c>
      <c r="V8" s="1360" t="str">
        <f>IF(AND('ex-situ Apal outplants'!D:D=Q8,IF(VLOOKUP(Q8,'ex-situ Apal outplants'!D:T,17,FALSE)&lt;&gt;0,"TRUE", "FALSE")),"Completed",DATE(year(P8)+1, month(P8), day(P8)))</f>
        <v>Completed</v>
      </c>
      <c r="W8" s="1380"/>
      <c r="X8" s="1359" t="s">
        <v>1910</v>
      </c>
      <c r="Y8" s="1359">
        <v>2.0</v>
      </c>
      <c r="Z8" s="1373" t="str">
        <f>IFERROR(__xludf.DUMMYFUNCTION("JOIN(""  "",IFERROR(TRANSPOSE({FILTER($Q:$Q, MONTH($S:$S)=Y8, YEAR($S:$S)=YEAR(TODAY()),U:U&lt;&gt;""Completed"")}),""""))"),"")</f>
        <v/>
      </c>
      <c r="AA8" s="1360"/>
      <c r="AB8" s="1360"/>
      <c r="AC8" s="1360"/>
      <c r="AD8" s="1371"/>
      <c r="AE8" s="1360"/>
      <c r="AF8" s="1360"/>
      <c r="AG8" s="1360"/>
    </row>
    <row r="9">
      <c r="A9" s="1356">
        <v>41053.0</v>
      </c>
      <c r="B9" s="1357" t="s">
        <v>173</v>
      </c>
      <c r="C9" s="1358" t="s">
        <v>162</v>
      </c>
      <c r="D9" s="1366">
        <f t="shared" si="1"/>
        <v>41084</v>
      </c>
      <c r="E9" s="1366">
        <f t="shared" si="2"/>
        <v>41418</v>
      </c>
      <c r="F9" s="224" t="str">
        <f>IF(AND('in-situ Acer outplants'!D:D=B9,IF(VLOOKUP(B9,'in-situ Acer outplants'!D:M,10,FALSE)&lt;&gt;0,"TRUE", "FALSE")),"Completed",DATE(year(A9), month(A9)+1, day(A9)))</f>
        <v>Completed</v>
      </c>
      <c r="G9" s="1360" t="str">
        <f>IF(AND('in-situ Acer outplants'!D:D=B9,IF(VLOOKUP(B9,'in-situ Acer outplants'!D:T,17,FALSE)&lt;&gt;0,"TRUE", "FALSE")),"Completed",DATE(year(A9)+1, month(A9), day(A9)))</f>
        <v>Completed</v>
      </c>
      <c r="H9" s="1380"/>
      <c r="I9" s="1359" t="s">
        <v>1911</v>
      </c>
      <c r="J9" s="1359">
        <v>3.0</v>
      </c>
      <c r="K9" s="1373" t="str">
        <f>IFERROR(__xludf.DUMMYFUNCTION("JOIN(""  "",IFERROR(TRANSPOSE({FILTER($B:$B, MONTH($D:$D)=J9, YEAR($D:$D)=YEAR(TODAY()),F:F&lt;&gt;""Completed"")}),""""))"),"")</f>
        <v/>
      </c>
      <c r="L9" s="1361"/>
      <c r="M9" s="1361"/>
      <c r="N9" s="1361"/>
      <c r="O9" s="1365"/>
      <c r="P9" s="1361">
        <v>43215.0</v>
      </c>
      <c r="Q9" s="1361" t="s">
        <v>998</v>
      </c>
      <c r="R9" s="1361" t="s">
        <v>985</v>
      </c>
      <c r="S9" s="1370">
        <f t="shared" si="3"/>
        <v>43245</v>
      </c>
      <c r="T9" s="1366">
        <f t="shared" si="4"/>
        <v>43580</v>
      </c>
      <c r="U9" s="1360" t="str">
        <f>IF(AND('ex-situ Apal outplants'!D:D=Q9,IF(VLOOKUP(Q9,'ex-situ Apal outplants'!D:M,10,FALSE)&lt;&gt;0,"TRUE", "FALSE")),"Completed",DATE(year(P9), month(P9)+1, day(P9)))</f>
        <v>Completed</v>
      </c>
      <c r="V9" s="1360" t="str">
        <f>IF(AND('ex-situ Apal outplants'!D:D=Q9,IF(VLOOKUP(Q9,'ex-situ Apal outplants'!D:T,17,FALSE)&lt;&gt;0,"TRUE", "FALSE")),"Completed",DATE(year(P9)+1, month(P9), day(P9)))</f>
        <v>Completed</v>
      </c>
      <c r="W9" s="1380"/>
      <c r="X9" s="1359" t="s">
        <v>1911</v>
      </c>
      <c r="Y9" s="1359">
        <v>3.0</v>
      </c>
      <c r="Z9" s="1373" t="str">
        <f>IFERROR(__xludf.DUMMYFUNCTION("JOIN(""  "",IFERROR(TRANSPOSE({FILTER($Q:$Q, MONTH($S:$S)=Y9, YEAR($S:$S)=YEAR(TODAY()),U:U&lt;&gt;""Completed"")}),""""))"),"")</f>
        <v/>
      </c>
      <c r="AA9" s="1360"/>
      <c r="AB9" s="1360"/>
      <c r="AC9" s="1360"/>
      <c r="AD9" s="1371"/>
      <c r="AE9" s="1360"/>
      <c r="AF9" s="1360"/>
      <c r="AG9" s="1360"/>
    </row>
    <row r="10">
      <c r="A10" s="1356">
        <v>41390.0</v>
      </c>
      <c r="B10" s="1357" t="s">
        <v>175</v>
      </c>
      <c r="C10" s="1358" t="s">
        <v>176</v>
      </c>
      <c r="D10" s="1366">
        <f t="shared" si="1"/>
        <v>41420</v>
      </c>
      <c r="E10" s="1366">
        <f t="shared" si="2"/>
        <v>41755</v>
      </c>
      <c r="F10" s="224" t="str">
        <f>IF(AND('in-situ Acer outplants'!D:D=B10,IF(VLOOKUP(B10,'in-situ Acer outplants'!D:M,10,FALSE)&lt;&gt;0,"TRUE", "FALSE")),"Completed",DATE(year(A10), month(A10)+1, day(A10)))</f>
        <v>Completed</v>
      </c>
      <c r="G10" s="1360" t="str">
        <f>IF(AND('in-situ Acer outplants'!D:D=B10,IF(VLOOKUP(B10,'in-situ Acer outplants'!D:T,17,FALSE)&lt;&gt;0,"TRUE", "FALSE")),"Completed",DATE(year(A10)+1, month(A10), day(A10)))</f>
        <v>Completed</v>
      </c>
      <c r="H10" s="1380"/>
      <c r="I10" s="1359" t="s">
        <v>1912</v>
      </c>
      <c r="J10" s="1359">
        <v>4.0</v>
      </c>
      <c r="K10" s="1373" t="str">
        <f>IFERROR(__xludf.DUMMYFUNCTION("JOIN(""  "",IFERROR(TRANSPOSE({FILTER($B:$B, MONTH($D:$D)=J10, YEAR($D:$D)=YEAR(TODAY()),F:F&lt;&gt;""Completed"")}),""""))"),"")</f>
        <v/>
      </c>
      <c r="L10" s="1361"/>
      <c r="M10" s="1361"/>
      <c r="N10" s="1361"/>
      <c r="O10" s="1365"/>
      <c r="P10" s="1361">
        <v>43215.0</v>
      </c>
      <c r="Q10" s="1361" t="s">
        <v>999</v>
      </c>
      <c r="R10" s="1361" t="s">
        <v>985</v>
      </c>
      <c r="S10" s="1370">
        <f t="shared" si="3"/>
        <v>43245</v>
      </c>
      <c r="T10" s="1366">
        <f t="shared" si="4"/>
        <v>43580</v>
      </c>
      <c r="U10" s="1360" t="str">
        <f>IF(AND('ex-situ Apal outplants'!D:D=Q10,IF(VLOOKUP(Q10,'ex-situ Apal outplants'!D:M,10,FALSE)&lt;&gt;0,"TRUE", "FALSE")),"Completed",DATE(year(P10), month(P10)+1, day(P10)))</f>
        <v>Completed</v>
      </c>
      <c r="V10" s="1360" t="str">
        <f>IF(AND('ex-situ Apal outplants'!D:D=Q10,IF(VLOOKUP(Q10,'ex-situ Apal outplants'!D:T,17,FALSE)&lt;&gt;0,"TRUE", "FALSE")),"Completed",DATE(year(P10)+1, month(P10), day(P10)))</f>
        <v>Completed</v>
      </c>
      <c r="W10" s="1380"/>
      <c r="X10" s="1359" t="s">
        <v>1912</v>
      </c>
      <c r="Y10" s="1359">
        <v>4.0</v>
      </c>
      <c r="Z10" s="1373" t="str">
        <f>IFERROR(__xludf.DUMMYFUNCTION("JOIN(""  "",IFERROR(TRANSPOSE({FILTER($Q:$Q, MONTH($S:$S)=Y10, YEAR($S:$S)=YEAR(TODAY()),U:U&lt;&gt;""Completed"")}),""""))"),"")</f>
        <v/>
      </c>
      <c r="AA10" s="1360"/>
      <c r="AB10" s="1360"/>
      <c r="AC10" s="1360"/>
      <c r="AD10" s="1371"/>
      <c r="AE10" s="1360"/>
      <c r="AF10" s="1360"/>
      <c r="AG10" s="1360"/>
    </row>
    <row r="11">
      <c r="A11" s="1356">
        <v>41404.0</v>
      </c>
      <c r="B11" s="1357" t="s">
        <v>179</v>
      </c>
      <c r="C11" s="1358" t="s">
        <v>181</v>
      </c>
      <c r="D11" s="1366">
        <f t="shared" si="1"/>
        <v>41435</v>
      </c>
      <c r="E11" s="1366">
        <f t="shared" si="2"/>
        <v>41769</v>
      </c>
      <c r="F11" s="224" t="str">
        <f>IF(AND('in-situ Acer outplants'!D:D=B11,IF(VLOOKUP(B11,'in-situ Acer outplants'!D:M,10,FALSE)&lt;&gt;0,"TRUE", "FALSE")),"Completed",DATE(year(A11), month(A11)+1, day(A11)))</f>
        <v>Completed</v>
      </c>
      <c r="G11" s="1360" t="str">
        <f>IF(AND('in-situ Acer outplants'!D:D=B11,IF(VLOOKUP(B11,'in-situ Acer outplants'!D:T,17,FALSE)&lt;&gt;0,"TRUE", "FALSE")),"Completed",DATE(year(A11)+1, month(A11), day(A11)))</f>
        <v>Completed</v>
      </c>
      <c r="H11" s="1380"/>
      <c r="I11" s="1359" t="s">
        <v>1913</v>
      </c>
      <c r="J11" s="1359">
        <v>5.0</v>
      </c>
      <c r="K11" s="1373" t="str">
        <f>IFERROR(__xludf.DUMMYFUNCTION("JOIN(""  "",IFERROR(TRANSPOSE({FILTER($B:$B, MONTH($D:$D)=J11, YEAR($D:$D)=YEAR(TODAY()),F:F&lt;&gt;""Completed"")}),""""))"),"")</f>
        <v/>
      </c>
      <c r="L11" s="1361"/>
      <c r="M11" s="1361"/>
      <c r="N11" s="1361"/>
      <c r="O11" s="1365"/>
      <c r="P11" s="1361">
        <v>43256.0</v>
      </c>
      <c r="Q11" s="1361" t="s">
        <v>1000</v>
      </c>
      <c r="R11" s="1361">
        <v>43477.0</v>
      </c>
      <c r="S11" s="1370">
        <f t="shared" si="3"/>
        <v>43286</v>
      </c>
      <c r="T11" s="1366">
        <f t="shared" si="4"/>
        <v>43621</v>
      </c>
      <c r="U11" s="1360" t="str">
        <f>IF(AND('ex-situ Apal outplants'!D:D=Q11,IF(VLOOKUP(Q11,'ex-situ Apal outplants'!D:M,10,FALSE)&lt;&gt;0,"TRUE", "FALSE")),"Completed",DATE(year(P11), month(P11)+1, day(P11)))</f>
        <v>Completed</v>
      </c>
      <c r="V11" s="1360" t="str">
        <f>IF(AND('ex-situ Apal outplants'!D:D=Q11,IF(VLOOKUP(Q11,'ex-situ Apal outplants'!D:T,17,FALSE)&lt;&gt;0,"TRUE", "FALSE")),"Completed",DATE(year(P11)+1, month(P11), day(P11)))</f>
        <v>Completed</v>
      </c>
      <c r="W11" s="1380"/>
      <c r="X11" s="1359" t="s">
        <v>1913</v>
      </c>
      <c r="Y11" s="1359">
        <v>5.0</v>
      </c>
      <c r="Z11" s="1373" t="str">
        <f>IFERROR(__xludf.DUMMYFUNCTION("JOIN(""  "",IFERROR(TRANSPOSE({FILTER($Q:$Q, MONTH($S:$S)=Y11, YEAR($S:$S)=YEAR(TODAY()),U:U&lt;&gt;""Completed"")}),""""))"),"")</f>
        <v/>
      </c>
      <c r="AA11" s="1360"/>
      <c r="AB11" s="1360"/>
      <c r="AC11" s="1360"/>
      <c r="AD11" s="1371"/>
      <c r="AE11" s="1360"/>
      <c r="AF11" s="1360"/>
      <c r="AG11" s="1360"/>
    </row>
    <row r="12">
      <c r="A12" s="1356">
        <v>41417.0</v>
      </c>
      <c r="B12" s="1357" t="s">
        <v>184</v>
      </c>
      <c r="C12" s="1358" t="s">
        <v>187</v>
      </c>
      <c r="D12" s="1366">
        <f t="shared" si="1"/>
        <v>41448</v>
      </c>
      <c r="E12" s="1366">
        <f t="shared" si="2"/>
        <v>41782</v>
      </c>
      <c r="F12" s="224" t="str">
        <f>IF(AND('in-situ Acer outplants'!D:D=B12,IF(VLOOKUP(B12,'in-situ Acer outplants'!D:M,10,FALSE)&lt;&gt;0,"TRUE", "FALSE")),"Completed",DATE(year(A12), month(A12)+1, day(A12)))</f>
        <v>Completed</v>
      </c>
      <c r="G12" s="1360" t="str">
        <f>IF(AND('in-situ Acer outplants'!D:D=B12,IF(VLOOKUP(B12,'in-situ Acer outplants'!D:T,17,FALSE)&lt;&gt;0,"TRUE", "FALSE")),"Completed",DATE(year(A12)+1, month(A12), day(A12)))</f>
        <v>Completed</v>
      </c>
      <c r="H12" s="1380"/>
      <c r="I12" s="1359" t="s">
        <v>1914</v>
      </c>
      <c r="J12" s="1359">
        <v>6.0</v>
      </c>
      <c r="K12" s="1373" t="str">
        <f>IFERROR(__xludf.DUMMYFUNCTION("JOIN(""  "",IFERROR(TRANSPOSE({FILTER($B:$B, MONTH($D:$D)=J12, YEAR($D:$D)=YEAR(TODAY()),F:F&lt;&gt;""Completed"")}),""""))"),"")</f>
        <v/>
      </c>
      <c r="L12" s="1361"/>
      <c r="M12" s="1361"/>
      <c r="N12" s="1361"/>
      <c r="O12" s="1365"/>
      <c r="P12" s="1361">
        <v>43333.0</v>
      </c>
      <c r="Q12" s="1361" t="s">
        <v>1001</v>
      </c>
      <c r="R12" s="1361" t="s">
        <v>1002</v>
      </c>
      <c r="S12" s="1370">
        <f t="shared" si="3"/>
        <v>43364</v>
      </c>
      <c r="T12" s="1366">
        <f t="shared" si="4"/>
        <v>43698</v>
      </c>
      <c r="U12" s="1360" t="str">
        <f>IF(AND('ex-situ Apal outplants'!D:D=Q12,IF(VLOOKUP(Q12,'ex-situ Apal outplants'!D:M,10,FALSE)&lt;&gt;0,"TRUE", "FALSE")),"Completed",DATE(year(P12), month(P12)+1, day(P12)))</f>
        <v>Completed</v>
      </c>
      <c r="V12" s="1360" t="str">
        <f>IF(AND('ex-situ Apal outplants'!D:D=Q12,IF(VLOOKUP(Q12,'ex-situ Apal outplants'!D:T,17,FALSE)&lt;&gt;0,"TRUE", "FALSE")),"Completed",DATE(year(P12)+1, month(P12), day(P12)))</f>
        <v>Completed</v>
      </c>
      <c r="W12" s="1380"/>
      <c r="X12" s="1359" t="s">
        <v>1914</v>
      </c>
      <c r="Y12" s="1359">
        <v>6.0</v>
      </c>
      <c r="Z12" s="1373" t="str">
        <f>IFERROR(__xludf.DUMMYFUNCTION("JOIN(""  "",IFERROR(TRANSPOSE({FILTER($Q:$Q, MONTH($S:$S)=Y12, YEAR($S:$S)=YEAR(TODAY()),U:U&lt;&gt;""Completed"")}),""""))"),"")</f>
        <v/>
      </c>
      <c r="AA12" s="1360"/>
      <c r="AB12" s="1360"/>
      <c r="AC12" s="1360"/>
      <c r="AD12" s="1371"/>
      <c r="AE12" s="1360"/>
      <c r="AF12" s="1360"/>
      <c r="AG12" s="1360"/>
    </row>
    <row r="13">
      <c r="A13" s="1356">
        <v>41541.0</v>
      </c>
      <c r="B13" s="1357" t="s">
        <v>191</v>
      </c>
      <c r="C13" s="1358" t="s">
        <v>32</v>
      </c>
      <c r="D13" s="1366">
        <f t="shared" si="1"/>
        <v>41571</v>
      </c>
      <c r="E13" s="1366">
        <f t="shared" si="2"/>
        <v>41906</v>
      </c>
      <c r="F13" s="224" t="str">
        <f>IF(AND('in-situ Acer outplants'!D:D=B13,IF(VLOOKUP(B13,'in-situ Acer outplants'!D:M,10,FALSE)&lt;&gt;0,"TRUE", "FALSE")),"Completed",DATE(year(A13), month(A13)+1, day(A13)))</f>
        <v>Completed</v>
      </c>
      <c r="G13" s="1360" t="str">
        <f>IF(AND('in-situ Acer outplants'!D:D=B13,IF(VLOOKUP(B13,'in-situ Acer outplants'!D:T,17,FALSE)&lt;&gt;0,"TRUE", "FALSE")),"Completed",DATE(year(A13)+1, month(A13), day(A13)))</f>
        <v>Completed</v>
      </c>
      <c r="H13" s="1380"/>
      <c r="I13" s="1359" t="s">
        <v>1915</v>
      </c>
      <c r="J13" s="1359">
        <v>7.0</v>
      </c>
      <c r="K13" s="1373" t="str">
        <f>IFERROR(__xludf.DUMMYFUNCTION("JOIN(""  "",IFERROR(TRANSPOSE({FILTER($B:$B, MONTH($D:$D)=J13, YEAR($D:$D)=YEAR(TODAY()),F:F&lt;&gt;""Completed"")}),""""))"),"")</f>
        <v/>
      </c>
      <c r="L13" s="1361"/>
      <c r="M13" s="1361"/>
      <c r="N13" s="1361"/>
      <c r="O13" s="1365"/>
      <c r="P13" s="1361">
        <v>43335.0</v>
      </c>
      <c r="Q13" s="1361" t="s">
        <v>1004</v>
      </c>
      <c r="R13" s="1361" t="s">
        <v>1005</v>
      </c>
      <c r="S13" s="1370">
        <f t="shared" si="3"/>
        <v>43366</v>
      </c>
      <c r="T13" s="1366">
        <f t="shared" si="4"/>
        <v>43700</v>
      </c>
      <c r="U13" s="1360" t="str">
        <f>IF(AND('ex-situ Apal outplants'!D:D=Q13,IF(VLOOKUP(Q13,'ex-situ Apal outplants'!D:M,10,FALSE)&lt;&gt;0,"TRUE", "FALSE")),"Completed",DATE(year(P13), month(P13)+1, day(P13)))</f>
        <v>Completed</v>
      </c>
      <c r="V13" s="1360" t="str">
        <f>IF(AND('ex-situ Apal outplants'!D:D=Q13,IF(VLOOKUP(Q13,'ex-situ Apal outplants'!D:T,17,FALSE)&lt;&gt;0,"TRUE", "FALSE")),"Completed",DATE(year(P13)+1, month(P13), day(P13)))</f>
        <v>Completed</v>
      </c>
      <c r="W13" s="1380"/>
      <c r="X13" s="1359" t="s">
        <v>1915</v>
      </c>
      <c r="Y13" s="1359">
        <v>7.0</v>
      </c>
      <c r="Z13" s="1373" t="str">
        <f>IFERROR(__xludf.DUMMYFUNCTION("JOIN(""  "",IFERROR(TRANSPOSE({FILTER($Q:$Q, MONTH($S:$S)=Y13, YEAR($S:$S)=YEAR(TODAY()),U:U&lt;&gt;""Completed"")}),""""))"),"")</f>
        <v/>
      </c>
      <c r="AA13" s="1360"/>
      <c r="AB13" s="1360"/>
      <c r="AC13" s="1360"/>
      <c r="AD13" s="1371"/>
      <c r="AE13" s="1360"/>
      <c r="AF13" s="1360"/>
      <c r="AG13" s="1360"/>
    </row>
    <row r="14">
      <c r="A14" s="1356">
        <v>41563.0</v>
      </c>
      <c r="B14" s="1357" t="s">
        <v>195</v>
      </c>
      <c r="C14" s="1358" t="s">
        <v>197</v>
      </c>
      <c r="D14" s="1366">
        <f t="shared" si="1"/>
        <v>41594</v>
      </c>
      <c r="E14" s="1366">
        <f t="shared" si="2"/>
        <v>41928</v>
      </c>
      <c r="F14" s="224" t="str">
        <f>IF(AND('in-situ Acer outplants'!D:D=B14,IF(VLOOKUP(B14,'in-situ Acer outplants'!D:M,10,FALSE)&lt;&gt;0,"TRUE", "FALSE")),"Completed",DATE(year(A14), month(A14)+1, day(A14)))</f>
        <v>Completed</v>
      </c>
      <c r="G14" s="1360" t="str">
        <f>IF(AND('in-situ Acer outplants'!D:D=B14,IF(VLOOKUP(B14,'in-situ Acer outplants'!D:T,17,FALSE)&lt;&gt;0,"TRUE", "FALSE")),"Completed",DATE(year(A14)+1, month(A14), day(A14)))</f>
        <v>Completed</v>
      </c>
      <c r="H14" s="1380"/>
      <c r="I14" s="1359" t="s">
        <v>1916</v>
      </c>
      <c r="J14" s="1359">
        <v>8.0</v>
      </c>
      <c r="K14" s="1373" t="str">
        <f>IFERROR(__xludf.DUMMYFUNCTION("JOIN(""  "",IFERROR(TRANSPOSE({FILTER($B:$B, MONTH($D:$D)=J14, YEAR($D:$D)=YEAR(TODAY()),F:F&lt;&gt;""Completed"")}),""""))"),"")</f>
        <v/>
      </c>
      <c r="L14" s="1361"/>
      <c r="M14" s="1361"/>
      <c r="N14" s="1361"/>
      <c r="O14" s="1365"/>
      <c r="P14" s="1361">
        <v>43418.0</v>
      </c>
      <c r="Q14" s="1361" t="s">
        <v>1006</v>
      </c>
      <c r="R14" s="1361" t="s">
        <v>1008</v>
      </c>
      <c r="S14" s="1370">
        <f t="shared" si="3"/>
        <v>43448</v>
      </c>
      <c r="T14" s="1366">
        <f t="shared" si="4"/>
        <v>43783</v>
      </c>
      <c r="U14" s="1360" t="str">
        <f>IF(AND('ex-situ Apal outplants'!D:D=Q14,IF(VLOOKUP(Q14,'ex-situ Apal outplants'!D:M,10,FALSE)&lt;&gt;0,"TRUE", "FALSE")),"Completed",DATE(year(P14), month(P14)+1, day(P14)))</f>
        <v>Completed</v>
      </c>
      <c r="V14" s="1360" t="str">
        <f>IF(AND('ex-situ Apal outplants'!D:D=Q14,IF(VLOOKUP(Q14,'ex-situ Apal outplants'!D:T,17,FALSE)&lt;&gt;0,"TRUE", "FALSE")),"Completed",DATE(year(P14)+1, month(P14), day(P14)))</f>
        <v>Completed</v>
      </c>
      <c r="W14" s="1380"/>
      <c r="X14" s="1359" t="s">
        <v>1916</v>
      </c>
      <c r="Y14" s="1359">
        <v>8.0</v>
      </c>
      <c r="Z14" s="1373" t="str">
        <f>IFERROR(__xludf.DUMMYFUNCTION("JOIN(""  "",IFERROR(TRANSPOSE({FILTER($Q:$Q, MONTH($S:$S)=Y14, YEAR($S:$S)=YEAR(TODAY()),U:U&lt;&gt;""Completed"")}),""""))"),"")</f>
        <v/>
      </c>
      <c r="AA14" s="1360"/>
      <c r="AB14" s="1360"/>
      <c r="AC14" s="1360"/>
      <c r="AD14" s="1371"/>
      <c r="AE14" s="1360"/>
      <c r="AF14" s="1360"/>
      <c r="AG14" s="1360"/>
    </row>
    <row r="15">
      <c r="A15" s="1356">
        <v>41564.0</v>
      </c>
      <c r="B15" s="1357" t="s">
        <v>200</v>
      </c>
      <c r="C15" s="1358" t="s">
        <v>147</v>
      </c>
      <c r="D15" s="1366">
        <f t="shared" si="1"/>
        <v>41595</v>
      </c>
      <c r="E15" s="1366">
        <f t="shared" si="2"/>
        <v>41929</v>
      </c>
      <c r="F15" s="224" t="str">
        <f>IF(AND('in-situ Acer outplants'!D:D=B15,IF(VLOOKUP(B15,'in-situ Acer outplants'!D:M,10,FALSE)&lt;&gt;0,"TRUE", "FALSE")),"Completed",DATE(year(A15), month(A15)+1, day(A15)))</f>
        <v>Completed</v>
      </c>
      <c r="G15" s="1360" t="str">
        <f>IF(AND('in-situ Acer outplants'!D:D=B15,IF(VLOOKUP(B15,'in-situ Acer outplants'!D:T,17,FALSE)&lt;&gt;0,"TRUE", "FALSE")),"Completed",DATE(year(A15)+1, month(A15), day(A15)))</f>
        <v>Completed</v>
      </c>
      <c r="H15" s="1380"/>
      <c r="I15" s="1359" t="s">
        <v>1917</v>
      </c>
      <c r="J15" s="1359">
        <v>9.0</v>
      </c>
      <c r="K15" s="1373" t="str">
        <f>IFERROR(__xludf.DUMMYFUNCTION("JOIN(""  "",IFERROR(TRANSPOSE({FILTER($B:$B, MONTH($D:$D)=J15, YEAR($D:$D)=YEAR(TODAY()),F:F&lt;&gt;""Completed"")}),""""))"),"")</f>
        <v/>
      </c>
      <c r="L15" s="1361"/>
      <c r="M15" s="1361"/>
      <c r="N15" s="1361"/>
      <c r="O15" s="1365"/>
      <c r="P15" s="1361">
        <v>43481.0</v>
      </c>
      <c r="Q15" s="1361" t="s">
        <v>1012</v>
      </c>
      <c r="R15" s="1361" t="s">
        <v>1013</v>
      </c>
      <c r="S15" s="1370">
        <f t="shared" si="3"/>
        <v>43512</v>
      </c>
      <c r="T15" s="1366">
        <f t="shared" si="4"/>
        <v>43846</v>
      </c>
      <c r="U15" s="1360" t="str">
        <f>IF(AND('ex-situ Apal outplants'!D:D=Q15,IF(VLOOKUP(Q15,'ex-situ Apal outplants'!D:M,10,FALSE)&lt;&gt;0,"TRUE", "FALSE")),"Completed",DATE(year(P15), month(P15)+1, day(P15)))</f>
        <v>Completed</v>
      </c>
      <c r="V15" s="1360" t="str">
        <f>IF(AND('ex-situ Apal outplants'!D:D=Q15,IF(VLOOKUP(Q15,'ex-situ Apal outplants'!D:T,17,FALSE)&lt;&gt;0,"TRUE", "FALSE")),"Completed",DATE(year(P15)+1, month(P15), day(P15)))</f>
        <v>Completed</v>
      </c>
      <c r="W15" s="1380"/>
      <c r="X15" s="1359" t="s">
        <v>1917</v>
      </c>
      <c r="Y15" s="1359">
        <v>9.0</v>
      </c>
      <c r="Z15" s="1373" t="str">
        <f>IFERROR(__xludf.DUMMYFUNCTION("JOIN(""  "",IFERROR(TRANSPOSE({FILTER($Q:$Q, MONTH($S:$S)=Y15, YEAR($S:$S)=YEAR(TODAY()),U:U&lt;&gt;""Completed"")}),""""))"),"")</f>
        <v/>
      </c>
      <c r="AA15" s="1360"/>
      <c r="AB15" s="1360"/>
      <c r="AC15" s="1360"/>
      <c r="AD15" s="1371"/>
      <c r="AE15" s="1360"/>
      <c r="AF15" s="1360"/>
      <c r="AG15" s="1360"/>
    </row>
    <row r="16">
      <c r="A16" s="1356">
        <v>41564.0</v>
      </c>
      <c r="B16" s="1357" t="s">
        <v>205</v>
      </c>
      <c r="C16" s="1358" t="s">
        <v>147</v>
      </c>
      <c r="D16" s="1366">
        <f t="shared" si="1"/>
        <v>41595</v>
      </c>
      <c r="E16" s="1366">
        <f t="shared" si="2"/>
        <v>41929</v>
      </c>
      <c r="F16" s="224" t="str">
        <f>IF(AND('in-situ Acer outplants'!D:D=B16,IF(VLOOKUP(B16,'in-situ Acer outplants'!D:M,10,FALSE)&lt;&gt;0,"TRUE", "FALSE")),"Completed",DATE(year(A16), month(A16)+1, day(A16)))</f>
        <v>Completed</v>
      </c>
      <c r="G16" s="1360" t="str">
        <f>IF(AND('in-situ Acer outplants'!D:D=B16,IF(VLOOKUP(B16,'in-situ Acer outplants'!D:T,17,FALSE)&lt;&gt;0,"TRUE", "FALSE")),"Completed",DATE(year(A16)+1, month(A16), day(A16)))</f>
        <v>Completed</v>
      </c>
      <c r="H16" s="1381"/>
      <c r="I16" s="1359" t="s">
        <v>1918</v>
      </c>
      <c r="J16" s="1359">
        <v>10.0</v>
      </c>
      <c r="K16" s="1373" t="str">
        <f>IFERROR(__xludf.DUMMYFUNCTION("JOIN(""  "",IFERROR(TRANSPOSE({FILTER($B:$B, MONTH($D:$D)=J16, YEAR($D:$D)=YEAR(TODAY()),F:F&lt;&gt;""Completed"")}),""""))"),"")</f>
        <v/>
      </c>
      <c r="L16" s="1361"/>
      <c r="M16" s="1361"/>
      <c r="N16" s="1361"/>
      <c r="O16" s="1365"/>
      <c r="P16" s="1361">
        <v>43511.0</v>
      </c>
      <c r="Q16" s="1361" t="s">
        <v>1015</v>
      </c>
      <c r="R16" s="1361" t="s">
        <v>1016</v>
      </c>
      <c r="S16" s="1370">
        <f t="shared" si="3"/>
        <v>43539</v>
      </c>
      <c r="T16" s="1366">
        <f t="shared" si="4"/>
        <v>43876</v>
      </c>
      <c r="U16" s="1360" t="str">
        <f>IF(AND('ex-situ Apal outplants'!D:D=Q16,IF(VLOOKUP(Q16,'ex-situ Apal outplants'!D:M,10,FALSE)&lt;&gt;0,"TRUE", "FALSE")),"Completed",DATE(year(P16), month(P16)+1, day(P16)))</f>
        <v>Completed</v>
      </c>
      <c r="V16" s="1360" t="str">
        <f>IF(AND('ex-situ Apal outplants'!D:D=Q16,IF(VLOOKUP(Q16,'ex-situ Apal outplants'!D:T,17,FALSE)&lt;&gt;0,"TRUE", "FALSE")),"Completed",DATE(year(P16)+1, month(P16), day(P16)))</f>
        <v>Completed</v>
      </c>
      <c r="W16" s="1381"/>
      <c r="X16" s="1359" t="s">
        <v>1918</v>
      </c>
      <c r="Y16" s="1359">
        <v>10.0</v>
      </c>
      <c r="Z16" s="1373" t="str">
        <f>IFERROR(__xludf.DUMMYFUNCTION("JOIN(""  "",IFERROR(TRANSPOSE({FILTER($Q:$Q, MONTH($S:$S)=Y16, YEAR($S:$S)=YEAR(TODAY()),U:U&lt;&gt;""Completed"")}),""""))"),"")</f>
        <v/>
      </c>
      <c r="AA16" s="1360"/>
      <c r="AB16" s="1360"/>
      <c r="AC16" s="1360"/>
      <c r="AD16" s="1371"/>
      <c r="AE16" s="1360"/>
      <c r="AF16" s="1360"/>
      <c r="AG16" s="1360"/>
    </row>
    <row r="17">
      <c r="A17" s="1356">
        <v>41611.0</v>
      </c>
      <c r="B17" s="1357" t="s">
        <v>207</v>
      </c>
      <c r="C17" s="1358" t="s">
        <v>208</v>
      </c>
      <c r="D17" s="1366">
        <f t="shared" si="1"/>
        <v>41642</v>
      </c>
      <c r="E17" s="1366">
        <f t="shared" si="2"/>
        <v>41976</v>
      </c>
      <c r="F17" s="224" t="str">
        <f>IF(AND('in-situ Acer outplants'!D:D=B17,IF(VLOOKUP(B17,'in-situ Acer outplants'!D:M,10,FALSE)&lt;&gt;0,"TRUE", "FALSE")),"Completed",DATE(year(A17), month(A17)+1, day(A17)))</f>
        <v>Completed</v>
      </c>
      <c r="G17" s="1360" t="str">
        <f>IF(AND('in-situ Acer outplants'!D:D=B17,IF(VLOOKUP(B17,'in-situ Acer outplants'!D:T,17,FALSE)&lt;&gt;0,"TRUE", "FALSE")),"Completed",DATE(year(A17)+1, month(A17), day(A17)))</f>
        <v>Completed</v>
      </c>
      <c r="H17" s="1380"/>
      <c r="I17" s="1359" t="s">
        <v>1919</v>
      </c>
      <c r="J17" s="1359">
        <v>11.0</v>
      </c>
      <c r="K17" s="1373" t="str">
        <f>IFERROR(__xludf.DUMMYFUNCTION("JOIN(""  "",IFERROR(TRANSPOSE({FILTER($B:$B, MONTH($D:$D)=J17, YEAR($D:$D)=YEAR(TODAY()),F:F&lt;&gt;""Completed"")}),""""))"),"")</f>
        <v/>
      </c>
      <c r="L17" s="1361"/>
      <c r="M17" s="1361"/>
      <c r="N17" s="1361"/>
      <c r="O17" s="1365"/>
      <c r="P17" s="1361">
        <v>43521.0</v>
      </c>
      <c r="Q17" s="1361" t="s">
        <v>1024</v>
      </c>
      <c r="R17" s="1361" t="s">
        <v>1025</v>
      </c>
      <c r="S17" s="1370">
        <f t="shared" si="3"/>
        <v>43549</v>
      </c>
      <c r="T17" s="1366">
        <f t="shared" si="4"/>
        <v>43886</v>
      </c>
      <c r="U17" s="1360" t="str">
        <f>IF(AND('ex-situ Apal outplants'!D:D=Q17,IF(VLOOKUP(Q17,'ex-situ Apal outplants'!D:M,10,FALSE)&lt;&gt;0,"TRUE", "FALSE")),"Completed",DATE(year(P17), month(P17)+1, day(P17)))</f>
        <v>Completed</v>
      </c>
      <c r="V17" s="1360" t="str">
        <f>IF(AND('ex-situ Apal outplants'!D:D=Q17,IF(VLOOKUP(Q17,'ex-situ Apal outplants'!D:T,17,FALSE)&lt;&gt;0,"TRUE", "FALSE")),"Completed",DATE(year(P17)+1, month(P17), day(P17)))</f>
        <v>Completed</v>
      </c>
      <c r="W17" s="1380"/>
      <c r="X17" s="1359" t="s">
        <v>1919</v>
      </c>
      <c r="Y17" s="1359">
        <v>11.0</v>
      </c>
      <c r="Z17" s="1373" t="str">
        <f>IFERROR(__xludf.DUMMYFUNCTION("JOIN(""  "",IFERROR(TRANSPOSE({FILTER($Q:$Q, MONTH($S:$S)=Y17, YEAR($S:$S)=YEAR(TODAY()),U:U&lt;&gt;""Completed"")}),""""))"),"")</f>
        <v/>
      </c>
      <c r="AA17" s="1360"/>
      <c r="AB17" s="1360"/>
      <c r="AC17" s="1360"/>
      <c r="AD17" s="1371"/>
      <c r="AE17" s="1360"/>
      <c r="AF17" s="1360"/>
      <c r="AG17" s="1360"/>
    </row>
    <row r="18">
      <c r="A18" s="1356">
        <v>41698.0</v>
      </c>
      <c r="B18" s="1357" t="s">
        <v>211</v>
      </c>
      <c r="C18" s="1358" t="s">
        <v>212</v>
      </c>
      <c r="D18" s="1366">
        <f t="shared" si="1"/>
        <v>41726</v>
      </c>
      <c r="E18" s="1366">
        <f t="shared" si="2"/>
        <v>42063</v>
      </c>
      <c r="F18" s="224" t="str">
        <f>IF(AND('in-situ Acer outplants'!D:D=B18,IF(VLOOKUP(B18,'in-situ Acer outplants'!D:M,10,FALSE)&lt;&gt;0,"TRUE", "FALSE")),"Completed",DATE(year(A18), month(A18)+1, day(A18)))</f>
        <v>Completed</v>
      </c>
      <c r="G18" s="1360" t="str">
        <f>IF(AND('in-situ Acer outplants'!D:D=B18,IF(VLOOKUP(B18,'in-situ Acer outplants'!D:T,17,FALSE)&lt;&gt;0,"TRUE", "FALSE")),"Completed",DATE(year(A18)+1, month(A18), day(A18)))</f>
        <v>Completed</v>
      </c>
      <c r="H18" s="1382"/>
      <c r="I18" s="1383" t="s">
        <v>1920</v>
      </c>
      <c r="J18" s="1383">
        <v>12.0</v>
      </c>
      <c r="K18" s="1376" t="str">
        <f>IFERROR(__xludf.DUMMYFUNCTION("JOIN(""  "",IFERROR(TRANSPOSE({FILTER($B:$B, MONTH($D:$D)=J18, YEAR($D:$D)=YEAR(TODAY()),F:F&lt;&gt;""Completed"")}),""""))"),"")</f>
        <v/>
      </c>
      <c r="L18" s="1361"/>
      <c r="M18" s="1361"/>
      <c r="N18" s="1361"/>
      <c r="O18" s="1365"/>
      <c r="P18" s="1361">
        <v>43557.0</v>
      </c>
      <c r="Q18" s="1361" t="s">
        <v>1026</v>
      </c>
      <c r="R18" s="1361" t="s">
        <v>1027</v>
      </c>
      <c r="S18" s="1370">
        <f t="shared" si="3"/>
        <v>43587</v>
      </c>
      <c r="T18" s="1366">
        <f t="shared" si="4"/>
        <v>43923</v>
      </c>
      <c r="U18" s="1360" t="str">
        <f>IF(AND('ex-situ Apal outplants'!D:D=Q18,IF(VLOOKUP(Q18,'ex-situ Apal outplants'!D:M,10,FALSE)&lt;&gt;0,"TRUE", "FALSE")),"Completed",DATE(year(P18), month(P18)+1, day(P18)))</f>
        <v>Completed</v>
      </c>
      <c r="V18" s="1360" t="str">
        <f>IF(AND('ex-situ Apal outplants'!D:D=Q18,IF(VLOOKUP(Q18,'ex-situ Apal outplants'!D:T,17,FALSE)&lt;&gt;0,"TRUE", "FALSE")),"Completed",DATE(year(P18)+1, month(P18), day(P18)))</f>
        <v>Completed</v>
      </c>
      <c r="W18" s="1382"/>
      <c r="X18" s="1383" t="s">
        <v>1920</v>
      </c>
      <c r="Y18" s="1383">
        <v>12.0</v>
      </c>
      <c r="Z18" s="1376" t="str">
        <f>IFERROR(__xludf.DUMMYFUNCTION("JOIN(""  "",IFERROR(TRANSPOSE({FILTER($Q:$Q, MONTH($S:$S)=Y18, YEAR($S:$S)=YEAR(TODAY()),U:U&lt;&gt;""Completed"")}),""""))"),"")</f>
        <v/>
      </c>
      <c r="AA18" s="1360"/>
      <c r="AB18" s="1360"/>
      <c r="AC18" s="1360"/>
      <c r="AD18" s="1371"/>
      <c r="AE18" s="1360"/>
      <c r="AF18" s="1360"/>
      <c r="AG18" s="1360"/>
    </row>
    <row r="19">
      <c r="A19" s="1356">
        <v>41765.0</v>
      </c>
      <c r="B19" s="1357" t="s">
        <v>216</v>
      </c>
      <c r="C19" s="1358" t="s">
        <v>217</v>
      </c>
      <c r="D19" s="1366">
        <f t="shared" si="1"/>
        <v>41796</v>
      </c>
      <c r="E19" s="1366">
        <f t="shared" si="2"/>
        <v>42130</v>
      </c>
      <c r="F19" s="224" t="str">
        <f>IF(AND('in-situ Acer outplants'!D:D=B19,IF(VLOOKUP(B19,'in-situ Acer outplants'!D:M,10,FALSE)&lt;&gt;0,"TRUE", "FALSE")),"Completed",DATE(year(A19), month(A19)+1, day(A19)))</f>
        <v>Completed</v>
      </c>
      <c r="G19" s="1360" t="str">
        <f>IF(AND('in-situ Acer outplants'!D:D=B19,IF(VLOOKUP(B19,'in-situ Acer outplants'!D:T,17,FALSE)&lt;&gt;0,"TRUE", "FALSE")),"Completed",DATE(year(A19)+1, month(A19), day(A19)))</f>
        <v>Completed</v>
      </c>
      <c r="H19" s="1384" t="s">
        <v>1921</v>
      </c>
      <c r="I19" s="1359" t="s">
        <v>1909</v>
      </c>
      <c r="J19" s="1359">
        <v>1.0</v>
      </c>
      <c r="K19" s="1373" t="str">
        <f>IFERROR(__xludf.DUMMYFUNCTION("JOIN(""  "",IFERROR(TRANSPOSE({FILTER($B:$B, MONTH($E:$E)=J19, YEAR($E:$E)=YEAR(TODAY()),G:G&lt;&gt;""Completed"")}),""""))"),"")</f>
        <v/>
      </c>
      <c r="L19" s="1361"/>
      <c r="M19" s="1361"/>
      <c r="N19" s="1361"/>
      <c r="O19" s="1365"/>
      <c r="P19" s="1361">
        <v>43592.0</v>
      </c>
      <c r="Q19" s="1361" t="s">
        <v>1029</v>
      </c>
      <c r="R19" s="1361" t="s">
        <v>1030</v>
      </c>
      <c r="S19" s="1370">
        <f t="shared" si="3"/>
        <v>43623</v>
      </c>
      <c r="T19" s="1366">
        <f t="shared" si="4"/>
        <v>43958</v>
      </c>
      <c r="U19" s="1360" t="str">
        <f>IF(AND('ex-situ Apal outplants'!D:D=Q19,IF(VLOOKUP(Q19,'ex-situ Apal outplants'!D:M,10,FALSE)&lt;&gt;0,"TRUE", "FALSE")),"Completed",DATE(year(P19), month(P19)+1, day(P19)))</f>
        <v>Completed</v>
      </c>
      <c r="V19" s="1360" t="str">
        <f>IF(AND('ex-situ Apal outplants'!D:D=Q19,IF(VLOOKUP(Q19,'ex-situ Apal outplants'!D:T,17,FALSE)&lt;&gt;0,"TRUE", "FALSE")),"Completed",DATE(year(P19)+1, month(P19), day(P19)))</f>
        <v>Completed</v>
      </c>
      <c r="W19" s="1377" t="s">
        <v>1921</v>
      </c>
      <c r="X19" s="1378" t="s">
        <v>1909</v>
      </c>
      <c r="Y19" s="1378">
        <v>1.0</v>
      </c>
      <c r="Z19" s="1379" t="str">
        <f>IFERROR(__xludf.DUMMYFUNCTION("JOIN(""  "",IFERROR(TRANSPOSE({FILTER($Q:$Q, MONTH($T:$T)=Y19, YEAR($T:$T)=YEAR(TODAY()),V:V&lt;&gt;""Completed"")}),""""))"),"")</f>
        <v/>
      </c>
      <c r="AA19" s="1360"/>
      <c r="AB19" s="1360"/>
      <c r="AC19" s="1360"/>
      <c r="AD19" s="1371"/>
      <c r="AE19" s="1360"/>
      <c r="AF19" s="1360"/>
      <c r="AG19" s="1360"/>
    </row>
    <row r="20">
      <c r="A20" s="1356">
        <v>41782.0</v>
      </c>
      <c r="B20" s="1357" t="s">
        <v>220</v>
      </c>
      <c r="C20" s="1358" t="s">
        <v>222</v>
      </c>
      <c r="D20" s="1366">
        <f t="shared" si="1"/>
        <v>41813</v>
      </c>
      <c r="E20" s="1366">
        <f t="shared" si="2"/>
        <v>42147</v>
      </c>
      <c r="F20" s="224" t="str">
        <f>IF(AND('in-situ Acer outplants'!D:D=B20,IF(VLOOKUP(B20,'in-situ Acer outplants'!D:M,10,FALSE)&lt;&gt;0,"TRUE", "FALSE")),"Completed",DATE(year(A20), month(A20)+1, day(A20)))</f>
        <v>Completed</v>
      </c>
      <c r="G20" s="1360" t="str">
        <f>IF(AND('in-situ Acer outplants'!D:D=B20,IF(VLOOKUP(B20,'in-situ Acer outplants'!D:T,17,FALSE)&lt;&gt;0,"TRUE", "FALSE")),"Completed",DATE(year(A20)+1, month(A20), day(A20)))</f>
        <v>Completed</v>
      </c>
      <c r="H20" s="1380"/>
      <c r="I20" s="1359" t="s">
        <v>1910</v>
      </c>
      <c r="J20" s="1359">
        <v>2.0</v>
      </c>
      <c r="K20" s="1373" t="str">
        <f>IFERROR(__xludf.DUMMYFUNCTION("JOIN(""  "",IFERROR(TRANSPOSE({FILTER($B:$B, MONTH($E:$E)=J20, YEAR($E:$E)=YEAR(TODAY()),G:G&lt;&gt;""Completed"")}),""""))"),"")</f>
        <v/>
      </c>
      <c r="L20" s="1361"/>
      <c r="M20" s="1361"/>
      <c r="N20" s="1361"/>
      <c r="O20" s="1365"/>
      <c r="P20" s="1361">
        <v>43593.0</v>
      </c>
      <c r="Q20" s="1361" t="s">
        <v>1031</v>
      </c>
      <c r="R20" s="1361">
        <v>43486.0</v>
      </c>
      <c r="S20" s="1370">
        <f t="shared" si="3"/>
        <v>43624</v>
      </c>
      <c r="T20" s="1366">
        <f t="shared" si="4"/>
        <v>43959</v>
      </c>
      <c r="U20" s="1360" t="str">
        <f>IF(AND('ex-situ Apal outplants'!D:D=Q20,IF(VLOOKUP(Q20,'ex-situ Apal outplants'!D:M,10,FALSE)&lt;&gt;0,"TRUE", "FALSE")),"Completed",DATE(year(P20), month(P20)+1, day(P20)))</f>
        <v>Completed</v>
      </c>
      <c r="V20" s="1360" t="str">
        <f>IF(AND('ex-situ Apal outplants'!D:D=Q20,IF(VLOOKUP(Q20,'ex-situ Apal outplants'!D:T,17,FALSE)&lt;&gt;0,"TRUE", "FALSE")),"Completed",DATE(year(P20)+1, month(P20), day(P20)))</f>
        <v>Completed</v>
      </c>
      <c r="W20" s="1380"/>
      <c r="X20" s="1359" t="s">
        <v>1910</v>
      </c>
      <c r="Y20" s="1359">
        <v>2.0</v>
      </c>
      <c r="Z20" s="1373" t="str">
        <f>IFERROR(__xludf.DUMMYFUNCTION("JOIN(""  "",IFERROR(TRANSPOSE({FILTER($Q:$Q, MONTH($T:$T)=Y20, YEAR($T:$T)=YEAR(TODAY()),V:V&lt;&gt;""Completed"")}),""""))"),"WS_AP_4  T_AP_21a  T_AP_21b  T_AP_22")</f>
        <v>WS_AP_4  T_AP_21a  T_AP_21b  T_AP_22</v>
      </c>
      <c r="AA20" s="1360"/>
      <c r="AB20" s="1360"/>
      <c r="AC20" s="1360"/>
      <c r="AD20" s="1371"/>
      <c r="AE20" s="1360"/>
      <c r="AF20" s="1360"/>
      <c r="AG20" s="1360"/>
    </row>
    <row r="21">
      <c r="A21" s="1356">
        <v>41782.0</v>
      </c>
      <c r="B21" s="1357" t="s">
        <v>226</v>
      </c>
      <c r="C21" s="1358" t="s">
        <v>227</v>
      </c>
      <c r="D21" s="1366">
        <f t="shared" si="1"/>
        <v>41813</v>
      </c>
      <c r="E21" s="1366">
        <f t="shared" si="2"/>
        <v>42147</v>
      </c>
      <c r="F21" s="224" t="str">
        <f>IF(AND('in-situ Acer outplants'!D:D=B21,IF(VLOOKUP(B21,'in-situ Acer outplants'!D:M,10,FALSE)&lt;&gt;0,"TRUE", "FALSE")),"Completed",DATE(year(A21), month(A21)+1, day(A21)))</f>
        <v>Completed</v>
      </c>
      <c r="G21" s="1360" t="str">
        <f>IF(AND('in-situ Acer outplants'!D:D=B21,IF(VLOOKUP(B21,'in-situ Acer outplants'!D:T,17,FALSE)&lt;&gt;0,"TRUE", "FALSE")),"Completed",DATE(year(A21)+1, month(A21), day(A21)))</f>
        <v>Completed</v>
      </c>
      <c r="H21" s="1380"/>
      <c r="I21" s="1359" t="s">
        <v>1911</v>
      </c>
      <c r="J21" s="1359">
        <v>3.0</v>
      </c>
      <c r="K21" s="1373" t="str">
        <f>IFERROR(__xludf.DUMMYFUNCTION("JOIN(""  "",IFERROR(TRANSPOSE({FILTER($B:$B, MONTH($E:$E)=J21, YEAR($E:$E)=YEAR(TODAY()),G:G&lt;&gt;""Completed"")}),""""))"),"BC_5")</f>
        <v>BC_5</v>
      </c>
      <c r="L21" s="1360"/>
      <c r="M21" s="1360"/>
      <c r="N21" s="1360"/>
      <c r="O21" s="1371"/>
      <c r="P21" s="1361">
        <v>43598.0</v>
      </c>
      <c r="Q21" s="1360" t="s">
        <v>1033</v>
      </c>
      <c r="R21" s="1360" t="s">
        <v>208</v>
      </c>
      <c r="S21" s="1370">
        <f t="shared" si="3"/>
        <v>43629</v>
      </c>
      <c r="T21" s="1366">
        <f t="shared" si="4"/>
        <v>43964</v>
      </c>
      <c r="U21" s="1360" t="str">
        <f>IF(AND('ex-situ Apal outplants'!D:D=Q21,IF(VLOOKUP(Q21,'ex-situ Apal outplants'!D:M,10,FALSE)&lt;&gt;0,"TRUE", "FALSE")),"Completed",DATE(year(P21), month(P21)+1, day(P21)))</f>
        <v>Completed</v>
      </c>
      <c r="V21" s="1360" t="str">
        <f>IF(AND('ex-situ Apal outplants'!D:D=Q21,IF(VLOOKUP(Q21,'ex-situ Apal outplants'!D:T,17,FALSE)&lt;&gt;0,"TRUE", "FALSE")),"Completed",DATE(year(P21)+1, month(P21), day(P21)))</f>
        <v>Completed</v>
      </c>
      <c r="W21" s="1380"/>
      <c r="X21" s="1359" t="s">
        <v>1911</v>
      </c>
      <c r="Y21" s="1359">
        <v>3.0</v>
      </c>
      <c r="Z21" s="1373" t="str">
        <f>IFERROR(__xludf.DUMMYFUNCTION("JOIN(""  "",IFERROR(TRANSPOSE({FILTER($Q:$Q, MONTH($T:$T)=Y21, YEAR($T:$T)=YEAR(TODAY()),V:V&lt;&gt;""Completed"")}),""""))"),"T_AP_23  T_AP_24")</f>
        <v>T_AP_23  T_AP_24</v>
      </c>
      <c r="AA21" s="1360"/>
      <c r="AB21" s="1360"/>
      <c r="AC21" s="1360"/>
      <c r="AD21" s="1371"/>
      <c r="AE21" s="1360"/>
      <c r="AF21" s="1360"/>
      <c r="AG21" s="1360"/>
    </row>
    <row r="22">
      <c r="A22" s="1356">
        <v>41796.0</v>
      </c>
      <c r="B22" s="1357" t="s">
        <v>229</v>
      </c>
      <c r="C22" s="1358" t="s">
        <v>230</v>
      </c>
      <c r="D22" s="1366">
        <f t="shared" si="1"/>
        <v>41826</v>
      </c>
      <c r="E22" s="1366">
        <f t="shared" si="2"/>
        <v>42161</v>
      </c>
      <c r="F22" s="224" t="str">
        <f>IF(AND('in-situ Acer outplants'!D:D=B22,IF(VLOOKUP(B22,'in-situ Acer outplants'!D:M,10,FALSE)&lt;&gt;0,"TRUE", "FALSE")),"Completed",DATE(year(A22), month(A22)+1, day(A22)))</f>
        <v>Completed</v>
      </c>
      <c r="G22" s="1360" t="str">
        <f>IF(AND('in-situ Acer outplants'!D:D=B22,IF(VLOOKUP(B22,'in-situ Acer outplants'!D:T,17,FALSE)&lt;&gt;0,"TRUE", "FALSE")),"Completed",DATE(year(A22)+1, month(A22), day(A22)))</f>
        <v>Completed</v>
      </c>
      <c r="H22" s="1380"/>
      <c r="I22" s="1359" t="s">
        <v>1912</v>
      </c>
      <c r="J22" s="1359">
        <v>4.0</v>
      </c>
      <c r="K22" s="1373" t="str">
        <f>IFERROR(__xludf.DUMMYFUNCTION("JOIN(""  "",IFERROR(TRANSPOSE({FILTER($B:$B, MONTH($E:$E)=J22, YEAR($E:$E)=YEAR(TODAY()),G:G&lt;&gt;""Completed"")}),""""))"),"T_23")</f>
        <v>T_23</v>
      </c>
      <c r="L22" s="1360"/>
      <c r="M22" s="1360"/>
      <c r="N22" s="1360"/>
      <c r="O22" s="1371"/>
      <c r="P22" s="1361">
        <v>43648.0</v>
      </c>
      <c r="Q22" s="1360" t="s">
        <v>1034</v>
      </c>
      <c r="R22" s="1360" t="s">
        <v>1035</v>
      </c>
      <c r="S22" s="1370">
        <f t="shared" si="3"/>
        <v>43679</v>
      </c>
      <c r="T22" s="1366">
        <f t="shared" si="4"/>
        <v>44014</v>
      </c>
      <c r="U22" s="1360" t="str">
        <f>IF(AND('ex-situ Apal outplants'!D:D=Q22,IF(VLOOKUP(Q22,'ex-situ Apal outplants'!D:M,10,FALSE)&lt;&gt;0,"TRUE", "FALSE")),"Completed",DATE(year(P22), month(P22)+1, day(P22)))</f>
        <v>Completed</v>
      </c>
      <c r="V22" s="1360" t="str">
        <f>IF(AND('ex-situ Apal outplants'!D:D=Q22,IF(VLOOKUP(Q22,'ex-situ Apal outplants'!D:T,17,FALSE)&lt;&gt;0,"TRUE", "FALSE")),"Completed",DATE(year(P22)+1, month(P22), day(P22)))</f>
        <v>Completed</v>
      </c>
      <c r="W22" s="1380"/>
      <c r="X22" s="1359" t="s">
        <v>1912</v>
      </c>
      <c r="Y22" s="1359">
        <v>4.0</v>
      </c>
      <c r="Z22" s="1373" t="str">
        <f>IFERROR(__xludf.DUMMYFUNCTION("JOIN(""  "",IFERROR(TRANSPOSE({FILTER($Q:$Q, MONTH($T:$T)=Y22, YEAR($T:$T)=YEAR(TODAY()),V:V&lt;&gt;""Completed"")}),""""))"),"W_AP_17a  W_AP_17b  S_AP_5  R_AP_1  T_AP_25")</f>
        <v>W_AP_17a  W_AP_17b  S_AP_5  R_AP_1  T_AP_25</v>
      </c>
      <c r="AA22" s="1360"/>
      <c r="AB22" s="1360"/>
      <c r="AC22" s="1360"/>
      <c r="AD22" s="1371"/>
      <c r="AE22" s="1360"/>
      <c r="AF22" s="1360"/>
      <c r="AG22" s="1360"/>
    </row>
    <row r="23">
      <c r="A23" s="1356">
        <v>41764.0</v>
      </c>
      <c r="B23" s="1357" t="s">
        <v>233</v>
      </c>
      <c r="C23" s="1358" t="s">
        <v>235</v>
      </c>
      <c r="D23" s="1366">
        <f t="shared" si="1"/>
        <v>41795</v>
      </c>
      <c r="E23" s="1366">
        <f t="shared" si="2"/>
        <v>42129</v>
      </c>
      <c r="F23" s="224" t="str">
        <f>IF(AND('in-situ Acer outplants'!D:D=B23,IF(VLOOKUP(B23,'in-situ Acer outplants'!D:M,10,FALSE)&lt;&gt;0,"TRUE", "FALSE")),"Completed",DATE(year(A23), month(A23)+1, day(A23)))</f>
        <v>Completed</v>
      </c>
      <c r="G23" s="1360" t="str">
        <f>IF(AND('in-situ Acer outplants'!D:D=B23,IF(VLOOKUP(B23,'in-situ Acer outplants'!D:T,17,FALSE)&lt;&gt;0,"TRUE", "FALSE")),"Completed",DATE(year(A23)+1, month(A23), day(A23)))</f>
        <v>Completed</v>
      </c>
      <c r="H23" s="1380"/>
      <c r="I23" s="1359" t="s">
        <v>1913</v>
      </c>
      <c r="J23" s="1359">
        <v>5.0</v>
      </c>
      <c r="K23" s="1373" t="str">
        <f>IFERROR(__xludf.DUMMYFUNCTION("JOIN(""  "",IFERROR(TRANSPOSE({FILTER($B:$B, MONTH($E:$E)=J23, YEAR($E:$E)=YEAR(TODAY()),G:G&lt;&gt;""Completed"")}),""""))"),"")</f>
        <v/>
      </c>
      <c r="L23" s="1360"/>
      <c r="M23" s="1360"/>
      <c r="N23" s="1360"/>
      <c r="O23" s="1371"/>
      <c r="P23" s="1361">
        <v>43689.0</v>
      </c>
      <c r="Q23" s="1360" t="s">
        <v>1040</v>
      </c>
      <c r="R23" s="1360" t="s">
        <v>1041</v>
      </c>
      <c r="S23" s="1370">
        <f t="shared" si="3"/>
        <v>43720</v>
      </c>
      <c r="T23" s="1366">
        <f t="shared" si="4"/>
        <v>44055</v>
      </c>
      <c r="U23" s="1360" t="str">
        <f>IF(AND('ex-situ Apal outplants'!D:D=Q23,IF(VLOOKUP(Q23,'ex-situ Apal outplants'!D:M,10,FALSE)&lt;&gt;0,"TRUE", "FALSE")),"Completed",DATE(year(P23), month(P23)+1, day(P23)))</f>
        <v>Completed</v>
      </c>
      <c r="V23" s="1360" t="str">
        <f>IF(AND('ex-situ Apal outplants'!D:D=Q23,IF(VLOOKUP(Q23,'ex-situ Apal outplants'!D:T,17,FALSE)&lt;&gt;0,"TRUE", "FALSE")),"Completed",DATE(year(P23)+1, month(P23), day(P23)))</f>
        <v>Completed</v>
      </c>
      <c r="W23" s="1380"/>
      <c r="X23" s="1359" t="s">
        <v>1913</v>
      </c>
      <c r="Y23" s="1359">
        <v>5.0</v>
      </c>
      <c r="Z23" s="1373" t="str">
        <f>IFERROR(__xludf.DUMMYFUNCTION("JOIN(""  "",IFERROR(TRANSPOSE({FILTER($Q:$Q, MONTH($T:$T)=Y23, YEAR($T:$T)=YEAR(TODAY()),V:V&lt;&gt;""Completed"")}),""""))"),"T_AP_26  ES_AP_1  W_AP_18")</f>
        <v>T_AP_26  ES_AP_1  W_AP_18</v>
      </c>
      <c r="AA23" s="1360"/>
      <c r="AB23" s="1360"/>
      <c r="AC23" s="1360"/>
      <c r="AD23" s="1371"/>
      <c r="AE23" s="1360"/>
      <c r="AF23" s="1360"/>
      <c r="AG23" s="1360"/>
    </row>
    <row r="24">
      <c r="A24" s="1356">
        <v>41801.0</v>
      </c>
      <c r="B24" s="1357" t="s">
        <v>238</v>
      </c>
      <c r="C24" s="1358" t="s">
        <v>239</v>
      </c>
      <c r="D24" s="1366">
        <f t="shared" si="1"/>
        <v>41831</v>
      </c>
      <c r="E24" s="1366">
        <f t="shared" si="2"/>
        <v>42166</v>
      </c>
      <c r="F24" s="224" t="str">
        <f>IF(AND('in-situ Acer outplants'!D:D=B24,IF(VLOOKUP(B24,'in-situ Acer outplants'!D:M,10,FALSE)&lt;&gt;0,"TRUE", "FALSE")),"Completed",DATE(year(A24), month(A24)+1, day(A24)))</f>
        <v>Completed</v>
      </c>
      <c r="G24" s="1360" t="str">
        <f>IF(AND('in-situ Acer outplants'!D:D=B24,IF(VLOOKUP(B24,'in-situ Acer outplants'!D:T,17,FALSE)&lt;&gt;0,"TRUE", "FALSE")),"Completed",DATE(year(A24)+1, month(A24), day(A24)))</f>
        <v>Completed</v>
      </c>
      <c r="H24" s="1380"/>
      <c r="I24" s="1359" t="s">
        <v>1914</v>
      </c>
      <c r="J24" s="1359">
        <v>6.0</v>
      </c>
      <c r="K24" s="1373" t="str">
        <f>IFERROR(__xludf.DUMMYFUNCTION("JOIN(""  "",IFERROR(TRANSPOSE({FILTER($B:$B, MONTH($E:$E)=J24, YEAR($E:$E)=YEAR(TODAY()),G:G&lt;&gt;""Completed"")}),""""))"),"")</f>
        <v/>
      </c>
      <c r="L24" s="1360"/>
      <c r="M24" s="1360"/>
      <c r="N24" s="1360"/>
      <c r="O24" s="1371"/>
      <c r="P24" s="1385">
        <v>43724.0</v>
      </c>
      <c r="Q24" s="1360" t="s">
        <v>1045</v>
      </c>
      <c r="R24" s="1360" t="s">
        <v>1046</v>
      </c>
      <c r="S24" s="1370">
        <f t="shared" si="3"/>
        <v>43754</v>
      </c>
      <c r="T24" s="1366">
        <f t="shared" si="4"/>
        <v>44090</v>
      </c>
      <c r="U24" s="1360" t="str">
        <f>IF(AND('ex-situ Apal outplants'!D:D=Q24,IF(VLOOKUP(Q24,'ex-situ Apal outplants'!D:M,10,FALSE)&lt;&gt;0,"TRUE", "FALSE")),"Completed",DATE(year(P24), month(P24)+1, day(P24)))</f>
        <v>Completed</v>
      </c>
      <c r="V24" s="1360" t="str">
        <f>IF(AND('ex-situ Apal outplants'!D:D=Q24,IF(VLOOKUP(Q24,'ex-situ Apal outplants'!D:T,17,FALSE)&lt;&gt;0,"TRUE", "FALSE")),"Completed",DATE(year(P24)+1, month(P24), day(P24)))</f>
        <v>Completed</v>
      </c>
      <c r="W24" s="1380"/>
      <c r="X24" s="1359" t="s">
        <v>1914</v>
      </c>
      <c r="Y24" s="1359">
        <v>6.0</v>
      </c>
      <c r="Z24" s="1373" t="str">
        <f>IFERROR(__xludf.DUMMYFUNCTION("JOIN(""  "",IFERROR(TRANSPOSE({FILTER($Q:$Q, MONTH($T:$T)=Y24, YEAR($T:$T)=YEAR(TODAY()),V:V&lt;&gt;""Completed"")}),""""))"),"M32_AP_4  WS_AP_5  TN_AP_1  CO_AP_1")</f>
        <v>M32_AP_4  WS_AP_5  TN_AP_1  CO_AP_1</v>
      </c>
      <c r="AA24" s="1360"/>
      <c r="AB24" s="1360"/>
      <c r="AC24" s="1360"/>
      <c r="AD24" s="1371"/>
      <c r="AE24" s="1360"/>
      <c r="AF24" s="1360"/>
      <c r="AG24" s="1360"/>
    </row>
    <row r="25">
      <c r="A25" s="1356">
        <v>41835.0</v>
      </c>
      <c r="B25" s="1357" t="s">
        <v>243</v>
      </c>
      <c r="C25" s="1358" t="s">
        <v>235</v>
      </c>
      <c r="D25" s="1366">
        <f t="shared" si="1"/>
        <v>41866</v>
      </c>
      <c r="E25" s="1366">
        <f t="shared" si="2"/>
        <v>42200</v>
      </c>
      <c r="F25" s="224" t="str">
        <f>IF(AND('in-situ Acer outplants'!D:D=B25,IF(VLOOKUP(B25,'in-situ Acer outplants'!D:M,10,FALSE)&lt;&gt;0,"TRUE", "FALSE")),"Completed",DATE(year(A25), month(A25)+1, day(A25)))</f>
        <v>Completed</v>
      </c>
      <c r="G25" s="1360" t="str">
        <f>IF(AND('in-situ Acer outplants'!D:D=B25,IF(VLOOKUP(B25,'in-situ Acer outplants'!D:T,17,FALSE)&lt;&gt;0,"TRUE", "FALSE")),"Completed",DATE(year(A25)+1, month(A25), day(A25)))</f>
        <v>Completed</v>
      </c>
      <c r="H25" s="1381"/>
      <c r="I25" s="1359" t="s">
        <v>1915</v>
      </c>
      <c r="J25" s="1359">
        <v>7.0</v>
      </c>
      <c r="K25" s="1373" t="str">
        <f>IFERROR(__xludf.DUMMYFUNCTION("JOIN(""  "",IFERROR(TRANSPOSE({FILTER($B:$B, MONTH($E:$E)=J25, YEAR($E:$E)=YEAR(TODAY()),G:G&lt;&gt;""Completed"")}),""""))"),"")</f>
        <v/>
      </c>
      <c r="L25" s="1360"/>
      <c r="M25" s="1360"/>
      <c r="N25" s="1360"/>
      <c r="O25" s="1371"/>
      <c r="P25" s="1361">
        <v>43724.0</v>
      </c>
      <c r="Q25" s="1360" t="s">
        <v>1049</v>
      </c>
      <c r="R25" s="1360" t="s">
        <v>1050</v>
      </c>
      <c r="S25" s="1370">
        <f t="shared" si="3"/>
        <v>43754</v>
      </c>
      <c r="T25" s="1366">
        <f t="shared" si="4"/>
        <v>44090</v>
      </c>
      <c r="U25" s="1360" t="str">
        <f>IF(AND('ex-situ Apal outplants'!D:D=Q25,IF(VLOOKUP(Q25,'ex-situ Apal outplants'!D:M,10,FALSE)&lt;&gt;0,"TRUE", "FALSE")),"Completed",DATE(year(P25), month(P25)+1, day(P25)))</f>
        <v>Completed</v>
      </c>
      <c r="V25" s="1360" t="str">
        <f>IF(AND('ex-situ Apal outplants'!D:D=Q25,IF(VLOOKUP(Q25,'ex-situ Apal outplants'!D:T,17,FALSE)&lt;&gt;0,"TRUE", "FALSE")),"Completed",DATE(year(P25)+1, month(P25), day(P25)))</f>
        <v>Completed</v>
      </c>
      <c r="W25" s="1381"/>
      <c r="X25" s="1359" t="s">
        <v>1915</v>
      </c>
      <c r="Y25" s="1359">
        <v>7.0</v>
      </c>
      <c r="Z25" s="1373" t="str">
        <f>IFERROR(__xludf.DUMMYFUNCTION("JOIN(""  "",IFERROR(TRANSPOSE({FILTER($Q:$Q, MONTH($T:$T)=Y25, YEAR($T:$T)=YEAR(TODAY()),V:V&lt;&gt;""Completed"")}),""""))"),"Q_AP_6  MS_AP_2  SR_AP_2")</f>
        <v>Q_AP_6  MS_AP_2  SR_AP_2</v>
      </c>
      <c r="AA25" s="1360"/>
      <c r="AB25" s="1360"/>
      <c r="AC25" s="1360"/>
      <c r="AD25" s="1371"/>
      <c r="AE25" s="1360"/>
      <c r="AF25" s="1360"/>
      <c r="AG25" s="1360"/>
    </row>
    <row r="26">
      <c r="A26" s="1356">
        <v>41848.0</v>
      </c>
      <c r="B26" s="1357" t="s">
        <v>247</v>
      </c>
      <c r="C26" s="1358" t="s">
        <v>249</v>
      </c>
      <c r="D26" s="1366">
        <f t="shared" si="1"/>
        <v>41879</v>
      </c>
      <c r="E26" s="1366">
        <f t="shared" si="2"/>
        <v>42213</v>
      </c>
      <c r="F26" s="224" t="str">
        <f>IF(AND('in-situ Acer outplants'!D:D=B26,IF(VLOOKUP(B26,'in-situ Acer outplants'!D:M,10,FALSE)&lt;&gt;0,"TRUE", "FALSE")),"Completed",DATE(year(A26), month(A26)+1, day(A26)))</f>
        <v>Completed</v>
      </c>
      <c r="G26" s="1360" t="str">
        <f>IF(AND('in-situ Acer outplants'!D:D=B26,IF(VLOOKUP(B26,'in-situ Acer outplants'!D:T,17,FALSE)&lt;&gt;0,"TRUE", "FALSE")),"Completed",DATE(year(A26)+1, month(A26), day(A26)))</f>
        <v>Completed</v>
      </c>
      <c r="H26" s="1380"/>
      <c r="I26" s="1359" t="s">
        <v>1916</v>
      </c>
      <c r="J26" s="1359">
        <v>8.0</v>
      </c>
      <c r="K26" s="1373" t="str">
        <f>IFERROR(__xludf.DUMMYFUNCTION("JOIN(""  "",IFERROR(TRANSPOSE({FILTER($B:$B, MONTH($E:$E)=J26, YEAR($E:$E)=YEAR(TODAY()),G:G&lt;&gt;""Completed"")}),""""))"),"")</f>
        <v/>
      </c>
      <c r="L26" s="1360"/>
      <c r="M26" s="1360"/>
      <c r="N26" s="1360"/>
      <c r="O26" s="1371"/>
      <c r="P26" s="1361">
        <v>43770.0</v>
      </c>
      <c r="Q26" s="1360" t="s">
        <v>1054</v>
      </c>
      <c r="R26" s="1360" t="s">
        <v>1056</v>
      </c>
      <c r="S26" s="1370">
        <f t="shared" si="3"/>
        <v>43800</v>
      </c>
      <c r="T26" s="1366">
        <f t="shared" si="4"/>
        <v>44136</v>
      </c>
      <c r="U26" s="1360" t="str">
        <f>IF(AND('ex-situ Apal outplants'!D:D=Q26,IF(VLOOKUP(Q26,'ex-situ Apal outplants'!D:M,10,FALSE)&lt;&gt;0,"TRUE", "FALSE")),"Completed",DATE(year(P26), month(P26)+1, day(P26)))</f>
        <v>Completed</v>
      </c>
      <c r="V26" s="1360" t="str">
        <f>IF(AND('ex-situ Apal outplants'!D:D=Q26,IF(VLOOKUP(Q26,'ex-situ Apal outplants'!D:T,17,FALSE)&lt;&gt;0,"TRUE", "FALSE")),"Completed",DATE(year(P26)+1, month(P26), day(P26)))</f>
        <v>Completed</v>
      </c>
      <c r="W26" s="1380"/>
      <c r="X26" s="1359" t="s">
        <v>1916</v>
      </c>
      <c r="Y26" s="1359">
        <v>8.0</v>
      </c>
      <c r="Z26" s="1373" t="str">
        <f>IFERROR(__xludf.DUMMYFUNCTION("JOIN(""  "",IFERROR(TRANSPOSE({FILTER($Q:$Q, MONTH($T:$T)=Y26, YEAR($T:$T)=YEAR(TODAY()),V:V&lt;&gt;""Completed"")}),""""))"),"")</f>
        <v/>
      </c>
      <c r="AA26" s="1360"/>
      <c r="AB26" s="1360"/>
      <c r="AC26" s="1360"/>
      <c r="AD26" s="1371"/>
      <c r="AE26" s="1360"/>
      <c r="AF26" s="1360"/>
      <c r="AG26" s="1360"/>
    </row>
    <row r="27">
      <c r="A27" s="1356">
        <v>41992.0</v>
      </c>
      <c r="B27" s="1357" t="s">
        <v>251</v>
      </c>
      <c r="C27" s="1358" t="s">
        <v>252</v>
      </c>
      <c r="D27" s="1366">
        <f t="shared" si="1"/>
        <v>42023</v>
      </c>
      <c r="E27" s="1366">
        <f t="shared" si="2"/>
        <v>42357</v>
      </c>
      <c r="F27" s="224" t="str">
        <f>IF(AND('in-situ Acer outplants'!D:D=B27,IF(VLOOKUP(B27,'in-situ Acer outplants'!D:M,10,FALSE)&lt;&gt;0,"TRUE", "FALSE")),"Completed",DATE(year(A27), month(A27)+1, day(A27)))</f>
        <v>Completed</v>
      </c>
      <c r="G27" s="1360" t="str">
        <f>IF(AND('in-situ Acer outplants'!D:D=B27,IF(VLOOKUP(B27,'in-situ Acer outplants'!D:T,17,FALSE)&lt;&gt;0,"TRUE", "FALSE")),"Completed",DATE(year(A27)+1, month(A27), day(A27)))</f>
        <v>Completed</v>
      </c>
      <c r="H27" s="1380"/>
      <c r="I27" s="1359" t="s">
        <v>1917</v>
      </c>
      <c r="J27" s="1359">
        <v>9.0</v>
      </c>
      <c r="K27" s="1373" t="str">
        <f>IFERROR(__xludf.DUMMYFUNCTION("JOIN(""  "",IFERROR(TRANSPOSE({FILTER($B:$B, MONTH($E:$E)=J27, YEAR($E:$E)=YEAR(TODAY()),G:G&lt;&gt;""Completed"")}),""""))"),"")</f>
        <v/>
      </c>
      <c r="L27" s="1360"/>
      <c r="M27" s="1360"/>
      <c r="N27" s="1360"/>
      <c r="O27" s="1371"/>
      <c r="P27" s="1361">
        <v>43860.0</v>
      </c>
      <c r="Q27" s="1360" t="s">
        <v>1076</v>
      </c>
      <c r="R27" s="1360" t="s">
        <v>1077</v>
      </c>
      <c r="S27" s="1370">
        <f t="shared" si="3"/>
        <v>43891</v>
      </c>
      <c r="T27" s="1366">
        <f t="shared" si="4"/>
        <v>44226</v>
      </c>
      <c r="U27" s="1360" t="str">
        <f>IF(AND('ex-situ Apal outplants'!D:D=Q27,IF(VLOOKUP(Q27,'ex-situ Apal outplants'!D:M,10,FALSE)&lt;&gt;0,"TRUE", "FALSE")),"Completed",DATE(year(P27), month(P27)+1, day(P27)))</f>
        <v>Completed</v>
      </c>
      <c r="V27" s="1360" t="str">
        <f>IF(AND('ex-situ Apal outplants'!D:D=Q27,IF(VLOOKUP(Q27,'ex-situ Apal outplants'!D:T,17,FALSE)&lt;&gt;0,"TRUE", "FALSE")),"Completed",DATE(year(P27)+1, month(P27), day(P27)))</f>
        <v>Completed</v>
      </c>
      <c r="W27" s="1380"/>
      <c r="X27" s="1359" t="s">
        <v>1917</v>
      </c>
      <c r="Y27" s="1359">
        <v>9.0</v>
      </c>
      <c r="Z27" s="1373" t="str">
        <f>IFERROR(__xludf.DUMMYFUNCTION("JOIN(""  "",IFERROR(TRANSPOSE({FILTER($Q:$Q, MONTH($T:$T)=Y27, YEAR($T:$T)=YEAR(TODAY()),V:V&lt;&gt;""Completed"")}),""""))"),"")</f>
        <v/>
      </c>
      <c r="AA27" s="1360"/>
      <c r="AB27" s="1360"/>
      <c r="AC27" s="1360"/>
      <c r="AD27" s="1371"/>
      <c r="AE27" s="1360"/>
      <c r="AF27" s="1360"/>
      <c r="AG27" s="1360"/>
    </row>
    <row r="28">
      <c r="A28" s="1356">
        <v>41992.0</v>
      </c>
      <c r="B28" s="1357" t="s">
        <v>254</v>
      </c>
      <c r="C28" s="1358" t="s">
        <v>255</v>
      </c>
      <c r="D28" s="1366">
        <f t="shared" si="1"/>
        <v>42023</v>
      </c>
      <c r="E28" s="1366">
        <f t="shared" si="2"/>
        <v>42357</v>
      </c>
      <c r="F28" s="224" t="str">
        <f>IF(AND('in-situ Acer outplants'!D:D=B28,IF(VLOOKUP(B28,'in-situ Acer outplants'!D:M,10,FALSE)&lt;&gt;0,"TRUE", "FALSE")),"Completed",DATE(year(A28), month(A28)+1, day(A28)))</f>
        <v>Completed</v>
      </c>
      <c r="G28" s="1360" t="str">
        <f>IF(AND('in-situ Acer outplants'!D:D=B28,IF(VLOOKUP(B28,'in-situ Acer outplants'!D:T,17,FALSE)&lt;&gt;0,"TRUE", "FALSE")),"Completed",DATE(year(A28)+1, month(A28), day(A28)))</f>
        <v>Completed</v>
      </c>
      <c r="H28" s="1380"/>
      <c r="I28" s="1359" t="s">
        <v>1918</v>
      </c>
      <c r="J28" s="1359">
        <v>10.0</v>
      </c>
      <c r="K28" s="1373" t="str">
        <f>IFERROR(__xludf.DUMMYFUNCTION("JOIN(""  "",IFERROR(TRANSPOSE({FILTER($B:$B, MONTH($E:$E)=J28, YEAR($E:$E)=YEAR(TODAY()),G:G&lt;&gt;""Completed"")}),""""))"),"")</f>
        <v/>
      </c>
      <c r="L28" s="1360"/>
      <c r="M28" s="1360"/>
      <c r="N28" s="1360"/>
      <c r="O28" s="1371"/>
      <c r="P28" s="1361">
        <v>43916.0</v>
      </c>
      <c r="Q28" s="1360" t="s">
        <v>1095</v>
      </c>
      <c r="R28" s="1360" t="s">
        <v>1096</v>
      </c>
      <c r="S28" s="1370">
        <f t="shared" si="3"/>
        <v>43947</v>
      </c>
      <c r="T28" s="1366">
        <f t="shared" si="4"/>
        <v>44281</v>
      </c>
      <c r="U28" s="1360" t="str">
        <f>IF(AND('ex-situ Apal outplants'!D:D=Q28,IF(VLOOKUP(Q28,'ex-situ Apal outplants'!D:M,10,FALSE)&lt;&gt;0,"TRUE", "FALSE")),"Completed",DATE(year(P28), month(P28)+1, day(P28)))</f>
        <v>Completed</v>
      </c>
      <c r="V28" s="1360" t="str">
        <f>IF(AND('ex-situ Apal outplants'!D:D=Q28,IF(VLOOKUP(Q28,'ex-situ Apal outplants'!D:T,17,FALSE)&lt;&gt;0,"TRUE", "FALSE")),"Completed",DATE(year(P28)+1, month(P28), day(P28)))</f>
        <v>Completed</v>
      </c>
      <c r="W28" s="1380"/>
      <c r="X28" s="1359" t="s">
        <v>1918</v>
      </c>
      <c r="Y28" s="1359">
        <v>10.0</v>
      </c>
      <c r="Z28" s="1373" t="str">
        <f>IFERROR(__xludf.DUMMYFUNCTION("JOIN(""  "",IFERROR(TRANSPOSE({FILTER($Q:$Q, MONTH($T:$T)=Y28, YEAR($T:$T)=YEAR(TODAY()),V:V&lt;&gt;""Completed"")}),""""))"),"")</f>
        <v/>
      </c>
      <c r="AA28" s="1360"/>
      <c r="AB28" s="1360"/>
      <c r="AC28" s="1360"/>
      <c r="AD28" s="1371"/>
      <c r="AE28" s="1360"/>
      <c r="AF28" s="1360"/>
      <c r="AG28" s="1360"/>
    </row>
    <row r="29">
      <c r="A29" s="1356">
        <v>42114.0</v>
      </c>
      <c r="B29" s="1357" t="s">
        <v>257</v>
      </c>
      <c r="C29" s="1358" t="s">
        <v>259</v>
      </c>
      <c r="D29" s="1366">
        <f t="shared" si="1"/>
        <v>42144</v>
      </c>
      <c r="E29" s="1366">
        <f t="shared" si="2"/>
        <v>42480</v>
      </c>
      <c r="F29" s="224" t="str">
        <f>IF(AND('in-situ Acer outplants'!D:D=B29,IF(VLOOKUP(B29,'in-situ Acer outplants'!D:M,10,FALSE)&lt;&gt;0,"TRUE", "FALSE")),"Completed",DATE(year(A29), month(A29)+1, day(A29)))</f>
        <v>Completed</v>
      </c>
      <c r="G29" s="1360" t="str">
        <f>IF(AND('in-situ Acer outplants'!D:D=B29,IF(VLOOKUP(B29,'in-situ Acer outplants'!D:T,17,FALSE)&lt;&gt;0,"TRUE", "FALSE")),"Completed",DATE(year(A29)+1, month(A29), day(A29)))</f>
        <v>Completed</v>
      </c>
      <c r="H29" s="1384"/>
      <c r="I29" s="1359" t="s">
        <v>1919</v>
      </c>
      <c r="J29" s="1359">
        <v>11.0</v>
      </c>
      <c r="K29" s="1373" t="str">
        <f>IFERROR(__xludf.DUMMYFUNCTION("JOIN(""  "",IFERROR(TRANSPOSE({FILTER($B:$B, MONTH($E:$E)=J29, YEAR($E:$E)=YEAR(TODAY()),G:G&lt;&gt;""Completed"")}),""""))"),"")</f>
        <v/>
      </c>
      <c r="L29" s="1360"/>
      <c r="M29" s="1360"/>
      <c r="N29" s="1360"/>
      <c r="O29" s="1371"/>
      <c r="P29" s="1361">
        <v>43921.0</v>
      </c>
      <c r="Q29" s="1360" t="s">
        <v>1097</v>
      </c>
      <c r="R29" s="1360" t="s">
        <v>1098</v>
      </c>
      <c r="S29" s="1370">
        <f t="shared" si="3"/>
        <v>43952</v>
      </c>
      <c r="T29" s="1366">
        <f t="shared" si="4"/>
        <v>44286</v>
      </c>
      <c r="U29" s="1360" t="str">
        <f>IF(AND('ex-situ Apal outplants'!D:D=Q29,IF(VLOOKUP(Q29,'ex-situ Apal outplants'!D:M,10,FALSE)&lt;&gt;0,"TRUE", "FALSE")),"Completed",DATE(year(P29), month(P29)+1, day(P29)))</f>
        <v>Completed</v>
      </c>
      <c r="V29" s="1360" t="str">
        <f>IF(AND('ex-situ Apal outplants'!D:D=Q29,IF(VLOOKUP(Q29,'ex-situ Apal outplants'!D:T,17,FALSE)&lt;&gt;0,"TRUE", "FALSE")),"Completed",DATE(year(P29)+1, month(P29), day(P29)))</f>
        <v>Completed</v>
      </c>
      <c r="W29" s="1384"/>
      <c r="X29" s="1359" t="s">
        <v>1919</v>
      </c>
      <c r="Y29" s="1359">
        <v>11.0</v>
      </c>
      <c r="Z29" s="1373" t="str">
        <f>IFERROR(__xludf.DUMMYFUNCTION("JOIN(""  "",IFERROR(TRANSPOSE({FILTER($Q:$Q, MONTH($T:$T)=Y29, YEAR($T:$T)=YEAR(TODAY()),V:V&lt;&gt;""Completed"")}),""""))"),"")</f>
        <v/>
      </c>
      <c r="AA29" s="1360"/>
      <c r="AB29" s="1360"/>
      <c r="AC29" s="1360"/>
      <c r="AD29" s="1371"/>
      <c r="AE29" s="1360"/>
      <c r="AF29" s="1360"/>
      <c r="AG29" s="1360"/>
    </row>
    <row r="30">
      <c r="A30" s="1356">
        <v>42144.0</v>
      </c>
      <c r="B30" s="1357" t="s">
        <v>261</v>
      </c>
      <c r="C30" s="1358" t="s">
        <v>259</v>
      </c>
      <c r="D30" s="1366">
        <f t="shared" si="1"/>
        <v>42175</v>
      </c>
      <c r="E30" s="1366">
        <f t="shared" si="2"/>
        <v>42510</v>
      </c>
      <c r="F30" s="224" t="str">
        <f>IF(AND('in-situ Acer outplants'!D:D=B30,IF(VLOOKUP(B30,'in-situ Acer outplants'!D:M,10,FALSE)&lt;&gt;0,"TRUE", "FALSE")),"Completed",DATE(year(A30), month(A30)+1, day(A30)))</f>
        <v>Completed</v>
      </c>
      <c r="G30" s="1360" t="str">
        <f>IF(AND('in-situ Acer outplants'!D:D=B30,IF(VLOOKUP(B30,'in-situ Acer outplants'!D:T,17,FALSE)&lt;&gt;0,"TRUE", "FALSE")),"Completed",DATE(year(A30)+1, month(A30), day(A30)))</f>
        <v>Completed</v>
      </c>
      <c r="H30" s="1386"/>
      <c r="I30" s="1383" t="s">
        <v>1920</v>
      </c>
      <c r="J30" s="1383">
        <v>12.0</v>
      </c>
      <c r="K30" s="1376" t="str">
        <f>IFERROR(__xludf.DUMMYFUNCTION("JOIN(""  "",IFERROR(TRANSPOSE({FILTER($B:$B, MONTH($E:$E)=J30, YEAR($E:$E)=YEAR(TODAY()),G:G&lt;&gt;""Completed"")}),""""))"),"")</f>
        <v/>
      </c>
      <c r="L30" s="1360"/>
      <c r="M30" s="1360"/>
      <c r="N30" s="1360"/>
      <c r="O30" s="1371"/>
      <c r="P30" s="1361">
        <v>43937.0</v>
      </c>
      <c r="Q30" s="1360" t="s">
        <v>1099</v>
      </c>
      <c r="R30" s="1360" t="s">
        <v>1100</v>
      </c>
      <c r="S30" s="1370">
        <f t="shared" si="3"/>
        <v>43967</v>
      </c>
      <c r="T30" s="1366">
        <f t="shared" si="4"/>
        <v>44302</v>
      </c>
      <c r="U30" s="1360" t="str">
        <f>IF(AND('ex-situ Apal outplants'!D:D=Q30,IF(VLOOKUP(Q30,'ex-situ Apal outplants'!D:M,10,FALSE)&lt;&gt;0,"TRUE", "FALSE")),"Completed",DATE(year(P30), month(P30)+1, day(P30)))</f>
        <v>Completed</v>
      </c>
      <c r="V30" s="1360" t="str">
        <f>IF(AND('ex-situ Apal outplants'!D:D=Q30,IF(VLOOKUP(Q30,'ex-situ Apal outplants'!D:T,17,FALSE)&lt;&gt;0,"TRUE", "FALSE")),"Completed",DATE(year(P30)+1, month(P30), day(P30)))</f>
        <v>Completed</v>
      </c>
      <c r="W30" s="1386"/>
      <c r="X30" s="1383" t="s">
        <v>1920</v>
      </c>
      <c r="Y30" s="1383">
        <v>12.0</v>
      </c>
      <c r="Z30" s="1376" t="str">
        <f>IFERROR(__xludf.DUMMYFUNCTION("JOIN(""  "",IFERROR(TRANSPOSE({FILTER($Q:$Q, MONTH($T:$T)=Y30, YEAR($T:$T)=YEAR(TODAY()),V:V&lt;&gt;""Completed"")}),""""))"),"")</f>
        <v/>
      </c>
      <c r="AA30" s="1360"/>
      <c r="AB30" s="1360"/>
      <c r="AC30" s="1360"/>
      <c r="AD30" s="1371"/>
      <c r="AE30" s="1360"/>
      <c r="AF30" s="1360"/>
      <c r="AG30" s="1360"/>
    </row>
    <row r="31">
      <c r="A31" s="1356">
        <v>42156.0</v>
      </c>
      <c r="B31" s="1357" t="s">
        <v>263</v>
      </c>
      <c r="C31" s="1358" t="s">
        <v>259</v>
      </c>
      <c r="D31" s="1366">
        <f t="shared" si="1"/>
        <v>42186</v>
      </c>
      <c r="E31" s="1366">
        <f t="shared" si="2"/>
        <v>42522</v>
      </c>
      <c r="F31" s="224" t="str">
        <f>IF(AND('in-situ Acer outplants'!D:D=B31,IF(VLOOKUP(B31,'in-situ Acer outplants'!D:M,10,FALSE)&lt;&gt;0,"TRUE", "FALSE")),"Completed",DATE(year(A31), month(A31)+1, day(A31)))</f>
        <v>Completed</v>
      </c>
      <c r="G31" s="1360" t="str">
        <f>IF(AND('in-situ Acer outplants'!D:D=B31,IF(VLOOKUP(B31,'in-situ Acer outplants'!D:T,17,FALSE)&lt;&gt;0,"TRUE", "FALSE")),"Completed",DATE(year(A31)+1, month(A31), day(A31)))</f>
        <v>Completed</v>
      </c>
      <c r="H31" s="1360"/>
      <c r="I31" s="1360"/>
      <c r="J31" s="1360"/>
      <c r="K31" s="1360"/>
      <c r="L31" s="1360"/>
      <c r="M31" s="1360"/>
      <c r="N31" s="1360"/>
      <c r="O31" s="1371"/>
      <c r="P31" s="1361">
        <v>43955.0</v>
      </c>
      <c r="Q31" s="1360" t="s">
        <v>1102</v>
      </c>
      <c r="R31" s="1360" t="s">
        <v>1103</v>
      </c>
      <c r="S31" s="1370">
        <f t="shared" si="3"/>
        <v>43986</v>
      </c>
      <c r="T31" s="1366">
        <f t="shared" si="4"/>
        <v>44320</v>
      </c>
      <c r="U31" s="1360" t="str">
        <f>IF(AND('ex-situ Apal outplants'!D:D=Q31,IF(VLOOKUP(Q31,'ex-situ Apal outplants'!D:M,10,FALSE)&lt;&gt;0,"TRUE", "FALSE")),"Completed",DATE(year(P31), month(P31)+1, day(P31)))</f>
        <v>Completed</v>
      </c>
      <c r="V31" s="1360" t="str">
        <f>IF(AND('ex-situ Apal outplants'!D:D=Q31,IF(VLOOKUP(Q31,'ex-situ Apal outplants'!D:T,17,FALSE)&lt;&gt;0,"TRUE", "FALSE")),"Completed",DATE(year(P31)+1, month(P31), day(P31)))</f>
        <v>Completed</v>
      </c>
      <c r="W31" s="1360"/>
      <c r="X31" s="1360"/>
      <c r="Y31" s="1360"/>
      <c r="Z31" s="1360"/>
      <c r="AA31" s="1360"/>
      <c r="AB31" s="1360"/>
      <c r="AC31" s="1360"/>
      <c r="AD31" s="1371"/>
      <c r="AE31" s="1360"/>
      <c r="AF31" s="1360"/>
      <c r="AG31" s="1360"/>
    </row>
    <row r="32">
      <c r="A32" s="1356">
        <v>42192.0</v>
      </c>
      <c r="B32" s="1357" t="s">
        <v>265</v>
      </c>
      <c r="C32" s="1358" t="s">
        <v>266</v>
      </c>
      <c r="D32" s="1366">
        <f t="shared" si="1"/>
        <v>42223</v>
      </c>
      <c r="E32" s="1366">
        <f t="shared" si="2"/>
        <v>42558</v>
      </c>
      <c r="F32" s="224" t="str">
        <f>IF(AND('in-situ Acer outplants'!D:D=B32,IF(VLOOKUP(B32,'in-situ Acer outplants'!D:M,10,FALSE)&lt;&gt;0,"TRUE", "FALSE")),"Completed",DATE(year(A32), month(A32)+1, day(A32)))</f>
        <v>Completed</v>
      </c>
      <c r="G32" s="1360" t="str">
        <f>IF(AND('in-situ Acer outplants'!D:D=B32,IF(VLOOKUP(B32,'in-situ Acer outplants'!D:T,17,FALSE)&lt;&gt;0,"TRUE", "FALSE")),"Completed",DATE(year(A32)+1, month(A32), day(A32)))</f>
        <v>Completed</v>
      </c>
      <c r="H32" s="1360"/>
      <c r="I32" s="1360"/>
      <c r="J32" s="1360"/>
      <c r="K32" s="1360"/>
      <c r="L32" s="1360"/>
      <c r="M32" s="1360"/>
      <c r="N32" s="1360"/>
      <c r="O32" s="1371"/>
      <c r="P32" s="1361">
        <v>43979.0</v>
      </c>
      <c r="Q32" s="1360" t="s">
        <v>1104</v>
      </c>
      <c r="R32" s="1360" t="s">
        <v>1105</v>
      </c>
      <c r="S32" s="1370">
        <f t="shared" si="3"/>
        <v>44010</v>
      </c>
      <c r="T32" s="1366">
        <f t="shared" si="4"/>
        <v>44344</v>
      </c>
      <c r="U32" s="1360" t="str">
        <f>IF(AND('ex-situ Apal outplants'!D:D=Q32,IF(VLOOKUP(Q32,'ex-situ Apal outplants'!D:M,10,FALSE)&lt;&gt;0,"TRUE", "FALSE")),"Completed",DATE(year(P32), month(P32)+1, day(P32)))</f>
        <v>Completed</v>
      </c>
      <c r="V32" s="1360" t="str">
        <f>IF(AND('ex-situ Apal outplants'!D:D=Q32,IF(VLOOKUP(Q32,'ex-situ Apal outplants'!D:T,17,FALSE)&lt;&gt;0,"TRUE", "FALSE")),"Completed",DATE(year(P32)+1, month(P32), day(P32)))</f>
        <v>Completed</v>
      </c>
      <c r="W32" s="1360"/>
      <c r="X32" s="1360"/>
      <c r="Y32" s="1360"/>
      <c r="Z32" s="1360"/>
      <c r="AA32" s="1360"/>
      <c r="AB32" s="1360"/>
      <c r="AC32" s="1360"/>
      <c r="AD32" s="1371"/>
      <c r="AE32" s="1360"/>
      <c r="AF32" s="1360"/>
      <c r="AG32" s="1360"/>
    </row>
    <row r="33">
      <c r="A33" s="1356">
        <v>42201.0</v>
      </c>
      <c r="B33" s="1357" t="s">
        <v>269</v>
      </c>
      <c r="C33" s="1358" t="s">
        <v>259</v>
      </c>
      <c r="D33" s="1366">
        <f t="shared" si="1"/>
        <v>42232</v>
      </c>
      <c r="E33" s="1366">
        <f t="shared" si="2"/>
        <v>42567</v>
      </c>
      <c r="F33" s="224" t="str">
        <f>IF(AND('in-situ Acer outplants'!D:D=B33,IF(VLOOKUP(B33,'in-situ Acer outplants'!D:M,10,FALSE)&lt;&gt;0,"TRUE", "FALSE")),"Completed",DATE(year(A33), month(A33)+1, day(A33)))</f>
        <v>Completed</v>
      </c>
      <c r="G33" s="1360" t="str">
        <f>IF(AND('in-situ Acer outplants'!D:D=B33,IF(VLOOKUP(B33,'in-situ Acer outplants'!D:T,17,FALSE)&lt;&gt;0,"TRUE", "FALSE")),"Completed",DATE(year(A33)+1, month(A33), day(A33)))</f>
        <v>Completed</v>
      </c>
      <c r="H33" s="1360"/>
      <c r="I33" s="1360"/>
      <c r="J33" s="1360"/>
      <c r="K33" s="1360"/>
      <c r="L33" s="1360"/>
      <c r="M33" s="1360"/>
      <c r="N33" s="1360"/>
      <c r="O33" s="1371"/>
      <c r="P33" s="1361">
        <v>43993.0</v>
      </c>
      <c r="Q33" s="1360" t="s">
        <v>1107</v>
      </c>
      <c r="R33" s="1360" t="s">
        <v>1108</v>
      </c>
      <c r="S33" s="1370">
        <f t="shared" si="3"/>
        <v>44023</v>
      </c>
      <c r="T33" s="1366">
        <f t="shared" si="4"/>
        <v>44358</v>
      </c>
      <c r="U33" s="1360" t="str">
        <f>IF(AND('ex-situ Apal outplants'!D:D=Q33,IF(VLOOKUP(Q33,'ex-situ Apal outplants'!D:M,10,FALSE)&lt;&gt;0,"TRUE", "FALSE")),"Completed",DATE(year(P33), month(P33)+1, day(P33)))</f>
        <v>Completed</v>
      </c>
      <c r="V33" s="1360" t="str">
        <f>IF(AND('ex-situ Apal outplants'!D:D=Q33,IF(VLOOKUP(Q33,'ex-situ Apal outplants'!D:T,17,FALSE)&lt;&gt;0,"TRUE", "FALSE")),"Completed",DATE(year(P33)+1, month(P33), day(P33)))</f>
        <v>Completed</v>
      </c>
      <c r="W33" s="1360"/>
      <c r="X33" s="1360"/>
      <c r="Y33" s="1360"/>
      <c r="Z33" s="1360"/>
      <c r="AA33" s="1360"/>
      <c r="AB33" s="1360"/>
      <c r="AC33" s="1360"/>
      <c r="AD33" s="1371"/>
      <c r="AE33" s="1360"/>
      <c r="AF33" s="1360"/>
      <c r="AG33" s="1360"/>
    </row>
    <row r="34">
      <c r="A34" s="1356">
        <v>42205.0</v>
      </c>
      <c r="B34" s="1357" t="s">
        <v>271</v>
      </c>
      <c r="C34" s="1358" t="s">
        <v>273</v>
      </c>
      <c r="D34" s="1366">
        <f t="shared" si="1"/>
        <v>42236</v>
      </c>
      <c r="E34" s="1366">
        <f t="shared" si="2"/>
        <v>42571</v>
      </c>
      <c r="F34" s="224" t="str">
        <f>IF(AND('in-situ Acer outplants'!D:D=B34,IF(VLOOKUP(B34,'in-situ Acer outplants'!D:M,10,FALSE)&lt;&gt;0,"TRUE", "FALSE")),"Completed",DATE(year(A34), month(A34)+1, day(A34)))</f>
        <v>Completed</v>
      </c>
      <c r="G34" s="1360" t="str">
        <f>IF(AND('in-situ Acer outplants'!D:D=B34,IF(VLOOKUP(B34,'in-situ Acer outplants'!D:T,17,FALSE)&lt;&gt;0,"TRUE", "FALSE")),"Completed",DATE(year(A34)+1, month(A34), day(A34)))</f>
        <v>Completed</v>
      </c>
      <c r="H34" s="1387"/>
      <c r="I34" s="1387"/>
      <c r="J34" s="1387"/>
      <c r="K34" s="1360"/>
      <c r="L34" s="1360"/>
      <c r="M34" s="1360"/>
      <c r="N34" s="1360"/>
      <c r="O34" s="1371"/>
      <c r="P34" s="1361">
        <v>44000.0</v>
      </c>
      <c r="Q34" s="1360" t="s">
        <v>1110</v>
      </c>
      <c r="R34" s="1360" t="s">
        <v>1111</v>
      </c>
      <c r="S34" s="1370">
        <f t="shared" si="3"/>
        <v>44030</v>
      </c>
      <c r="T34" s="1366">
        <f t="shared" si="4"/>
        <v>44365</v>
      </c>
      <c r="U34" s="1360" t="str">
        <f>IF(AND('ex-situ Apal outplants'!D:D=Q34,IF(VLOOKUP(Q34,'ex-situ Apal outplants'!D:M,10,FALSE)&lt;&gt;0,"TRUE", "FALSE")),"Completed",DATE(year(P34), month(P34)+1, day(P34)))</f>
        <v>Completed</v>
      </c>
      <c r="V34" s="1360" t="str">
        <f>IF(AND('ex-situ Apal outplants'!D:D=Q34,IF(VLOOKUP(Q34,'ex-situ Apal outplants'!D:T,17,FALSE)&lt;&gt;0,"TRUE", "FALSE")),"Completed",DATE(year(P34)+1, month(P34), day(P34)))</f>
        <v>Completed</v>
      </c>
      <c r="W34" s="1360"/>
      <c r="X34" s="1360"/>
      <c r="Y34" s="1360"/>
      <c r="Z34" s="1360"/>
      <c r="AA34" s="1360"/>
      <c r="AB34" s="1360"/>
      <c r="AC34" s="1360"/>
      <c r="AD34" s="1371"/>
      <c r="AE34" s="1360"/>
      <c r="AF34" s="1360"/>
      <c r="AG34" s="1360"/>
    </row>
    <row r="35">
      <c r="A35" s="1356">
        <v>42447.0</v>
      </c>
      <c r="B35" s="1357" t="s">
        <v>276</v>
      </c>
      <c r="C35" s="1358" t="s">
        <v>32</v>
      </c>
      <c r="D35" s="1366">
        <f t="shared" si="1"/>
        <v>42478</v>
      </c>
      <c r="E35" s="1366">
        <f t="shared" si="2"/>
        <v>42812</v>
      </c>
      <c r="F35" s="224" t="str">
        <f>IF(AND('in-situ Acer outplants'!D:D=B35,IF(VLOOKUP(B35,'in-situ Acer outplants'!D:M,10,FALSE)&lt;&gt;0,"TRUE", "FALSE")),"Completed",DATE(year(A35), month(A35)+1, day(A35)))</f>
        <v>Completed</v>
      </c>
      <c r="G35" s="1360" t="str">
        <f>IF(AND('in-situ Acer outplants'!D:D=B35,IF(VLOOKUP(B35,'in-situ Acer outplants'!D:T,17,FALSE)&lt;&gt;0,"TRUE", "FALSE")),"Completed",DATE(year(A35)+1, month(A35), day(A35)))</f>
        <v>Completed</v>
      </c>
      <c r="H35" s="1360"/>
      <c r="I35" s="1387"/>
      <c r="J35" s="1387"/>
      <c r="K35" s="1360"/>
      <c r="L35" s="1360"/>
      <c r="M35" s="1360"/>
      <c r="N35" s="1360"/>
      <c r="O35" s="1371"/>
      <c r="P35" s="1361">
        <v>44012.0</v>
      </c>
      <c r="Q35" s="1360" t="s">
        <v>1113</v>
      </c>
      <c r="R35" s="1360" t="s">
        <v>1114</v>
      </c>
      <c r="S35" s="1370">
        <f t="shared" si="3"/>
        <v>44042</v>
      </c>
      <c r="T35" s="1366">
        <f t="shared" si="4"/>
        <v>44377</v>
      </c>
      <c r="U35" s="1360" t="str">
        <f>IF(AND('ex-situ Apal outplants'!D:D=Q35,IF(VLOOKUP(Q35,'ex-situ Apal outplants'!D:M,10,FALSE)&lt;&gt;0,"TRUE", "FALSE")),"Completed",DATE(year(P35), month(P35)+1, day(P35)))</f>
        <v>Completed</v>
      </c>
      <c r="V35" s="1360" t="str">
        <f>IF(AND('ex-situ Apal outplants'!D:D=Q35,IF(VLOOKUP(Q35,'ex-situ Apal outplants'!D:T,17,FALSE)&lt;&gt;0,"TRUE", "FALSE")),"Completed",DATE(year(P35)+1, month(P35), day(P35)))</f>
        <v>Completed</v>
      </c>
      <c r="W35" s="1360"/>
      <c r="X35" s="1360"/>
      <c r="Y35" s="1360"/>
      <c r="Z35" s="1360"/>
      <c r="AA35" s="1360"/>
      <c r="AB35" s="1360"/>
      <c r="AC35" s="1360"/>
      <c r="AD35" s="1371"/>
      <c r="AE35" s="1360"/>
      <c r="AF35" s="1360"/>
      <c r="AG35" s="1360"/>
    </row>
    <row r="36">
      <c r="A36" s="1356">
        <v>42474.0</v>
      </c>
      <c r="B36" s="1357" t="s">
        <v>280</v>
      </c>
      <c r="C36" s="1358" t="s">
        <v>281</v>
      </c>
      <c r="D36" s="1366">
        <f t="shared" si="1"/>
        <v>42504</v>
      </c>
      <c r="E36" s="1366">
        <f t="shared" si="2"/>
        <v>42839</v>
      </c>
      <c r="F36" s="224" t="str">
        <f>IF(AND('in-situ Acer outplants'!D:D=B36,IF(VLOOKUP(B36,'in-situ Acer outplants'!D:M,10,FALSE)&lt;&gt;0,"TRUE", "FALSE")),"Completed",DATE(year(A36), month(A36)+1, day(A36)))</f>
        <v>Completed</v>
      </c>
      <c r="G36" s="1360" t="str">
        <f>IF(AND('in-situ Acer outplants'!D:D=B36,IF(VLOOKUP(B36,'in-situ Acer outplants'!D:T,17,FALSE)&lt;&gt;0,"TRUE", "FALSE")),"Completed",DATE(year(A36)+1, month(A36), day(A36)))</f>
        <v>Completed</v>
      </c>
      <c r="H36" s="1360"/>
      <c r="I36" s="1387"/>
      <c r="J36" s="1387"/>
      <c r="K36" s="1360"/>
      <c r="L36" s="1360"/>
      <c r="M36" s="1360"/>
      <c r="N36" s="1360"/>
      <c r="O36" s="1371"/>
      <c r="P36" s="1361">
        <v>44048.0</v>
      </c>
      <c r="Q36" s="1360" t="s">
        <v>1119</v>
      </c>
      <c r="R36" s="1360" t="s">
        <v>1120</v>
      </c>
      <c r="S36" s="1370">
        <f t="shared" si="3"/>
        <v>44079</v>
      </c>
      <c r="T36" s="1366">
        <f t="shared" si="4"/>
        <v>44413</v>
      </c>
      <c r="U36" s="1360" t="str">
        <f>IF(AND('ex-situ Apal outplants'!D:D=Q36,IF(VLOOKUP(Q36,'ex-situ Apal outplants'!D:M,10,FALSE)&lt;&gt;0,"TRUE", "FALSE")),"Completed",DATE(year(P36), month(P36)+1, day(P36)))</f>
        <v>Completed</v>
      </c>
      <c r="V36" s="1360" t="str">
        <f>IF(AND('ex-situ Apal outplants'!D:D=Q36,IF(VLOOKUP(Q36,'ex-situ Apal outplants'!D:T,17,FALSE)&lt;&gt;0,"TRUE", "FALSE")),"Completed",DATE(year(P36)+1, month(P36), day(P36)))</f>
        <v>Completed</v>
      </c>
      <c r="W36" s="1360"/>
      <c r="X36" s="1360"/>
      <c r="Y36" s="1360"/>
      <c r="Z36" s="1360"/>
      <c r="AA36" s="1360"/>
      <c r="AB36" s="1360"/>
      <c r="AC36" s="1360"/>
      <c r="AD36" s="1371"/>
      <c r="AE36" s="1360"/>
      <c r="AF36" s="1360"/>
      <c r="AG36" s="1360"/>
    </row>
    <row r="37">
      <c r="A37" s="1356">
        <v>42525.0</v>
      </c>
      <c r="B37" s="1357" t="s">
        <v>283</v>
      </c>
      <c r="C37" s="1358" t="s">
        <v>284</v>
      </c>
      <c r="D37" s="1366">
        <f t="shared" si="1"/>
        <v>42555</v>
      </c>
      <c r="E37" s="1366">
        <f t="shared" si="2"/>
        <v>42890</v>
      </c>
      <c r="F37" s="224" t="str">
        <f>IF(AND('in-situ Acer outplants'!D:D=B37,IF(VLOOKUP(B37,'in-situ Acer outplants'!D:M,10,FALSE)&lt;&gt;0,"TRUE", "FALSE")),"Completed",DATE(year(A37), month(A37)+1, day(A37)))</f>
        <v>Completed</v>
      </c>
      <c r="G37" s="1360" t="str">
        <f>IF(AND('in-situ Acer outplants'!D:D=B37,IF(VLOOKUP(B37,'in-situ Acer outplants'!D:T,17,FALSE)&lt;&gt;0,"TRUE", "FALSE")),"Completed",DATE(year(A37)+1, month(A37), day(A37)))</f>
        <v>Completed</v>
      </c>
      <c r="H37" s="1360"/>
      <c r="I37" s="1387"/>
      <c r="J37" s="1387"/>
      <c r="K37" s="1360"/>
      <c r="L37" s="1360"/>
      <c r="M37" s="1360"/>
      <c r="N37" s="1360"/>
      <c r="O37" s="1371"/>
      <c r="P37" s="1361">
        <v>44060.0</v>
      </c>
      <c r="Q37" s="1360" t="s">
        <v>1132</v>
      </c>
      <c r="R37" s="1360" t="s">
        <v>1133</v>
      </c>
      <c r="S37" s="1370">
        <f t="shared" si="3"/>
        <v>44091</v>
      </c>
      <c r="T37" s="1366">
        <f t="shared" si="4"/>
        <v>44425</v>
      </c>
      <c r="U37" s="1360" t="str">
        <f>IF(AND('ex-situ Apal outplants'!D:D=Q37,IF(VLOOKUP(Q37,'ex-situ Apal outplants'!D:M,10,FALSE)&lt;&gt;0,"TRUE", "FALSE")),"Completed",DATE(year(P37), month(P37)+1, day(P37)))</f>
        <v>Completed</v>
      </c>
      <c r="V37" s="1360" t="str">
        <f>IF(AND('ex-situ Apal outplants'!D:D=Q37,IF(VLOOKUP(Q37,'ex-situ Apal outplants'!D:T,17,FALSE)&lt;&gt;0,"TRUE", "FALSE")),"Completed",DATE(year(P37)+1, month(P37), day(P37)))</f>
        <v>Completed</v>
      </c>
      <c r="W37" s="1360"/>
      <c r="X37" s="1360"/>
      <c r="Y37" s="1360"/>
      <c r="Z37" s="1360"/>
      <c r="AA37" s="1360"/>
      <c r="AB37" s="1360"/>
      <c r="AC37" s="1360"/>
      <c r="AD37" s="1371"/>
      <c r="AE37" s="1360"/>
      <c r="AF37" s="1360"/>
      <c r="AG37" s="1360"/>
    </row>
    <row r="38">
      <c r="A38" s="1356">
        <v>42559.0</v>
      </c>
      <c r="B38" s="1357" t="s">
        <v>287</v>
      </c>
      <c r="C38" s="1358" t="s">
        <v>259</v>
      </c>
      <c r="D38" s="1366">
        <f t="shared" si="1"/>
        <v>42590</v>
      </c>
      <c r="E38" s="1366">
        <f t="shared" si="2"/>
        <v>42924</v>
      </c>
      <c r="F38" s="224" t="str">
        <f>IF(AND('in-situ Acer outplants'!D:D=B38,IF(VLOOKUP(B38,'in-situ Acer outplants'!D:M,10,FALSE)&lt;&gt;0,"TRUE", "FALSE")),"Completed",DATE(year(A38), month(A38)+1, day(A38)))</f>
        <v>Completed</v>
      </c>
      <c r="G38" s="1360" t="str">
        <f>IF(AND('in-situ Acer outplants'!D:D=B38,IF(VLOOKUP(B38,'in-situ Acer outplants'!D:T,17,FALSE)&lt;&gt;0,"TRUE", "FALSE")),"Completed",DATE(year(A38)+1, month(A38), day(A38)))</f>
        <v>Completed</v>
      </c>
      <c r="H38" s="1360"/>
      <c r="I38" s="1387"/>
      <c r="J38" s="1387"/>
      <c r="K38" s="1360"/>
      <c r="L38" s="1360"/>
      <c r="M38" s="1360"/>
      <c r="N38" s="1360"/>
      <c r="O38" s="1371"/>
      <c r="P38" s="1361">
        <v>44091.0</v>
      </c>
      <c r="Q38" s="1360" t="s">
        <v>1134</v>
      </c>
      <c r="R38" s="1360" t="s">
        <v>1135</v>
      </c>
      <c r="S38" s="1370">
        <f t="shared" si="3"/>
        <v>44121</v>
      </c>
      <c r="T38" s="1366">
        <f t="shared" si="4"/>
        <v>44456</v>
      </c>
      <c r="U38" s="1360" t="str">
        <f>IF(AND('ex-situ Apal outplants'!D:D=Q38,IF(VLOOKUP(Q38,'ex-situ Apal outplants'!D:M,10,FALSE)&lt;&gt;0,"TRUE", "FALSE")),"Completed",DATE(year(P38), month(P38)+1, day(P38)))</f>
        <v>Completed</v>
      </c>
      <c r="V38" s="1360" t="str">
        <f>IF(AND('ex-situ Apal outplants'!D:D=Q38,IF(VLOOKUP(Q38,'ex-situ Apal outplants'!D:T,17,FALSE)&lt;&gt;0,"TRUE", "FALSE")),"Completed",DATE(year(P38)+1, month(P38), day(P38)))</f>
        <v>Completed</v>
      </c>
      <c r="W38" s="1360"/>
      <c r="X38" s="1360"/>
      <c r="Y38" s="1360"/>
      <c r="Z38" s="1360"/>
      <c r="AA38" s="1360"/>
      <c r="AB38" s="1360"/>
      <c r="AC38" s="1360"/>
      <c r="AD38" s="1371"/>
      <c r="AE38" s="1360"/>
      <c r="AF38" s="1360"/>
      <c r="AG38" s="1360"/>
    </row>
    <row r="39">
      <c r="A39" s="1356">
        <v>42572.0</v>
      </c>
      <c r="B39" s="1357" t="s">
        <v>289</v>
      </c>
      <c r="C39" s="1358" t="s">
        <v>290</v>
      </c>
      <c r="D39" s="1366">
        <f t="shared" si="1"/>
        <v>42603</v>
      </c>
      <c r="E39" s="1366">
        <f t="shared" si="2"/>
        <v>42937</v>
      </c>
      <c r="F39" s="224" t="str">
        <f>IF(AND('in-situ Acer outplants'!D:D=B39,IF(VLOOKUP(B39,'in-situ Acer outplants'!D:M,10,FALSE)&lt;&gt;0,"TRUE", "FALSE")),"Completed",DATE(year(A39), month(A39)+1, day(A39)))</f>
        <v>Completed</v>
      </c>
      <c r="G39" s="1360" t="str">
        <f>IF(AND('in-situ Acer outplants'!D:D=B39,IF(VLOOKUP(B39,'in-situ Acer outplants'!D:T,17,FALSE)&lt;&gt;0,"TRUE", "FALSE")),"Completed",DATE(year(A39)+1, month(A39), day(A39)))</f>
        <v>Completed</v>
      </c>
      <c r="H39" s="1360"/>
      <c r="I39" s="1387"/>
      <c r="J39" s="1387"/>
      <c r="K39" s="1360"/>
      <c r="L39" s="1360"/>
      <c r="M39" s="1360"/>
      <c r="N39" s="1360"/>
      <c r="O39" s="1371"/>
      <c r="P39" s="1361">
        <v>44116.0</v>
      </c>
      <c r="Q39" s="1360" t="s">
        <v>1137</v>
      </c>
      <c r="R39" s="1360" t="s">
        <v>1138</v>
      </c>
      <c r="S39" s="1370">
        <f t="shared" si="3"/>
        <v>44147</v>
      </c>
      <c r="T39" s="1366">
        <f t="shared" si="4"/>
        <v>44481</v>
      </c>
      <c r="U39" s="1360" t="str">
        <f>IF(AND('ex-situ Apal outplants'!D:D=Q39,IF(VLOOKUP(Q39,'ex-situ Apal outplants'!D:M,10,FALSE)&lt;&gt;0,"TRUE", "FALSE")),"Completed",DATE(year(P39), month(P39)+1, day(P39)))</f>
        <v>Completed</v>
      </c>
      <c r="V39" s="1360" t="str">
        <f>IF(AND('ex-situ Apal outplants'!D:D=Q39,IF(VLOOKUP(Q39,'ex-situ Apal outplants'!D:T,17,FALSE)&lt;&gt;0,"TRUE", "FALSE")),"Completed",DATE(year(P39)+1, month(P39), day(P39)))</f>
        <v>Completed</v>
      </c>
      <c r="W39" s="1360"/>
      <c r="X39" s="1360"/>
      <c r="Y39" s="1360"/>
      <c r="Z39" s="1360"/>
      <c r="AA39" s="1360"/>
      <c r="AB39" s="1360"/>
      <c r="AC39" s="1360"/>
      <c r="AD39" s="1371"/>
      <c r="AE39" s="1360"/>
      <c r="AF39" s="1360"/>
      <c r="AG39" s="1360"/>
    </row>
    <row r="40">
      <c r="A40" s="1356">
        <v>42591.0</v>
      </c>
      <c r="B40" s="1357" t="s">
        <v>293</v>
      </c>
      <c r="C40" s="1358" t="s">
        <v>259</v>
      </c>
      <c r="D40" s="1366">
        <f t="shared" si="1"/>
        <v>42622</v>
      </c>
      <c r="E40" s="1366">
        <f t="shared" si="2"/>
        <v>42956</v>
      </c>
      <c r="F40" s="224" t="str">
        <f>IF(AND('in-situ Acer outplants'!D:D=B40,IF(VLOOKUP(B40,'in-situ Acer outplants'!D:M,10,FALSE)&lt;&gt;0,"TRUE", "FALSE")),"Completed",DATE(year(A40), month(A40)+1, day(A40)))</f>
        <v>Completed</v>
      </c>
      <c r="G40" s="1360" t="str">
        <f>IF(AND('in-situ Acer outplants'!D:D=B40,IF(VLOOKUP(B40,'in-situ Acer outplants'!D:T,17,FALSE)&lt;&gt;0,"TRUE", "FALSE")),"Completed",DATE(year(A40)+1, month(A40), day(A40)))</f>
        <v>Completed</v>
      </c>
      <c r="H40" s="1360"/>
      <c r="I40" s="1387"/>
      <c r="J40" s="1387"/>
      <c r="K40" s="1360"/>
      <c r="L40" s="1360"/>
      <c r="M40" s="1360"/>
      <c r="N40" s="1360"/>
      <c r="O40" s="1371"/>
      <c r="P40" s="1361">
        <v>44118.0</v>
      </c>
      <c r="Q40" s="1360" t="s">
        <v>1139</v>
      </c>
      <c r="R40" s="1360" t="s">
        <v>1140</v>
      </c>
      <c r="S40" s="1370">
        <f t="shared" si="3"/>
        <v>44149</v>
      </c>
      <c r="T40" s="1366">
        <f t="shared" si="4"/>
        <v>44483</v>
      </c>
      <c r="U40" s="1360" t="str">
        <f>IF(AND('ex-situ Apal outplants'!D:D=Q40,IF(VLOOKUP(Q40,'ex-situ Apal outplants'!D:M,10,FALSE)&lt;&gt;0,"TRUE", "FALSE")),"Completed",DATE(year(P40), month(P40)+1, day(P40)))</f>
        <v>Completed</v>
      </c>
      <c r="V40" s="1360" t="str">
        <f>IF(AND('ex-situ Apal outplants'!D:D=Q40,IF(VLOOKUP(Q40,'ex-situ Apal outplants'!D:T,17,FALSE)&lt;&gt;0,"TRUE", "FALSE")),"Completed",DATE(year(P40)+1, month(P40), day(P40)))</f>
        <v>Completed</v>
      </c>
      <c r="W40" s="1360"/>
      <c r="X40" s="1360"/>
      <c r="Y40" s="1360"/>
      <c r="Z40" s="1360"/>
      <c r="AA40" s="1360"/>
      <c r="AB40" s="1360"/>
      <c r="AC40" s="1360"/>
      <c r="AD40" s="1371"/>
      <c r="AE40" s="1360"/>
      <c r="AF40" s="1360"/>
      <c r="AG40" s="1360"/>
    </row>
    <row r="41">
      <c r="A41" s="1356">
        <v>42600.0</v>
      </c>
      <c r="B41" s="1357" t="s">
        <v>295</v>
      </c>
      <c r="C41" s="1358" t="s">
        <v>259</v>
      </c>
      <c r="D41" s="1366">
        <f t="shared" si="1"/>
        <v>42631</v>
      </c>
      <c r="E41" s="1366">
        <f t="shared" si="2"/>
        <v>42965</v>
      </c>
      <c r="F41" s="224" t="str">
        <f>IF(AND('in-situ Acer outplants'!D:D=B41,IF(VLOOKUP(B41,'in-situ Acer outplants'!D:M,10,FALSE)&lt;&gt;0,"TRUE", "FALSE")),"Completed",DATE(year(A41), month(A41)+1, day(A41)))</f>
        <v>Completed</v>
      </c>
      <c r="G41" s="1360" t="str">
        <f>IF(AND('in-situ Acer outplants'!D:D=B41,IF(VLOOKUP(B41,'in-situ Acer outplants'!D:T,17,FALSE)&lt;&gt;0,"TRUE", "FALSE")),"Completed",DATE(year(A41)+1, month(A41), day(A41)))</f>
        <v>Completed</v>
      </c>
      <c r="H41" s="1360"/>
      <c r="I41" s="1387"/>
      <c r="J41" s="1387"/>
      <c r="K41" s="1360"/>
      <c r="L41" s="1360"/>
      <c r="M41" s="1360"/>
      <c r="N41" s="1360"/>
      <c r="O41" s="1371"/>
      <c r="P41" s="1361">
        <v>44203.0</v>
      </c>
      <c r="Q41" s="1360" t="s">
        <v>1141</v>
      </c>
      <c r="R41" s="1360" t="s">
        <v>1142</v>
      </c>
      <c r="S41" s="1370">
        <f t="shared" si="3"/>
        <v>44234</v>
      </c>
      <c r="T41" s="1366">
        <f t="shared" si="4"/>
        <v>44568</v>
      </c>
      <c r="U41" s="1360" t="str">
        <f>IF(AND('ex-situ Apal outplants'!D:D=Q41,IF(VLOOKUP(Q41,'ex-situ Apal outplants'!D:M,10,FALSE)&lt;&gt;0,"TRUE", "FALSE")),"Completed",DATE(year(P41), month(P41)+1, day(P41)))</f>
        <v>Completed</v>
      </c>
      <c r="V41" s="1360" t="str">
        <f>IF(AND('ex-situ Apal outplants'!D:D=Q41,IF(VLOOKUP(Q41,'ex-situ Apal outplants'!D:T,17,FALSE)&lt;&gt;0,"TRUE", "FALSE")),"Completed",DATE(year(P41)+1, month(P41), day(P41)))</f>
        <v>Completed</v>
      </c>
      <c r="W41" s="1360"/>
      <c r="X41" s="1360"/>
      <c r="Y41" s="1360"/>
      <c r="Z41" s="1360"/>
      <c r="AA41" s="1360"/>
      <c r="AB41" s="1360"/>
      <c r="AC41" s="1360"/>
      <c r="AD41" s="1371"/>
      <c r="AE41" s="1360"/>
      <c r="AF41" s="1360"/>
      <c r="AG41" s="1360"/>
    </row>
    <row r="42">
      <c r="A42" s="1356">
        <v>42601.0</v>
      </c>
      <c r="B42" s="1357" t="s">
        <v>298</v>
      </c>
      <c r="C42" s="1358" t="s">
        <v>299</v>
      </c>
      <c r="D42" s="1366">
        <f t="shared" si="1"/>
        <v>42632</v>
      </c>
      <c r="E42" s="1366">
        <f t="shared" si="2"/>
        <v>42966</v>
      </c>
      <c r="F42" s="224" t="str">
        <f>IF(AND('in-situ Acer outplants'!D:D=B42,IF(VLOOKUP(B42,'in-situ Acer outplants'!D:M,10,FALSE)&lt;&gt;0,"TRUE", "FALSE")),"Completed",DATE(year(A42), month(A42)+1, day(A42)))</f>
        <v>Completed</v>
      </c>
      <c r="G42" s="1360" t="str">
        <f>IF(AND('in-situ Acer outplants'!D:D=B42,IF(VLOOKUP(B42,'in-situ Acer outplants'!D:T,17,FALSE)&lt;&gt;0,"TRUE", "FALSE")),"Completed",DATE(year(A42)+1, month(A42), day(A42)))</f>
        <v>Completed</v>
      </c>
      <c r="H42" s="1360"/>
      <c r="I42" s="1387"/>
      <c r="J42" s="1387"/>
      <c r="K42" s="1360"/>
      <c r="L42" s="1360"/>
      <c r="M42" s="1360"/>
      <c r="N42" s="1360"/>
      <c r="O42" s="1371"/>
      <c r="P42" s="1361">
        <v>44218.0</v>
      </c>
      <c r="Q42" s="1360" t="s">
        <v>1144</v>
      </c>
      <c r="R42" s="1360" t="s">
        <v>1146</v>
      </c>
      <c r="S42" s="1370">
        <f t="shared" si="3"/>
        <v>44249</v>
      </c>
      <c r="T42" s="1366">
        <f t="shared" si="4"/>
        <v>44583</v>
      </c>
      <c r="U42" s="1360" t="str">
        <f>IF(AND('ex-situ Apal outplants'!D:D=Q42,IF(VLOOKUP(Q42,'ex-situ Apal outplants'!D:M,10,FALSE)&lt;&gt;0,"TRUE", "FALSE")),"Completed",DATE(year(P42), month(P42)+1, day(P42)))</f>
        <v>Completed</v>
      </c>
      <c r="V42" s="1388">
        <f>IF(AND('ex-situ Apal outplants'!D:D=Q42,IF(VLOOKUP(Q42,'ex-situ Apal outplants'!D:T,17,FALSE)&lt;&gt;0,"TRUE", "FALSE")),"Completed",DATE(year(P42)+1, month(P42), day(P42)))</f>
        <v>44583</v>
      </c>
      <c r="W42" s="1360"/>
      <c r="X42" s="1360"/>
      <c r="Y42" s="1360"/>
      <c r="Z42" s="1360"/>
      <c r="AA42" s="1360"/>
      <c r="AB42" s="1360"/>
      <c r="AC42" s="1360"/>
      <c r="AD42" s="1371"/>
      <c r="AE42" s="1360"/>
      <c r="AF42" s="1360"/>
      <c r="AG42" s="1360"/>
    </row>
    <row r="43">
      <c r="A43" s="1356">
        <v>42618.0</v>
      </c>
      <c r="B43" s="1357" t="s">
        <v>301</v>
      </c>
      <c r="C43" s="1358" t="s">
        <v>281</v>
      </c>
      <c r="D43" s="1366">
        <f t="shared" si="1"/>
        <v>42648</v>
      </c>
      <c r="E43" s="1366">
        <f t="shared" si="2"/>
        <v>42983</v>
      </c>
      <c r="F43" s="224" t="str">
        <f>IF(AND('in-situ Acer outplants'!D:D=B43,IF(VLOOKUP(B43,'in-situ Acer outplants'!D:M,10,FALSE)&lt;&gt;0,"TRUE", "FALSE")),"Completed",DATE(year(A43), month(A43)+1, day(A43)))</f>
        <v>Completed</v>
      </c>
      <c r="G43" s="1360" t="str">
        <f>IF(AND('in-situ Acer outplants'!D:D=B43,IF(VLOOKUP(B43,'in-situ Acer outplants'!D:T,17,FALSE)&lt;&gt;0,"TRUE", "FALSE")),"Completed",DATE(year(A43)+1, month(A43), day(A43)))</f>
        <v>Completed</v>
      </c>
      <c r="H43" s="1360"/>
      <c r="I43" s="1387"/>
      <c r="J43" s="1387"/>
      <c r="K43" s="1360"/>
      <c r="L43" s="1360"/>
      <c r="M43" s="1360"/>
      <c r="N43" s="1360"/>
      <c r="O43" s="1371"/>
      <c r="P43" s="1361">
        <v>44223.0</v>
      </c>
      <c r="Q43" s="1360" t="s">
        <v>1147</v>
      </c>
      <c r="R43" s="1360" t="s">
        <v>1148</v>
      </c>
      <c r="S43" s="1370">
        <f t="shared" si="3"/>
        <v>44254</v>
      </c>
      <c r="T43" s="1366">
        <f t="shared" si="4"/>
        <v>44588</v>
      </c>
      <c r="U43" s="1360" t="str">
        <f>IF(AND('ex-situ Apal outplants'!D:D=Q43,IF(VLOOKUP(Q43,'ex-situ Apal outplants'!D:M,10,FALSE)&lt;&gt;0,"TRUE", "FALSE")),"Completed",DATE(year(P43), month(P43)+1, day(P43)))</f>
        <v>Completed</v>
      </c>
      <c r="V43" s="1360" t="str">
        <f>IF(AND('ex-situ Apal outplants'!D:D=Q43,IF(VLOOKUP(Q43,'ex-situ Apal outplants'!D:T,17,FALSE)&lt;&gt;0,"TRUE", "FALSE")),"Completed",DATE(year(P43)+1, month(P43), day(P43)))</f>
        <v>Completed</v>
      </c>
      <c r="W43" s="1360"/>
      <c r="X43" s="1360"/>
      <c r="Y43" s="1360"/>
      <c r="Z43" s="1360"/>
      <c r="AA43" s="1360"/>
      <c r="AB43" s="1360"/>
      <c r="AC43" s="1360"/>
      <c r="AD43" s="1371"/>
      <c r="AE43" s="1360"/>
      <c r="AF43" s="1360"/>
      <c r="AG43" s="1360"/>
    </row>
    <row r="44">
      <c r="A44" s="1356">
        <v>42620.0</v>
      </c>
      <c r="B44" s="1357" t="s">
        <v>303</v>
      </c>
      <c r="C44" s="1358" t="s">
        <v>281</v>
      </c>
      <c r="D44" s="1366">
        <f t="shared" si="1"/>
        <v>42650</v>
      </c>
      <c r="E44" s="1366">
        <f t="shared" si="2"/>
        <v>42985</v>
      </c>
      <c r="F44" s="224" t="str">
        <f>IF(AND('in-situ Acer outplants'!D:D=B44,IF(VLOOKUP(B44,'in-situ Acer outplants'!D:M,10,FALSE)&lt;&gt;0,"TRUE", "FALSE")),"Completed",DATE(year(A44), month(A44)+1, day(A44)))</f>
        <v>Completed</v>
      </c>
      <c r="G44" s="1360" t="str">
        <f>IF(AND('in-situ Acer outplants'!D:D=B44,IF(VLOOKUP(B44,'in-situ Acer outplants'!D:T,17,FALSE)&lt;&gt;0,"TRUE", "FALSE")),"Completed",DATE(year(A44)+1, month(A44), day(A44)))</f>
        <v>Completed</v>
      </c>
      <c r="H44" s="1360"/>
      <c r="I44" s="1387"/>
      <c r="J44" s="1387"/>
      <c r="K44" s="1360"/>
      <c r="L44" s="1360"/>
      <c r="M44" s="1360"/>
      <c r="N44" s="1360"/>
      <c r="O44" s="1371"/>
      <c r="P44" s="1361">
        <v>44222.0</v>
      </c>
      <c r="Q44" s="1360" t="s">
        <v>1149</v>
      </c>
      <c r="R44" s="1360" t="s">
        <v>1146</v>
      </c>
      <c r="S44" s="1370">
        <f t="shared" si="3"/>
        <v>44253</v>
      </c>
      <c r="T44" s="1366">
        <f t="shared" si="4"/>
        <v>44587</v>
      </c>
      <c r="U44" s="1360" t="str">
        <f>IF(AND('ex-situ Apal outplants'!D:D=Q44,IF(VLOOKUP(Q44,'ex-situ Apal outplants'!D:M,10,FALSE)&lt;&gt;0,"TRUE", "FALSE")),"Completed",DATE(year(P44), month(P44)+1, day(P44)))</f>
        <v>Completed</v>
      </c>
      <c r="V44" s="1388">
        <f>IF(AND('ex-situ Apal outplants'!D:D=Q44,IF(VLOOKUP(Q44,'ex-situ Apal outplants'!D:T,17,FALSE)&lt;&gt;0,"TRUE", "FALSE")),"Completed",DATE(year(P44)+1, month(P44), day(P44)))</f>
        <v>44587</v>
      </c>
      <c r="W44" s="1360"/>
      <c r="X44" s="1360"/>
      <c r="Y44" s="1360"/>
      <c r="Z44" s="1360"/>
      <c r="AA44" s="1360"/>
      <c r="AB44" s="1360"/>
      <c r="AC44" s="1360"/>
      <c r="AD44" s="1371"/>
      <c r="AE44" s="1360"/>
      <c r="AF44" s="1360"/>
      <c r="AG44" s="1360"/>
    </row>
    <row r="45">
      <c r="A45" s="1356">
        <v>42864.0</v>
      </c>
      <c r="B45" s="1357" t="s">
        <v>305</v>
      </c>
      <c r="C45" s="1358" t="s">
        <v>306</v>
      </c>
      <c r="D45" s="1366">
        <f t="shared" si="1"/>
        <v>42895</v>
      </c>
      <c r="E45" s="1366">
        <f t="shared" si="2"/>
        <v>43229</v>
      </c>
      <c r="F45" s="224" t="str">
        <f>IF(AND('in-situ Acer outplants'!D:D=B45,IF(VLOOKUP(B45,'in-situ Acer outplants'!D:M,10,FALSE)&lt;&gt;0,"TRUE", "FALSE")),"Completed",DATE(year(A45), month(A45)+1, day(A45)))</f>
        <v>Completed</v>
      </c>
      <c r="G45" s="1360" t="str">
        <f>IF(AND('in-situ Acer outplants'!D:D=B45,IF(VLOOKUP(B45,'in-situ Acer outplants'!D:T,17,FALSE)&lt;&gt;0,"TRUE", "FALSE")),"Completed",DATE(year(A45)+1, month(A45), day(A45)))</f>
        <v>Completed</v>
      </c>
      <c r="H45" s="1360"/>
      <c r="I45" s="1387"/>
      <c r="J45" s="1387"/>
      <c r="K45" s="1360"/>
      <c r="L45" s="1360"/>
      <c r="M45" s="1360"/>
      <c r="N45" s="1360"/>
      <c r="O45" s="1371"/>
      <c r="P45" s="1361">
        <v>44253.0</v>
      </c>
      <c r="Q45" s="1360" t="s">
        <v>1150</v>
      </c>
      <c r="R45" s="1360" t="s">
        <v>1151</v>
      </c>
      <c r="S45" s="1370">
        <f t="shared" si="3"/>
        <v>44281</v>
      </c>
      <c r="T45" s="1366">
        <f t="shared" si="4"/>
        <v>44618</v>
      </c>
      <c r="U45" s="1360" t="str">
        <f>IF(AND('ex-situ Apal outplants'!D:D=Q45,IF(VLOOKUP(Q45,'ex-situ Apal outplants'!D:M,10,FALSE)&lt;&gt;0,"TRUE", "FALSE")),"Completed",DATE(year(P45), month(P45)+1, day(P45)))</f>
        <v>Completed</v>
      </c>
      <c r="V45" s="1360" t="str">
        <f>IF(AND('ex-situ Apal outplants'!D:D=Q45,IF(VLOOKUP(Q45,'ex-situ Apal outplants'!D:T,17,FALSE)&lt;&gt;0,"TRUE", "FALSE")),"Completed",DATE(year(P45)+1, month(P45), day(P45)))</f>
        <v>Completed</v>
      </c>
      <c r="W45" s="1360"/>
      <c r="X45" s="1360"/>
      <c r="Y45" s="1360"/>
      <c r="Z45" s="1360"/>
      <c r="AA45" s="1360"/>
      <c r="AB45" s="1360"/>
      <c r="AC45" s="1360"/>
      <c r="AD45" s="1371"/>
      <c r="AE45" s="1360"/>
      <c r="AF45" s="1360"/>
      <c r="AG45" s="1360"/>
    </row>
    <row r="46">
      <c r="A46" s="1356">
        <v>42896.0</v>
      </c>
      <c r="B46" s="1357" t="s">
        <v>308</v>
      </c>
      <c r="C46" s="1358" t="s">
        <v>284</v>
      </c>
      <c r="D46" s="1366">
        <f t="shared" si="1"/>
        <v>42926</v>
      </c>
      <c r="E46" s="1366">
        <f t="shared" si="2"/>
        <v>43261</v>
      </c>
      <c r="F46" s="224" t="str">
        <f>IF(AND('in-situ Acer outplants'!D:D=B46,IF(VLOOKUP(B46,'in-situ Acer outplants'!D:M,10,FALSE)&lt;&gt;0,"TRUE", "FALSE")),"Completed",DATE(year(A46), month(A46)+1, day(A46)))</f>
        <v>Completed</v>
      </c>
      <c r="G46" s="1360" t="str">
        <f>IF(AND('in-situ Acer outplants'!D:D=B46,IF(VLOOKUP(B46,'in-situ Acer outplants'!D:T,17,FALSE)&lt;&gt;0,"TRUE", "FALSE")),"Completed",DATE(year(A46)+1, month(A46), day(A46)))</f>
        <v>Completed</v>
      </c>
      <c r="H46" s="1387"/>
      <c r="I46" s="1387"/>
      <c r="J46" s="1387"/>
      <c r="K46" s="1360"/>
      <c r="L46" s="1360"/>
      <c r="M46" s="1360"/>
      <c r="N46" s="1360"/>
      <c r="O46" s="1371"/>
      <c r="P46" s="1361">
        <v>44271.0</v>
      </c>
      <c r="Q46" s="1360" t="s">
        <v>1152</v>
      </c>
      <c r="R46" s="1360" t="s">
        <v>1153</v>
      </c>
      <c r="S46" s="1370">
        <f t="shared" si="3"/>
        <v>44302</v>
      </c>
      <c r="T46" s="1366">
        <f t="shared" si="4"/>
        <v>44636</v>
      </c>
      <c r="U46" s="1360" t="str">
        <f>IF(AND('ex-situ Apal outplants'!D:D=Q46,IF(VLOOKUP(Q46,'ex-situ Apal outplants'!D:M,10,FALSE)&lt;&gt;0,"TRUE", "FALSE")),"Completed",DATE(year(P46), month(P46)+1, day(P46)))</f>
        <v>Completed</v>
      </c>
      <c r="V46" s="1360" t="str">
        <f>IF(AND('ex-situ Apal outplants'!D:D=Q46,IF(VLOOKUP(Q46,'ex-situ Apal outplants'!D:T,17,FALSE)&lt;&gt;0,"TRUE", "FALSE")),"Completed",DATE(year(P46)+1, month(P46), day(P46)))</f>
        <v>Completed</v>
      </c>
      <c r="W46" s="1360"/>
      <c r="X46" s="1360"/>
      <c r="Y46" s="1360"/>
      <c r="Z46" s="1360"/>
      <c r="AA46" s="1360"/>
      <c r="AB46" s="1360"/>
      <c r="AC46" s="1360"/>
      <c r="AD46" s="1371"/>
      <c r="AE46" s="1360"/>
      <c r="AF46" s="1360"/>
      <c r="AG46" s="1360"/>
    </row>
    <row r="47">
      <c r="A47" s="1356">
        <v>42913.0</v>
      </c>
      <c r="B47" s="1357" t="s">
        <v>310</v>
      </c>
      <c r="C47" s="1358" t="s">
        <v>299</v>
      </c>
      <c r="D47" s="1366">
        <f t="shared" si="1"/>
        <v>42943</v>
      </c>
      <c r="E47" s="1366">
        <f t="shared" si="2"/>
        <v>43278</v>
      </c>
      <c r="F47" s="224" t="str">
        <f>IF(AND('in-situ Acer outplants'!D:D=B47,IF(VLOOKUP(B47,'in-situ Acer outplants'!D:M,10,FALSE)&lt;&gt;0,"TRUE", "FALSE")),"Completed",DATE(year(A47), month(A47)+1, day(A47)))</f>
        <v>Completed</v>
      </c>
      <c r="G47" s="1360" t="str">
        <f>IF(AND('in-situ Acer outplants'!D:D=B47,IF(VLOOKUP(B47,'in-situ Acer outplants'!D:T,17,FALSE)&lt;&gt;0,"TRUE", "FALSE")),"Completed",DATE(year(A47)+1, month(A47), day(A47)))</f>
        <v>Completed</v>
      </c>
      <c r="H47" s="1360"/>
      <c r="I47" s="1387"/>
      <c r="J47" s="1387"/>
      <c r="K47" s="1360"/>
      <c r="L47" s="1360"/>
      <c r="M47" s="1360"/>
      <c r="N47" s="1360"/>
      <c r="O47" s="1371"/>
      <c r="P47" s="1361">
        <v>44278.0</v>
      </c>
      <c r="Q47" s="1360" t="s">
        <v>1154</v>
      </c>
      <c r="R47" s="1360" t="s">
        <v>1155</v>
      </c>
      <c r="S47" s="1370">
        <f t="shared" si="3"/>
        <v>44309</v>
      </c>
      <c r="T47" s="1366">
        <f t="shared" si="4"/>
        <v>44643</v>
      </c>
      <c r="U47" s="1360" t="str">
        <f>IF(AND('ex-situ Apal outplants'!D:D=Q47,IF(VLOOKUP(Q47,'ex-situ Apal outplants'!D:M,10,FALSE)&lt;&gt;0,"TRUE", "FALSE")),"Completed",DATE(year(P47), month(P47)+1, day(P47)))</f>
        <v>Completed</v>
      </c>
      <c r="V47" s="1360" t="str">
        <f>IF(AND('ex-situ Apal outplants'!D:D=Q47,IF(VLOOKUP(Q47,'ex-situ Apal outplants'!D:T,17,FALSE)&lt;&gt;0,"TRUE", "FALSE")),"Completed",DATE(year(P47)+1, month(P47), day(P47)))</f>
        <v>Completed</v>
      </c>
      <c r="W47" s="1360"/>
      <c r="X47" s="1360"/>
      <c r="Y47" s="1360"/>
      <c r="Z47" s="1360"/>
      <c r="AA47" s="1360"/>
      <c r="AB47" s="1360"/>
      <c r="AC47" s="1360"/>
      <c r="AD47" s="1371"/>
      <c r="AE47" s="1360"/>
      <c r="AF47" s="1360"/>
      <c r="AG47" s="1360"/>
    </row>
    <row r="48">
      <c r="A48" s="1356">
        <v>42919.0</v>
      </c>
      <c r="B48" s="1357" t="s">
        <v>312</v>
      </c>
      <c r="C48" s="1358" t="s">
        <v>313</v>
      </c>
      <c r="D48" s="1366">
        <f t="shared" si="1"/>
        <v>42950</v>
      </c>
      <c r="E48" s="1366">
        <f t="shared" si="2"/>
        <v>43284</v>
      </c>
      <c r="F48" s="224" t="str">
        <f>IF(AND('in-situ Acer outplants'!D:D=B48,IF(VLOOKUP(B48,'in-situ Acer outplants'!D:M,10,FALSE)&lt;&gt;0,"TRUE", "FALSE")),"Completed",DATE(year(A48), month(A48)+1, day(A48)))</f>
        <v>Completed</v>
      </c>
      <c r="G48" s="1360" t="str">
        <f>IF(AND('in-situ Acer outplants'!D:D=B48,IF(VLOOKUP(B48,'in-situ Acer outplants'!D:T,17,FALSE)&lt;&gt;0,"TRUE", "FALSE")),"Completed",DATE(year(A48)+1, month(A48), day(A48)))</f>
        <v>Completed</v>
      </c>
      <c r="H48" s="1360"/>
      <c r="I48" s="1387"/>
      <c r="J48" s="1387"/>
      <c r="K48" s="1360"/>
      <c r="L48" s="1360"/>
      <c r="M48" s="1360"/>
      <c r="N48" s="1360"/>
      <c r="O48" s="1371"/>
      <c r="P48" s="1361">
        <v>44294.0</v>
      </c>
      <c r="Q48" s="1360" t="s">
        <v>1156</v>
      </c>
      <c r="R48" s="1360" t="s">
        <v>1158</v>
      </c>
      <c r="S48" s="1370">
        <f t="shared" si="3"/>
        <v>44324</v>
      </c>
      <c r="T48" s="1366">
        <f t="shared" si="4"/>
        <v>44659</v>
      </c>
      <c r="U48" s="1360" t="str">
        <f>IF(AND('ex-situ Apal outplants'!D:D=Q48,IF(VLOOKUP(Q48,'ex-situ Apal outplants'!D:M,10,FALSE)&lt;&gt;0,"TRUE", "FALSE")),"Completed",DATE(year(P48), month(P48)+1, day(P48)))</f>
        <v>Completed</v>
      </c>
      <c r="V48" s="1388">
        <f>IF(AND('ex-situ Apal outplants'!D:D=Q48,IF(VLOOKUP(Q48,'ex-situ Apal outplants'!D:T,17,FALSE)&lt;&gt;0,"TRUE", "FALSE")),"Completed",DATE(year(P48)+1, month(P48), day(P48)))</f>
        <v>44659</v>
      </c>
      <c r="W48" s="1360"/>
      <c r="X48" s="1360"/>
      <c r="Y48" s="1360"/>
      <c r="Z48" s="1360"/>
      <c r="AA48" s="1360"/>
      <c r="AB48" s="1360"/>
      <c r="AC48" s="1360"/>
      <c r="AD48" s="1371"/>
      <c r="AE48" s="1360"/>
      <c r="AF48" s="1360"/>
      <c r="AG48" s="1360"/>
    </row>
    <row r="49">
      <c r="A49" s="1356">
        <v>42922.0</v>
      </c>
      <c r="B49" s="1357" t="s">
        <v>315</v>
      </c>
      <c r="C49" s="1358" t="s">
        <v>316</v>
      </c>
      <c r="D49" s="1366">
        <f t="shared" si="1"/>
        <v>42953</v>
      </c>
      <c r="E49" s="1366">
        <f t="shared" si="2"/>
        <v>43287</v>
      </c>
      <c r="F49" s="224" t="str">
        <f>IF(AND('in-situ Acer outplants'!D:D=B49,IF(VLOOKUP(B49,'in-situ Acer outplants'!D:M,10,FALSE)&lt;&gt;0,"TRUE", "FALSE")),"Completed",DATE(year(A49), month(A49)+1, day(A49)))</f>
        <v>Completed</v>
      </c>
      <c r="G49" s="1360" t="str">
        <f>IF(AND('in-situ Acer outplants'!D:D=B49,IF(VLOOKUP(B49,'in-situ Acer outplants'!D:T,17,FALSE)&lt;&gt;0,"TRUE", "FALSE")),"Completed",DATE(year(A49)+1, month(A49), day(A49)))</f>
        <v>Completed</v>
      </c>
      <c r="H49" s="1360"/>
      <c r="I49" s="1387"/>
      <c r="J49" s="1387"/>
      <c r="K49" s="1360"/>
      <c r="L49" s="1360"/>
      <c r="M49" s="1360"/>
      <c r="N49" s="1360"/>
      <c r="O49" s="1371"/>
      <c r="P49" s="1361">
        <v>44308.0</v>
      </c>
      <c r="Q49" s="1360" t="s">
        <v>1159</v>
      </c>
      <c r="R49" s="1360" t="s">
        <v>1160</v>
      </c>
      <c r="S49" s="1370">
        <f t="shared" si="3"/>
        <v>44338</v>
      </c>
      <c r="T49" s="1366">
        <f t="shared" si="4"/>
        <v>44673</v>
      </c>
      <c r="U49" s="1360" t="str">
        <f>IF(AND('ex-situ Apal outplants'!D:D=Q49,IF(VLOOKUP(Q49,'ex-situ Apal outplants'!D:M,10,FALSE)&lt;&gt;0,"TRUE", "FALSE")),"Completed",DATE(year(P49), month(P49)+1, day(P49)))</f>
        <v>Completed</v>
      </c>
      <c r="V49" s="1360" t="str">
        <f>IF(AND('ex-situ Apal outplants'!D:D=Q49,IF(VLOOKUP(Q49,'ex-situ Apal outplants'!D:T,17,FALSE)&lt;&gt;0,"TRUE", "FALSE")),"Completed",DATE(year(P49)+1, month(P49), day(P49)))</f>
        <v>Completed</v>
      </c>
      <c r="W49" s="1360"/>
      <c r="X49" s="1360"/>
      <c r="Y49" s="1360"/>
      <c r="Z49" s="1360"/>
      <c r="AA49" s="1360"/>
      <c r="AB49" s="1360"/>
      <c r="AC49" s="1360"/>
      <c r="AD49" s="1371"/>
      <c r="AE49" s="1360"/>
      <c r="AF49" s="1360"/>
      <c r="AG49" s="1360"/>
    </row>
    <row r="50">
      <c r="A50" s="1356">
        <v>42942.0</v>
      </c>
      <c r="B50" s="1357" t="s">
        <v>319</v>
      </c>
      <c r="C50" s="1358" t="s">
        <v>162</v>
      </c>
      <c r="D50" s="1366">
        <f t="shared" si="1"/>
        <v>42973</v>
      </c>
      <c r="E50" s="1366">
        <f t="shared" si="2"/>
        <v>43307</v>
      </c>
      <c r="F50" s="224" t="str">
        <f>IF(AND('in-situ Acer outplants'!D:D=B50,IF(VLOOKUP(B50,'in-situ Acer outplants'!D:M,10,FALSE)&lt;&gt;0,"TRUE", "FALSE")),"Completed",DATE(year(A50), month(A50)+1, day(A50)))</f>
        <v>Completed</v>
      </c>
      <c r="G50" s="1360" t="str">
        <f>IF(AND('in-situ Acer outplants'!D:D=B50,IF(VLOOKUP(B50,'in-situ Acer outplants'!D:T,17,FALSE)&lt;&gt;0,"TRUE", "FALSE")),"Completed",DATE(year(A50)+1, month(A50), day(A50)))</f>
        <v>Completed</v>
      </c>
      <c r="H50" s="1360"/>
      <c r="I50" s="1387"/>
      <c r="J50" s="1387"/>
      <c r="K50" s="1360"/>
      <c r="L50" s="1360"/>
      <c r="M50" s="1360"/>
      <c r="N50" s="1360"/>
      <c r="O50" s="1371"/>
      <c r="P50" s="1385">
        <v>44329.0</v>
      </c>
      <c r="Q50" s="1360" t="s">
        <v>1162</v>
      </c>
      <c r="R50" s="1360" t="s">
        <v>1158</v>
      </c>
      <c r="S50" s="1370">
        <f t="shared" si="3"/>
        <v>44360</v>
      </c>
      <c r="T50" s="1366">
        <f t="shared" si="4"/>
        <v>44694</v>
      </c>
      <c r="U50" s="1360" t="str">
        <f>IF(AND('ex-situ Apal outplants'!D:D=Q50,IF(VLOOKUP(Q50,'ex-situ Apal outplants'!D:M,10,FALSE)&lt;&gt;0,"TRUE", "FALSE")),"Completed",DATE(year(P50), month(P50)+1, day(P50)))</f>
        <v>Completed</v>
      </c>
      <c r="V50" s="1388">
        <f>IF(AND('ex-situ Apal outplants'!D:D=Q50,IF(VLOOKUP(Q50,'ex-situ Apal outplants'!D:T,17,FALSE)&lt;&gt;0,"TRUE", "FALSE")),"Completed",DATE(year(P50)+1, month(P50), day(P50)))</f>
        <v>44694</v>
      </c>
      <c r="W50" s="1360"/>
      <c r="X50" s="1360"/>
      <c r="Y50" s="1360"/>
      <c r="Z50" s="1360"/>
      <c r="AA50" s="1360"/>
      <c r="AB50" s="1360"/>
      <c r="AC50" s="1360"/>
      <c r="AD50" s="1371"/>
      <c r="AE50" s="1360"/>
      <c r="AF50" s="1360"/>
      <c r="AG50" s="1360"/>
    </row>
    <row r="51">
      <c r="A51" s="1356">
        <v>42943.0</v>
      </c>
      <c r="B51" s="1357" t="s">
        <v>323</v>
      </c>
      <c r="C51" s="1358" t="s">
        <v>316</v>
      </c>
      <c r="D51" s="1366">
        <f t="shared" si="1"/>
        <v>42974</v>
      </c>
      <c r="E51" s="1366">
        <f t="shared" si="2"/>
        <v>43308</v>
      </c>
      <c r="F51" s="224" t="str">
        <f>IF(AND('in-situ Acer outplants'!D:D=B51,IF(VLOOKUP(B51,'in-situ Acer outplants'!D:M,10,FALSE)&lt;&gt;0,"TRUE", "FALSE")),"Completed",DATE(year(A51), month(A51)+1, day(A51)))</f>
        <v>Completed</v>
      </c>
      <c r="G51" s="1360" t="str">
        <f>IF(AND('in-situ Acer outplants'!D:D=B51,IF(VLOOKUP(B51,'in-situ Acer outplants'!D:T,17,FALSE)&lt;&gt;0,"TRUE", "FALSE")),"Completed",DATE(year(A51)+1, month(A51), day(A51)))</f>
        <v>Completed</v>
      </c>
      <c r="H51" s="1360"/>
      <c r="I51" s="1387"/>
      <c r="J51" s="1387"/>
      <c r="K51" s="1360"/>
      <c r="L51" s="1360"/>
      <c r="M51" s="1360"/>
      <c r="N51" s="1360"/>
      <c r="O51" s="1371"/>
      <c r="P51" s="1361">
        <v>44344.0</v>
      </c>
      <c r="Q51" s="1360" t="s">
        <v>1163</v>
      </c>
      <c r="R51" s="1360" t="s">
        <v>1164</v>
      </c>
      <c r="S51" s="1370">
        <f t="shared" si="3"/>
        <v>44375</v>
      </c>
      <c r="T51" s="1366">
        <f t="shared" si="4"/>
        <v>44709</v>
      </c>
      <c r="U51" s="1360" t="str">
        <f>IF(AND('ex-situ Apal outplants'!D:D=Q51,IF(VLOOKUP(Q51,'ex-situ Apal outplants'!D:M,10,FALSE)&lt;&gt;0,"TRUE", "FALSE")),"Completed",DATE(year(P51), month(P51)+1, day(P51)))</f>
        <v>Completed</v>
      </c>
      <c r="V51" s="1360" t="str">
        <f>IF(AND('ex-situ Apal outplants'!D:D=Q51,IF(VLOOKUP(Q51,'ex-situ Apal outplants'!D:T,17,FALSE)&lt;&gt;0,"TRUE", "FALSE")),"Completed",DATE(year(P51)+1, month(P51), day(P51)))</f>
        <v>Completed</v>
      </c>
      <c r="W51" s="1360"/>
      <c r="X51" s="1360"/>
      <c r="Y51" s="1360"/>
      <c r="Z51" s="1360"/>
      <c r="AA51" s="1360"/>
      <c r="AB51" s="1360"/>
      <c r="AC51" s="1360"/>
      <c r="AD51" s="1371"/>
      <c r="AE51" s="1360"/>
      <c r="AF51" s="1360"/>
      <c r="AG51" s="1360"/>
    </row>
    <row r="52">
      <c r="A52" s="1356">
        <v>42944.0</v>
      </c>
      <c r="B52" s="1357" t="s">
        <v>325</v>
      </c>
      <c r="C52" s="1358" t="s">
        <v>316</v>
      </c>
      <c r="D52" s="1366">
        <f t="shared" si="1"/>
        <v>42975</v>
      </c>
      <c r="E52" s="1366">
        <f t="shared" si="2"/>
        <v>43309</v>
      </c>
      <c r="F52" s="224" t="str">
        <f>IF(AND('in-situ Acer outplants'!D:D=B52,IF(VLOOKUP(B52,'in-situ Acer outplants'!D:M,10,FALSE)&lt;&gt;0,"TRUE", "FALSE")),"Completed",DATE(year(A52), month(A52)+1, day(A52)))</f>
        <v>Completed</v>
      </c>
      <c r="G52" s="1360" t="str">
        <f>IF(AND('in-situ Acer outplants'!D:D=B52,IF(VLOOKUP(B52,'in-situ Acer outplants'!D:T,17,FALSE)&lt;&gt;0,"TRUE", "FALSE")),"Completed",DATE(year(A52)+1, month(A52), day(A52)))</f>
        <v>Completed</v>
      </c>
      <c r="H52" s="1360"/>
      <c r="I52" s="1387"/>
      <c r="J52" s="1387"/>
      <c r="K52" s="1360"/>
      <c r="L52" s="1360"/>
      <c r="M52" s="1360"/>
      <c r="N52" s="1360"/>
      <c r="O52" s="1371"/>
      <c r="P52" s="1361">
        <v>44349.0</v>
      </c>
      <c r="Q52" s="1360" t="s">
        <v>1165</v>
      </c>
      <c r="R52" s="1360" t="s">
        <v>1166</v>
      </c>
      <c r="S52" s="1370">
        <f t="shared" si="3"/>
        <v>44379</v>
      </c>
      <c r="T52" s="1366">
        <f t="shared" si="4"/>
        <v>44714</v>
      </c>
      <c r="U52" s="1360" t="str">
        <f>IF(AND('ex-situ Apal outplants'!D:D=Q52,IF(VLOOKUP(Q52,'ex-situ Apal outplants'!D:M,10,FALSE)&lt;&gt;0,"TRUE", "FALSE")),"Completed",DATE(year(P52), month(P52)+1, day(P52)))</f>
        <v>Completed</v>
      </c>
      <c r="V52" s="1360" t="str">
        <f>IF(AND('ex-situ Apal outplants'!D:D=Q52,IF(VLOOKUP(Q52,'ex-situ Apal outplants'!D:T,17,FALSE)&lt;&gt;0,"TRUE", "FALSE")),"Completed",DATE(year(P52)+1, month(P52), day(P52)))</f>
        <v>Completed</v>
      </c>
      <c r="W52" s="1360"/>
      <c r="X52" s="1360"/>
      <c r="Y52" s="1360"/>
      <c r="Z52" s="1360"/>
      <c r="AA52" s="1360"/>
      <c r="AB52" s="1360"/>
      <c r="AC52" s="1360"/>
      <c r="AD52" s="1371"/>
      <c r="AE52" s="1360"/>
      <c r="AF52" s="1360"/>
      <c r="AG52" s="1360"/>
    </row>
    <row r="53">
      <c r="A53" s="1356">
        <v>43209.0</v>
      </c>
      <c r="B53" s="1357" t="s">
        <v>328</v>
      </c>
      <c r="C53" s="1358" t="s">
        <v>147</v>
      </c>
      <c r="D53" s="1366">
        <f t="shared" si="1"/>
        <v>43239</v>
      </c>
      <c r="E53" s="1366">
        <f t="shared" si="2"/>
        <v>43574</v>
      </c>
      <c r="F53" s="224" t="str">
        <f>IF(AND('in-situ Acer outplants'!D:D=B53,IF(VLOOKUP(B53,'in-situ Acer outplants'!D:M,10,FALSE)&lt;&gt;0,"TRUE", "FALSE")),"Completed",DATE(year(A53), month(A53)+1, day(A53)))</f>
        <v>Completed</v>
      </c>
      <c r="G53" s="1360" t="str">
        <f>IF(AND('in-situ Acer outplants'!D:D=B53,IF(VLOOKUP(B53,'in-situ Acer outplants'!D:T,17,FALSE)&lt;&gt;0,"TRUE", "FALSE")),"Completed",DATE(year(A53)+1, month(A53), day(A53)))</f>
        <v>Completed</v>
      </c>
      <c r="H53" s="1360"/>
      <c r="I53" s="1387"/>
      <c r="J53" s="1387"/>
      <c r="K53" s="1360"/>
      <c r="L53" s="1360"/>
      <c r="M53" s="1360"/>
      <c r="N53" s="1360"/>
      <c r="O53" s="1371"/>
      <c r="P53" s="1361">
        <v>44350.0</v>
      </c>
      <c r="Q53" s="1360" t="s">
        <v>1167</v>
      </c>
      <c r="R53" s="1360" t="s">
        <v>1158</v>
      </c>
      <c r="S53" s="1370">
        <f t="shared" si="3"/>
        <v>44380</v>
      </c>
      <c r="T53" s="1366">
        <f t="shared" si="4"/>
        <v>44715</v>
      </c>
      <c r="U53" s="1360" t="str">
        <f>IF(AND('ex-situ Apal outplants'!D:D=Q53,IF(VLOOKUP(Q53,'ex-situ Apal outplants'!D:M,10,FALSE)&lt;&gt;0,"TRUE", "FALSE")),"Completed",DATE(year(P53), month(P53)+1, day(P53)))</f>
        <v>Completed</v>
      </c>
      <c r="V53" s="1388">
        <f>IF(AND('ex-situ Apal outplants'!D:D=Q53,IF(VLOOKUP(Q53,'ex-situ Apal outplants'!D:T,17,FALSE)&lt;&gt;0,"TRUE", "FALSE")),"Completed",DATE(year(P53)+1, month(P53), day(P53)))</f>
        <v>44715</v>
      </c>
      <c r="W53" s="1360"/>
      <c r="X53" s="1360"/>
      <c r="Y53" s="1360"/>
      <c r="Z53" s="1360"/>
      <c r="AA53" s="1360"/>
      <c r="AB53" s="1360"/>
      <c r="AC53" s="1360"/>
      <c r="AD53" s="1371"/>
      <c r="AE53" s="1360"/>
      <c r="AF53" s="1360"/>
      <c r="AG53" s="1360"/>
    </row>
    <row r="54">
      <c r="A54" s="1356">
        <v>43210.0</v>
      </c>
      <c r="B54" s="1357" t="s">
        <v>333</v>
      </c>
      <c r="C54" s="1358" t="s">
        <v>147</v>
      </c>
      <c r="D54" s="1366">
        <f t="shared" si="1"/>
        <v>43240</v>
      </c>
      <c r="E54" s="1366">
        <f t="shared" si="2"/>
        <v>43575</v>
      </c>
      <c r="F54" s="224" t="str">
        <f>IF(AND('in-situ Acer outplants'!D:D=B54,IF(VLOOKUP(B54,'in-situ Acer outplants'!D:M,10,FALSE)&lt;&gt;0,"TRUE", "FALSE")),"Completed",DATE(year(A54), month(A54)+1, day(A54)))</f>
        <v>Completed</v>
      </c>
      <c r="G54" s="1360" t="str">
        <f>IF(AND('in-situ Acer outplants'!D:D=B54,IF(VLOOKUP(B54,'in-situ Acer outplants'!D:T,17,FALSE)&lt;&gt;0,"TRUE", "FALSE")),"Completed",DATE(year(A54)+1, month(A54), day(A54)))</f>
        <v>Completed</v>
      </c>
      <c r="H54" s="1360"/>
      <c r="I54" s="1387"/>
      <c r="J54" s="1387"/>
      <c r="K54" s="1360"/>
      <c r="L54" s="1360"/>
      <c r="M54" s="1360"/>
      <c r="N54" s="1360"/>
      <c r="O54" s="1371"/>
      <c r="P54" s="1385">
        <v>44359.0</v>
      </c>
      <c r="Q54" s="1360" t="s">
        <v>1169</v>
      </c>
      <c r="R54" s="1360" t="s">
        <v>1146</v>
      </c>
      <c r="S54" s="1370">
        <f t="shared" si="3"/>
        <v>44389</v>
      </c>
      <c r="T54" s="1366">
        <f t="shared" si="4"/>
        <v>44724</v>
      </c>
      <c r="U54" s="1360" t="str">
        <f>IF(AND('ex-situ Apal outplants'!D:D=Q54,IF(VLOOKUP(Q54,'ex-situ Apal outplants'!D:M,10,FALSE)&lt;&gt;0,"TRUE", "FALSE")),"Completed",DATE(year(P54), month(P54)+1, day(P54)))</f>
        <v>Completed</v>
      </c>
      <c r="V54" s="1388">
        <f>IF(AND('ex-situ Apal outplants'!D:D=Q54,IF(VLOOKUP(Q54,'ex-situ Apal outplants'!D:T,17,FALSE)&lt;&gt;0,"TRUE", "FALSE")),"Completed",DATE(year(P54)+1, month(P54), day(P54)))</f>
        <v>44724</v>
      </c>
      <c r="W54" s="1360"/>
      <c r="X54" s="1360"/>
      <c r="Y54" s="1360"/>
      <c r="Z54" s="1360"/>
      <c r="AA54" s="1360"/>
      <c r="AB54" s="1360"/>
      <c r="AC54" s="1360"/>
      <c r="AD54" s="1371"/>
      <c r="AE54" s="1360"/>
      <c r="AF54" s="1360"/>
      <c r="AG54" s="1360"/>
    </row>
    <row r="55">
      <c r="A55" s="1356">
        <v>43210.0</v>
      </c>
      <c r="B55" s="1357" t="s">
        <v>335</v>
      </c>
      <c r="C55" s="1358" t="s">
        <v>147</v>
      </c>
      <c r="D55" s="1366">
        <f t="shared" si="1"/>
        <v>43240</v>
      </c>
      <c r="E55" s="1366">
        <f t="shared" si="2"/>
        <v>43575</v>
      </c>
      <c r="F55" s="224" t="str">
        <f>IF(AND('in-situ Acer outplants'!D:D=B55,IF(VLOOKUP(B55,'in-situ Acer outplants'!D:M,10,FALSE)&lt;&gt;0,"TRUE", "FALSE")),"Completed",DATE(year(A55), month(A55)+1, day(A55)))</f>
        <v>Completed</v>
      </c>
      <c r="G55" s="1360" t="str">
        <f>IF(AND('in-situ Acer outplants'!D:D=B55,IF(VLOOKUP(B55,'in-situ Acer outplants'!D:T,17,FALSE)&lt;&gt;0,"TRUE", "FALSE")),"Completed",DATE(year(A55)+1, month(A55), day(A55)))</f>
        <v>Completed</v>
      </c>
      <c r="H55" s="1360"/>
      <c r="I55" s="1387"/>
      <c r="J55" s="1387"/>
      <c r="K55" s="1360"/>
      <c r="L55" s="1360"/>
      <c r="M55" s="1360"/>
      <c r="N55" s="1360"/>
      <c r="O55" s="1371"/>
      <c r="P55" s="1385">
        <v>44361.0</v>
      </c>
      <c r="Q55" s="1360" t="s">
        <v>1171</v>
      </c>
      <c r="R55" s="1360" t="s">
        <v>1172</v>
      </c>
      <c r="S55" s="1370">
        <f t="shared" si="3"/>
        <v>44391</v>
      </c>
      <c r="T55" s="1366">
        <f t="shared" si="4"/>
        <v>44726</v>
      </c>
      <c r="U55" s="1360" t="str">
        <f>IF(AND('ex-situ Apal outplants'!D:D=Q55,IF(VLOOKUP(Q55,'ex-situ Apal outplants'!D:M,10,FALSE)&lt;&gt;0,"TRUE", "FALSE")),"Completed",DATE(year(P55), month(P55)+1, day(P55)))</f>
        <v>Completed</v>
      </c>
      <c r="V55" s="1360" t="str">
        <f>IF(AND('ex-situ Apal outplants'!D:D=Q55,IF(VLOOKUP(Q55,'ex-situ Apal outplants'!D:T,17,FALSE)&lt;&gt;0,"TRUE", "FALSE")),"Completed",DATE(year(P55)+1, month(P55), day(P55)))</f>
        <v>Completed</v>
      </c>
      <c r="W55" s="1360"/>
      <c r="X55" s="1360"/>
      <c r="Y55" s="1360"/>
      <c r="Z55" s="1360"/>
      <c r="AA55" s="1360"/>
      <c r="AB55" s="1360"/>
      <c r="AC55" s="1360"/>
      <c r="AD55" s="1371"/>
      <c r="AE55" s="1360"/>
      <c r="AF55" s="1360"/>
      <c r="AG55" s="1360"/>
    </row>
    <row r="56">
      <c r="A56" s="1356">
        <v>43211.0</v>
      </c>
      <c r="B56" s="1357" t="s">
        <v>338</v>
      </c>
      <c r="C56" s="1358" t="s">
        <v>147</v>
      </c>
      <c r="D56" s="1366">
        <f t="shared" si="1"/>
        <v>43241</v>
      </c>
      <c r="E56" s="1366">
        <f t="shared" si="2"/>
        <v>43576</v>
      </c>
      <c r="F56" s="224" t="str">
        <f>IF(AND('in-situ Acer outplants'!D:D=B56,IF(VLOOKUP(B56,'in-situ Acer outplants'!D:M,10,FALSE)&lt;&gt;0,"TRUE", "FALSE")),"Completed",DATE(year(A56), month(A56)+1, day(A56)))</f>
        <v>Completed</v>
      </c>
      <c r="G56" s="1360" t="str">
        <f>IF(AND('in-situ Acer outplants'!D:D=B56,IF(VLOOKUP(B56,'in-situ Acer outplants'!D:T,17,FALSE)&lt;&gt;0,"TRUE", "FALSE")),"Completed",DATE(year(A56)+1, month(A56), day(A56)))</f>
        <v>Completed</v>
      </c>
      <c r="H56" s="1387"/>
      <c r="I56" s="1387"/>
      <c r="J56" s="1387"/>
      <c r="K56" s="1360"/>
      <c r="L56" s="1360"/>
      <c r="M56" s="1360"/>
      <c r="N56" s="1360"/>
      <c r="O56" s="1371"/>
      <c r="P56" s="1385">
        <v>44362.0</v>
      </c>
      <c r="Q56" s="1360" t="s">
        <v>1177</v>
      </c>
      <c r="R56" s="1360" t="s">
        <v>1178</v>
      </c>
      <c r="S56" s="1370">
        <f t="shared" si="3"/>
        <v>44392</v>
      </c>
      <c r="T56" s="1366">
        <f t="shared" si="4"/>
        <v>44727</v>
      </c>
      <c r="U56" s="1360" t="str">
        <f>IF(AND('ex-situ Apal outplants'!D:D=Q56,IF(VLOOKUP(Q56,'ex-situ Apal outplants'!D:M,10,FALSE)&lt;&gt;0,"TRUE", "FALSE")),"Completed",DATE(year(P56), month(P56)+1, day(P56)))</f>
        <v>Completed</v>
      </c>
      <c r="V56" s="1360" t="str">
        <f>IF(AND('ex-situ Apal outplants'!D:D=Q56,IF(VLOOKUP(Q56,'ex-situ Apal outplants'!D:T,17,FALSE)&lt;&gt;0,"TRUE", "FALSE")),"Completed",DATE(year(P56)+1, month(P56), day(P56)))</f>
        <v>Completed</v>
      </c>
      <c r="W56" s="1360"/>
      <c r="X56" s="1360"/>
      <c r="Y56" s="1360"/>
      <c r="Z56" s="1360"/>
      <c r="AA56" s="1360"/>
      <c r="AB56" s="1360"/>
      <c r="AC56" s="1360"/>
      <c r="AD56" s="1371"/>
      <c r="AE56" s="1360"/>
      <c r="AF56" s="1360"/>
      <c r="AG56" s="1360"/>
    </row>
    <row r="57">
      <c r="A57" s="1356">
        <v>43211.0</v>
      </c>
      <c r="B57" s="1357" t="s">
        <v>341</v>
      </c>
      <c r="C57" s="1358" t="s">
        <v>147</v>
      </c>
      <c r="D57" s="1366">
        <f t="shared" si="1"/>
        <v>43241</v>
      </c>
      <c r="E57" s="1366">
        <f t="shared" si="2"/>
        <v>43576</v>
      </c>
      <c r="F57" s="224" t="str">
        <f>IF(AND('in-situ Acer outplants'!D:D=B57,IF(VLOOKUP(B57,'in-situ Acer outplants'!D:M,10,FALSE)&lt;&gt;0,"TRUE", "FALSE")),"Completed",DATE(year(A57), month(A57)+1, day(A57)))</f>
        <v>Completed</v>
      </c>
      <c r="G57" s="1360" t="str">
        <f>IF(AND('in-situ Acer outplants'!D:D=B57,IF(VLOOKUP(B57,'in-situ Acer outplants'!D:T,17,FALSE)&lt;&gt;0,"TRUE", "FALSE")),"Completed",DATE(year(A57)+1, month(A57), day(A57)))</f>
        <v>Completed</v>
      </c>
      <c r="H57" s="1387"/>
      <c r="I57" s="1387"/>
      <c r="J57" s="1387"/>
      <c r="K57" s="1360"/>
      <c r="L57" s="1360"/>
      <c r="M57" s="1360"/>
      <c r="N57" s="1360"/>
      <c r="O57" s="1371"/>
      <c r="P57" s="1385">
        <v>44376.0</v>
      </c>
      <c r="Q57" s="1360" t="s">
        <v>1182</v>
      </c>
      <c r="R57" s="1360" t="s">
        <v>1183</v>
      </c>
      <c r="S57" s="1370">
        <f t="shared" si="3"/>
        <v>44406</v>
      </c>
      <c r="T57" s="1366">
        <f t="shared" si="4"/>
        <v>44741</v>
      </c>
      <c r="U57" s="1360" t="str">
        <f>IF(AND('ex-situ Apal outplants'!D:D=Q57,IF(VLOOKUP(Q57,'ex-situ Apal outplants'!D:M,10,FALSE)&lt;&gt;0,"TRUE", "FALSE")),"Completed",DATE(year(P57), month(P57)+1, day(P57)))</f>
        <v>Completed</v>
      </c>
      <c r="V57" s="1360" t="str">
        <f>IF(AND('ex-situ Apal outplants'!D:D=Q57,IF(VLOOKUP(Q57,'ex-situ Apal outplants'!D:T,17,FALSE)&lt;&gt;0,"TRUE", "FALSE")),"Completed",DATE(year(P57)+1, month(P57), day(P57)))</f>
        <v>Completed</v>
      </c>
      <c r="W57" s="1360"/>
      <c r="X57" s="1360"/>
      <c r="Y57" s="1360"/>
      <c r="Z57" s="1360"/>
      <c r="AA57" s="1360"/>
      <c r="AB57" s="1360"/>
      <c r="AC57" s="1360"/>
      <c r="AD57" s="1371"/>
      <c r="AE57" s="1360"/>
      <c r="AF57" s="1360"/>
      <c r="AG57" s="1360"/>
    </row>
    <row r="58">
      <c r="A58" s="1356">
        <v>43213.0</v>
      </c>
      <c r="B58" s="1357" t="s">
        <v>343</v>
      </c>
      <c r="C58" s="1358" t="s">
        <v>147</v>
      </c>
      <c r="D58" s="1366">
        <f t="shared" si="1"/>
        <v>43243</v>
      </c>
      <c r="E58" s="1366">
        <f t="shared" si="2"/>
        <v>43578</v>
      </c>
      <c r="F58" s="224" t="str">
        <f>IF(AND('in-situ Acer outplants'!D:D=B58,IF(VLOOKUP(B58,'in-situ Acer outplants'!D:M,10,FALSE)&lt;&gt;0,"TRUE", "FALSE")),"Completed",DATE(year(A58), month(A58)+1, day(A58)))</f>
        <v>Completed</v>
      </c>
      <c r="G58" s="1360" t="str">
        <f>IF(AND('in-situ Acer outplants'!D:D=B58,IF(VLOOKUP(B58,'in-situ Acer outplants'!D:T,17,FALSE)&lt;&gt;0,"TRUE", "FALSE")),"Completed",DATE(year(A58)+1, month(A58), day(A58)))</f>
        <v>Completed</v>
      </c>
      <c r="H58" s="1360"/>
      <c r="I58" s="1360"/>
      <c r="J58" s="1360"/>
      <c r="K58" s="1360"/>
      <c r="L58" s="1360"/>
      <c r="M58" s="1360"/>
      <c r="N58" s="1360"/>
      <c r="O58" s="1371"/>
      <c r="P58" s="1385">
        <v>44378.0</v>
      </c>
      <c r="Q58" s="1360" t="s">
        <v>1184</v>
      </c>
      <c r="R58" s="1360" t="s">
        <v>1185</v>
      </c>
      <c r="S58" s="1370">
        <f t="shared" si="3"/>
        <v>44409</v>
      </c>
      <c r="T58" s="1366">
        <f t="shared" si="4"/>
        <v>44743</v>
      </c>
      <c r="U58" s="1360" t="str">
        <f>IF(AND('ex-situ Apal outplants'!D:D=Q58,IF(VLOOKUP(Q58,'ex-situ Apal outplants'!D:M,10,FALSE)&lt;&gt;0,"TRUE", "FALSE")),"Completed",DATE(year(P58), month(P58)+1, day(P58)))</f>
        <v>Completed</v>
      </c>
      <c r="V58" s="1360" t="str">
        <f>IF(AND('ex-situ Apal outplants'!D:D=Q58,IF(VLOOKUP(Q58,'ex-situ Apal outplants'!D:T,17,FALSE)&lt;&gt;0,"TRUE", "FALSE")),"Completed",DATE(year(P58)+1, month(P58), day(P58)))</f>
        <v>Completed</v>
      </c>
      <c r="W58" s="1360"/>
      <c r="X58" s="1360"/>
      <c r="Y58" s="1360"/>
      <c r="Z58" s="1360"/>
      <c r="AA58" s="1360"/>
      <c r="AB58" s="1360"/>
      <c r="AC58" s="1360"/>
      <c r="AD58" s="1371"/>
      <c r="AE58" s="1360"/>
      <c r="AF58" s="1360"/>
      <c r="AG58" s="1360"/>
    </row>
    <row r="59">
      <c r="A59" s="1356">
        <v>43213.0</v>
      </c>
      <c r="B59" s="1357" t="s">
        <v>346</v>
      </c>
      <c r="C59" s="1358" t="s">
        <v>147</v>
      </c>
      <c r="D59" s="1366">
        <f t="shared" si="1"/>
        <v>43243</v>
      </c>
      <c r="E59" s="1366">
        <f t="shared" si="2"/>
        <v>43578</v>
      </c>
      <c r="F59" s="224" t="str">
        <f>IF(AND('in-situ Acer outplants'!D:D=B59,IF(VLOOKUP(B59,'in-situ Acer outplants'!D:M,10,FALSE)&lt;&gt;0,"TRUE", "FALSE")),"Completed",DATE(year(A59), month(A59)+1, day(A59)))</f>
        <v>Completed</v>
      </c>
      <c r="G59" s="1360" t="str">
        <f>IF(AND('in-situ Acer outplants'!D:D=B59,IF(VLOOKUP(B59,'in-situ Acer outplants'!D:T,17,FALSE)&lt;&gt;0,"TRUE", "FALSE")),"Completed",DATE(year(A59)+1, month(A59), day(A59)))</f>
        <v>Completed</v>
      </c>
      <c r="H59" s="1360"/>
      <c r="I59" s="1360"/>
      <c r="J59" s="1360"/>
      <c r="K59" s="1360"/>
      <c r="L59" s="1360"/>
      <c r="M59" s="1360"/>
      <c r="N59" s="1360"/>
      <c r="O59" s="1371"/>
      <c r="P59" s="1385">
        <v>44399.0</v>
      </c>
      <c r="Q59" s="1360" t="s">
        <v>1190</v>
      </c>
      <c r="R59" s="1360" t="s">
        <v>1191</v>
      </c>
      <c r="S59" s="1370">
        <f t="shared" si="3"/>
        <v>44430</v>
      </c>
      <c r="T59" s="1366">
        <f t="shared" si="4"/>
        <v>44764</v>
      </c>
      <c r="U59" s="1360" t="str">
        <f>IF(AND('ex-situ Apal outplants'!D:D=Q59,IF(VLOOKUP(Q59,'ex-situ Apal outplants'!D:M,10,FALSE)&lt;&gt;0,"TRUE", "FALSE")),"Completed",DATE(year(P59), month(P59)+1, day(P59)))</f>
        <v>Completed</v>
      </c>
      <c r="V59" s="1360" t="str">
        <f>IF(AND('ex-situ Apal outplants'!D:D=Q59,IF(VLOOKUP(Q59,'ex-situ Apal outplants'!D:T,17,FALSE)&lt;&gt;0,"TRUE", "FALSE")),"Completed",DATE(year(P59)+1, month(P59), day(P59)))</f>
        <v>Completed</v>
      </c>
      <c r="W59" s="1360"/>
      <c r="X59" s="1360"/>
      <c r="Y59" s="1360"/>
      <c r="Z59" s="1360"/>
      <c r="AA59" s="1360"/>
      <c r="AB59" s="1360"/>
      <c r="AC59" s="1360"/>
      <c r="AD59" s="1371"/>
      <c r="AE59" s="1360"/>
      <c r="AF59" s="1360"/>
      <c r="AG59" s="1360"/>
    </row>
    <row r="60">
      <c r="A60" s="1356">
        <v>43215.0</v>
      </c>
      <c r="B60" s="1357" t="s">
        <v>348</v>
      </c>
      <c r="C60" s="1358" t="s">
        <v>147</v>
      </c>
      <c r="D60" s="1366">
        <f t="shared" si="1"/>
        <v>43245</v>
      </c>
      <c r="E60" s="1366">
        <f t="shared" si="2"/>
        <v>43580</v>
      </c>
      <c r="F60" s="224" t="str">
        <f>IF(AND('in-situ Acer outplants'!D:D=B60,IF(VLOOKUP(B60,'in-situ Acer outplants'!D:M,10,FALSE)&lt;&gt;0,"TRUE", "FALSE")),"Completed",DATE(year(A60), month(A60)+1, day(A60)))</f>
        <v>Completed</v>
      </c>
      <c r="G60" s="1360" t="str">
        <f>IF(AND('in-situ Acer outplants'!D:D=B60,IF(VLOOKUP(B60,'in-situ Acer outplants'!D:T,17,FALSE)&lt;&gt;0,"TRUE", "FALSE")),"Completed",DATE(year(A60)+1, month(A60), day(A60)))</f>
        <v>Completed</v>
      </c>
      <c r="H60" s="1360"/>
      <c r="I60" s="1360"/>
      <c r="J60" s="1360"/>
      <c r="K60" s="1360"/>
      <c r="L60" s="1360"/>
      <c r="M60" s="1360"/>
      <c r="N60" s="1360"/>
      <c r="O60" s="1371"/>
      <c r="P60" s="1385">
        <v>44393.0</v>
      </c>
      <c r="Q60" s="1360" t="s">
        <v>1193</v>
      </c>
      <c r="R60" s="1360" t="s">
        <v>1194</v>
      </c>
      <c r="S60" s="1370">
        <f t="shared" si="3"/>
        <v>44424</v>
      </c>
      <c r="T60" s="1366">
        <f t="shared" si="4"/>
        <v>44758</v>
      </c>
      <c r="U60" s="1360" t="str">
        <f>IF(AND('ex-situ Apal outplants'!D:D=Q60,IF(VLOOKUP(Q60,'ex-situ Apal outplants'!D:M,10,FALSE)&lt;&gt;0,"TRUE", "FALSE")),"Completed",DATE(year(P60), month(P60)+1, day(P60)))</f>
        <v>Completed</v>
      </c>
      <c r="V60" s="1388">
        <f>IF(AND('ex-situ Apal outplants'!D:D=Q60,IF(VLOOKUP(Q60,'ex-situ Apal outplants'!D:T,17,FALSE)&lt;&gt;0,"TRUE", "FALSE")),"Completed",DATE(year(P60)+1, month(P60), day(P60)))</f>
        <v>44758</v>
      </c>
      <c r="W60" s="1360"/>
      <c r="X60" s="1360"/>
      <c r="Y60" s="1360"/>
      <c r="Z60" s="1360"/>
      <c r="AA60" s="1360"/>
      <c r="AB60" s="1360"/>
      <c r="AC60" s="1360"/>
      <c r="AD60" s="1371"/>
      <c r="AE60" s="1360"/>
      <c r="AF60" s="1360"/>
      <c r="AG60" s="1360"/>
    </row>
    <row r="61">
      <c r="A61" s="1356">
        <v>43215.0</v>
      </c>
      <c r="B61" s="1357" t="s">
        <v>351</v>
      </c>
      <c r="C61" s="1358" t="s">
        <v>147</v>
      </c>
      <c r="D61" s="1366">
        <f t="shared" si="1"/>
        <v>43245</v>
      </c>
      <c r="E61" s="1366">
        <f t="shared" si="2"/>
        <v>43580</v>
      </c>
      <c r="F61" s="224" t="str">
        <f>IF(AND('in-situ Acer outplants'!D:D=B61,IF(VLOOKUP(B61,'in-situ Acer outplants'!D:M,10,FALSE)&lt;&gt;0,"TRUE", "FALSE")),"Completed",DATE(year(A61), month(A61)+1, day(A61)))</f>
        <v>Completed</v>
      </c>
      <c r="G61" s="1360" t="str">
        <f>IF(AND('in-situ Acer outplants'!D:D=B61,IF(VLOOKUP(B61,'in-situ Acer outplants'!D:T,17,FALSE)&lt;&gt;0,"TRUE", "FALSE")),"Completed",DATE(year(A61)+1, month(A61), day(A61)))</f>
        <v>Completed</v>
      </c>
      <c r="H61" s="1360"/>
      <c r="I61" s="1360"/>
      <c r="J61" s="1360"/>
      <c r="K61" s="1360"/>
      <c r="L61" s="1360"/>
      <c r="M61" s="1360"/>
      <c r="N61" s="1360"/>
      <c r="O61" s="1371"/>
      <c r="P61" s="1385">
        <v>44404.0</v>
      </c>
      <c r="Q61" s="1360" t="s">
        <v>1196</v>
      </c>
      <c r="R61" s="1360" t="s">
        <v>1197</v>
      </c>
      <c r="S61" s="1370">
        <f t="shared" si="3"/>
        <v>44435</v>
      </c>
      <c r="T61" s="1366">
        <f t="shared" si="4"/>
        <v>44769</v>
      </c>
      <c r="U61" s="1360" t="str">
        <f>IF(AND('ex-situ Apal outplants'!D:D=Q61,IF(VLOOKUP(Q61,'ex-situ Apal outplants'!D:M,10,FALSE)&lt;&gt;0,"TRUE", "FALSE")),"Completed",DATE(year(P61), month(P61)+1, day(P61)))</f>
        <v>Completed</v>
      </c>
      <c r="V61" s="1360" t="str">
        <f>IF(AND('ex-situ Apal outplants'!D:D=Q61,IF(VLOOKUP(Q61,'ex-situ Apal outplants'!D:T,17,FALSE)&lt;&gt;0,"TRUE", "FALSE")),"Completed",DATE(year(P61)+1, month(P61), day(P61)))</f>
        <v>Completed</v>
      </c>
      <c r="W61" s="1360"/>
      <c r="X61" s="1360"/>
      <c r="Y61" s="1360"/>
      <c r="Z61" s="1360"/>
      <c r="AA61" s="1360"/>
      <c r="AB61" s="1360"/>
      <c r="AC61" s="1360"/>
      <c r="AD61" s="1371"/>
      <c r="AE61" s="1360"/>
      <c r="AF61" s="1360"/>
      <c r="AG61" s="1360"/>
    </row>
    <row r="62">
      <c r="A62" s="1356">
        <v>43256.0</v>
      </c>
      <c r="B62" s="1357" t="s">
        <v>353</v>
      </c>
      <c r="C62" s="1358" t="s">
        <v>354</v>
      </c>
      <c r="D62" s="1366">
        <f t="shared" si="1"/>
        <v>43286</v>
      </c>
      <c r="E62" s="1366">
        <f t="shared" si="2"/>
        <v>43621</v>
      </c>
      <c r="F62" s="224" t="str">
        <f>IF(AND('in-situ Acer outplants'!D:D=B62,IF(VLOOKUP(B62,'in-situ Acer outplants'!D:M,10,FALSE)&lt;&gt;0,"TRUE", "FALSE")),"Completed",DATE(year(A62), month(A62)+1, day(A62)))</f>
        <v>Completed</v>
      </c>
      <c r="G62" s="1360" t="str">
        <f>IF(AND('in-situ Acer outplants'!D:D=B62,IF(VLOOKUP(B62,'in-situ Acer outplants'!D:T,17,FALSE)&lt;&gt;0,"TRUE", "FALSE")),"Completed",DATE(year(A62)+1, month(A62), day(A62)))</f>
        <v>Completed</v>
      </c>
      <c r="H62" s="1360"/>
      <c r="I62" s="1360"/>
      <c r="J62" s="1360"/>
      <c r="K62" s="1360"/>
      <c r="L62" s="1360"/>
      <c r="M62" s="1360"/>
      <c r="N62" s="1360"/>
      <c r="O62" s="1371"/>
      <c r="P62" s="1385">
        <v>44455.0</v>
      </c>
      <c r="Q62" s="1360" t="s">
        <v>1200</v>
      </c>
      <c r="R62" s="1360" t="s">
        <v>1201</v>
      </c>
      <c r="S62" s="1370">
        <f t="shared" si="3"/>
        <v>44485</v>
      </c>
      <c r="T62" s="1366">
        <f t="shared" si="4"/>
        <v>44820</v>
      </c>
      <c r="U62" s="1360" t="str">
        <f>IF(AND('ex-situ Apal outplants'!D:D=Q62,IF(VLOOKUP(Q62,'ex-situ Apal outplants'!D:M,10,FALSE)&lt;&gt;0,"TRUE", "FALSE")),"Completed",DATE(year(P62), month(P62)+1, day(P62)))</f>
        <v>Completed</v>
      </c>
      <c r="V62" s="1360" t="str">
        <f>IF(AND('ex-situ Apal outplants'!D:D=Q62,IF(VLOOKUP(Q62,'ex-situ Apal outplants'!D:T,17,FALSE)&lt;&gt;0,"TRUE", "FALSE")),"Completed",DATE(year(P62)+1, month(P62), day(P62)))</f>
        <v>Completed</v>
      </c>
      <c r="W62" s="1360"/>
      <c r="X62" s="1360"/>
      <c r="Y62" s="1360"/>
      <c r="Z62" s="1360"/>
      <c r="AA62" s="1360"/>
      <c r="AB62" s="1360"/>
      <c r="AC62" s="1360"/>
      <c r="AD62" s="1371"/>
      <c r="AE62" s="1360"/>
      <c r="AF62" s="1360"/>
      <c r="AG62" s="1360"/>
    </row>
    <row r="63">
      <c r="A63" s="1356">
        <v>43258.0</v>
      </c>
      <c r="B63" s="1357" t="s">
        <v>356</v>
      </c>
      <c r="C63" s="1358" t="s">
        <v>357</v>
      </c>
      <c r="D63" s="1366">
        <f t="shared" si="1"/>
        <v>43288</v>
      </c>
      <c r="E63" s="1366">
        <f t="shared" si="2"/>
        <v>43623</v>
      </c>
      <c r="F63" s="224" t="str">
        <f>IF(AND('in-situ Acer outplants'!D:D=B63,IF(VLOOKUP(B63,'in-situ Acer outplants'!D:M,10,FALSE)&lt;&gt;0,"TRUE", "FALSE")),"Completed",DATE(year(A63), month(A63)+1, day(A63)))</f>
        <v>Completed</v>
      </c>
      <c r="G63" s="1360" t="str">
        <f>IF(AND('in-situ Acer outplants'!D:D=B63,IF(VLOOKUP(B63,'in-situ Acer outplants'!D:T,17,FALSE)&lt;&gt;0,"TRUE", "FALSE")),"Completed",DATE(year(A63)+1, month(A63), day(A63)))</f>
        <v>Completed</v>
      </c>
      <c r="H63" s="1360"/>
      <c r="I63" s="1360"/>
      <c r="J63" s="1360"/>
      <c r="K63" s="1360"/>
      <c r="L63" s="1360"/>
      <c r="M63" s="1360"/>
      <c r="N63" s="1360"/>
      <c r="O63" s="1371"/>
      <c r="P63" s="1385">
        <v>44474.0</v>
      </c>
      <c r="Q63" s="1360" t="s">
        <v>1204</v>
      </c>
      <c r="R63" s="1360" t="s">
        <v>1205</v>
      </c>
      <c r="S63" s="1370">
        <f t="shared" si="3"/>
        <v>44505</v>
      </c>
      <c r="T63" s="1366">
        <f t="shared" si="4"/>
        <v>44839</v>
      </c>
      <c r="U63" s="1360" t="str">
        <f>IF(AND('ex-situ Apal outplants'!D:D=Q63,IF(VLOOKUP(Q63,'ex-situ Apal outplants'!D:M,10,FALSE)&lt;&gt;0,"TRUE", "FALSE")),"Completed",DATE(year(P63), month(P63)+1, day(P63)))</f>
        <v>Completed</v>
      </c>
      <c r="V63" s="1360" t="str">
        <f>IF(AND('ex-situ Apal outplants'!D:D=Q63,IF(VLOOKUP(Q63,'ex-situ Apal outplants'!D:T,17,FALSE)&lt;&gt;0,"TRUE", "FALSE")),"Completed",DATE(year(P63)+1, month(P63), day(P63)))</f>
        <v>Completed</v>
      </c>
      <c r="W63" s="1360"/>
      <c r="X63" s="1360"/>
      <c r="Y63" s="1360"/>
      <c r="Z63" s="1360"/>
      <c r="AA63" s="1360"/>
      <c r="AB63" s="1360"/>
      <c r="AC63" s="1360"/>
      <c r="AD63" s="1371"/>
      <c r="AE63" s="1360"/>
      <c r="AF63" s="1360"/>
      <c r="AG63" s="1360"/>
    </row>
    <row r="64">
      <c r="A64" s="1356">
        <v>43259.0</v>
      </c>
      <c r="B64" s="1357" t="s">
        <v>359</v>
      </c>
      <c r="C64" s="1358" t="s">
        <v>357</v>
      </c>
      <c r="D64" s="1366">
        <f t="shared" si="1"/>
        <v>43289</v>
      </c>
      <c r="E64" s="1366">
        <f t="shared" si="2"/>
        <v>43624</v>
      </c>
      <c r="F64" s="224" t="str">
        <f>IF(AND('in-situ Acer outplants'!D:D=B64,IF(VLOOKUP(B64,'in-situ Acer outplants'!D:M,10,FALSE)&lt;&gt;0,"TRUE", "FALSE")),"Completed",DATE(year(A64), month(A64)+1, day(A64)))</f>
        <v>Completed</v>
      </c>
      <c r="G64" s="1360" t="str">
        <f>IF(AND('in-situ Acer outplants'!D:D=B64,IF(VLOOKUP(B64,'in-situ Acer outplants'!D:T,17,FALSE)&lt;&gt;0,"TRUE", "FALSE")),"Completed",DATE(year(A64)+1, month(A64), day(A64)))</f>
        <v>Completed</v>
      </c>
      <c r="H64" s="1360"/>
      <c r="I64" s="1360"/>
      <c r="J64" s="1360"/>
      <c r="K64" s="1360"/>
      <c r="L64" s="1360"/>
      <c r="M64" s="1360"/>
      <c r="N64" s="1360"/>
      <c r="O64" s="1371"/>
      <c r="P64" s="1385">
        <v>44475.0</v>
      </c>
      <c r="Q64" s="1360" t="s">
        <v>1206</v>
      </c>
      <c r="R64" s="1360" t="s">
        <v>1207</v>
      </c>
      <c r="S64" s="1370">
        <f t="shared" si="3"/>
        <v>44506</v>
      </c>
      <c r="T64" s="1366">
        <f t="shared" si="4"/>
        <v>44840</v>
      </c>
      <c r="U64" s="1360" t="str">
        <f>IF(AND('ex-situ Apal outplants'!D:D=Q64,IF(VLOOKUP(Q64,'ex-situ Apal outplants'!D:M,10,FALSE)&lt;&gt;0,"TRUE", "FALSE")),"Completed",DATE(year(P64), month(P64)+1, day(P64)))</f>
        <v>Completed</v>
      </c>
      <c r="V64" s="1360" t="str">
        <f>IF(AND('ex-situ Apal outplants'!D:D=Q64,IF(VLOOKUP(Q64,'ex-situ Apal outplants'!D:T,17,FALSE)&lt;&gt;0,"TRUE", "FALSE")),"Completed",DATE(year(P64)+1, month(P64), day(P64)))</f>
        <v>Completed</v>
      </c>
      <c r="W64" s="1360"/>
      <c r="X64" s="1360"/>
      <c r="Y64" s="1360"/>
      <c r="Z64" s="1360"/>
      <c r="AA64" s="1360"/>
      <c r="AB64" s="1360"/>
      <c r="AC64" s="1360"/>
      <c r="AD64" s="1371"/>
      <c r="AE64" s="1360"/>
      <c r="AF64" s="1360"/>
      <c r="AG64" s="1360"/>
    </row>
    <row r="65">
      <c r="A65" s="1356">
        <v>43265.0</v>
      </c>
      <c r="B65" s="1357" t="s">
        <v>361</v>
      </c>
      <c r="C65" s="1358" t="s">
        <v>362</v>
      </c>
      <c r="D65" s="1366">
        <f t="shared" si="1"/>
        <v>43295</v>
      </c>
      <c r="E65" s="1366">
        <f t="shared" si="2"/>
        <v>43630</v>
      </c>
      <c r="F65" s="224" t="str">
        <f>IF(AND('in-situ Acer outplants'!D:D=B65,IF(VLOOKUP(B65,'in-situ Acer outplants'!D:M,10,FALSE)&lt;&gt;0,"TRUE", "FALSE")),"Completed",DATE(year(A65), month(A65)+1, day(A65)))</f>
        <v>Completed</v>
      </c>
      <c r="G65" s="1360" t="str">
        <f>IF(AND('in-situ Acer outplants'!D:D=B65,IF(VLOOKUP(B65,'in-situ Acer outplants'!D:T,17,FALSE)&lt;&gt;0,"TRUE", "FALSE")),"Completed",DATE(year(A65)+1, month(A65), day(A65)))</f>
        <v>Completed</v>
      </c>
      <c r="H65" s="1360"/>
      <c r="I65" s="1360"/>
      <c r="J65" s="1360"/>
      <c r="K65" s="1360"/>
      <c r="L65" s="1360"/>
      <c r="M65" s="1360"/>
      <c r="N65" s="1360"/>
      <c r="O65" s="1371"/>
      <c r="P65" s="1385">
        <v>44480.0</v>
      </c>
      <c r="Q65" s="1360" t="s">
        <v>1208</v>
      </c>
      <c r="R65" s="1360" t="s">
        <v>1209</v>
      </c>
      <c r="S65" s="1370">
        <f t="shared" si="3"/>
        <v>44511</v>
      </c>
      <c r="T65" s="1366">
        <f t="shared" si="4"/>
        <v>44845</v>
      </c>
      <c r="U65" s="1360" t="str">
        <f>IF(AND('ex-situ Apal outplants'!D:D=Q65,IF(VLOOKUP(Q65,'ex-situ Apal outplants'!D:M,10,FALSE)&lt;&gt;0,"TRUE", "FALSE")),"Completed",DATE(year(P65), month(P65)+1, day(P65)))</f>
        <v>Completed</v>
      </c>
      <c r="V65" s="1388">
        <f>IF(AND('ex-situ Apal outplants'!D:D=Q65,IF(VLOOKUP(Q65,'ex-situ Apal outplants'!D:T,17,FALSE)&lt;&gt;0,"TRUE", "FALSE")),"Completed",DATE(year(P65)+1, month(P65), day(P65)))</f>
        <v>44845</v>
      </c>
      <c r="W65" s="1360"/>
      <c r="X65" s="1360"/>
      <c r="Y65" s="1360"/>
      <c r="Z65" s="1360"/>
      <c r="AA65" s="1360"/>
      <c r="AB65" s="1360"/>
      <c r="AC65" s="1360"/>
      <c r="AD65" s="1371"/>
      <c r="AE65" s="1360"/>
      <c r="AF65" s="1360"/>
      <c r="AG65" s="1360"/>
    </row>
    <row r="66">
      <c r="A66" s="1356">
        <v>43270.0</v>
      </c>
      <c r="B66" s="1357" t="s">
        <v>364</v>
      </c>
      <c r="C66" s="1358" t="s">
        <v>357</v>
      </c>
      <c r="D66" s="1366">
        <f t="shared" si="1"/>
        <v>43300</v>
      </c>
      <c r="E66" s="1366">
        <f t="shared" si="2"/>
        <v>43635</v>
      </c>
      <c r="F66" s="224" t="str">
        <f>IF(AND('in-situ Acer outplants'!D:D=B66,IF(VLOOKUP(B66,'in-situ Acer outplants'!D:M,10,FALSE)&lt;&gt;0,"TRUE", "FALSE")),"Completed",DATE(year(A66), month(A66)+1, day(A66)))</f>
        <v>Completed</v>
      </c>
      <c r="G66" s="1360" t="str">
        <f>IF(AND('in-situ Acer outplants'!D:D=B66,IF(VLOOKUP(B66,'in-situ Acer outplants'!D:T,17,FALSE)&lt;&gt;0,"TRUE", "FALSE")),"Completed",DATE(year(A66)+1, month(A66), day(A66)))</f>
        <v>Completed</v>
      </c>
      <c r="H66" s="1360"/>
      <c r="I66" s="1360"/>
      <c r="J66" s="1360"/>
      <c r="K66" s="1360"/>
      <c r="L66" s="1360"/>
      <c r="M66" s="1360"/>
      <c r="N66" s="1360"/>
      <c r="O66" s="1371"/>
      <c r="P66" s="1385">
        <v>44480.0</v>
      </c>
      <c r="Q66" s="1360" t="s">
        <v>1211</v>
      </c>
      <c r="R66" s="1360" t="s">
        <v>235</v>
      </c>
      <c r="S66" s="1370">
        <f t="shared" si="3"/>
        <v>44511</v>
      </c>
      <c r="T66" s="1366">
        <f t="shared" si="4"/>
        <v>44845</v>
      </c>
      <c r="U66" s="1360" t="str">
        <f>IF(AND('ex-situ Apal outplants'!D:D=Q66,IF(VLOOKUP(Q66,'ex-situ Apal outplants'!D:M,10,FALSE)&lt;&gt;0,"TRUE", "FALSE")),"Completed",DATE(year(P66), month(P66)+1, day(P66)))</f>
        <v>Completed</v>
      </c>
      <c r="V66" s="1360" t="str">
        <f>IF(AND('ex-situ Apal outplants'!D:D=Q66,IF(VLOOKUP(Q66,'ex-situ Apal outplants'!D:T,17,FALSE)&lt;&gt;0,"TRUE", "FALSE")),"Completed",DATE(year(P66)+1, month(P66), day(P66)))</f>
        <v>Completed</v>
      </c>
      <c r="W66" s="1360"/>
      <c r="X66" s="1360"/>
      <c r="Y66" s="1360"/>
      <c r="Z66" s="1360"/>
      <c r="AA66" s="1360"/>
      <c r="AB66" s="1360"/>
      <c r="AC66" s="1360"/>
      <c r="AD66" s="1371"/>
      <c r="AE66" s="1360"/>
      <c r="AF66" s="1360"/>
      <c r="AG66" s="1360"/>
    </row>
    <row r="67">
      <c r="A67" s="1356">
        <v>43271.0</v>
      </c>
      <c r="B67" s="1357" t="s">
        <v>366</v>
      </c>
      <c r="C67" s="1358" t="s">
        <v>367</v>
      </c>
      <c r="D67" s="1366">
        <f t="shared" si="1"/>
        <v>43301</v>
      </c>
      <c r="E67" s="1366">
        <f t="shared" si="2"/>
        <v>43636</v>
      </c>
      <c r="F67" s="224" t="str">
        <f>IF(AND('in-situ Acer outplants'!D:D=B67,IF(VLOOKUP(B67,'in-situ Acer outplants'!D:M,10,FALSE)&lt;&gt;0,"TRUE", "FALSE")),"Completed",DATE(year(A67), month(A67)+1, day(A67)))</f>
        <v>Completed</v>
      </c>
      <c r="G67" s="1360" t="str">
        <f>IF(AND('in-situ Acer outplants'!D:D=B67,IF(VLOOKUP(B67,'in-situ Acer outplants'!D:T,17,FALSE)&lt;&gt;0,"TRUE", "FALSE")),"Completed",DATE(year(A67)+1, month(A67), day(A67)))</f>
        <v>Completed</v>
      </c>
      <c r="H67" s="1360"/>
      <c r="I67" s="1360"/>
      <c r="J67" s="1360"/>
      <c r="K67" s="1360"/>
      <c r="L67" s="1360"/>
      <c r="M67" s="1360"/>
      <c r="N67" s="1360"/>
      <c r="O67" s="1371"/>
      <c r="P67" s="1385">
        <v>44502.0</v>
      </c>
      <c r="Q67" s="1360" t="s">
        <v>1212</v>
      </c>
      <c r="R67" s="1360" t="s">
        <v>1213</v>
      </c>
      <c r="S67" s="1370">
        <f t="shared" si="3"/>
        <v>44532</v>
      </c>
      <c r="T67" s="1366">
        <f t="shared" si="4"/>
        <v>44867</v>
      </c>
      <c r="U67" s="1360" t="str">
        <f>IF(AND('ex-situ Apal outplants'!D:D=Q67,IF(VLOOKUP(Q67,'ex-situ Apal outplants'!D:M,10,FALSE)&lt;&gt;0,"TRUE", "FALSE")),"Completed",DATE(year(P67), month(P67)+1, day(P67)))</f>
        <v>Completed</v>
      </c>
      <c r="V67" s="1360" t="str">
        <f>IF(AND('ex-situ Apal outplants'!D:D=Q67,IF(VLOOKUP(Q67,'ex-situ Apal outplants'!D:T,17,FALSE)&lt;&gt;0,"TRUE", "FALSE")),"Completed",DATE(year(P67)+1, month(P67), day(P67)))</f>
        <v>Completed</v>
      </c>
      <c r="W67" s="1360"/>
      <c r="X67" s="1360"/>
      <c r="Y67" s="1360"/>
      <c r="Z67" s="1360"/>
      <c r="AA67" s="1360"/>
      <c r="AB67" s="1360"/>
      <c r="AC67" s="1360"/>
      <c r="AD67" s="1371"/>
      <c r="AE67" s="1360"/>
      <c r="AF67" s="1360"/>
      <c r="AG67" s="1360"/>
    </row>
    <row r="68">
      <c r="A68" s="1356">
        <v>43277.0</v>
      </c>
      <c r="B68" s="1357" t="s">
        <v>369</v>
      </c>
      <c r="C68" s="1358" t="s">
        <v>370</v>
      </c>
      <c r="D68" s="1366">
        <f t="shared" si="1"/>
        <v>43307</v>
      </c>
      <c r="E68" s="1366">
        <f t="shared" si="2"/>
        <v>43642</v>
      </c>
      <c r="F68" s="224" t="str">
        <f>IF(AND('in-situ Acer outplants'!D:D=B68,IF(VLOOKUP(B68,'in-situ Acer outplants'!D:M,10,FALSE)&lt;&gt;0,"TRUE", "FALSE")),"Completed",DATE(year(A68), month(A68)+1, day(A68)))</f>
        <v>Completed</v>
      </c>
      <c r="G68" s="1360" t="str">
        <f>IF(AND('in-situ Acer outplants'!D:D=B68,IF(VLOOKUP(B68,'in-situ Acer outplants'!D:T,17,FALSE)&lt;&gt;0,"TRUE", "FALSE")),"Completed",DATE(year(A68)+1, month(A68), day(A68)))</f>
        <v>Completed</v>
      </c>
      <c r="H68" s="1360"/>
      <c r="I68" s="1360"/>
      <c r="J68" s="1360"/>
      <c r="K68" s="1360"/>
      <c r="L68" s="1360"/>
      <c r="M68" s="1360"/>
      <c r="N68" s="1360"/>
      <c r="O68" s="1371"/>
      <c r="P68" s="1385">
        <v>44511.0</v>
      </c>
      <c r="Q68" s="1360" t="s">
        <v>1214</v>
      </c>
      <c r="R68" s="1360" t="s">
        <v>1215</v>
      </c>
      <c r="S68" s="1370">
        <f t="shared" si="3"/>
        <v>44541</v>
      </c>
      <c r="T68" s="1366">
        <f t="shared" si="4"/>
        <v>44876</v>
      </c>
      <c r="U68" s="1360" t="str">
        <f>IF(AND('ex-situ Apal outplants'!D:D=Q68,IF(VLOOKUP(Q68,'ex-situ Apal outplants'!D:M,10,FALSE)&lt;&gt;0,"TRUE", "FALSE")),"Completed",DATE(year(P68), month(P68)+1, day(P68)))</f>
        <v>Completed</v>
      </c>
      <c r="V68" s="1360" t="str">
        <f>IF(AND('ex-situ Apal outplants'!D:D=Q68,IF(VLOOKUP(Q68,'ex-situ Apal outplants'!D:T,17,FALSE)&lt;&gt;0,"TRUE", "FALSE")),"Completed",DATE(year(P68)+1, month(P68), day(P68)))</f>
        <v>Completed</v>
      </c>
      <c r="W68" s="1360"/>
      <c r="X68" s="1360"/>
      <c r="Y68" s="1360"/>
      <c r="Z68" s="1360"/>
      <c r="AA68" s="1360"/>
      <c r="AB68" s="1360"/>
      <c r="AC68" s="1360"/>
      <c r="AD68" s="1371"/>
      <c r="AE68" s="1360"/>
      <c r="AF68" s="1360"/>
      <c r="AG68" s="1360"/>
    </row>
    <row r="69">
      <c r="A69" s="1356">
        <v>43332.0</v>
      </c>
      <c r="B69" s="1357" t="s">
        <v>372</v>
      </c>
      <c r="C69" s="1358" t="s">
        <v>373</v>
      </c>
      <c r="D69" s="1366">
        <f t="shared" si="1"/>
        <v>43363</v>
      </c>
      <c r="E69" s="1366">
        <f t="shared" si="2"/>
        <v>43697</v>
      </c>
      <c r="F69" s="224" t="str">
        <f>IF(AND('in-situ Acer outplants'!D:D=B69,IF(VLOOKUP(B69,'in-situ Acer outplants'!D:M,10,FALSE)&lt;&gt;0,"TRUE", "FALSE")),"Completed",DATE(year(A69), month(A69)+1, day(A69)))</f>
        <v>Completed</v>
      </c>
      <c r="G69" s="1360" t="str">
        <f>IF(AND('in-situ Acer outplants'!D:D=B69,IF(VLOOKUP(B69,'in-situ Acer outplants'!D:T,17,FALSE)&lt;&gt;0,"TRUE", "FALSE")),"Completed",DATE(year(A69)+1, month(A69), day(A69)))</f>
        <v>Completed</v>
      </c>
      <c r="H69" s="1360"/>
      <c r="I69" s="1360"/>
      <c r="J69" s="1360"/>
      <c r="K69" s="1360"/>
      <c r="L69" s="1360"/>
      <c r="M69" s="1360"/>
      <c r="N69" s="1360"/>
      <c r="O69" s="1371"/>
      <c r="P69" s="1385">
        <v>44586.0</v>
      </c>
      <c r="Q69" s="1360" t="s">
        <v>1218</v>
      </c>
      <c r="R69" s="1360" t="s">
        <v>1219</v>
      </c>
      <c r="S69" s="1370">
        <f t="shared" si="3"/>
        <v>44617</v>
      </c>
      <c r="T69" s="1366">
        <f t="shared" si="4"/>
        <v>44951</v>
      </c>
      <c r="U69" s="1360" t="str">
        <f>IF(AND('ex-situ Apal outplants'!D:D=Q69,IF(VLOOKUP(Q69,'ex-situ Apal outplants'!D:M,10,FALSE)&lt;&gt;0,"TRUE", "FALSE")),"Completed",DATE(year(P69), month(P69)+1, day(P69)))</f>
        <v>Completed</v>
      </c>
      <c r="V69" s="1360" t="str">
        <f>IF(AND('ex-situ Apal outplants'!D:D=Q69,IF(VLOOKUP(Q69,'ex-situ Apal outplants'!D:T,17,FALSE)&lt;&gt;0,"TRUE", "FALSE")),"Completed",DATE(year(P69)+1, month(P69), day(P69)))</f>
        <v>Completed</v>
      </c>
      <c r="W69" s="1360"/>
      <c r="X69" s="1360"/>
      <c r="Y69" s="1360"/>
      <c r="Z69" s="1360"/>
      <c r="AA69" s="1360"/>
      <c r="AB69" s="1360"/>
      <c r="AC69" s="1360"/>
      <c r="AD69" s="1371"/>
      <c r="AE69" s="1360"/>
      <c r="AF69" s="1360"/>
      <c r="AG69" s="1360"/>
    </row>
    <row r="70">
      <c r="A70" s="1356">
        <v>43335.0</v>
      </c>
      <c r="B70" s="1357" t="s">
        <v>375</v>
      </c>
      <c r="C70" s="1358" t="s">
        <v>376</v>
      </c>
      <c r="D70" s="1366">
        <f t="shared" si="1"/>
        <v>43366</v>
      </c>
      <c r="E70" s="1366">
        <f t="shared" si="2"/>
        <v>43700</v>
      </c>
      <c r="F70" s="224" t="str">
        <f>IF(AND('in-situ Acer outplants'!D:D=B70,IF(VLOOKUP(B70,'in-situ Acer outplants'!D:M,10,FALSE)&lt;&gt;0,"TRUE", "FALSE")),"Completed",DATE(year(A70), month(A70)+1, day(A70)))</f>
        <v>Completed</v>
      </c>
      <c r="G70" s="1360" t="str">
        <f>IF(AND('in-situ Acer outplants'!D:D=B70,IF(VLOOKUP(B70,'in-situ Acer outplants'!D:T,17,FALSE)&lt;&gt;0,"TRUE", "FALSE")),"Completed",DATE(year(A70)+1, month(A70), day(A70)))</f>
        <v>Completed</v>
      </c>
      <c r="H70" s="1360"/>
      <c r="I70" s="1360"/>
      <c r="J70" s="1360"/>
      <c r="K70" s="1360"/>
      <c r="L70" s="1360"/>
      <c r="M70" s="1360"/>
      <c r="N70" s="1360"/>
      <c r="O70" s="1371"/>
      <c r="P70" s="1385">
        <v>44600.0</v>
      </c>
      <c r="Q70" s="1360" t="s">
        <v>1220</v>
      </c>
      <c r="R70" s="1360" t="s">
        <v>1221</v>
      </c>
      <c r="S70" s="1370">
        <f t="shared" si="3"/>
        <v>44628</v>
      </c>
      <c r="T70" s="1366">
        <f t="shared" si="4"/>
        <v>44965</v>
      </c>
      <c r="U70" s="1360" t="str">
        <f>IF(AND('ex-situ Apal outplants'!D:D=Q70,IF(VLOOKUP(Q70,'ex-situ Apal outplants'!D:M,10,FALSE)&lt;&gt;0,"TRUE", "FALSE")),"Completed",DATE(year(P70), month(P70)+1, day(P70)))</f>
        <v>Completed</v>
      </c>
      <c r="V70" s="1360" t="str">
        <f>IF(AND('ex-situ Apal outplants'!D:D=Q70,IF(VLOOKUP(Q70,'ex-situ Apal outplants'!D:T,17,FALSE)&lt;&gt;0,"TRUE", "FALSE")),"Completed",DATE(year(P70)+1, month(P70), day(P70)))</f>
        <v>Completed</v>
      </c>
      <c r="W70" s="1360"/>
      <c r="X70" s="1360"/>
      <c r="Y70" s="1360"/>
      <c r="Z70" s="1360"/>
      <c r="AA70" s="1360"/>
      <c r="AB70" s="1360"/>
      <c r="AC70" s="1360"/>
      <c r="AD70" s="1371"/>
      <c r="AE70" s="1360"/>
      <c r="AF70" s="1360"/>
      <c r="AG70" s="1360"/>
    </row>
    <row r="71">
      <c r="A71" s="1356">
        <v>43335.0</v>
      </c>
      <c r="B71" s="1357" t="s">
        <v>378</v>
      </c>
      <c r="C71" s="1358" t="s">
        <v>379</v>
      </c>
      <c r="D71" s="1366">
        <f t="shared" si="1"/>
        <v>43366</v>
      </c>
      <c r="E71" s="1366">
        <f t="shared" si="2"/>
        <v>43700</v>
      </c>
      <c r="F71" s="224" t="str">
        <f>IF(AND('in-situ Acer outplants'!D:D=B71,IF(VLOOKUP(B71,'in-situ Acer outplants'!D:M,10,FALSE)&lt;&gt;0,"TRUE", "FALSE")),"Completed",DATE(year(A71), month(A71)+1, day(A71)))</f>
        <v>Completed</v>
      </c>
      <c r="G71" s="1360" t="str">
        <f>IF(AND('in-situ Acer outplants'!D:D=B71,IF(VLOOKUP(B71,'in-situ Acer outplants'!D:T,17,FALSE)&lt;&gt;0,"TRUE", "FALSE")),"Completed",DATE(year(A71)+1, month(A71), day(A71)))</f>
        <v>Completed</v>
      </c>
      <c r="H71" s="1360"/>
      <c r="I71" s="1360"/>
      <c r="J71" s="1360"/>
      <c r="K71" s="1360"/>
      <c r="L71" s="1360"/>
      <c r="M71" s="1360"/>
      <c r="N71" s="1360"/>
      <c r="O71" s="1371"/>
      <c r="P71" s="1385">
        <v>44631.0</v>
      </c>
      <c r="Q71" s="1360" t="s">
        <v>1230</v>
      </c>
      <c r="R71" s="1360" t="s">
        <v>1231</v>
      </c>
      <c r="S71" s="1370">
        <f t="shared" si="3"/>
        <v>44662</v>
      </c>
      <c r="T71" s="1366">
        <f t="shared" si="4"/>
        <v>44996</v>
      </c>
      <c r="U71" s="1360" t="str">
        <f>IF(AND('ex-situ Apal outplants'!D:D=Q71,IF(VLOOKUP(Q71,'ex-situ Apal outplants'!D:M,10,FALSE)&lt;&gt;0,"TRUE", "FALSE")),"Completed",DATE(year(P71), month(P71)+1, day(P71)))</f>
        <v>Completed</v>
      </c>
      <c r="V71" s="1360" t="str">
        <f>IF(AND('ex-situ Apal outplants'!D:D=Q71,IF(VLOOKUP(Q71,'ex-situ Apal outplants'!D:T,17,FALSE)&lt;&gt;0,"TRUE", "FALSE")),"Completed",DATE(year(P71)+1, month(P71), day(P71)))</f>
        <v>Completed</v>
      </c>
      <c r="W71" s="1360"/>
      <c r="X71" s="1360"/>
      <c r="Y71" s="1360"/>
      <c r="Z71" s="1360"/>
      <c r="AA71" s="1360"/>
      <c r="AB71" s="1360"/>
      <c r="AC71" s="1360"/>
      <c r="AD71" s="1371"/>
      <c r="AE71" s="1360"/>
      <c r="AF71" s="1360"/>
      <c r="AG71" s="1360"/>
    </row>
    <row r="72">
      <c r="A72" s="1356">
        <v>43354.0</v>
      </c>
      <c r="B72" s="1357" t="s">
        <v>381</v>
      </c>
      <c r="C72" s="1358" t="s">
        <v>382</v>
      </c>
      <c r="D72" s="1366">
        <f t="shared" si="1"/>
        <v>43384</v>
      </c>
      <c r="E72" s="1366">
        <f t="shared" si="2"/>
        <v>43719</v>
      </c>
      <c r="F72" s="224" t="str">
        <f>IF(AND('in-situ Acer outplants'!D:D=B72,IF(VLOOKUP(B72,'in-situ Acer outplants'!D:M,10,FALSE)&lt;&gt;0,"TRUE", "FALSE")),"Completed",DATE(year(A72), month(A72)+1, day(A72)))</f>
        <v>Completed</v>
      </c>
      <c r="G72" s="1360" t="str">
        <f>IF(AND('in-situ Acer outplants'!D:D=B72,IF(VLOOKUP(B72,'in-situ Acer outplants'!D:T,17,FALSE)&lt;&gt;0,"TRUE", "FALSE")),"Completed",DATE(year(A72)+1, month(A72), day(A72)))</f>
        <v>Completed</v>
      </c>
      <c r="H72" s="1360"/>
      <c r="I72" s="1360"/>
      <c r="J72" s="1360"/>
      <c r="K72" s="1360"/>
      <c r="L72" s="1360"/>
      <c r="M72" s="1360"/>
      <c r="N72" s="1360"/>
      <c r="O72" s="1371"/>
      <c r="P72" s="1385">
        <v>44637.0</v>
      </c>
      <c r="Q72" s="1360" t="s">
        <v>1234</v>
      </c>
      <c r="R72" s="1360" t="s">
        <v>1235</v>
      </c>
      <c r="S72" s="1370">
        <f t="shared" si="3"/>
        <v>44668</v>
      </c>
      <c r="T72" s="1366">
        <f t="shared" si="4"/>
        <v>45002</v>
      </c>
      <c r="U72" s="1360" t="str">
        <f>IF(AND('ex-situ Apal outplants'!D:D=Q72,IF(VLOOKUP(Q72,'ex-situ Apal outplants'!D:M,10,FALSE)&lt;&gt;0,"TRUE", "FALSE")),"Completed",DATE(year(P72), month(P72)+1, day(P72)))</f>
        <v>Completed</v>
      </c>
      <c r="V72" s="1360" t="str">
        <f>IF(AND('ex-situ Apal outplants'!D:D=Q72,IF(VLOOKUP(Q72,'ex-situ Apal outplants'!D:T,17,FALSE)&lt;&gt;0,"TRUE", "FALSE")),"Completed",DATE(year(P72)+1, month(P72), day(P72)))</f>
        <v>Completed</v>
      </c>
      <c r="W72" s="1360"/>
      <c r="X72" s="1360"/>
      <c r="Y72" s="1360"/>
      <c r="Z72" s="1360"/>
      <c r="AA72" s="1360"/>
      <c r="AB72" s="1360"/>
      <c r="AC72" s="1360"/>
      <c r="AD72" s="1371"/>
      <c r="AE72" s="1360"/>
      <c r="AF72" s="1360"/>
      <c r="AG72" s="1360"/>
    </row>
    <row r="73">
      <c r="A73" s="1356">
        <v>43355.0</v>
      </c>
      <c r="B73" s="1357" t="s">
        <v>384</v>
      </c>
      <c r="C73" s="1358" t="s">
        <v>382</v>
      </c>
      <c r="D73" s="1366">
        <f t="shared" si="1"/>
        <v>43385</v>
      </c>
      <c r="E73" s="1366">
        <f t="shared" si="2"/>
        <v>43720</v>
      </c>
      <c r="F73" s="224" t="str">
        <f>IF(AND('in-situ Acer outplants'!D:D=B73,IF(VLOOKUP(B73,'in-situ Acer outplants'!D:M,10,FALSE)&lt;&gt;0,"TRUE", "FALSE")),"Completed",DATE(year(A73), month(A73)+1, day(A73)))</f>
        <v>Completed</v>
      </c>
      <c r="G73" s="1360" t="str">
        <f>IF(AND('in-situ Acer outplants'!D:D=B73,IF(VLOOKUP(B73,'in-situ Acer outplants'!D:T,17,FALSE)&lt;&gt;0,"TRUE", "FALSE")),"Completed",DATE(year(A73)+1, month(A73), day(A73)))</f>
        <v>Completed</v>
      </c>
      <c r="H73" s="1360"/>
      <c r="I73" s="1360"/>
      <c r="J73" s="1360"/>
      <c r="K73" s="1360"/>
      <c r="L73" s="1360"/>
      <c r="M73" s="1360"/>
      <c r="N73" s="1360"/>
      <c r="O73" s="1371"/>
      <c r="P73" s="1385">
        <v>44655.0</v>
      </c>
      <c r="Q73" s="1360" t="s">
        <v>1237</v>
      </c>
      <c r="R73" s="1360" t="s">
        <v>1238</v>
      </c>
      <c r="S73" s="1370">
        <f t="shared" si="3"/>
        <v>44685</v>
      </c>
      <c r="T73" s="1366">
        <f t="shared" si="4"/>
        <v>45020</v>
      </c>
      <c r="U73" s="1360" t="str">
        <f>IF(AND('ex-situ Apal outplants'!D:D=Q73,IF(VLOOKUP(Q73,'ex-situ Apal outplants'!D:M,10,FALSE)&lt;&gt;0,"TRUE", "FALSE")),"Completed",DATE(year(P73), month(P73)+1, day(P73)))</f>
        <v>Completed</v>
      </c>
      <c r="V73" s="1360" t="str">
        <f>IF(AND('ex-situ Apal outplants'!D:D=Q73,IF(VLOOKUP(Q73,'ex-situ Apal outplants'!D:T,17,FALSE)&lt;&gt;0,"TRUE", "FALSE")),"Completed",DATE(year(P73)+1, month(P73), day(P73)))</f>
        <v>Completed</v>
      </c>
      <c r="W73" s="1360"/>
      <c r="X73" s="1360"/>
      <c r="Y73" s="1360"/>
      <c r="Z73" s="1360"/>
      <c r="AA73" s="1360"/>
      <c r="AB73" s="1360"/>
      <c r="AC73" s="1360"/>
      <c r="AD73" s="1371"/>
      <c r="AE73" s="1360"/>
      <c r="AF73" s="1360"/>
      <c r="AG73" s="1360"/>
    </row>
    <row r="74">
      <c r="A74" s="1356">
        <v>43363.0</v>
      </c>
      <c r="B74" s="1357" t="s">
        <v>385</v>
      </c>
      <c r="C74" s="1358" t="s">
        <v>382</v>
      </c>
      <c r="D74" s="1366">
        <f t="shared" si="1"/>
        <v>43393</v>
      </c>
      <c r="E74" s="1366">
        <f t="shared" si="2"/>
        <v>43728</v>
      </c>
      <c r="F74" s="224" t="str">
        <f>IF(AND('in-situ Acer outplants'!D:D=B74,IF(VLOOKUP(B74,'in-situ Acer outplants'!D:M,10,FALSE)&lt;&gt;0,"TRUE", "FALSE")),"Completed",DATE(year(A74), month(A74)+1, day(A74)))</f>
        <v>Completed</v>
      </c>
      <c r="G74" s="1360" t="str">
        <f>IF(AND('in-situ Acer outplants'!D:D=B74,IF(VLOOKUP(B74,'in-situ Acer outplants'!D:T,17,FALSE)&lt;&gt;0,"TRUE", "FALSE")),"Completed",DATE(year(A74)+1, month(A74), day(A74)))</f>
        <v>Completed</v>
      </c>
      <c r="H74" s="1360"/>
      <c r="I74" s="1360"/>
      <c r="J74" s="1360"/>
      <c r="K74" s="1360"/>
      <c r="L74" s="1360"/>
      <c r="M74" s="1360"/>
      <c r="N74" s="1360"/>
      <c r="O74" s="1371"/>
      <c r="P74" s="1385">
        <v>44658.0</v>
      </c>
      <c r="Q74" s="1360" t="s">
        <v>1241</v>
      </c>
      <c r="R74" s="1360" t="s">
        <v>1242</v>
      </c>
      <c r="S74" s="1370">
        <f t="shared" si="3"/>
        <v>44688</v>
      </c>
      <c r="T74" s="1366">
        <f t="shared" si="4"/>
        <v>45023</v>
      </c>
      <c r="U74" s="1360" t="str">
        <f>IF(AND('ex-situ Apal outplants'!D:D=Q74,IF(VLOOKUP(Q74,'ex-situ Apal outplants'!D:M,10,FALSE)&lt;&gt;0,"TRUE", "FALSE")),"Completed",DATE(year(P74), month(P74)+1, day(P74)))</f>
        <v>Completed</v>
      </c>
      <c r="V74" s="1360" t="str">
        <f>IF(AND('ex-situ Apal outplants'!D:D=Q74,IF(VLOOKUP(Q74,'ex-situ Apal outplants'!D:T,17,FALSE)&lt;&gt;0,"TRUE", "FALSE")),"Completed",DATE(year(P74)+1, month(P74), day(P74)))</f>
        <v>Completed</v>
      </c>
      <c r="W74" s="1360"/>
      <c r="X74" s="1360"/>
      <c r="Y74" s="1360"/>
      <c r="Z74" s="1360"/>
      <c r="AA74" s="1360"/>
      <c r="AB74" s="1360"/>
      <c r="AC74" s="1360"/>
      <c r="AD74" s="1371"/>
      <c r="AE74" s="1360"/>
      <c r="AF74" s="1360"/>
      <c r="AG74" s="1360"/>
    </row>
    <row r="75">
      <c r="A75" s="1356">
        <v>43438.0</v>
      </c>
      <c r="B75" s="1357" t="s">
        <v>387</v>
      </c>
      <c r="C75" s="1358" t="s">
        <v>388</v>
      </c>
      <c r="D75" s="1366">
        <f t="shared" si="1"/>
        <v>43469</v>
      </c>
      <c r="E75" s="1366">
        <f t="shared" si="2"/>
        <v>43803</v>
      </c>
      <c r="F75" s="224" t="str">
        <f>IF(AND('in-situ Acer outplants'!D:D=B75,IF(VLOOKUP(B75,'in-situ Acer outplants'!D:M,10,FALSE)&lt;&gt;0,"TRUE", "FALSE")),"Completed",DATE(year(A75), month(A75)+1, day(A75)))</f>
        <v>Completed</v>
      </c>
      <c r="G75" s="1360" t="str">
        <f>IF(AND('in-situ Acer outplants'!D:D=B75,IF(VLOOKUP(B75,'in-situ Acer outplants'!D:T,17,FALSE)&lt;&gt;0,"TRUE", "FALSE")),"Completed",DATE(year(A75)+1, month(A75), day(A75)))</f>
        <v>Completed</v>
      </c>
      <c r="H75" s="1360"/>
      <c r="I75" s="1360"/>
      <c r="J75" s="1360"/>
      <c r="K75" s="1360"/>
      <c r="L75" s="1360"/>
      <c r="M75" s="1360"/>
      <c r="N75" s="1360"/>
      <c r="O75" s="1371"/>
      <c r="P75" s="1385">
        <v>44666.0</v>
      </c>
      <c r="Q75" s="1360" t="s">
        <v>1244</v>
      </c>
      <c r="R75" s="1360" t="s">
        <v>1245</v>
      </c>
      <c r="S75" s="1370">
        <f t="shared" si="3"/>
        <v>44696</v>
      </c>
      <c r="T75" s="1366">
        <f t="shared" si="4"/>
        <v>45031</v>
      </c>
      <c r="U75" s="1360" t="str">
        <f>IF(AND('ex-situ Apal outplants'!D:D=Q75,IF(VLOOKUP(Q75,'ex-situ Apal outplants'!D:M,10,FALSE)&lt;&gt;0,"TRUE", "FALSE")),"Completed",DATE(year(P75), month(P75)+1, day(P75)))</f>
        <v>Completed</v>
      </c>
      <c r="V75" s="1360" t="str">
        <f>IF(AND('ex-situ Apal outplants'!D:D=Q75,IF(VLOOKUP(Q75,'ex-situ Apal outplants'!D:T,17,FALSE)&lt;&gt;0,"TRUE", "FALSE")),"Completed",DATE(year(P75)+1, month(P75), day(P75)))</f>
        <v>Completed</v>
      </c>
      <c r="W75" s="1360"/>
      <c r="X75" s="1360"/>
      <c r="Y75" s="1360"/>
      <c r="Z75" s="1360"/>
      <c r="AA75" s="1360"/>
      <c r="AB75" s="1360"/>
      <c r="AC75" s="1360"/>
      <c r="AD75" s="1371"/>
      <c r="AE75" s="1360"/>
      <c r="AF75" s="1360"/>
      <c r="AG75" s="1360"/>
    </row>
    <row r="76">
      <c r="A76" s="1356">
        <v>43479.0</v>
      </c>
      <c r="B76" s="1357" t="s">
        <v>390</v>
      </c>
      <c r="C76" s="1358" t="s">
        <v>391</v>
      </c>
      <c r="D76" s="1366">
        <f t="shared" si="1"/>
        <v>43510</v>
      </c>
      <c r="E76" s="1366">
        <f t="shared" si="2"/>
        <v>43844</v>
      </c>
      <c r="F76" s="224" t="str">
        <f>IF(AND('in-situ Acer outplants'!D:D=B76,IF(VLOOKUP(B76,'in-situ Acer outplants'!D:M,10,FALSE)&lt;&gt;0,"TRUE", "FALSE")),"Completed",DATE(year(A76), month(A76)+1, day(A76)))</f>
        <v>Completed</v>
      </c>
      <c r="G76" s="1360" t="str">
        <f>IF(AND('in-situ Acer outplants'!D:D=B76,IF(VLOOKUP(B76,'in-situ Acer outplants'!D:T,17,FALSE)&lt;&gt;0,"TRUE", "FALSE")),"Completed",DATE(year(A76)+1, month(A76), day(A76)))</f>
        <v>Completed</v>
      </c>
      <c r="H76" s="1360"/>
      <c r="I76" s="1360"/>
      <c r="J76" s="1360"/>
      <c r="K76" s="1360"/>
      <c r="L76" s="1360"/>
      <c r="M76" s="1360"/>
      <c r="N76" s="1360"/>
      <c r="O76" s="1371"/>
      <c r="P76" s="1385">
        <v>44694.0</v>
      </c>
      <c r="Q76" s="1360" t="s">
        <v>1249</v>
      </c>
      <c r="R76" s="1360" t="s">
        <v>1250</v>
      </c>
      <c r="S76" s="1370">
        <f t="shared" si="3"/>
        <v>44725</v>
      </c>
      <c r="T76" s="1366">
        <f t="shared" si="4"/>
        <v>45059</v>
      </c>
      <c r="U76" s="1360" t="str">
        <f>IF(AND('ex-situ Apal outplants'!D:D=Q76,IF(VLOOKUP(Q76,'ex-situ Apal outplants'!D:M,10,FALSE)&lt;&gt;0,"TRUE", "FALSE")),"Completed",DATE(year(P76), month(P76)+1, day(P76)))</f>
        <v>Completed</v>
      </c>
      <c r="V76" s="1360" t="str">
        <f>IF(AND('ex-situ Apal outplants'!D:D=Q76,IF(VLOOKUP(Q76,'ex-situ Apal outplants'!D:T,17,FALSE)&lt;&gt;0,"TRUE", "FALSE")),"Completed",DATE(year(P76)+1, month(P76), day(P76)))</f>
        <v>Completed</v>
      </c>
      <c r="W76" s="1360"/>
      <c r="X76" s="1360"/>
      <c r="Y76" s="1360"/>
      <c r="Z76" s="1360"/>
      <c r="AA76" s="1360"/>
      <c r="AB76" s="1360"/>
      <c r="AC76" s="1360"/>
      <c r="AD76" s="1371"/>
      <c r="AE76" s="1360"/>
      <c r="AF76" s="1360"/>
      <c r="AG76" s="1360"/>
    </row>
    <row r="77">
      <c r="A77" s="1356">
        <v>43481.0</v>
      </c>
      <c r="B77" s="1357" t="s">
        <v>393</v>
      </c>
      <c r="C77" s="1358" t="s">
        <v>388</v>
      </c>
      <c r="D77" s="1366">
        <f t="shared" si="1"/>
        <v>43512</v>
      </c>
      <c r="E77" s="1366">
        <f t="shared" si="2"/>
        <v>43846</v>
      </c>
      <c r="F77" s="224" t="str">
        <f>IF(AND('in-situ Acer outplants'!D:D=B77,IF(VLOOKUP(B77,'in-situ Acer outplants'!D:M,10,FALSE)&lt;&gt;0,"TRUE", "FALSE")),"Completed",DATE(year(A77), month(A77)+1, day(A77)))</f>
        <v>Completed</v>
      </c>
      <c r="G77" s="1360" t="str">
        <f>IF(AND('in-situ Acer outplants'!D:D=B77,IF(VLOOKUP(B77,'in-situ Acer outplants'!D:T,17,FALSE)&lt;&gt;0,"TRUE", "FALSE")),"Completed",DATE(year(A77)+1, month(A77), day(A77)))</f>
        <v>Completed</v>
      </c>
      <c r="H77" s="1360"/>
      <c r="I77" s="1360"/>
      <c r="J77" s="1360"/>
      <c r="K77" s="1360"/>
      <c r="L77" s="1360"/>
      <c r="M77" s="1360"/>
      <c r="N77" s="1360"/>
      <c r="O77" s="1371"/>
      <c r="P77" s="1385">
        <v>44698.0</v>
      </c>
      <c r="Q77" s="1360" t="s">
        <v>1251</v>
      </c>
      <c r="R77" s="1360" t="s">
        <v>1252</v>
      </c>
      <c r="S77" s="1370">
        <f t="shared" si="3"/>
        <v>44729</v>
      </c>
      <c r="T77" s="1366">
        <f t="shared" si="4"/>
        <v>45063</v>
      </c>
      <c r="U77" s="1360" t="str">
        <f>IF(AND('ex-situ Apal outplants'!D:D=Q77,IF(VLOOKUP(Q77,'ex-situ Apal outplants'!D:M,10,FALSE)&lt;&gt;0,"TRUE", "FALSE")),"Completed",DATE(year(P77), month(P77)+1, day(P77)))</f>
        <v>Completed</v>
      </c>
      <c r="V77" s="1360" t="str">
        <f>IF(AND('ex-situ Apal outplants'!D:D=Q77,IF(VLOOKUP(Q77,'ex-situ Apal outplants'!D:T,17,FALSE)&lt;&gt;0,"TRUE", "FALSE")),"Completed",DATE(year(P77)+1, month(P77), day(P77)))</f>
        <v>Completed</v>
      </c>
      <c r="W77" s="1360"/>
      <c r="X77" s="1360"/>
      <c r="Y77" s="1360"/>
      <c r="Z77" s="1360"/>
      <c r="AA77" s="1360"/>
      <c r="AB77" s="1360"/>
      <c r="AC77" s="1360"/>
      <c r="AD77" s="1371"/>
      <c r="AE77" s="1360"/>
      <c r="AF77" s="1360"/>
      <c r="AG77" s="1360"/>
    </row>
    <row r="78">
      <c r="A78" s="1356">
        <v>43514.0</v>
      </c>
      <c r="B78" s="1357" t="s">
        <v>395</v>
      </c>
      <c r="C78" s="1358" t="s">
        <v>396</v>
      </c>
      <c r="D78" s="1366">
        <f t="shared" si="1"/>
        <v>43542</v>
      </c>
      <c r="E78" s="1366">
        <f t="shared" si="2"/>
        <v>43879</v>
      </c>
      <c r="F78" s="224" t="str">
        <f>IF(AND('in-situ Acer outplants'!D:D=B78,IF(VLOOKUP(B78,'in-situ Acer outplants'!D:M,10,FALSE)&lt;&gt;0,"TRUE", "FALSE")),"Completed",DATE(year(A78), month(A78)+1, day(A78)))</f>
        <v>Completed</v>
      </c>
      <c r="G78" s="1360" t="str">
        <f>IF(AND('in-situ Acer outplants'!D:D=B78,IF(VLOOKUP(B78,'in-situ Acer outplants'!D:T,17,FALSE)&lt;&gt;0,"TRUE", "FALSE")),"Completed",DATE(year(A78)+1, month(A78), day(A78)))</f>
        <v>Completed</v>
      </c>
      <c r="H78" s="1360"/>
      <c r="I78" s="1360"/>
      <c r="J78" s="1360"/>
      <c r="K78" s="1360"/>
      <c r="L78" s="1360"/>
      <c r="M78" s="1360"/>
      <c r="N78" s="1360"/>
      <c r="O78" s="1371"/>
      <c r="P78" s="1385">
        <v>44719.0</v>
      </c>
      <c r="Q78" s="1360" t="s">
        <v>1255</v>
      </c>
      <c r="R78" s="1360" t="s">
        <v>1256</v>
      </c>
      <c r="S78" s="1370">
        <f t="shared" si="3"/>
        <v>44749</v>
      </c>
      <c r="T78" s="1366">
        <f t="shared" si="4"/>
        <v>45084</v>
      </c>
      <c r="U78" s="1360" t="str">
        <f>IF(AND('ex-situ Apal outplants'!D:D=Q78,IF(VLOOKUP(Q78,'ex-situ Apal outplants'!D:M,10,FALSE)&lt;&gt;0,"TRUE", "FALSE")),"Completed",DATE(year(P78), month(P78)+1, day(P78)))</f>
        <v>Completed</v>
      </c>
      <c r="V78" s="1388">
        <f>IF(AND('ex-situ Apal outplants'!D:D=Q78,IF(VLOOKUP(Q78,'ex-situ Apal outplants'!D:T,17,FALSE)&lt;&gt;0,"TRUE", "FALSE")),"Completed",DATE(year(P78)+1, month(P78), day(P78)))</f>
        <v>45084</v>
      </c>
      <c r="W78" s="1360"/>
      <c r="X78" s="1360"/>
      <c r="Y78" s="1360"/>
      <c r="Z78" s="1360"/>
      <c r="AA78" s="1360"/>
      <c r="AB78" s="1360"/>
      <c r="AC78" s="1360"/>
      <c r="AD78" s="1371"/>
      <c r="AE78" s="1360"/>
      <c r="AF78" s="1360"/>
      <c r="AG78" s="1360"/>
    </row>
    <row r="79">
      <c r="A79" s="1356">
        <v>43523.0</v>
      </c>
      <c r="B79" s="1357" t="s">
        <v>398</v>
      </c>
      <c r="C79" s="1358" t="s">
        <v>388</v>
      </c>
      <c r="D79" s="1366">
        <f t="shared" si="1"/>
        <v>43551</v>
      </c>
      <c r="E79" s="1366">
        <f t="shared" si="2"/>
        <v>43888</v>
      </c>
      <c r="F79" s="224" t="str">
        <f>IF(AND('in-situ Acer outplants'!D:D=B79,IF(VLOOKUP(B79,'in-situ Acer outplants'!D:M,10,FALSE)&lt;&gt;0,"TRUE", "FALSE")),"Completed",DATE(year(A79), month(A79)+1, day(A79)))</f>
        <v>Completed</v>
      </c>
      <c r="G79" s="1360" t="str">
        <f>IF(AND('in-situ Acer outplants'!D:D=B79,IF(VLOOKUP(B79,'in-situ Acer outplants'!D:T,17,FALSE)&lt;&gt;0,"TRUE", "FALSE")),"Completed",DATE(year(A79)+1, month(A79), day(A79)))</f>
        <v>Completed</v>
      </c>
      <c r="H79" s="1360"/>
      <c r="I79" s="1360"/>
      <c r="J79" s="1360"/>
      <c r="K79" s="1360"/>
      <c r="L79" s="1360"/>
      <c r="M79" s="1360"/>
      <c r="N79" s="1360"/>
      <c r="O79" s="1371"/>
      <c r="P79" s="1385">
        <v>44720.0</v>
      </c>
      <c r="Q79" s="1360" t="s">
        <v>1259</v>
      </c>
      <c r="R79" s="1360" t="s">
        <v>1260</v>
      </c>
      <c r="S79" s="1370">
        <f t="shared" si="3"/>
        <v>44750</v>
      </c>
      <c r="T79" s="1366">
        <f t="shared" si="4"/>
        <v>45085</v>
      </c>
      <c r="U79" s="1360" t="str">
        <f>IF(AND('ex-situ Apal outplants'!D:D=Q79,IF(VLOOKUP(Q79,'ex-situ Apal outplants'!D:M,10,FALSE)&lt;&gt;0,"TRUE", "FALSE")),"Completed",DATE(year(P79), month(P79)+1, day(P79)))</f>
        <v>Completed</v>
      </c>
      <c r="V79" s="1388">
        <f>IF(AND('ex-situ Apal outplants'!D:D=Q79,IF(VLOOKUP(Q79,'ex-situ Apal outplants'!D:T,17,FALSE)&lt;&gt;0,"TRUE", "FALSE")),"Completed",DATE(year(P79)+1, month(P79), day(P79)))</f>
        <v>45085</v>
      </c>
      <c r="W79" s="1360"/>
      <c r="X79" s="1360"/>
      <c r="Y79" s="1360"/>
      <c r="Z79" s="1360"/>
      <c r="AA79" s="1360"/>
      <c r="AB79" s="1360"/>
      <c r="AC79" s="1360"/>
      <c r="AD79" s="1371"/>
      <c r="AE79" s="1360"/>
      <c r="AF79" s="1360"/>
      <c r="AG79" s="1360"/>
    </row>
    <row r="80">
      <c r="A80" s="1356">
        <v>43525.0</v>
      </c>
      <c r="B80" s="1357" t="s">
        <v>400</v>
      </c>
      <c r="C80" s="1358" t="s">
        <v>401</v>
      </c>
      <c r="D80" s="1366">
        <f t="shared" si="1"/>
        <v>43556</v>
      </c>
      <c r="E80" s="1366">
        <f t="shared" si="2"/>
        <v>43891</v>
      </c>
      <c r="F80" s="224" t="str">
        <f>IF(AND('in-situ Acer outplants'!D:D=B80,IF(VLOOKUP(B80,'in-situ Acer outplants'!D:M,10,FALSE)&lt;&gt;0,"TRUE", "FALSE")),"Completed",DATE(year(A80), month(A80)+1, day(A80)))</f>
        <v>Completed</v>
      </c>
      <c r="G80" s="1360" t="str">
        <f>IF(AND('in-situ Acer outplants'!D:D=B80,IF(VLOOKUP(B80,'in-situ Acer outplants'!D:T,17,FALSE)&lt;&gt;0,"TRUE", "FALSE")),"Completed",DATE(year(A80)+1, month(A80), day(A80)))</f>
        <v>Completed</v>
      </c>
      <c r="H80" s="1360"/>
      <c r="I80" s="1360"/>
      <c r="J80" s="1360"/>
      <c r="K80" s="1360"/>
      <c r="L80" s="1360"/>
      <c r="M80" s="1360"/>
      <c r="N80" s="1360"/>
      <c r="O80" s="1371"/>
      <c r="P80" s="1385">
        <v>44723.0</v>
      </c>
      <c r="Q80" s="1360" t="s">
        <v>1261</v>
      </c>
      <c r="R80" s="1360" t="s">
        <v>1262</v>
      </c>
      <c r="S80" s="1370">
        <f t="shared" si="3"/>
        <v>44753</v>
      </c>
      <c r="T80" s="1366">
        <f t="shared" si="4"/>
        <v>45088</v>
      </c>
      <c r="U80" s="1360" t="str">
        <f>IF(AND('ex-situ Apal outplants'!D:D=Q80,IF(VLOOKUP(Q80,'ex-situ Apal outplants'!D:M,10,FALSE)&lt;&gt;0,"TRUE", "FALSE")),"Completed",DATE(year(P80), month(P80)+1, day(P80)))</f>
        <v>Completed</v>
      </c>
      <c r="V80" s="1360" t="str">
        <f>IF(AND('ex-situ Apal outplants'!D:D=Q80,IF(VLOOKUP(Q80,'ex-situ Apal outplants'!D:T,17,FALSE)&lt;&gt;0,"TRUE", "FALSE")),"Completed",DATE(year(P80)+1, month(P80), day(P80)))</f>
        <v>Completed</v>
      </c>
      <c r="W80" s="1360"/>
      <c r="X80" s="1360"/>
      <c r="Y80" s="1360"/>
      <c r="Z80" s="1360"/>
      <c r="AA80" s="1360"/>
      <c r="AB80" s="1360"/>
      <c r="AC80" s="1360"/>
      <c r="AD80" s="1371"/>
      <c r="AE80" s="1360"/>
      <c r="AF80" s="1360"/>
      <c r="AG80" s="1360"/>
    </row>
    <row r="81">
      <c r="A81" s="1356">
        <v>43542.0</v>
      </c>
      <c r="B81" s="1357" t="s">
        <v>403</v>
      </c>
      <c r="C81" s="1358" t="s">
        <v>316</v>
      </c>
      <c r="D81" s="1366">
        <f t="shared" si="1"/>
        <v>43573</v>
      </c>
      <c r="E81" s="1366">
        <f t="shared" si="2"/>
        <v>43908</v>
      </c>
      <c r="F81" s="224" t="str">
        <f>IF(AND('in-situ Acer outplants'!D:D=B81,IF(VLOOKUP(B81,'in-situ Acer outplants'!D:M,10,FALSE)&lt;&gt;0,"TRUE", "FALSE")),"Completed",DATE(year(A81), month(A81)+1, day(A81)))</f>
        <v>Completed</v>
      </c>
      <c r="G81" s="1360" t="str">
        <f>IF(AND('in-situ Acer outplants'!D:D=B81,IF(VLOOKUP(B81,'in-situ Acer outplants'!D:T,17,FALSE)&lt;&gt;0,"TRUE", "FALSE")),"Completed",DATE(year(A81)+1, month(A81), day(A81)))</f>
        <v>Completed</v>
      </c>
      <c r="H81" s="1360"/>
      <c r="I81" s="1360"/>
      <c r="J81" s="1360"/>
      <c r="K81" s="1360"/>
      <c r="L81" s="1360"/>
      <c r="M81" s="1360"/>
      <c r="N81" s="1360"/>
      <c r="O81" s="1371"/>
      <c r="P81" s="1385">
        <v>44729.0</v>
      </c>
      <c r="Q81" s="1360" t="s">
        <v>1269</v>
      </c>
      <c r="R81" s="1360" t="s">
        <v>1270</v>
      </c>
      <c r="S81" s="1370">
        <f t="shared" si="3"/>
        <v>44759</v>
      </c>
      <c r="T81" s="1366">
        <f t="shared" si="4"/>
        <v>45094</v>
      </c>
      <c r="U81" s="1360" t="str">
        <f>IF(AND('ex-situ Apal outplants'!D:D=Q81,IF(VLOOKUP(Q81,'ex-situ Apal outplants'!D:M,10,FALSE)&lt;&gt;0,"TRUE", "FALSE")),"Completed",DATE(year(P81), month(P81)+1, day(P81)))</f>
        <v>Completed</v>
      </c>
      <c r="V81" s="1360" t="str">
        <f>IF(AND('ex-situ Apal outplants'!D:D=Q81,IF(VLOOKUP(Q81,'ex-situ Apal outplants'!D:T,17,FALSE)&lt;&gt;0,"TRUE", "FALSE")),"Completed",DATE(year(P81)+1, month(P81), day(P81)))</f>
        <v>Completed</v>
      </c>
      <c r="W81" s="1360"/>
      <c r="X81" s="1360"/>
      <c r="Y81" s="1360"/>
      <c r="Z81" s="1360"/>
      <c r="AA81" s="1360"/>
      <c r="AB81" s="1360"/>
      <c r="AC81" s="1360"/>
      <c r="AD81" s="1371"/>
      <c r="AE81" s="1360"/>
      <c r="AF81" s="1360"/>
      <c r="AG81" s="1360"/>
    </row>
    <row r="82">
      <c r="A82" s="1356">
        <v>43545.0</v>
      </c>
      <c r="B82" s="1357" t="s">
        <v>405</v>
      </c>
      <c r="C82" s="1358" t="s">
        <v>406</v>
      </c>
      <c r="D82" s="1366">
        <f t="shared" si="1"/>
        <v>43576</v>
      </c>
      <c r="E82" s="1366">
        <f t="shared" si="2"/>
        <v>43911</v>
      </c>
      <c r="F82" s="224" t="str">
        <f>IF(AND('in-situ Acer outplants'!D:D=B82,IF(VLOOKUP(B82,'in-situ Acer outplants'!D:M,10,FALSE)&lt;&gt;0,"TRUE", "FALSE")),"Completed",DATE(year(A82), month(A82)+1, day(A82)))</f>
        <v>Completed</v>
      </c>
      <c r="G82" s="1360" t="str">
        <f>IF(AND('in-situ Acer outplants'!D:D=B82,IF(VLOOKUP(B82,'in-situ Acer outplants'!D:T,17,FALSE)&lt;&gt;0,"TRUE", "FALSE")),"Completed",DATE(year(A82)+1, month(A82), day(A82)))</f>
        <v>Completed</v>
      </c>
      <c r="H82" s="1360"/>
      <c r="I82" s="1360"/>
      <c r="J82" s="1360"/>
      <c r="K82" s="1360"/>
      <c r="L82" s="1360"/>
      <c r="M82" s="1360"/>
      <c r="N82" s="1360"/>
      <c r="O82" s="1371"/>
      <c r="P82" s="1385">
        <v>44736.0</v>
      </c>
      <c r="Q82" s="1360" t="s">
        <v>1272</v>
      </c>
      <c r="R82" s="1360" t="s">
        <v>1273</v>
      </c>
      <c r="S82" s="1370">
        <f t="shared" si="3"/>
        <v>44766</v>
      </c>
      <c r="T82" s="1366">
        <f t="shared" si="4"/>
        <v>45101</v>
      </c>
      <c r="U82" s="1360" t="str">
        <f>IF(AND('ex-situ Apal outplants'!D:D=Q82,IF(VLOOKUP(Q82,'ex-situ Apal outplants'!D:M,10,FALSE)&lt;&gt;0,"TRUE", "FALSE")),"Completed",DATE(year(P82), month(P82)+1, day(P82)))</f>
        <v>Completed</v>
      </c>
      <c r="V82" s="1360" t="str">
        <f>IF(AND('ex-situ Apal outplants'!D:D=Q82,IF(VLOOKUP(Q82,'ex-situ Apal outplants'!D:T,17,FALSE)&lt;&gt;0,"TRUE", "FALSE")),"Completed",DATE(year(P82)+1, month(P82), day(P82)))</f>
        <v>Completed</v>
      </c>
      <c r="W82" s="1360"/>
      <c r="X82" s="1360"/>
      <c r="Y82" s="1360"/>
      <c r="Z82" s="1360"/>
      <c r="AA82" s="1360"/>
      <c r="AB82" s="1360"/>
      <c r="AC82" s="1360"/>
      <c r="AD82" s="1371"/>
      <c r="AE82" s="1360"/>
      <c r="AF82" s="1360"/>
      <c r="AG82" s="1360"/>
    </row>
    <row r="83">
      <c r="A83" s="1356">
        <v>43549.0</v>
      </c>
      <c r="B83" s="1357" t="s">
        <v>408</v>
      </c>
      <c r="C83" s="1358" t="s">
        <v>409</v>
      </c>
      <c r="D83" s="1366">
        <f t="shared" si="1"/>
        <v>43580</v>
      </c>
      <c r="E83" s="1366">
        <f t="shared" si="2"/>
        <v>43915</v>
      </c>
      <c r="F83" s="224" t="str">
        <f>IF(AND('in-situ Acer outplants'!D:D=B83,IF(VLOOKUP(B83,'in-situ Acer outplants'!D:M,10,FALSE)&lt;&gt;0,"TRUE", "FALSE")),"Completed",DATE(year(A83), month(A83)+1, day(A83)))</f>
        <v>Completed</v>
      </c>
      <c r="G83" s="1360" t="str">
        <f>IF(AND('in-situ Acer outplants'!D:D=B83,IF(VLOOKUP(B83,'in-situ Acer outplants'!D:T,17,FALSE)&lt;&gt;0,"TRUE", "FALSE")),"Completed",DATE(year(A83)+1, month(A83), day(A83)))</f>
        <v>Completed</v>
      </c>
      <c r="H83" s="1360"/>
      <c r="I83" s="1360"/>
      <c r="J83" s="1360"/>
      <c r="K83" s="1360"/>
      <c r="L83" s="1360"/>
      <c r="M83" s="1360"/>
      <c r="N83" s="1360"/>
      <c r="O83" s="1371"/>
      <c r="P83" s="1385">
        <v>44742.0</v>
      </c>
      <c r="Q83" s="1360" t="s">
        <v>1278</v>
      </c>
      <c r="R83" s="1360" t="s">
        <v>1279</v>
      </c>
      <c r="S83" s="1370">
        <f t="shared" si="3"/>
        <v>44772</v>
      </c>
      <c r="T83" s="1366">
        <f t="shared" si="4"/>
        <v>45107</v>
      </c>
      <c r="U83" s="1360" t="str">
        <f>IF(AND('ex-situ Apal outplants'!D:D=Q83,IF(VLOOKUP(Q83,'ex-situ Apal outplants'!D:M,10,FALSE)&lt;&gt;0,"TRUE", "FALSE")),"Completed",DATE(year(P83), month(P83)+1, day(P83)))</f>
        <v>Completed</v>
      </c>
      <c r="V83" s="1360" t="str">
        <f>IF(AND('ex-situ Apal outplants'!D:D=Q83,IF(VLOOKUP(Q83,'ex-situ Apal outplants'!D:T,17,FALSE)&lt;&gt;0,"TRUE", "FALSE")),"Completed",DATE(year(P83)+1, month(P83), day(P83)))</f>
        <v>Completed</v>
      </c>
      <c r="W83" s="1360"/>
      <c r="X83" s="1360"/>
      <c r="Y83" s="1360"/>
      <c r="Z83" s="1360"/>
      <c r="AA83" s="1360"/>
      <c r="AB83" s="1360"/>
      <c r="AC83" s="1360"/>
      <c r="AD83" s="1371"/>
      <c r="AE83" s="1360"/>
      <c r="AF83" s="1360"/>
      <c r="AG83" s="1360"/>
    </row>
    <row r="84">
      <c r="A84" s="1356">
        <v>43550.0</v>
      </c>
      <c r="B84" s="1357" t="s">
        <v>411</v>
      </c>
      <c r="C84" s="1358" t="s">
        <v>409</v>
      </c>
      <c r="D84" s="1366">
        <f t="shared" si="1"/>
        <v>43581</v>
      </c>
      <c r="E84" s="1366">
        <f t="shared" si="2"/>
        <v>43916</v>
      </c>
      <c r="F84" s="224" t="str">
        <f>IF(AND('in-situ Acer outplants'!D:D=B84,IF(VLOOKUP(B84,'in-situ Acer outplants'!D:M,10,FALSE)&lt;&gt;0,"TRUE", "FALSE")),"Completed",DATE(year(A84), month(A84)+1, day(A84)))</f>
        <v>Completed</v>
      </c>
      <c r="G84" s="1360" t="str">
        <f>IF(AND('in-situ Acer outplants'!D:D=B84,IF(VLOOKUP(B84,'in-situ Acer outplants'!D:T,17,FALSE)&lt;&gt;0,"TRUE", "FALSE")),"Completed",DATE(year(A84)+1, month(A84), day(A84)))</f>
        <v>Completed</v>
      </c>
      <c r="H84" s="1360"/>
      <c r="I84" s="1360"/>
      <c r="J84" s="1360"/>
      <c r="K84" s="1360"/>
      <c r="L84" s="1360"/>
      <c r="M84" s="1360"/>
      <c r="N84" s="1360"/>
      <c r="O84" s="1371"/>
      <c r="P84" s="1385">
        <v>44742.0</v>
      </c>
      <c r="Q84" s="1360" t="s">
        <v>1282</v>
      </c>
      <c r="R84" s="1360" t="s">
        <v>1283</v>
      </c>
      <c r="S84" s="1370">
        <f t="shared" si="3"/>
        <v>44772</v>
      </c>
      <c r="T84" s="1366">
        <f t="shared" si="4"/>
        <v>45107</v>
      </c>
      <c r="U84" s="1360" t="str">
        <f>IF(AND('ex-situ Apal outplants'!D:D=Q84,IF(VLOOKUP(Q84,'ex-situ Apal outplants'!D:M,10,FALSE)&lt;&gt;0,"TRUE", "FALSE")),"Completed",DATE(year(P84), month(P84)+1, day(P84)))</f>
        <v>Completed</v>
      </c>
      <c r="V84" s="1360" t="str">
        <f>IF(AND('ex-situ Apal outplants'!D:D=Q84,IF(VLOOKUP(Q84,'ex-situ Apal outplants'!D:T,17,FALSE)&lt;&gt;0,"TRUE", "FALSE")),"Completed",DATE(year(P84)+1, month(P84), day(P84)))</f>
        <v>Completed</v>
      </c>
      <c r="W84" s="1360"/>
      <c r="X84" s="1360"/>
      <c r="Y84" s="1360"/>
      <c r="Z84" s="1360"/>
      <c r="AA84" s="1360"/>
      <c r="AB84" s="1360"/>
      <c r="AC84" s="1360"/>
      <c r="AD84" s="1371"/>
      <c r="AE84" s="1360"/>
      <c r="AF84" s="1360"/>
      <c r="AG84" s="1360"/>
    </row>
    <row r="85">
      <c r="A85" s="1356">
        <v>43566.0</v>
      </c>
      <c r="B85" s="1357" t="s">
        <v>413</v>
      </c>
      <c r="C85" s="1358" t="s">
        <v>414</v>
      </c>
      <c r="D85" s="1366">
        <f t="shared" si="1"/>
        <v>43596</v>
      </c>
      <c r="E85" s="1366">
        <f t="shared" si="2"/>
        <v>43932</v>
      </c>
      <c r="F85" s="224" t="str">
        <f>IF(AND('in-situ Acer outplants'!D:D=B85,IF(VLOOKUP(B85,'in-situ Acer outplants'!D:M,10,FALSE)&lt;&gt;0,"TRUE", "FALSE")),"Completed",DATE(year(A85), month(A85)+1, day(A85)))</f>
        <v>Completed</v>
      </c>
      <c r="G85" s="1360" t="str">
        <f>IF(AND('in-situ Acer outplants'!D:D=B85,IF(VLOOKUP(B85,'in-situ Acer outplants'!D:T,17,FALSE)&lt;&gt;0,"TRUE", "FALSE")),"Completed",DATE(year(A85)+1, month(A85), day(A85)))</f>
        <v>Completed</v>
      </c>
      <c r="H85" s="1360"/>
      <c r="I85" s="1360"/>
      <c r="J85" s="1360"/>
      <c r="K85" s="1360"/>
      <c r="L85" s="1360"/>
      <c r="M85" s="1360"/>
      <c r="N85" s="1360"/>
      <c r="O85" s="1371"/>
      <c r="P85" s="1385">
        <v>44859.0</v>
      </c>
      <c r="Q85" s="1360" t="s">
        <v>1286</v>
      </c>
      <c r="R85" s="1360" t="s">
        <v>1287</v>
      </c>
      <c r="S85" s="1370">
        <f t="shared" si="3"/>
        <v>44890</v>
      </c>
      <c r="T85" s="1366">
        <f t="shared" si="4"/>
        <v>45224</v>
      </c>
      <c r="U85" s="1360" t="str">
        <f>IF(AND('ex-situ Apal outplants'!D:D=Q85,IF(VLOOKUP(Q85,'ex-situ Apal outplants'!D:M,10,FALSE)&lt;&gt;0,"TRUE", "FALSE")),"Completed",DATE(year(P85), month(P85)+1, day(P85)))</f>
        <v>Completed</v>
      </c>
      <c r="V85" s="1360" t="str">
        <f>IF(AND('ex-situ Apal outplants'!D:D=Q85,IF(VLOOKUP(Q85,'ex-situ Apal outplants'!D:T,17,FALSE)&lt;&gt;0,"TRUE", "FALSE")),"Completed",DATE(year(P85)+1, month(P85), day(P85)))</f>
        <v>Completed</v>
      </c>
      <c r="W85" s="1360"/>
      <c r="X85" s="1360"/>
      <c r="Y85" s="1360"/>
      <c r="Z85" s="1360"/>
      <c r="AA85" s="1360"/>
      <c r="AB85" s="1360"/>
      <c r="AC85" s="1360"/>
      <c r="AD85" s="1371"/>
      <c r="AE85" s="1360"/>
      <c r="AF85" s="1360"/>
      <c r="AG85" s="1360"/>
    </row>
    <row r="86">
      <c r="A86" s="1356">
        <v>43570.0</v>
      </c>
      <c r="B86" s="1357" t="s">
        <v>416</v>
      </c>
      <c r="C86" s="1358" t="s">
        <v>417</v>
      </c>
      <c r="D86" s="1366">
        <f t="shared" si="1"/>
        <v>43600</v>
      </c>
      <c r="E86" s="1366">
        <f t="shared" si="2"/>
        <v>43936</v>
      </c>
      <c r="F86" s="224" t="str">
        <f>IF(AND('in-situ Acer outplants'!D:D=B86,IF(VLOOKUP(B86,'in-situ Acer outplants'!D:M,10,FALSE)&lt;&gt;0,"TRUE", "FALSE")),"Completed",DATE(year(A86), month(A86)+1, day(A86)))</f>
        <v>Completed</v>
      </c>
      <c r="G86" s="1360" t="str">
        <f>IF(AND('in-situ Acer outplants'!D:D=B86,IF(VLOOKUP(B86,'in-situ Acer outplants'!D:T,17,FALSE)&lt;&gt;0,"TRUE", "FALSE")),"Completed",DATE(year(A86)+1, month(A86), day(A86)))</f>
        <v>Completed</v>
      </c>
      <c r="H86" s="1360"/>
      <c r="I86" s="1360"/>
      <c r="J86" s="1360"/>
      <c r="K86" s="1360"/>
      <c r="L86" s="1360"/>
      <c r="M86" s="1360"/>
      <c r="N86" s="1360"/>
      <c r="O86" s="1371"/>
      <c r="P86" s="1385">
        <v>44860.0</v>
      </c>
      <c r="Q86" s="1360" t="s">
        <v>1288</v>
      </c>
      <c r="R86" s="1360" t="s">
        <v>1289</v>
      </c>
      <c r="S86" s="1370">
        <f t="shared" si="3"/>
        <v>44891</v>
      </c>
      <c r="T86" s="1366">
        <f t="shared" si="4"/>
        <v>45225</v>
      </c>
      <c r="U86" s="1360" t="str">
        <f>IF(AND('ex-situ Apal outplants'!D:D=Q86,IF(VLOOKUP(Q86,'ex-situ Apal outplants'!D:M,10,FALSE)&lt;&gt;0,"TRUE", "FALSE")),"Completed",DATE(year(P86), month(P86)+1, day(P86)))</f>
        <v>Completed</v>
      </c>
      <c r="V86" s="1360" t="str">
        <f>IF(AND('ex-situ Apal outplants'!D:D=Q86,IF(VLOOKUP(Q86,'ex-situ Apal outplants'!D:T,17,FALSE)&lt;&gt;0,"TRUE", "FALSE")),"Completed",DATE(year(P86)+1, month(P86), day(P86)))</f>
        <v>Completed</v>
      </c>
      <c r="W86" s="1360"/>
      <c r="X86" s="1360"/>
      <c r="Y86" s="1360"/>
      <c r="Z86" s="1360"/>
      <c r="AA86" s="1360"/>
      <c r="AB86" s="1360"/>
      <c r="AC86" s="1360"/>
      <c r="AD86" s="1371"/>
      <c r="AE86" s="1360"/>
      <c r="AF86" s="1360"/>
      <c r="AG86" s="1360"/>
    </row>
    <row r="87">
      <c r="A87" s="1356">
        <v>43577.0</v>
      </c>
      <c r="B87" s="1357" t="s">
        <v>419</v>
      </c>
      <c r="C87" s="1358" t="s">
        <v>420</v>
      </c>
      <c r="D87" s="1366">
        <f t="shared" si="1"/>
        <v>43607</v>
      </c>
      <c r="E87" s="1366">
        <f t="shared" si="2"/>
        <v>43943</v>
      </c>
      <c r="F87" s="224" t="str">
        <f>IF(AND('in-situ Acer outplants'!D:D=B87,IF(VLOOKUP(B87,'in-situ Acer outplants'!D:M,10,FALSE)&lt;&gt;0,"TRUE", "FALSE")),"Completed",DATE(year(A87), month(A87)+1, day(A87)))</f>
        <v>Completed</v>
      </c>
      <c r="G87" s="1360" t="str">
        <f>IF(AND('in-situ Acer outplants'!D:D=B87,IF(VLOOKUP(B87,'in-situ Acer outplants'!D:T,17,FALSE)&lt;&gt;0,"TRUE", "FALSE")),"Completed",DATE(year(A87)+1, month(A87), day(A87)))</f>
        <v>Completed</v>
      </c>
      <c r="H87" s="1360"/>
      <c r="I87" s="1360"/>
      <c r="J87" s="1360"/>
      <c r="K87" s="1360"/>
      <c r="L87" s="1360"/>
      <c r="M87" s="1360"/>
      <c r="N87" s="1360"/>
      <c r="O87" s="1371"/>
      <c r="P87" s="1385">
        <v>44880.0</v>
      </c>
      <c r="Q87" s="1360" t="s">
        <v>1302</v>
      </c>
      <c r="R87" s="1360" t="s">
        <v>1303</v>
      </c>
      <c r="S87" s="1370">
        <f t="shared" si="3"/>
        <v>44910</v>
      </c>
      <c r="T87" s="1366">
        <f t="shared" si="4"/>
        <v>45245</v>
      </c>
      <c r="U87" s="1360" t="str">
        <f>IF(AND('ex-situ Apal outplants'!D:D=Q87,IF(VLOOKUP(Q87,'ex-situ Apal outplants'!D:M,10,FALSE)&lt;&gt;0,"TRUE", "FALSE")),"Completed",DATE(year(P87), month(P87)+1, day(P87)))</f>
        <v>Completed</v>
      </c>
      <c r="V87" s="1360" t="str">
        <f>IF(AND('ex-situ Apal outplants'!D:D=Q87,IF(VLOOKUP(Q87,'ex-situ Apal outplants'!D:T,17,FALSE)&lt;&gt;0,"TRUE", "FALSE")),"Completed",DATE(year(P87)+1, month(P87), day(P87)))</f>
        <v>Completed</v>
      </c>
      <c r="W87" s="1360"/>
      <c r="X87" s="1360"/>
      <c r="Y87" s="1360"/>
      <c r="Z87" s="1360"/>
      <c r="AA87" s="1360"/>
      <c r="AB87" s="1360"/>
      <c r="AC87" s="1360"/>
      <c r="AD87" s="1371"/>
      <c r="AE87" s="1360"/>
      <c r="AF87" s="1360"/>
      <c r="AG87" s="1360"/>
    </row>
    <row r="88">
      <c r="A88" s="1356">
        <v>43592.0</v>
      </c>
      <c r="B88" s="1357" t="s">
        <v>422</v>
      </c>
      <c r="C88" s="1358" t="s">
        <v>423</v>
      </c>
      <c r="D88" s="1366">
        <f t="shared" si="1"/>
        <v>43623</v>
      </c>
      <c r="E88" s="1366">
        <f t="shared" si="2"/>
        <v>43958</v>
      </c>
      <c r="F88" s="224" t="str">
        <f>IF(AND('in-situ Acer outplants'!D:D=B88,IF(VLOOKUP(B88,'in-situ Acer outplants'!D:M,10,FALSE)&lt;&gt;0,"TRUE", "FALSE")),"Completed",DATE(year(A88), month(A88)+1, day(A88)))</f>
        <v>Completed</v>
      </c>
      <c r="G88" s="1360" t="str">
        <f>IF(AND('in-situ Acer outplants'!D:D=B88,IF(VLOOKUP(B88,'in-situ Acer outplants'!D:T,17,FALSE)&lt;&gt;0,"TRUE", "FALSE")),"Completed",DATE(year(A88)+1, month(A88), day(A88)))</f>
        <v>Completed</v>
      </c>
      <c r="H88" s="1360"/>
      <c r="I88" s="1360"/>
      <c r="J88" s="1360"/>
      <c r="K88" s="1360"/>
      <c r="L88" s="1360"/>
      <c r="M88" s="1360"/>
      <c r="N88" s="1360"/>
      <c r="O88" s="1371"/>
      <c r="P88" s="1385">
        <v>44900.0</v>
      </c>
      <c r="Q88" s="1360" t="s">
        <v>1304</v>
      </c>
      <c r="R88" s="1360" t="s">
        <v>1305</v>
      </c>
      <c r="S88" s="1370">
        <f t="shared" si="3"/>
        <v>44931</v>
      </c>
      <c r="T88" s="1366">
        <f t="shared" si="4"/>
        <v>45265</v>
      </c>
      <c r="U88" s="1360" t="str">
        <f>IF(AND('ex-situ Apal outplants'!D:D=Q88,IF(VLOOKUP(Q88,'ex-situ Apal outplants'!D:M,10,FALSE)&lt;&gt;0,"TRUE", "FALSE")),"Completed",DATE(year(P88), month(P88)+1, day(P88)))</f>
        <v>Completed</v>
      </c>
      <c r="V88" s="1360" t="str">
        <f>IF(AND('ex-situ Apal outplants'!D:D=Q88,IF(VLOOKUP(Q88,'ex-situ Apal outplants'!D:T,17,FALSE)&lt;&gt;0,"TRUE", "FALSE")),"Completed",DATE(year(P88)+1, month(P88), day(P88)))</f>
        <v>Completed</v>
      </c>
      <c r="W88" s="1360"/>
      <c r="X88" s="1360"/>
      <c r="Y88" s="1360"/>
      <c r="Z88" s="1360"/>
      <c r="AA88" s="1360"/>
      <c r="AB88" s="1360"/>
      <c r="AC88" s="1360"/>
      <c r="AD88" s="1371"/>
      <c r="AE88" s="1360"/>
      <c r="AF88" s="1360"/>
      <c r="AG88" s="1360"/>
    </row>
    <row r="89">
      <c r="A89" s="1356">
        <v>43595.0</v>
      </c>
      <c r="B89" s="1357" t="s">
        <v>425</v>
      </c>
      <c r="C89" s="1358" t="s">
        <v>426</v>
      </c>
      <c r="D89" s="1366">
        <f t="shared" si="1"/>
        <v>43626</v>
      </c>
      <c r="E89" s="1366">
        <f t="shared" si="2"/>
        <v>43961</v>
      </c>
      <c r="F89" s="224" t="str">
        <f>IF(AND('in-situ Acer outplants'!D:D=B89,IF(VLOOKUP(B89,'in-situ Acer outplants'!D:M,10,FALSE)&lt;&gt;0,"TRUE", "FALSE")),"Completed",DATE(year(A89), month(A89)+1, day(A89)))</f>
        <v>Completed</v>
      </c>
      <c r="G89" s="1360" t="str">
        <f>IF(AND('in-situ Acer outplants'!D:D=B89,IF(VLOOKUP(B89,'in-situ Acer outplants'!D:T,17,FALSE)&lt;&gt;0,"TRUE", "FALSE")),"Completed",DATE(year(A89)+1, month(A89), day(A89)))</f>
        <v>Completed</v>
      </c>
      <c r="H89" s="1360"/>
      <c r="I89" s="1360"/>
      <c r="J89" s="1360"/>
      <c r="K89" s="1360"/>
      <c r="L89" s="1360"/>
      <c r="M89" s="1360"/>
      <c r="N89" s="1360"/>
      <c r="O89" s="1371"/>
      <c r="P89" s="1385">
        <v>44911.0</v>
      </c>
      <c r="Q89" s="1360" t="s">
        <v>1306</v>
      </c>
      <c r="R89" s="1360" t="s">
        <v>1307</v>
      </c>
      <c r="S89" s="1370">
        <f t="shared" si="3"/>
        <v>44942</v>
      </c>
      <c r="T89" s="1366">
        <f t="shared" si="4"/>
        <v>45276</v>
      </c>
      <c r="U89" s="1360" t="str">
        <f>IF(AND('ex-situ Apal outplants'!D:D=Q89,IF(VLOOKUP(Q89,'ex-situ Apal outplants'!D:M,10,FALSE)&lt;&gt;0,"TRUE", "FALSE")),"Completed",DATE(year(P89), month(P89)+1, day(P89)))</f>
        <v>Completed</v>
      </c>
      <c r="V89" s="1360" t="str">
        <f>IF(AND('ex-situ Apal outplants'!D:D=Q89,IF(VLOOKUP(Q89,'ex-situ Apal outplants'!D:T,17,FALSE)&lt;&gt;0,"TRUE", "FALSE")),"Completed",DATE(year(P89)+1, month(P89), day(P89)))</f>
        <v>Completed</v>
      </c>
      <c r="W89" s="1360"/>
      <c r="X89" s="1360"/>
      <c r="Y89" s="1360"/>
      <c r="Z89" s="1360"/>
      <c r="AA89" s="1360"/>
      <c r="AB89" s="1360"/>
      <c r="AC89" s="1360"/>
      <c r="AD89" s="1371"/>
      <c r="AE89" s="1360"/>
      <c r="AF89" s="1360"/>
      <c r="AG89" s="1360"/>
    </row>
    <row r="90">
      <c r="A90" s="1356">
        <v>43598.0</v>
      </c>
      <c r="B90" s="1357" t="s">
        <v>429</v>
      </c>
      <c r="C90" s="1358" t="s">
        <v>401</v>
      </c>
      <c r="D90" s="1366">
        <f t="shared" si="1"/>
        <v>43629</v>
      </c>
      <c r="E90" s="1366">
        <f t="shared" si="2"/>
        <v>43964</v>
      </c>
      <c r="F90" s="224" t="str">
        <f>IF(AND('in-situ Acer outplants'!D:D=B90,IF(VLOOKUP(B90,'in-situ Acer outplants'!D:M,10,FALSE)&lt;&gt;0,"TRUE", "FALSE")),"Completed",DATE(year(A90), month(A90)+1, day(A90)))</f>
        <v>Completed</v>
      </c>
      <c r="G90" s="1360" t="str">
        <f>IF(AND('in-situ Acer outplants'!D:D=B90,IF(VLOOKUP(B90,'in-situ Acer outplants'!D:T,17,FALSE)&lt;&gt;0,"TRUE", "FALSE")),"Completed",DATE(year(A90)+1, month(A90), day(A90)))</f>
        <v>Completed</v>
      </c>
      <c r="H90" s="1360"/>
      <c r="I90" s="1360"/>
      <c r="J90" s="1360"/>
      <c r="K90" s="1360"/>
      <c r="L90" s="1360"/>
      <c r="M90" s="1360"/>
      <c r="N90" s="1360"/>
      <c r="O90" s="1371"/>
      <c r="P90" s="1385">
        <v>44916.0</v>
      </c>
      <c r="Q90" s="1360" t="s">
        <v>1309</v>
      </c>
      <c r="R90" s="1360" t="s">
        <v>1310</v>
      </c>
      <c r="S90" s="1370">
        <f t="shared" si="3"/>
        <v>44947</v>
      </c>
      <c r="T90" s="1366">
        <f t="shared" si="4"/>
        <v>45281</v>
      </c>
      <c r="U90" s="1360" t="str">
        <f>IF(AND('ex-situ Apal outplants'!D:D=Q90,IF(VLOOKUP(Q90,'ex-situ Apal outplants'!D:M,10,FALSE)&lt;&gt;0,"TRUE", "FALSE")),"Completed",DATE(year(P90), month(P90)+1, day(P90)))</f>
        <v>Completed</v>
      </c>
      <c r="V90" s="1360" t="str">
        <f>IF(AND('ex-situ Apal outplants'!D:D=Q90,IF(VLOOKUP(Q90,'ex-situ Apal outplants'!D:T,17,FALSE)&lt;&gt;0,"TRUE", "FALSE")),"Completed",DATE(year(P90)+1, month(P90), day(P90)))</f>
        <v>Completed</v>
      </c>
      <c r="W90" s="1360"/>
      <c r="X90" s="1360"/>
      <c r="Y90" s="1360"/>
      <c r="Z90" s="1360"/>
      <c r="AA90" s="1360"/>
      <c r="AB90" s="1360"/>
      <c r="AC90" s="1360"/>
      <c r="AD90" s="1371"/>
      <c r="AE90" s="1360"/>
      <c r="AF90" s="1360"/>
      <c r="AG90" s="1360"/>
    </row>
    <row r="91">
      <c r="A91" s="1356">
        <v>43600.0</v>
      </c>
      <c r="B91" s="1357" t="s">
        <v>432</v>
      </c>
      <c r="C91" s="1358" t="s">
        <v>32</v>
      </c>
      <c r="D91" s="1366">
        <f t="shared" si="1"/>
        <v>43631</v>
      </c>
      <c r="E91" s="1366">
        <f t="shared" si="2"/>
        <v>43966</v>
      </c>
      <c r="F91" s="224" t="str">
        <f>IF(AND('in-situ Acer outplants'!D:D=B91,IF(VLOOKUP(B91,'in-situ Acer outplants'!D:M,10,FALSE)&lt;&gt;0,"TRUE", "FALSE")),"Completed",DATE(year(A91), month(A91)+1, day(A91)))</f>
        <v>Completed</v>
      </c>
      <c r="G91" s="1360" t="str">
        <f>IF(AND('in-situ Acer outplants'!D:D=B91,IF(VLOOKUP(B91,'in-situ Acer outplants'!D:T,17,FALSE)&lt;&gt;0,"TRUE", "FALSE")),"Completed",DATE(year(A91)+1, month(A91), day(A91)))</f>
        <v>Completed</v>
      </c>
      <c r="H91" s="1360"/>
      <c r="I91" s="1360"/>
      <c r="J91" s="1360"/>
      <c r="K91" s="1360"/>
      <c r="L91" s="1360"/>
      <c r="M91" s="1360"/>
      <c r="N91" s="1360"/>
      <c r="O91" s="1371"/>
      <c r="P91" s="1385">
        <v>44935.0</v>
      </c>
      <c r="Q91" s="1360" t="s">
        <v>1311</v>
      </c>
      <c r="R91" s="1360" t="s">
        <v>1312</v>
      </c>
      <c r="S91" s="1370">
        <f t="shared" si="3"/>
        <v>44966</v>
      </c>
      <c r="T91" s="1366">
        <f t="shared" si="4"/>
        <v>45300</v>
      </c>
      <c r="U91" s="1360" t="str">
        <f>IF(AND('ex-situ Apal outplants'!D:D=Q91,IF(VLOOKUP(Q91,'ex-situ Apal outplants'!D:M,10,FALSE)&lt;&gt;0,"TRUE", "FALSE")),"Completed",DATE(year(P91), month(P91)+1, day(P91)))</f>
        <v>Completed</v>
      </c>
      <c r="V91" s="1360" t="str">
        <f>IF(AND('ex-situ Apal outplants'!D:D=Q91,IF(VLOOKUP(Q91,'ex-situ Apal outplants'!D:T,17,FALSE)&lt;&gt;0,"TRUE", "FALSE")),"Completed",DATE(year(P91)+1, month(P91), day(P91)))</f>
        <v>Completed</v>
      </c>
      <c r="W91" s="1360"/>
      <c r="X91" s="1360"/>
      <c r="Y91" s="1360"/>
      <c r="Z91" s="1360"/>
      <c r="AA91" s="1360"/>
      <c r="AB91" s="1360"/>
      <c r="AC91" s="1360"/>
      <c r="AD91" s="1371"/>
      <c r="AE91" s="1360"/>
      <c r="AF91" s="1360"/>
      <c r="AG91" s="1360"/>
    </row>
    <row r="92">
      <c r="A92" s="1356">
        <v>43620.0</v>
      </c>
      <c r="B92" s="1357" t="s">
        <v>435</v>
      </c>
      <c r="C92" s="1358" t="s">
        <v>32</v>
      </c>
      <c r="D92" s="1366">
        <f t="shared" si="1"/>
        <v>43650</v>
      </c>
      <c r="E92" s="1366">
        <f t="shared" si="2"/>
        <v>43986</v>
      </c>
      <c r="F92" s="224" t="str">
        <f>IF(AND('in-situ Acer outplants'!D:D=B92,IF(VLOOKUP(B92,'in-situ Acer outplants'!D:M,10,FALSE)&lt;&gt;0,"TRUE", "FALSE")),"Completed",DATE(year(A92), month(A92)+1, day(A92)))</f>
        <v>Completed</v>
      </c>
      <c r="G92" s="1360" t="str">
        <f>IF(AND('in-situ Acer outplants'!D:D=B92,IF(VLOOKUP(B92,'in-situ Acer outplants'!D:T,17,FALSE)&lt;&gt;0,"TRUE", "FALSE")),"Completed",DATE(year(A92)+1, month(A92), day(A92)))</f>
        <v>Completed</v>
      </c>
      <c r="H92" s="1360"/>
      <c r="I92" s="1360"/>
      <c r="J92" s="1360"/>
      <c r="K92" s="1360"/>
      <c r="L92" s="1360"/>
      <c r="M92" s="1360"/>
      <c r="N92" s="1360"/>
      <c r="O92" s="1371"/>
      <c r="P92" s="1385">
        <v>44937.0</v>
      </c>
      <c r="Q92" s="1360" t="s">
        <v>1313</v>
      </c>
      <c r="R92" s="1360" t="s">
        <v>1314</v>
      </c>
      <c r="S92" s="1370">
        <f t="shared" si="3"/>
        <v>44968</v>
      </c>
      <c r="T92" s="1366">
        <f t="shared" si="4"/>
        <v>45302</v>
      </c>
      <c r="U92" s="1360" t="str">
        <f>IF(AND('ex-situ Apal outplants'!D:D=Q92,IF(VLOOKUP(Q92,'ex-situ Apal outplants'!D:M,10,FALSE)&lt;&gt;0,"TRUE", "FALSE")),"Completed",DATE(year(P92), month(P92)+1, day(P92)))</f>
        <v>Completed</v>
      </c>
      <c r="V92" s="1360" t="str">
        <f>IF(AND('ex-situ Apal outplants'!D:D=Q92,IF(VLOOKUP(Q92,'ex-situ Apal outplants'!D:T,17,FALSE)&lt;&gt;0,"TRUE", "FALSE")),"Completed",DATE(year(P92)+1, month(P92), day(P92)))</f>
        <v>Completed</v>
      </c>
      <c r="W92" s="1360"/>
      <c r="X92" s="1360"/>
      <c r="Y92" s="1360"/>
      <c r="Z92" s="1360"/>
      <c r="AA92" s="1360"/>
      <c r="AB92" s="1360"/>
      <c r="AC92" s="1360"/>
      <c r="AD92" s="1371"/>
      <c r="AE92" s="1360"/>
      <c r="AF92" s="1360"/>
      <c r="AG92" s="1360"/>
    </row>
    <row r="93">
      <c r="A93" s="1356">
        <v>43622.0</v>
      </c>
      <c r="B93" s="1357" t="s">
        <v>438</v>
      </c>
      <c r="C93" s="1358" t="s">
        <v>32</v>
      </c>
      <c r="D93" s="1366">
        <f t="shared" si="1"/>
        <v>43652</v>
      </c>
      <c r="E93" s="1366">
        <f t="shared" si="2"/>
        <v>43988</v>
      </c>
      <c r="F93" s="224" t="str">
        <f>IF(AND('in-situ Acer outplants'!D:D=B93,IF(VLOOKUP(B93,'in-situ Acer outplants'!D:M,10,FALSE)&lt;&gt;0,"TRUE", "FALSE")),"Completed",DATE(year(A93), month(A93)+1, day(A93)))</f>
        <v>Completed</v>
      </c>
      <c r="G93" s="1360" t="str">
        <f>IF(AND('in-situ Acer outplants'!D:D=B93,IF(VLOOKUP(B93,'in-situ Acer outplants'!D:T,17,FALSE)&lt;&gt;0,"TRUE", "FALSE")),"Completed",DATE(year(A93)+1, month(A93), day(A93)))</f>
        <v>Completed</v>
      </c>
      <c r="H93" s="1360"/>
      <c r="I93" s="1360"/>
      <c r="J93" s="1360"/>
      <c r="K93" s="1360"/>
      <c r="L93" s="1360"/>
      <c r="M93" s="1360"/>
      <c r="N93" s="1360"/>
      <c r="O93" s="1371"/>
      <c r="P93" s="1385">
        <v>44937.0</v>
      </c>
      <c r="Q93" s="1360" t="s">
        <v>1315</v>
      </c>
      <c r="R93" s="1360" t="s">
        <v>1316</v>
      </c>
      <c r="S93" s="1370">
        <f t="shared" si="3"/>
        <v>44968</v>
      </c>
      <c r="T93" s="1366">
        <f t="shared" si="4"/>
        <v>45302</v>
      </c>
      <c r="U93" s="1360" t="str">
        <f>IF(AND('ex-situ Apal outplants'!D:D=Q93,IF(VLOOKUP(Q93,'ex-situ Apal outplants'!D:M,10,FALSE)&lt;&gt;0,"TRUE", "FALSE")),"Completed",DATE(year(P93), month(P93)+1, day(P93)))</f>
        <v>Completed</v>
      </c>
      <c r="V93" s="1360" t="str">
        <f>IF(AND('ex-situ Apal outplants'!D:D=Q93,IF(VLOOKUP(Q93,'ex-situ Apal outplants'!D:T,17,FALSE)&lt;&gt;0,"TRUE", "FALSE")),"Completed",DATE(year(P93)+1, month(P93), day(P93)))</f>
        <v>Completed</v>
      </c>
      <c r="W93" s="1360"/>
      <c r="X93" s="1360"/>
      <c r="Y93" s="1360"/>
      <c r="Z93" s="1360"/>
      <c r="AA93" s="1360"/>
      <c r="AB93" s="1360"/>
      <c r="AC93" s="1360"/>
      <c r="AD93" s="1371"/>
      <c r="AE93" s="1360"/>
      <c r="AF93" s="1360"/>
      <c r="AG93" s="1360"/>
    </row>
    <row r="94">
      <c r="A94" s="1356">
        <v>43623.0</v>
      </c>
      <c r="B94" s="1357" t="s">
        <v>444</v>
      </c>
      <c r="C94" s="1358" t="s">
        <v>32</v>
      </c>
      <c r="D94" s="1366">
        <f t="shared" si="1"/>
        <v>43653</v>
      </c>
      <c r="E94" s="1366">
        <f t="shared" si="2"/>
        <v>43989</v>
      </c>
      <c r="F94" s="224" t="str">
        <f>IF(AND('in-situ Acer outplants'!D:D=B94,IF(VLOOKUP(B94,'in-situ Acer outplants'!D:M,10,FALSE)&lt;&gt;0,"TRUE", "FALSE")),"Completed",DATE(year(A94), month(A94)+1, day(A94)))</f>
        <v>Completed</v>
      </c>
      <c r="G94" s="1360" t="str">
        <f>IF(AND('in-situ Acer outplants'!D:D=B94,IF(VLOOKUP(B94,'in-situ Acer outplants'!D:T,17,FALSE)&lt;&gt;0,"TRUE", "FALSE")),"Completed",DATE(year(A94)+1, month(A94), day(A94)))</f>
        <v>Completed</v>
      </c>
      <c r="H94" s="1360"/>
      <c r="I94" s="1360"/>
      <c r="J94" s="1360"/>
      <c r="K94" s="1360"/>
      <c r="L94" s="1360"/>
      <c r="M94" s="1360"/>
      <c r="N94" s="1360"/>
      <c r="O94" s="1371"/>
      <c r="P94" s="1385">
        <v>44960.0</v>
      </c>
      <c r="Q94" s="1360" t="s">
        <v>1317</v>
      </c>
      <c r="R94" s="1360" t="s">
        <v>1318</v>
      </c>
      <c r="S94" s="1370">
        <f t="shared" si="3"/>
        <v>44988</v>
      </c>
      <c r="T94" s="1366">
        <f t="shared" si="4"/>
        <v>45325</v>
      </c>
      <c r="U94" s="1360" t="str">
        <f>IF(AND('ex-situ Apal outplants'!D:D=Q94,IF(VLOOKUP(Q94,'ex-situ Apal outplants'!D:M,10,FALSE)&lt;&gt;0,"TRUE", "FALSE")),"Completed",DATE(year(P94), month(P94)+1, day(P94)))</f>
        <v>Completed</v>
      </c>
      <c r="V94" s="1388">
        <f>IF(AND('ex-situ Apal outplants'!D:D=Q94,IF(VLOOKUP(Q94,'ex-situ Apal outplants'!D:T,17,FALSE)&lt;&gt;0,"TRUE", "FALSE")),"Completed",DATE(year(P94)+1, month(P94), day(P94)))</f>
        <v>45325</v>
      </c>
      <c r="W94" s="1360"/>
      <c r="X94" s="1360"/>
      <c r="Y94" s="1360"/>
      <c r="Z94" s="1360"/>
      <c r="AA94" s="1360"/>
      <c r="AB94" s="1360"/>
      <c r="AC94" s="1360"/>
      <c r="AD94" s="1371"/>
      <c r="AE94" s="1360"/>
      <c r="AF94" s="1360"/>
      <c r="AG94" s="1360"/>
    </row>
    <row r="95">
      <c r="A95" s="1356">
        <v>43623.0</v>
      </c>
      <c r="B95" s="1357" t="s">
        <v>446</v>
      </c>
      <c r="C95" s="1358" t="s">
        <v>447</v>
      </c>
      <c r="D95" s="1366">
        <f t="shared" si="1"/>
        <v>43653</v>
      </c>
      <c r="E95" s="1366">
        <f t="shared" si="2"/>
        <v>43989</v>
      </c>
      <c r="F95" s="224" t="str">
        <f>IF(AND('in-situ Acer outplants'!D:D=B95,IF(VLOOKUP(B95,'in-situ Acer outplants'!D:M,10,FALSE)&lt;&gt;0,"TRUE", "FALSE")),"Completed",DATE(year(A95), month(A95)+1, day(A95)))</f>
        <v>Completed</v>
      </c>
      <c r="G95" s="1360" t="str">
        <f>IF(AND('in-situ Acer outplants'!D:D=B95,IF(VLOOKUP(B95,'in-situ Acer outplants'!D:T,17,FALSE)&lt;&gt;0,"TRUE", "FALSE")),"Completed",DATE(year(A95)+1, month(A95), day(A95)))</f>
        <v>Completed</v>
      </c>
      <c r="H95" s="1360"/>
      <c r="I95" s="1360"/>
      <c r="J95" s="1360"/>
      <c r="K95" s="1360"/>
      <c r="L95" s="1360"/>
      <c r="M95" s="1360"/>
      <c r="N95" s="1360"/>
      <c r="O95" s="1371"/>
      <c r="P95" s="1385">
        <v>44975.0</v>
      </c>
      <c r="Q95" s="1360" t="s">
        <v>1319</v>
      </c>
      <c r="R95" s="1360" t="s">
        <v>1320</v>
      </c>
      <c r="S95" s="1370">
        <f t="shared" si="3"/>
        <v>45003</v>
      </c>
      <c r="T95" s="1366">
        <f t="shared" si="4"/>
        <v>45340</v>
      </c>
      <c r="U95" s="1360" t="str">
        <f>IF(AND('ex-situ Apal outplants'!D:D=Q95,IF(VLOOKUP(Q95,'ex-situ Apal outplants'!D:M,10,FALSE)&lt;&gt;0,"TRUE", "FALSE")),"Completed",DATE(year(P95), month(P95)+1, day(P95)))</f>
        <v>Completed</v>
      </c>
      <c r="V95" s="1388">
        <f>IF(AND('ex-situ Apal outplants'!D:D=Q95,IF(VLOOKUP(Q95,'ex-situ Apal outplants'!D:T,17,FALSE)&lt;&gt;0,"TRUE", "FALSE")),"Completed",DATE(year(P95)+1, month(P95), day(P95)))</f>
        <v>45340</v>
      </c>
      <c r="W95" s="1360"/>
      <c r="X95" s="1360"/>
      <c r="Y95" s="1360"/>
      <c r="Z95" s="1360"/>
      <c r="AA95" s="1360"/>
      <c r="AB95" s="1360"/>
      <c r="AC95" s="1360"/>
      <c r="AD95" s="1371"/>
      <c r="AE95" s="1360"/>
      <c r="AF95" s="1360"/>
      <c r="AG95" s="1360"/>
    </row>
    <row r="96">
      <c r="A96" s="1356">
        <v>43628.0</v>
      </c>
      <c r="B96" s="1357" t="s">
        <v>450</v>
      </c>
      <c r="C96" s="1358" t="s">
        <v>452</v>
      </c>
      <c r="D96" s="1366">
        <f t="shared" si="1"/>
        <v>43658</v>
      </c>
      <c r="E96" s="1366">
        <f t="shared" si="2"/>
        <v>43994</v>
      </c>
      <c r="F96" s="224" t="str">
        <f>IF(AND('in-situ Acer outplants'!D:D=B96,IF(VLOOKUP(B96,'in-situ Acer outplants'!D:M,10,FALSE)&lt;&gt;0,"TRUE", "FALSE")),"Completed",DATE(year(A96), month(A96)+1, day(A96)))</f>
        <v>Completed</v>
      </c>
      <c r="G96" s="1360" t="str">
        <f>IF(AND('in-situ Acer outplants'!D:D=B96,IF(VLOOKUP(B96,'in-situ Acer outplants'!D:T,17,FALSE)&lt;&gt;0,"TRUE", "FALSE")),"Completed",DATE(year(A96)+1, month(A96), day(A96)))</f>
        <v>Completed</v>
      </c>
      <c r="H96" s="1360"/>
      <c r="I96" s="1360"/>
      <c r="J96" s="1360"/>
      <c r="K96" s="1360"/>
      <c r="L96" s="1360"/>
      <c r="M96" s="1360"/>
      <c r="N96" s="1360"/>
      <c r="O96" s="1371"/>
      <c r="P96" s="1385">
        <v>44984.0</v>
      </c>
      <c r="Q96" s="1360" t="s">
        <v>1321</v>
      </c>
      <c r="R96" s="1360" t="s">
        <v>1322</v>
      </c>
      <c r="S96" s="1370">
        <f t="shared" si="3"/>
        <v>45012</v>
      </c>
      <c r="T96" s="1366">
        <f t="shared" si="4"/>
        <v>45349</v>
      </c>
      <c r="U96" s="1360" t="str">
        <f>IF(AND('ex-situ Apal outplants'!D:D=Q96,IF(VLOOKUP(Q96,'ex-situ Apal outplants'!D:M,10,FALSE)&lt;&gt;0,"TRUE", "FALSE")),"Completed",DATE(year(P96), month(P96)+1, day(P96)))</f>
        <v>Completed</v>
      </c>
      <c r="V96" s="1388">
        <f>IF(AND('ex-situ Apal outplants'!D:D=Q96,IF(VLOOKUP(Q96,'ex-situ Apal outplants'!D:T,17,FALSE)&lt;&gt;0,"TRUE", "FALSE")),"Completed",DATE(year(P96)+1, month(P96), day(P96)))</f>
        <v>45349</v>
      </c>
      <c r="W96" s="1360"/>
      <c r="X96" s="1360"/>
      <c r="Y96" s="1360"/>
      <c r="Z96" s="1360"/>
      <c r="AA96" s="1360"/>
      <c r="AB96" s="1360"/>
      <c r="AC96" s="1360"/>
      <c r="AD96" s="1371"/>
      <c r="AE96" s="1360"/>
      <c r="AF96" s="1360"/>
      <c r="AG96" s="1360"/>
    </row>
    <row r="97">
      <c r="A97" s="1356">
        <v>43628.0</v>
      </c>
      <c r="B97" s="1357" t="s">
        <v>455</v>
      </c>
      <c r="C97" s="1358" t="s">
        <v>452</v>
      </c>
      <c r="D97" s="1366">
        <f t="shared" si="1"/>
        <v>43658</v>
      </c>
      <c r="E97" s="1366">
        <f t="shared" si="2"/>
        <v>43994</v>
      </c>
      <c r="F97" s="224" t="str">
        <f>IF(AND('in-situ Acer outplants'!D:D=B97,IF(VLOOKUP(B97,'in-situ Acer outplants'!D:M,10,FALSE)&lt;&gt;0,"TRUE", "FALSE")),"Completed",DATE(year(A97), month(A97)+1, day(A97)))</f>
        <v>Completed</v>
      </c>
      <c r="G97" s="1360" t="str">
        <f>IF(AND('in-situ Acer outplants'!D:D=B97,IF(VLOOKUP(B97,'in-situ Acer outplants'!D:T,17,FALSE)&lt;&gt;0,"TRUE", "FALSE")),"Completed",DATE(year(A97)+1, month(A97), day(A97)))</f>
        <v>Completed</v>
      </c>
      <c r="H97" s="1360"/>
      <c r="I97" s="1360"/>
      <c r="J97" s="1360"/>
      <c r="K97" s="1360"/>
      <c r="L97" s="1360"/>
      <c r="M97" s="1360"/>
      <c r="N97" s="1360"/>
      <c r="O97" s="1371"/>
      <c r="P97" s="1385">
        <v>44985.0</v>
      </c>
      <c r="Q97" s="1360" t="s">
        <v>1323</v>
      </c>
      <c r="R97" s="1360" t="s">
        <v>1324</v>
      </c>
      <c r="S97" s="1370">
        <f t="shared" si="3"/>
        <v>45013</v>
      </c>
      <c r="T97" s="1366">
        <f t="shared" si="4"/>
        <v>45350</v>
      </c>
      <c r="U97" s="1360" t="str">
        <f>IF(AND('ex-situ Apal outplants'!D:D=Q97,IF(VLOOKUP(Q97,'ex-situ Apal outplants'!D:M,10,FALSE)&lt;&gt;0,"TRUE", "FALSE")),"Completed",DATE(year(P97), month(P97)+1, day(P97)))</f>
        <v>Completed</v>
      </c>
      <c r="V97" s="1388">
        <f>IF(AND('ex-situ Apal outplants'!D:D=Q97,IF(VLOOKUP(Q97,'ex-situ Apal outplants'!D:T,17,FALSE)&lt;&gt;0,"TRUE", "FALSE")),"Completed",DATE(year(P97)+1, month(P97), day(P97)))</f>
        <v>45350</v>
      </c>
      <c r="W97" s="1360"/>
      <c r="X97" s="1360"/>
      <c r="Y97" s="1360"/>
      <c r="Z97" s="1360"/>
      <c r="AA97" s="1360"/>
      <c r="AB97" s="1360"/>
      <c r="AC97" s="1360"/>
      <c r="AD97" s="1371"/>
      <c r="AE97" s="1360"/>
      <c r="AF97" s="1360"/>
      <c r="AG97" s="1360"/>
    </row>
    <row r="98">
      <c r="A98" s="1356">
        <v>43628.0</v>
      </c>
      <c r="B98" s="1357" t="s">
        <v>458</v>
      </c>
      <c r="C98" s="1358" t="s">
        <v>459</v>
      </c>
      <c r="D98" s="1366">
        <f t="shared" si="1"/>
        <v>43658</v>
      </c>
      <c r="E98" s="1366">
        <f t="shared" si="2"/>
        <v>43994</v>
      </c>
      <c r="F98" s="224" t="str">
        <f>IF(AND('in-situ Acer outplants'!D:D=B98,IF(VLOOKUP(B98,'in-situ Acer outplants'!D:M,10,FALSE)&lt;&gt;0,"TRUE", "FALSE")),"Completed",DATE(year(A98), month(A98)+1, day(A98)))</f>
        <v>Completed</v>
      </c>
      <c r="G98" s="1360" t="str">
        <f>IF(AND('in-situ Acer outplants'!D:D=B98,IF(VLOOKUP(B98,'in-situ Acer outplants'!D:T,17,FALSE)&lt;&gt;0,"TRUE", "FALSE")),"Completed",DATE(year(A98)+1, month(A98), day(A98)))</f>
        <v>Completed</v>
      </c>
      <c r="H98" s="1360"/>
      <c r="I98" s="1360"/>
      <c r="J98" s="1360"/>
      <c r="K98" s="1360"/>
      <c r="L98" s="1360"/>
      <c r="M98" s="1360"/>
      <c r="N98" s="1360"/>
      <c r="O98" s="1371"/>
      <c r="P98" s="1385">
        <v>45013.0</v>
      </c>
      <c r="Q98" s="1360" t="s">
        <v>1325</v>
      </c>
      <c r="R98" s="1360" t="s">
        <v>1326</v>
      </c>
      <c r="S98" s="1370">
        <f t="shared" si="3"/>
        <v>45044</v>
      </c>
      <c r="T98" s="1366">
        <f t="shared" si="4"/>
        <v>45379</v>
      </c>
      <c r="U98" s="1360" t="str">
        <f>IF(AND('ex-situ Apal outplants'!D:D=Q98,IF(VLOOKUP(Q98,'ex-situ Apal outplants'!D:M,10,FALSE)&lt;&gt;0,"TRUE", "FALSE")),"Completed",DATE(year(P98), month(P98)+1, day(P98)))</f>
        <v>Completed</v>
      </c>
      <c r="V98" s="1388">
        <f>IF(AND('ex-situ Apal outplants'!D:D=Q98,IF(VLOOKUP(Q98,'ex-situ Apal outplants'!D:T,17,FALSE)&lt;&gt;0,"TRUE", "FALSE")),"Completed",DATE(year(P98)+1, month(P98), day(P98)))</f>
        <v>45379</v>
      </c>
      <c r="W98" s="1360"/>
      <c r="X98" s="1360"/>
      <c r="Y98" s="1360"/>
      <c r="Z98" s="1360"/>
      <c r="AA98" s="1360"/>
      <c r="AB98" s="1360"/>
      <c r="AC98" s="1360"/>
      <c r="AD98" s="1371"/>
      <c r="AE98" s="1360"/>
      <c r="AF98" s="1360"/>
      <c r="AG98" s="1360"/>
    </row>
    <row r="99">
      <c r="A99" s="1356">
        <v>43629.0</v>
      </c>
      <c r="B99" s="1357" t="s">
        <v>461</v>
      </c>
      <c r="C99" s="1358" t="s">
        <v>452</v>
      </c>
      <c r="D99" s="1366">
        <f t="shared" si="1"/>
        <v>43659</v>
      </c>
      <c r="E99" s="1366">
        <f t="shared" si="2"/>
        <v>43995</v>
      </c>
      <c r="F99" s="224" t="str">
        <f>IF(AND('in-situ Acer outplants'!D:D=B99,IF(VLOOKUP(B99,'in-situ Acer outplants'!D:M,10,FALSE)&lt;&gt;0,"TRUE", "FALSE")),"Completed",DATE(year(A99), month(A99)+1, day(A99)))</f>
        <v>Completed</v>
      </c>
      <c r="G99" s="1360" t="str">
        <f>IF(AND('in-situ Acer outplants'!D:D=B99,IF(VLOOKUP(B99,'in-situ Acer outplants'!D:T,17,FALSE)&lt;&gt;0,"TRUE", "FALSE")),"Completed",DATE(year(A99)+1, month(A99), day(A99)))</f>
        <v>Completed</v>
      </c>
      <c r="H99" s="1360"/>
      <c r="I99" s="1360"/>
      <c r="J99" s="1360"/>
      <c r="K99" s="1360"/>
      <c r="L99" s="1360"/>
      <c r="M99" s="1360"/>
      <c r="N99" s="1360"/>
      <c r="O99" s="1371"/>
      <c r="P99" s="1385">
        <v>45014.0</v>
      </c>
      <c r="Q99" s="1360" t="s">
        <v>1327</v>
      </c>
      <c r="R99" s="1360" t="s">
        <v>1328</v>
      </c>
      <c r="S99" s="1370">
        <f t="shared" si="3"/>
        <v>45045</v>
      </c>
      <c r="T99" s="1366">
        <f t="shared" si="4"/>
        <v>45380</v>
      </c>
      <c r="U99" s="1360" t="str">
        <f>IF(AND('ex-situ Apal outplants'!D:D=Q99,IF(VLOOKUP(Q99,'ex-situ Apal outplants'!D:M,10,FALSE)&lt;&gt;0,"TRUE", "FALSE")),"Completed",DATE(year(P99), month(P99)+1, day(P99)))</f>
        <v>Completed</v>
      </c>
      <c r="V99" s="1388">
        <f>IF(AND('ex-situ Apal outplants'!D:D=Q99,IF(VLOOKUP(Q99,'ex-situ Apal outplants'!D:T,17,FALSE)&lt;&gt;0,"TRUE", "FALSE")),"Completed",DATE(year(P99)+1, month(P99), day(P99)))</f>
        <v>45380</v>
      </c>
      <c r="W99" s="1360"/>
      <c r="X99" s="1360"/>
      <c r="Y99" s="1360"/>
      <c r="Z99" s="1360"/>
      <c r="AA99" s="1360"/>
      <c r="AB99" s="1360"/>
      <c r="AC99" s="1360"/>
      <c r="AD99" s="1371"/>
      <c r="AE99" s="1360"/>
      <c r="AF99" s="1360"/>
      <c r="AG99" s="1360"/>
    </row>
    <row r="100">
      <c r="A100" s="1356">
        <v>43629.0</v>
      </c>
      <c r="B100" s="1357" t="s">
        <v>464</v>
      </c>
      <c r="C100" s="1358" t="s">
        <v>452</v>
      </c>
      <c r="D100" s="1366">
        <f t="shared" si="1"/>
        <v>43659</v>
      </c>
      <c r="E100" s="1366">
        <f t="shared" si="2"/>
        <v>43995</v>
      </c>
      <c r="F100" s="224" t="str">
        <f>IF(AND('in-situ Acer outplants'!D:D=B100,IF(VLOOKUP(B100,'in-situ Acer outplants'!D:M,10,FALSE)&lt;&gt;0,"TRUE", "FALSE")),"Completed",DATE(year(A100), month(A100)+1, day(A100)))</f>
        <v>Completed</v>
      </c>
      <c r="G100" s="1360" t="str">
        <f>IF(AND('in-situ Acer outplants'!D:D=B100,IF(VLOOKUP(B100,'in-situ Acer outplants'!D:T,17,FALSE)&lt;&gt;0,"TRUE", "FALSE")),"Completed",DATE(year(A100)+1, month(A100), day(A100)))</f>
        <v>Completed</v>
      </c>
      <c r="H100" s="1360"/>
      <c r="I100" s="1360"/>
      <c r="J100" s="1360"/>
      <c r="K100" s="1360"/>
      <c r="L100" s="1360"/>
      <c r="M100" s="1360"/>
      <c r="N100" s="1360"/>
      <c r="O100" s="1371"/>
      <c r="P100" s="1385">
        <v>45026.0</v>
      </c>
      <c r="Q100" s="1360" t="s">
        <v>1329</v>
      </c>
      <c r="R100" s="1360" t="s">
        <v>1330</v>
      </c>
      <c r="S100" s="1370">
        <f t="shared" si="3"/>
        <v>45056</v>
      </c>
      <c r="T100" s="1366">
        <f t="shared" si="4"/>
        <v>45392</v>
      </c>
      <c r="U100" s="1360" t="str">
        <f>IF(AND('ex-situ Apal outplants'!D:D=Q100,IF(VLOOKUP(Q100,'ex-situ Apal outplants'!D:M,10,FALSE)&lt;&gt;0,"TRUE", "FALSE")),"Completed",DATE(year(P100), month(P100)+1, day(P100)))</f>
        <v>Completed</v>
      </c>
      <c r="V100" s="1388">
        <f>IF(AND('ex-situ Apal outplants'!D:D=Q100,IF(VLOOKUP(Q100,'ex-situ Apal outplants'!D:T,17,FALSE)&lt;&gt;0,"TRUE", "FALSE")),"Completed",DATE(year(P100)+1, month(P100), day(P100)))</f>
        <v>45392</v>
      </c>
      <c r="W100" s="1360"/>
      <c r="X100" s="1360"/>
      <c r="Y100" s="1360"/>
      <c r="Z100" s="1360"/>
      <c r="AA100" s="1360"/>
      <c r="AB100" s="1360"/>
      <c r="AC100" s="1360"/>
      <c r="AD100" s="1371"/>
      <c r="AE100" s="1360"/>
      <c r="AF100" s="1360"/>
      <c r="AG100" s="1360"/>
    </row>
    <row r="101">
      <c r="A101" s="1356">
        <v>43630.0</v>
      </c>
      <c r="B101" s="1357" t="s">
        <v>466</v>
      </c>
      <c r="C101" s="1358" t="s">
        <v>467</v>
      </c>
      <c r="D101" s="1366">
        <f t="shared" si="1"/>
        <v>43660</v>
      </c>
      <c r="E101" s="1366">
        <f t="shared" si="2"/>
        <v>43996</v>
      </c>
      <c r="F101" s="224" t="str">
        <f>IF(AND('in-situ Acer outplants'!D:D=B101,IF(VLOOKUP(B101,'in-situ Acer outplants'!D:M,10,FALSE)&lt;&gt;0,"TRUE", "FALSE")),"Completed",DATE(year(A101), month(A101)+1, day(A101)))</f>
        <v>Completed</v>
      </c>
      <c r="G101" s="1360" t="str">
        <f>IF(AND('in-situ Acer outplants'!D:D=B101,IF(VLOOKUP(B101,'in-situ Acer outplants'!D:T,17,FALSE)&lt;&gt;0,"TRUE", "FALSE")),"Completed",DATE(year(A101)+1, month(A101), day(A101)))</f>
        <v>Completed</v>
      </c>
      <c r="H101" s="1360"/>
      <c r="I101" s="1360"/>
      <c r="J101" s="1360"/>
      <c r="K101" s="1360"/>
      <c r="L101" s="1360"/>
      <c r="M101" s="1360"/>
      <c r="N101" s="1360"/>
      <c r="O101" s="1371"/>
      <c r="P101" s="1385">
        <v>45026.0</v>
      </c>
      <c r="Q101" s="1360" t="s">
        <v>1332</v>
      </c>
      <c r="R101" s="1360" t="s">
        <v>1333</v>
      </c>
      <c r="S101" s="1370">
        <f t="shared" si="3"/>
        <v>45056</v>
      </c>
      <c r="T101" s="1366">
        <f t="shared" si="4"/>
        <v>45392</v>
      </c>
      <c r="U101" s="1360" t="str">
        <f>IF(AND('ex-situ Apal outplants'!D:D=Q101,IF(VLOOKUP(Q101,'ex-situ Apal outplants'!D:M,10,FALSE)&lt;&gt;0,"TRUE", "FALSE")),"Completed",DATE(year(P101), month(P101)+1, day(P101)))</f>
        <v>Completed</v>
      </c>
      <c r="V101" s="1388">
        <f>IF(AND('ex-situ Apal outplants'!D:D=Q101,IF(VLOOKUP(Q101,'ex-situ Apal outplants'!D:T,17,FALSE)&lt;&gt;0,"TRUE", "FALSE")),"Completed",DATE(year(P101)+1, month(P101), day(P101)))</f>
        <v>45392</v>
      </c>
      <c r="W101" s="1360"/>
      <c r="X101" s="1360"/>
      <c r="Y101" s="1360"/>
      <c r="Z101" s="1360"/>
      <c r="AA101" s="1360"/>
      <c r="AB101" s="1360"/>
      <c r="AC101" s="1360"/>
      <c r="AD101" s="1371"/>
      <c r="AE101" s="1360"/>
      <c r="AF101" s="1360"/>
      <c r="AG101" s="1360"/>
    </row>
    <row r="102">
      <c r="A102" s="1356">
        <v>43635.0</v>
      </c>
      <c r="B102" s="1357" t="s">
        <v>469</v>
      </c>
      <c r="C102" s="1358" t="s">
        <v>417</v>
      </c>
      <c r="D102" s="1366">
        <f t="shared" si="1"/>
        <v>43665</v>
      </c>
      <c r="E102" s="1366">
        <f t="shared" si="2"/>
        <v>44001</v>
      </c>
      <c r="F102" s="224" t="str">
        <f>IF(AND('in-situ Acer outplants'!D:D=B102,IF(VLOOKUP(B102,'in-situ Acer outplants'!D:M,10,FALSE)&lt;&gt;0,"TRUE", "FALSE")),"Completed",DATE(year(A102), month(A102)+1, day(A102)))</f>
        <v>Completed</v>
      </c>
      <c r="G102" s="1360" t="str">
        <f>IF(AND('in-situ Acer outplants'!D:D=B102,IF(VLOOKUP(B102,'in-situ Acer outplants'!D:T,17,FALSE)&lt;&gt;0,"TRUE", "FALSE")),"Completed",DATE(year(A102)+1, month(A102), day(A102)))</f>
        <v>Completed</v>
      </c>
      <c r="H102" s="1360"/>
      <c r="I102" s="1360"/>
      <c r="J102" s="1360"/>
      <c r="K102" s="1360"/>
      <c r="L102" s="1360"/>
      <c r="M102" s="1360"/>
      <c r="N102" s="1360"/>
      <c r="O102" s="1371"/>
      <c r="P102" s="1385">
        <v>45037.0</v>
      </c>
      <c r="Q102" s="1360" t="s">
        <v>1334</v>
      </c>
      <c r="R102" s="1360" t="s">
        <v>1335</v>
      </c>
      <c r="S102" s="1370">
        <f t="shared" si="3"/>
        <v>45067</v>
      </c>
      <c r="T102" s="1366">
        <f t="shared" si="4"/>
        <v>45403</v>
      </c>
      <c r="U102" s="1360" t="str">
        <f>IF(AND('ex-situ Apal outplants'!D:D=Q102,IF(VLOOKUP(Q102,'ex-situ Apal outplants'!D:M,10,FALSE)&lt;&gt;0,"TRUE", "FALSE")),"Completed",DATE(year(P102), month(P102)+1, day(P102)))</f>
        <v>Completed</v>
      </c>
      <c r="V102" s="1388">
        <f>IF(AND('ex-situ Apal outplants'!D:D=Q102,IF(VLOOKUP(Q102,'ex-situ Apal outplants'!D:T,17,FALSE)&lt;&gt;0,"TRUE", "FALSE")),"Completed",DATE(year(P102)+1, month(P102), day(P102)))</f>
        <v>45403</v>
      </c>
      <c r="W102" s="1360"/>
      <c r="X102" s="1360"/>
      <c r="Y102" s="1360"/>
      <c r="Z102" s="1360"/>
      <c r="AA102" s="1360"/>
      <c r="AB102" s="1360"/>
      <c r="AC102" s="1360"/>
      <c r="AD102" s="1371"/>
      <c r="AE102" s="1360"/>
      <c r="AF102" s="1360"/>
      <c r="AG102" s="1360"/>
    </row>
    <row r="103">
      <c r="A103" s="1356">
        <v>43640.0</v>
      </c>
      <c r="B103" s="1357" t="s">
        <v>471</v>
      </c>
      <c r="C103" s="1358" t="s">
        <v>472</v>
      </c>
      <c r="D103" s="1366">
        <f t="shared" si="1"/>
        <v>43670</v>
      </c>
      <c r="E103" s="1366">
        <f t="shared" si="2"/>
        <v>44006</v>
      </c>
      <c r="F103" s="224" t="str">
        <f>IF(AND('in-situ Acer outplants'!D:D=B103,IF(VLOOKUP(B103,'in-situ Acer outplants'!D:M,10,FALSE)&lt;&gt;0,"TRUE", "FALSE")),"Completed",DATE(year(A103), month(A103)+1, day(A103)))</f>
        <v>Completed</v>
      </c>
      <c r="G103" s="1360" t="str">
        <f>IF(AND('in-situ Acer outplants'!D:D=B103,IF(VLOOKUP(B103,'in-situ Acer outplants'!D:T,17,FALSE)&lt;&gt;0,"TRUE", "FALSE")),"Completed",DATE(year(A103)+1, month(A103), day(A103)))</f>
        <v>Completed</v>
      </c>
      <c r="H103" s="1360"/>
      <c r="I103" s="1360"/>
      <c r="J103" s="1360"/>
      <c r="K103" s="1360"/>
      <c r="L103" s="1360"/>
      <c r="M103" s="1360"/>
      <c r="N103" s="1360"/>
      <c r="O103" s="1371"/>
      <c r="P103" s="1385">
        <v>45037.0</v>
      </c>
      <c r="Q103" s="1360" t="s">
        <v>1336</v>
      </c>
      <c r="R103" s="1360" t="s">
        <v>1337</v>
      </c>
      <c r="S103" s="1370">
        <f t="shared" si="3"/>
        <v>45067</v>
      </c>
      <c r="T103" s="1366">
        <f t="shared" si="4"/>
        <v>45403</v>
      </c>
      <c r="U103" s="1360" t="str">
        <f>IF(AND('ex-situ Apal outplants'!D:D=Q103,IF(VLOOKUP(Q103,'ex-situ Apal outplants'!D:M,10,FALSE)&lt;&gt;0,"TRUE", "FALSE")),"Completed",DATE(year(P103), month(P103)+1, day(P103)))</f>
        <v>Completed</v>
      </c>
      <c r="V103" s="1388">
        <f>IF(AND('ex-situ Apal outplants'!D:D=Q103,IF(VLOOKUP(Q103,'ex-situ Apal outplants'!D:T,17,FALSE)&lt;&gt;0,"TRUE", "FALSE")),"Completed",DATE(year(P103)+1, month(P103), day(P103)))</f>
        <v>45403</v>
      </c>
      <c r="W103" s="1360"/>
      <c r="X103" s="1360"/>
      <c r="Y103" s="1360"/>
      <c r="Z103" s="1360"/>
      <c r="AA103" s="1360"/>
      <c r="AB103" s="1360"/>
      <c r="AC103" s="1360"/>
      <c r="AD103" s="1371"/>
      <c r="AE103" s="1360"/>
      <c r="AF103" s="1360"/>
      <c r="AG103" s="1360"/>
    </row>
    <row r="104">
      <c r="A104" s="1356">
        <v>43640.0</v>
      </c>
      <c r="B104" s="1357" t="s">
        <v>471</v>
      </c>
      <c r="C104" s="1358" t="s">
        <v>474</v>
      </c>
      <c r="D104" s="1366">
        <f t="shared" si="1"/>
        <v>43670</v>
      </c>
      <c r="E104" s="1366">
        <f t="shared" si="2"/>
        <v>44006</v>
      </c>
      <c r="F104" s="224" t="str">
        <f>IF(AND('in-situ Acer outplants'!D:D=B104,IF(VLOOKUP(B104,'in-situ Acer outplants'!D:M,10,FALSE)&lt;&gt;0,"TRUE", "FALSE")),"Completed",DATE(year(A104), month(A104)+1, day(A104)))</f>
        <v>Completed</v>
      </c>
      <c r="G104" s="1360" t="str">
        <f>IF(AND('in-situ Acer outplants'!D:D=B104,IF(VLOOKUP(B104,'in-situ Acer outplants'!D:T,17,FALSE)&lt;&gt;0,"TRUE", "FALSE")),"Completed",DATE(year(A104)+1, month(A104), day(A104)))</f>
        <v>Completed</v>
      </c>
      <c r="H104" s="1360"/>
      <c r="I104" s="1360"/>
      <c r="J104" s="1360"/>
      <c r="K104" s="1360"/>
      <c r="L104" s="1360"/>
      <c r="M104" s="1360"/>
      <c r="N104" s="1360"/>
      <c r="O104" s="1371"/>
      <c r="P104" s="1385">
        <v>45038.0</v>
      </c>
      <c r="Q104" s="1360" t="s">
        <v>1338</v>
      </c>
      <c r="R104" s="1360" t="s">
        <v>1339</v>
      </c>
      <c r="S104" s="1370">
        <f t="shared" si="3"/>
        <v>45068</v>
      </c>
      <c r="T104" s="1366">
        <f t="shared" si="4"/>
        <v>45404</v>
      </c>
      <c r="U104" s="1360" t="str">
        <f>IF(AND('ex-situ Apal outplants'!D:D=Q104,IF(VLOOKUP(Q104,'ex-situ Apal outplants'!D:M,10,FALSE)&lt;&gt;0,"TRUE", "FALSE")),"Completed",DATE(year(P104), month(P104)+1, day(P104)))</f>
        <v>Completed</v>
      </c>
      <c r="V104" s="1388">
        <f>IF(AND('ex-situ Apal outplants'!D:D=Q104,IF(VLOOKUP(Q104,'ex-situ Apal outplants'!D:T,17,FALSE)&lt;&gt;0,"TRUE", "FALSE")),"Completed",DATE(year(P104)+1, month(P104), day(P104)))</f>
        <v>45404</v>
      </c>
      <c r="W104" s="1360"/>
      <c r="X104" s="1360"/>
      <c r="Y104" s="1360"/>
      <c r="Z104" s="1360"/>
      <c r="AA104" s="1360"/>
      <c r="AB104" s="1360"/>
      <c r="AC104" s="1360"/>
      <c r="AD104" s="1371"/>
      <c r="AE104" s="1360"/>
      <c r="AF104" s="1360"/>
      <c r="AG104" s="1360"/>
    </row>
    <row r="105">
      <c r="A105" s="1356">
        <v>43642.0</v>
      </c>
      <c r="B105" s="1357" t="s">
        <v>475</v>
      </c>
      <c r="C105" s="1358" t="s">
        <v>476</v>
      </c>
      <c r="D105" s="1366">
        <f t="shared" si="1"/>
        <v>43672</v>
      </c>
      <c r="E105" s="1366">
        <f t="shared" si="2"/>
        <v>44008</v>
      </c>
      <c r="F105" s="224" t="str">
        <f>IF(AND('in-situ Acer outplants'!D:D=B105,IF(VLOOKUP(B105,'in-situ Acer outplants'!D:M,10,FALSE)&lt;&gt;0,"TRUE", "FALSE")),"Completed",DATE(year(A105), month(A105)+1, day(A105)))</f>
        <v>Completed</v>
      </c>
      <c r="G105" s="1360" t="str">
        <f>IF(AND('in-situ Acer outplants'!D:D=B105,IF(VLOOKUP(B105,'in-situ Acer outplants'!D:T,17,FALSE)&lt;&gt;0,"TRUE", "FALSE")),"Completed",DATE(year(A105)+1, month(A105), day(A105)))</f>
        <v>Completed</v>
      </c>
      <c r="H105" s="1360"/>
      <c r="I105" s="1360"/>
      <c r="J105" s="1360"/>
      <c r="K105" s="1360"/>
      <c r="L105" s="1360"/>
      <c r="M105" s="1360"/>
      <c r="N105" s="1360"/>
      <c r="O105" s="1371"/>
      <c r="P105" s="1385">
        <v>45057.0</v>
      </c>
      <c r="Q105" s="1360" t="s">
        <v>1340</v>
      </c>
      <c r="R105" s="1360" t="s">
        <v>1341</v>
      </c>
      <c r="S105" s="1370">
        <f t="shared" si="3"/>
        <v>45088</v>
      </c>
      <c r="T105" s="1366">
        <f t="shared" si="4"/>
        <v>45423</v>
      </c>
      <c r="U105" s="1360" t="str">
        <f>IF(AND('ex-situ Apal outplants'!D:D=Q105,IF(VLOOKUP(Q105,'ex-situ Apal outplants'!D:M,10,FALSE)&lt;&gt;0,"TRUE", "FALSE")),"Completed",DATE(year(P105), month(P105)+1, day(P105)))</f>
        <v>Completed</v>
      </c>
      <c r="V105" s="1388">
        <f>IF(AND('ex-situ Apal outplants'!D:D=Q105,IF(VLOOKUP(Q105,'ex-situ Apal outplants'!D:T,17,FALSE)&lt;&gt;0,"TRUE", "FALSE")),"Completed",DATE(year(P105)+1, month(P105), day(P105)))</f>
        <v>45423</v>
      </c>
      <c r="W105" s="1360"/>
      <c r="X105" s="1360"/>
      <c r="Y105" s="1360"/>
      <c r="Z105" s="1360"/>
      <c r="AA105" s="1360"/>
      <c r="AB105" s="1360"/>
      <c r="AC105" s="1360"/>
      <c r="AD105" s="1371"/>
      <c r="AE105" s="1360"/>
      <c r="AF105" s="1360"/>
      <c r="AG105" s="1360"/>
    </row>
    <row r="106">
      <c r="A106" s="1356">
        <v>43648.0</v>
      </c>
      <c r="B106" s="1357" t="s">
        <v>478</v>
      </c>
      <c r="C106" s="1358" t="s">
        <v>479</v>
      </c>
      <c r="D106" s="1366">
        <f t="shared" si="1"/>
        <v>43679</v>
      </c>
      <c r="E106" s="1366">
        <f t="shared" si="2"/>
        <v>44014</v>
      </c>
      <c r="F106" s="224" t="str">
        <f>IF(AND('in-situ Acer outplants'!D:D=B106,IF(VLOOKUP(B106,'in-situ Acer outplants'!D:M,10,FALSE)&lt;&gt;0,"TRUE", "FALSE")),"Completed",DATE(year(A106), month(A106)+1, day(A106)))</f>
        <v>Completed</v>
      </c>
      <c r="G106" s="1360" t="str">
        <f>IF(AND('in-situ Acer outplants'!D:D=B106,IF(VLOOKUP(B106,'in-situ Acer outplants'!D:T,17,FALSE)&lt;&gt;0,"TRUE", "FALSE")),"Completed",DATE(year(A106)+1, month(A106), day(A106)))</f>
        <v>Completed</v>
      </c>
      <c r="H106" s="1360"/>
      <c r="I106" s="1360"/>
      <c r="J106" s="1360"/>
      <c r="K106" s="1360"/>
      <c r="L106" s="1360"/>
      <c r="M106" s="1360"/>
      <c r="N106" s="1360"/>
      <c r="O106" s="1371"/>
      <c r="P106" s="1385">
        <v>45076.0</v>
      </c>
      <c r="Q106" s="1360" t="s">
        <v>1344</v>
      </c>
      <c r="R106" s="1360" t="s">
        <v>1345</v>
      </c>
      <c r="S106" s="1370">
        <f t="shared" si="3"/>
        <v>45107</v>
      </c>
      <c r="T106" s="1366">
        <f t="shared" si="4"/>
        <v>45442</v>
      </c>
      <c r="U106" s="1360" t="str">
        <f>IF(AND('ex-situ Apal outplants'!D:D=Q106,IF(VLOOKUP(Q106,'ex-situ Apal outplants'!D:M,10,FALSE)&lt;&gt;0,"TRUE", "FALSE")),"Completed",DATE(year(P106), month(P106)+1, day(P106)))</f>
        <v>Completed</v>
      </c>
      <c r="V106" s="1388">
        <f>IF(AND('ex-situ Apal outplants'!D:D=Q106,IF(VLOOKUP(Q106,'ex-situ Apal outplants'!D:T,17,FALSE)&lt;&gt;0,"TRUE", "FALSE")),"Completed",DATE(year(P106)+1, month(P106), day(P106)))</f>
        <v>45442</v>
      </c>
      <c r="W106" s="1360"/>
      <c r="X106" s="1360"/>
      <c r="Y106" s="1360"/>
      <c r="Z106" s="1360"/>
      <c r="AA106" s="1360"/>
      <c r="AB106" s="1360"/>
      <c r="AC106" s="1360"/>
      <c r="AD106" s="1371"/>
      <c r="AE106" s="1360"/>
      <c r="AF106" s="1360"/>
      <c r="AG106" s="1360"/>
    </row>
    <row r="107">
      <c r="A107" s="1356">
        <v>43656.0</v>
      </c>
      <c r="B107" s="1357" t="s">
        <v>481</v>
      </c>
      <c r="C107" s="1358" t="s">
        <v>482</v>
      </c>
      <c r="D107" s="1366">
        <f t="shared" si="1"/>
        <v>43687</v>
      </c>
      <c r="E107" s="1366">
        <f t="shared" si="2"/>
        <v>44022</v>
      </c>
      <c r="F107" s="224" t="str">
        <f>IF(AND('in-situ Acer outplants'!D:D=B107,IF(VLOOKUP(B107,'in-situ Acer outplants'!D:M,10,FALSE)&lt;&gt;0,"TRUE", "FALSE")),"Completed",DATE(year(A107), month(A107)+1, day(A107)))</f>
        <v>Completed</v>
      </c>
      <c r="G107" s="1360" t="str">
        <f>IF(AND('in-situ Acer outplants'!D:D=B107,IF(VLOOKUP(B107,'in-situ Acer outplants'!D:T,17,FALSE)&lt;&gt;0,"TRUE", "FALSE")),"Completed",DATE(year(A107)+1, month(A107), day(A107)))</f>
        <v>Completed</v>
      </c>
      <c r="H107" s="1360"/>
      <c r="I107" s="1360"/>
      <c r="J107" s="1360"/>
      <c r="K107" s="1360"/>
      <c r="L107" s="1360"/>
      <c r="M107" s="1360"/>
      <c r="N107" s="1360"/>
      <c r="O107" s="1371"/>
      <c r="P107" s="1385">
        <v>45077.0</v>
      </c>
      <c r="Q107" s="1360" t="s">
        <v>1347</v>
      </c>
      <c r="R107" s="1360" t="s">
        <v>1348</v>
      </c>
      <c r="S107" s="1370">
        <f t="shared" si="3"/>
        <v>45108</v>
      </c>
      <c r="T107" s="1366">
        <f t="shared" si="4"/>
        <v>45443</v>
      </c>
      <c r="U107" s="1360" t="str">
        <f>IF(AND('ex-situ Apal outplants'!D:D=Q107,IF(VLOOKUP(Q107,'ex-situ Apal outplants'!D:M,10,FALSE)&lt;&gt;0,"TRUE", "FALSE")),"Completed",DATE(year(P107), month(P107)+1, day(P107)))</f>
        <v>Completed</v>
      </c>
      <c r="V107" s="1388">
        <f>IF(AND('ex-situ Apal outplants'!D:D=Q107,IF(VLOOKUP(Q107,'ex-situ Apal outplants'!D:T,17,FALSE)&lt;&gt;0,"TRUE", "FALSE")),"Completed",DATE(year(P107)+1, month(P107), day(P107)))</f>
        <v>45443</v>
      </c>
      <c r="W107" s="1360"/>
      <c r="X107" s="1360"/>
      <c r="Y107" s="1360"/>
      <c r="Z107" s="1360"/>
      <c r="AA107" s="1360"/>
      <c r="AB107" s="1360"/>
      <c r="AC107" s="1360"/>
      <c r="AD107" s="1371"/>
      <c r="AE107" s="1360"/>
      <c r="AF107" s="1360"/>
      <c r="AG107" s="1360"/>
    </row>
    <row r="108">
      <c r="A108" s="1356">
        <v>43669.0</v>
      </c>
      <c r="B108" s="1357" t="s">
        <v>484</v>
      </c>
      <c r="C108" s="1358" t="s">
        <v>409</v>
      </c>
      <c r="D108" s="1366">
        <f t="shared" si="1"/>
        <v>43700</v>
      </c>
      <c r="E108" s="1366">
        <f t="shared" si="2"/>
        <v>44035</v>
      </c>
      <c r="F108" s="224" t="str">
        <f>IF(AND('in-situ Acer outplants'!D:D=B108,IF(VLOOKUP(B108,'in-situ Acer outplants'!D:M,10,FALSE)&lt;&gt;0,"TRUE", "FALSE")),"Completed",DATE(year(A108), month(A108)+1, day(A108)))</f>
        <v>Completed</v>
      </c>
      <c r="G108" s="1360" t="str">
        <f>IF(AND('in-situ Acer outplants'!D:D=B108,IF(VLOOKUP(B108,'in-situ Acer outplants'!D:T,17,FALSE)&lt;&gt;0,"TRUE", "FALSE")),"Completed",DATE(year(A108)+1, month(A108), day(A108)))</f>
        <v>Completed</v>
      </c>
      <c r="H108" s="1360"/>
      <c r="I108" s="1360"/>
      <c r="J108" s="1360"/>
      <c r="K108" s="1360"/>
      <c r="L108" s="1360"/>
      <c r="M108" s="1360"/>
      <c r="N108" s="1360"/>
      <c r="O108" s="1371"/>
      <c r="P108" s="1385">
        <v>45082.0</v>
      </c>
      <c r="Q108" s="1360" t="s">
        <v>1350</v>
      </c>
      <c r="R108" s="1360" t="s">
        <v>1351</v>
      </c>
      <c r="S108" s="1370">
        <f t="shared" si="3"/>
        <v>45112</v>
      </c>
      <c r="T108" s="1366">
        <f t="shared" si="4"/>
        <v>45448</v>
      </c>
      <c r="U108" s="1360" t="str">
        <f>IF(AND('ex-situ Apal outplants'!D:D=Q108,IF(VLOOKUP(Q108,'ex-situ Apal outplants'!D:M,10,FALSE)&lt;&gt;0,"TRUE", "FALSE")),"Completed",DATE(year(P108), month(P108)+1, day(P108)))</f>
        <v>Completed</v>
      </c>
      <c r="V108" s="1388">
        <f>IF(AND('ex-situ Apal outplants'!D:D=Q108,IF(VLOOKUP(Q108,'ex-situ Apal outplants'!D:T,17,FALSE)&lt;&gt;0,"TRUE", "FALSE")),"Completed",DATE(year(P108)+1, month(P108), day(P108)))</f>
        <v>45448</v>
      </c>
      <c r="W108" s="1360"/>
      <c r="X108" s="1360"/>
      <c r="Y108" s="1360"/>
      <c r="Z108" s="1360"/>
      <c r="AA108" s="1360"/>
      <c r="AB108" s="1360"/>
      <c r="AC108" s="1360"/>
      <c r="AD108" s="1371"/>
      <c r="AE108" s="1360"/>
      <c r="AF108" s="1360"/>
      <c r="AG108" s="1360"/>
    </row>
    <row r="109">
      <c r="A109" s="1356">
        <v>43672.0</v>
      </c>
      <c r="B109" s="1357" t="s">
        <v>486</v>
      </c>
      <c r="C109" s="1358" t="s">
        <v>482</v>
      </c>
      <c r="D109" s="1366">
        <f t="shared" si="1"/>
        <v>43703</v>
      </c>
      <c r="E109" s="1366">
        <f t="shared" si="2"/>
        <v>44038</v>
      </c>
      <c r="F109" s="224" t="str">
        <f>IF(AND('in-situ Acer outplants'!D:D=B109,IF(VLOOKUP(B109,'in-situ Acer outplants'!D:M,10,FALSE)&lt;&gt;0,"TRUE", "FALSE")),"Completed",DATE(year(A109), month(A109)+1, day(A109)))</f>
        <v>Completed</v>
      </c>
      <c r="G109" s="1360" t="str">
        <f>IF(AND('in-situ Acer outplants'!D:D=B109,IF(VLOOKUP(B109,'in-situ Acer outplants'!D:T,17,FALSE)&lt;&gt;0,"TRUE", "FALSE")),"Completed",DATE(year(A109)+1, month(A109), day(A109)))</f>
        <v>Completed</v>
      </c>
      <c r="H109" s="1360"/>
      <c r="I109" s="1360"/>
      <c r="J109" s="1360"/>
      <c r="K109" s="1360"/>
      <c r="L109" s="1360"/>
      <c r="M109" s="1360"/>
      <c r="N109" s="1360"/>
      <c r="O109" s="1371"/>
      <c r="P109" s="1385">
        <v>45082.0</v>
      </c>
      <c r="Q109" s="1360" t="s">
        <v>1352</v>
      </c>
      <c r="R109" s="1360" t="s">
        <v>1353</v>
      </c>
      <c r="S109" s="1370">
        <f t="shared" si="3"/>
        <v>45112</v>
      </c>
      <c r="T109" s="1366">
        <f t="shared" si="4"/>
        <v>45448</v>
      </c>
      <c r="U109" s="1360" t="str">
        <f>IF(AND('ex-situ Apal outplants'!D:D=Q109,IF(VLOOKUP(Q109,'ex-situ Apal outplants'!D:M,10,FALSE)&lt;&gt;0,"TRUE", "FALSE")),"Completed",DATE(year(P109), month(P109)+1, day(P109)))</f>
        <v>Completed</v>
      </c>
      <c r="V109" s="1388">
        <f>IF(AND('ex-situ Apal outplants'!D:D=Q109,IF(VLOOKUP(Q109,'ex-situ Apal outplants'!D:T,17,FALSE)&lt;&gt;0,"TRUE", "FALSE")),"Completed",DATE(year(P109)+1, month(P109), day(P109)))</f>
        <v>45448</v>
      </c>
      <c r="W109" s="1360"/>
      <c r="X109" s="1360"/>
      <c r="Y109" s="1360"/>
      <c r="Z109" s="1360"/>
      <c r="AA109" s="1360"/>
      <c r="AB109" s="1360"/>
      <c r="AC109" s="1360"/>
      <c r="AD109" s="1371"/>
      <c r="AE109" s="1360"/>
      <c r="AF109" s="1360"/>
      <c r="AG109" s="1360"/>
    </row>
    <row r="110">
      <c r="A110" s="1356">
        <v>43676.0</v>
      </c>
      <c r="B110" s="1357" t="s">
        <v>488</v>
      </c>
      <c r="C110" s="1358" t="s">
        <v>479</v>
      </c>
      <c r="D110" s="1366">
        <f t="shared" si="1"/>
        <v>43707</v>
      </c>
      <c r="E110" s="1366">
        <f t="shared" si="2"/>
        <v>44042</v>
      </c>
      <c r="F110" s="224" t="str">
        <f>IF(AND('in-situ Acer outplants'!D:D=B110,IF(VLOOKUP(B110,'in-situ Acer outplants'!D:M,10,FALSE)&lt;&gt;0,"TRUE", "FALSE")),"Completed",DATE(year(A110), month(A110)+1, day(A110)))</f>
        <v>Completed</v>
      </c>
      <c r="G110" s="1360" t="str">
        <f>IF(AND('in-situ Acer outplants'!D:D=B110,IF(VLOOKUP(B110,'in-situ Acer outplants'!D:T,17,FALSE)&lt;&gt;0,"TRUE", "FALSE")),"Completed",DATE(year(A110)+1, month(A110), day(A110)))</f>
        <v>Completed</v>
      </c>
      <c r="H110" s="1360"/>
      <c r="I110" s="1360"/>
      <c r="J110" s="1360"/>
      <c r="K110" s="1360"/>
      <c r="L110" s="1360"/>
      <c r="M110" s="1360"/>
      <c r="N110" s="1360"/>
      <c r="O110" s="1371"/>
      <c r="P110" s="1385">
        <v>45106.0</v>
      </c>
      <c r="Q110" s="1360" t="s">
        <v>1355</v>
      </c>
      <c r="R110" s="1360" t="s">
        <v>1337</v>
      </c>
      <c r="S110" s="1370">
        <f t="shared" si="3"/>
        <v>45136</v>
      </c>
      <c r="T110" s="1366">
        <f t="shared" si="4"/>
        <v>45472</v>
      </c>
      <c r="U110" s="1360" t="str">
        <f>IF(AND('ex-situ Apal outplants'!D:D=Q110,IF(VLOOKUP(Q110,'ex-situ Apal outplants'!D:M,10,FALSE)&lt;&gt;0,"TRUE", "FALSE")),"Completed",DATE(year(P110), month(P110)+1, day(P110)))</f>
        <v>Completed</v>
      </c>
      <c r="V110" s="1388">
        <f>IF(AND('ex-situ Apal outplants'!D:D=Q110,IF(VLOOKUP(Q110,'ex-situ Apal outplants'!D:T,17,FALSE)&lt;&gt;0,"TRUE", "FALSE")),"Completed",DATE(year(P110)+1, month(P110), day(P110)))</f>
        <v>45472</v>
      </c>
      <c r="W110" s="1360"/>
      <c r="X110" s="1360"/>
      <c r="Y110" s="1360"/>
      <c r="Z110" s="1360"/>
      <c r="AA110" s="1360"/>
      <c r="AB110" s="1360"/>
      <c r="AC110" s="1360"/>
      <c r="AD110" s="1371"/>
      <c r="AE110" s="1360"/>
      <c r="AF110" s="1360"/>
      <c r="AG110" s="1360"/>
    </row>
    <row r="111">
      <c r="A111" s="1356">
        <v>43682.0</v>
      </c>
      <c r="B111" s="1357" t="s">
        <v>490</v>
      </c>
      <c r="C111" s="1358" t="s">
        <v>491</v>
      </c>
      <c r="D111" s="1366">
        <f t="shared" si="1"/>
        <v>43713</v>
      </c>
      <c r="E111" s="1366">
        <f t="shared" si="2"/>
        <v>44048</v>
      </c>
      <c r="F111" s="224" t="str">
        <f>IF(AND('in-situ Acer outplants'!D:D=B111,IF(VLOOKUP(B111,'in-situ Acer outplants'!D:M,10,FALSE)&lt;&gt;0,"TRUE", "FALSE")),"Completed",DATE(year(A111), month(A111)+1, day(A111)))</f>
        <v>Completed</v>
      </c>
      <c r="G111" s="1360" t="str">
        <f>IF(AND('in-situ Acer outplants'!D:D=B111,IF(VLOOKUP(B111,'in-situ Acer outplants'!D:T,17,FALSE)&lt;&gt;0,"TRUE", "FALSE")),"Completed",DATE(year(A111)+1, month(A111), day(A111)))</f>
        <v>Completed</v>
      </c>
      <c r="H111" s="1360"/>
      <c r="I111" s="1360"/>
      <c r="J111" s="1360"/>
      <c r="K111" s="1360"/>
      <c r="L111" s="1360"/>
      <c r="M111" s="1360"/>
      <c r="N111" s="1360"/>
      <c r="O111" s="1371"/>
      <c r="P111" s="1385">
        <v>45106.0</v>
      </c>
      <c r="Q111" s="1360" t="s">
        <v>1357</v>
      </c>
      <c r="R111" s="1360" t="s">
        <v>1358</v>
      </c>
      <c r="S111" s="1370">
        <f t="shared" si="3"/>
        <v>45136</v>
      </c>
      <c r="T111" s="1366">
        <f t="shared" si="4"/>
        <v>45472</v>
      </c>
      <c r="U111" s="1360" t="str">
        <f>IF(AND('ex-situ Apal outplants'!D:D=Q111,IF(VLOOKUP(Q111,'ex-situ Apal outplants'!D:M,10,FALSE)&lt;&gt;0,"TRUE", "FALSE")),"Completed",DATE(year(P111), month(P111)+1, day(P111)))</f>
        <v>Completed</v>
      </c>
      <c r="V111" s="1388">
        <f>IF(AND('ex-situ Apal outplants'!D:D=Q111,IF(VLOOKUP(Q111,'ex-situ Apal outplants'!D:T,17,FALSE)&lt;&gt;0,"TRUE", "FALSE")),"Completed",DATE(year(P111)+1, month(P111), day(P111)))</f>
        <v>45472</v>
      </c>
      <c r="W111" s="1360"/>
      <c r="X111" s="1360"/>
      <c r="Y111" s="1360"/>
      <c r="Z111" s="1360"/>
      <c r="AA111" s="1360"/>
      <c r="AB111" s="1360"/>
      <c r="AC111" s="1360"/>
      <c r="AD111" s="1371"/>
      <c r="AE111" s="1360"/>
      <c r="AF111" s="1360"/>
      <c r="AG111" s="1360"/>
    </row>
    <row r="112">
      <c r="A112" s="1356">
        <v>43684.0</v>
      </c>
      <c r="B112" s="1357" t="s">
        <v>493</v>
      </c>
      <c r="C112" s="1358" t="s">
        <v>494</v>
      </c>
      <c r="D112" s="1366">
        <f t="shared" si="1"/>
        <v>43715</v>
      </c>
      <c r="E112" s="1366">
        <f t="shared" si="2"/>
        <v>44050</v>
      </c>
      <c r="F112" s="224" t="str">
        <f>IF(AND('in-situ Acer outplants'!D:D=B112,IF(VLOOKUP(B112,'in-situ Acer outplants'!D:M,10,FALSE)&lt;&gt;0,"TRUE", "FALSE")),"Completed",DATE(year(A112), month(A112)+1, day(A112)))</f>
        <v>Completed</v>
      </c>
      <c r="G112" s="1360" t="str">
        <f>IF(AND('in-situ Acer outplants'!D:D=B112,IF(VLOOKUP(B112,'in-situ Acer outplants'!D:T,17,FALSE)&lt;&gt;0,"TRUE", "FALSE")),"Completed",DATE(year(A112)+1, month(A112), day(A112)))</f>
        <v>Completed</v>
      </c>
      <c r="H112" s="1360"/>
      <c r="I112" s="1360"/>
      <c r="J112" s="1360"/>
      <c r="K112" s="1360"/>
      <c r="L112" s="1360"/>
      <c r="M112" s="1360"/>
      <c r="N112" s="1360"/>
      <c r="O112" s="1371"/>
      <c r="P112" s="1385">
        <v>45110.0</v>
      </c>
      <c r="Q112" s="1360" t="s">
        <v>1359</v>
      </c>
      <c r="R112" s="1360" t="s">
        <v>1360</v>
      </c>
      <c r="S112" s="1370">
        <f t="shared" si="3"/>
        <v>45141</v>
      </c>
      <c r="T112" s="1366">
        <f t="shared" si="4"/>
        <v>45476</v>
      </c>
      <c r="U112" s="1360" t="str">
        <f>IF(AND('ex-situ Apal outplants'!D:D=Q112,IF(VLOOKUP(Q112,'ex-situ Apal outplants'!D:M,10,FALSE)&lt;&gt;0,"TRUE", "FALSE")),"Completed",DATE(year(P112), month(P112)+1, day(P112)))</f>
        <v>Completed</v>
      </c>
      <c r="V112" s="1388">
        <f>IF(AND('ex-situ Apal outplants'!D:D=Q112,IF(VLOOKUP(Q112,'ex-situ Apal outplants'!D:T,17,FALSE)&lt;&gt;0,"TRUE", "FALSE")),"Completed",DATE(year(P112)+1, month(P112), day(P112)))</f>
        <v>45476</v>
      </c>
      <c r="W112" s="1360"/>
      <c r="X112" s="1360"/>
      <c r="Y112" s="1360"/>
      <c r="Z112" s="1360"/>
      <c r="AA112" s="1360"/>
      <c r="AB112" s="1360"/>
      <c r="AC112" s="1360"/>
      <c r="AD112" s="1371"/>
      <c r="AE112" s="1360"/>
      <c r="AF112" s="1360"/>
      <c r="AG112" s="1360"/>
    </row>
    <row r="113">
      <c r="A113" s="1356">
        <v>43686.0</v>
      </c>
      <c r="B113" s="1357" t="s">
        <v>496</v>
      </c>
      <c r="C113" s="1358" t="s">
        <v>497</v>
      </c>
      <c r="D113" s="1366">
        <f t="shared" si="1"/>
        <v>43717</v>
      </c>
      <c r="E113" s="1366">
        <f t="shared" si="2"/>
        <v>44052</v>
      </c>
      <c r="F113" s="224" t="str">
        <f>IF(AND('in-situ Acer outplants'!D:D=B113,IF(VLOOKUP(B113,'in-situ Acer outplants'!D:M,10,FALSE)&lt;&gt;0,"TRUE", "FALSE")),"Completed",DATE(year(A113), month(A113)+1, day(A113)))</f>
        <v>Completed</v>
      </c>
      <c r="G113" s="1360" t="str">
        <f>IF(AND('in-situ Acer outplants'!D:D=B113,IF(VLOOKUP(B113,'in-situ Acer outplants'!D:T,17,FALSE)&lt;&gt;0,"TRUE", "FALSE")),"Completed",DATE(year(A113)+1, month(A113), day(A113)))</f>
        <v>Completed</v>
      </c>
      <c r="H113" s="1360"/>
      <c r="I113" s="1360"/>
      <c r="J113" s="1360"/>
      <c r="K113" s="1360"/>
      <c r="L113" s="1360"/>
      <c r="M113" s="1360"/>
      <c r="N113" s="1360"/>
      <c r="O113" s="1371"/>
      <c r="P113" s="1385">
        <v>45110.0</v>
      </c>
      <c r="Q113" s="1360" t="s">
        <v>1362</v>
      </c>
      <c r="R113" s="1360" t="s">
        <v>1363</v>
      </c>
      <c r="S113" s="1370">
        <f t="shared" si="3"/>
        <v>45141</v>
      </c>
      <c r="T113" s="1366">
        <f t="shared" si="4"/>
        <v>45476</v>
      </c>
      <c r="U113" s="1360" t="str">
        <f>IF(AND('ex-situ Apal outplants'!D:D=Q113,IF(VLOOKUP(Q113,'ex-situ Apal outplants'!D:M,10,FALSE)&lt;&gt;0,"TRUE", "FALSE")),"Completed",DATE(year(P113), month(P113)+1, day(P113)))</f>
        <v>Completed</v>
      </c>
      <c r="V113" s="1388">
        <f>IF(AND('ex-situ Apal outplants'!D:D=Q113,IF(VLOOKUP(Q113,'ex-situ Apal outplants'!D:T,17,FALSE)&lt;&gt;0,"TRUE", "FALSE")),"Completed",DATE(year(P113)+1, month(P113), day(P113)))</f>
        <v>45476</v>
      </c>
      <c r="W113" s="1360"/>
      <c r="X113" s="1360"/>
      <c r="Y113" s="1360"/>
      <c r="Z113" s="1360"/>
      <c r="AA113" s="1360"/>
      <c r="AB113" s="1360"/>
      <c r="AC113" s="1360"/>
      <c r="AD113" s="1371"/>
      <c r="AE113" s="1360"/>
      <c r="AF113" s="1360"/>
      <c r="AG113" s="1360"/>
    </row>
    <row r="114">
      <c r="A114" s="1356">
        <v>43689.0</v>
      </c>
      <c r="B114" s="1357" t="s">
        <v>499</v>
      </c>
      <c r="C114" s="1358" t="s">
        <v>500</v>
      </c>
      <c r="D114" s="1366">
        <f t="shared" si="1"/>
        <v>43720</v>
      </c>
      <c r="E114" s="1366">
        <f t="shared" si="2"/>
        <v>44055</v>
      </c>
      <c r="F114" s="224" t="str">
        <f>IF(AND('in-situ Acer outplants'!D:D=B114,IF(VLOOKUP(B114,'in-situ Acer outplants'!D:M,10,FALSE)&lt;&gt;0,"TRUE", "FALSE")),"Completed",DATE(year(A114), month(A114)+1, day(A114)))</f>
        <v>Completed</v>
      </c>
      <c r="G114" s="1360" t="str">
        <f>IF(AND('in-situ Acer outplants'!D:D=B114,IF(VLOOKUP(B114,'in-situ Acer outplants'!D:T,17,FALSE)&lt;&gt;0,"TRUE", "FALSE")),"Completed",DATE(year(A114)+1, month(A114), day(A114)))</f>
        <v>Completed</v>
      </c>
      <c r="H114" s="1360"/>
      <c r="I114" s="1360"/>
      <c r="J114" s="1360"/>
      <c r="K114" s="1360"/>
      <c r="L114" s="1360"/>
      <c r="M114" s="1360"/>
      <c r="N114" s="1360"/>
      <c r="O114" s="1371"/>
      <c r="P114" s="1385">
        <v>45111.0</v>
      </c>
      <c r="Q114" s="1360" t="s">
        <v>1364</v>
      </c>
      <c r="R114" s="1360" t="s">
        <v>1365</v>
      </c>
      <c r="S114" s="1370">
        <f t="shared" si="3"/>
        <v>45142</v>
      </c>
      <c r="T114" s="1366">
        <f t="shared" si="4"/>
        <v>45477</v>
      </c>
      <c r="U114" s="1360" t="str">
        <f>IF(AND('ex-situ Apal outplants'!D:D=Q114,IF(VLOOKUP(Q114,'ex-situ Apal outplants'!D:M,10,FALSE)&lt;&gt;0,"TRUE", "FALSE")),"Completed",DATE(year(P114), month(P114)+1, day(P114)))</f>
        <v>Completed</v>
      </c>
      <c r="V114" s="1388">
        <f>IF(AND('ex-situ Apal outplants'!D:D=Q114,IF(VLOOKUP(Q114,'ex-situ Apal outplants'!D:T,17,FALSE)&lt;&gt;0,"TRUE", "FALSE")),"Completed",DATE(year(P114)+1, month(P114), day(P114)))</f>
        <v>45477</v>
      </c>
      <c r="W114" s="1360"/>
      <c r="X114" s="1360"/>
      <c r="Y114" s="1360"/>
      <c r="Z114" s="1360"/>
      <c r="AA114" s="1360"/>
      <c r="AB114" s="1360"/>
      <c r="AC114" s="1360"/>
      <c r="AD114" s="1371"/>
      <c r="AE114" s="1360"/>
      <c r="AF114" s="1360"/>
      <c r="AG114" s="1360"/>
    </row>
    <row r="115">
      <c r="A115" s="1356">
        <v>43692.0</v>
      </c>
      <c r="B115" s="1357" t="s">
        <v>503</v>
      </c>
      <c r="C115" s="1358" t="s">
        <v>401</v>
      </c>
      <c r="D115" s="1366">
        <f t="shared" si="1"/>
        <v>43723</v>
      </c>
      <c r="E115" s="1366">
        <f t="shared" si="2"/>
        <v>44058</v>
      </c>
      <c r="F115" s="224" t="str">
        <f>IF(AND('in-situ Acer outplants'!D:D=B115,IF(VLOOKUP(B115,'in-situ Acer outplants'!D:M,10,FALSE)&lt;&gt;0,"TRUE", "FALSE")),"Completed",DATE(year(A115), month(A115)+1, day(A115)))</f>
        <v>Completed</v>
      </c>
      <c r="G115" s="1360" t="str">
        <f>IF(AND('in-situ Acer outplants'!D:D=B115,IF(VLOOKUP(B115,'in-situ Acer outplants'!D:T,17,FALSE)&lt;&gt;0,"TRUE", "FALSE")),"Completed",DATE(year(A115)+1, month(A115), day(A115)))</f>
        <v>Completed</v>
      </c>
      <c r="H115" s="1360"/>
      <c r="I115" s="1360"/>
      <c r="J115" s="1360"/>
      <c r="K115" s="1360"/>
      <c r="L115" s="1360"/>
      <c r="M115" s="1360"/>
      <c r="N115" s="1360"/>
      <c r="O115" s="1371"/>
      <c r="P115" s="1385"/>
      <c r="Q115" s="1360"/>
      <c r="R115" s="1360"/>
      <c r="S115" s="1370">
        <f t="shared" si="3"/>
        <v>693992</v>
      </c>
      <c r="T115" s="1366">
        <f t="shared" si="4"/>
        <v>365</v>
      </c>
      <c r="U115" s="1360" t="str">
        <f>IF(AND('ex-situ Apal outplants'!D:D=Q115,IF(VLOOKUP(Q115,'ex-situ Apal outplants'!D:M,10,FALSE)&lt;&gt;0,"TRUE", "FALSE")),"Completed",DATE(year(P115), month(P115)+1, day(P115)))</f>
        <v>#N/A</v>
      </c>
      <c r="V115" s="1360" t="str">
        <f>IF(AND('ex-situ Apal outplants'!D:D=Q115,IF(VLOOKUP(Q115,'ex-situ Apal outplants'!D:T,17,FALSE)&lt;&gt;0,"TRUE", "FALSE")),"Completed",DATE(year(P115)+1, month(P115), day(P115)))</f>
        <v>#N/A</v>
      </c>
      <c r="W115" s="1360"/>
      <c r="X115" s="1360"/>
      <c r="Y115" s="1360"/>
      <c r="Z115" s="1360"/>
      <c r="AA115" s="1360"/>
      <c r="AB115" s="1360"/>
      <c r="AC115" s="1360"/>
      <c r="AD115" s="1371"/>
      <c r="AE115" s="1360"/>
      <c r="AF115" s="1360"/>
      <c r="AG115" s="1360"/>
    </row>
    <row r="116">
      <c r="A116" s="1356">
        <v>43700.0</v>
      </c>
      <c r="B116" s="1357" t="s">
        <v>506</v>
      </c>
      <c r="C116" s="1358" t="s">
        <v>507</v>
      </c>
      <c r="D116" s="1366">
        <f t="shared" si="1"/>
        <v>43731</v>
      </c>
      <c r="E116" s="1366">
        <f t="shared" si="2"/>
        <v>44066</v>
      </c>
      <c r="F116" s="224" t="str">
        <f>IF(AND('in-situ Acer outplants'!D:D=B116,IF(VLOOKUP(B116,'in-situ Acer outplants'!D:M,10,FALSE)&lt;&gt;0,"TRUE", "FALSE")),"Completed",DATE(year(A116), month(A116)+1, day(A116)))</f>
        <v>Completed</v>
      </c>
      <c r="G116" s="1360" t="str">
        <f>IF(AND('in-situ Acer outplants'!D:D=B116,IF(VLOOKUP(B116,'in-situ Acer outplants'!D:T,17,FALSE)&lt;&gt;0,"TRUE", "FALSE")),"Completed",DATE(year(A116)+1, month(A116), day(A116)))</f>
        <v>Completed</v>
      </c>
      <c r="H116" s="1360"/>
      <c r="I116" s="1360"/>
      <c r="J116" s="1360"/>
      <c r="K116" s="1360"/>
      <c r="L116" s="1360"/>
      <c r="M116" s="1360"/>
      <c r="N116" s="1360"/>
      <c r="O116" s="1371"/>
      <c r="P116" s="1385"/>
      <c r="Q116" s="1360"/>
      <c r="R116" s="1360"/>
      <c r="S116" s="1370">
        <f t="shared" si="3"/>
        <v>693992</v>
      </c>
      <c r="T116" s="1366">
        <f t="shared" si="4"/>
        <v>365</v>
      </c>
      <c r="U116" s="1360" t="str">
        <f>IF(AND('ex-situ Apal outplants'!D:D=Q116,IF(VLOOKUP(Q116,'ex-situ Apal outplants'!D:M,10,FALSE)&lt;&gt;0,"TRUE", "FALSE")),"Completed",DATE(year(P116), month(P116)+1, day(P116)))</f>
        <v>#N/A</v>
      </c>
      <c r="V116" s="1360" t="str">
        <f>IF(AND('ex-situ Apal outplants'!D:D=Q116,IF(VLOOKUP(Q116,'ex-situ Apal outplants'!D:T,17,FALSE)&lt;&gt;0,"TRUE", "FALSE")),"Completed",DATE(year(P116)+1, month(P116), day(P116)))</f>
        <v>#N/A</v>
      </c>
      <c r="W116" s="1360"/>
      <c r="X116" s="1360"/>
      <c r="Y116" s="1360"/>
      <c r="Z116" s="1360"/>
      <c r="AA116" s="1360"/>
      <c r="AB116" s="1360"/>
      <c r="AC116" s="1360"/>
      <c r="AD116" s="1371"/>
      <c r="AE116" s="1360"/>
      <c r="AF116" s="1360"/>
      <c r="AG116" s="1360"/>
    </row>
    <row r="117">
      <c r="A117" s="1356">
        <v>43706.0</v>
      </c>
      <c r="B117" s="1357" t="s">
        <v>510</v>
      </c>
      <c r="C117" s="1358" t="s">
        <v>494</v>
      </c>
      <c r="D117" s="1366">
        <f t="shared" si="1"/>
        <v>43737</v>
      </c>
      <c r="E117" s="1366">
        <f t="shared" si="2"/>
        <v>44072</v>
      </c>
      <c r="F117" s="224" t="str">
        <f>IF(AND('in-situ Acer outplants'!D:D=B117,IF(VLOOKUP(B117,'in-situ Acer outplants'!D:M,10,FALSE)&lt;&gt;0,"TRUE", "FALSE")),"Completed",DATE(year(A117), month(A117)+1, day(A117)))</f>
        <v>Completed</v>
      </c>
      <c r="G117" s="1360" t="str">
        <f>IF(AND('in-situ Acer outplants'!D:D=B117,IF(VLOOKUP(B117,'in-situ Acer outplants'!D:T,17,FALSE)&lt;&gt;0,"TRUE", "FALSE")),"Completed",DATE(year(A117)+1, month(A117), day(A117)))</f>
        <v>Completed</v>
      </c>
      <c r="H117" s="1360"/>
      <c r="I117" s="1360"/>
      <c r="J117" s="1360"/>
      <c r="K117" s="1360"/>
      <c r="L117" s="1360"/>
      <c r="M117" s="1360"/>
      <c r="N117" s="1360"/>
      <c r="O117" s="1371"/>
      <c r="P117" s="1385"/>
      <c r="Q117" s="1360"/>
      <c r="R117" s="1360"/>
      <c r="S117" s="1370">
        <f t="shared" si="3"/>
        <v>693992</v>
      </c>
      <c r="T117" s="1366">
        <f t="shared" si="4"/>
        <v>365</v>
      </c>
      <c r="U117" s="1360" t="str">
        <f>IF(AND('ex-situ Apal outplants'!D:D=Q117,IF(VLOOKUP(Q117,'ex-situ Apal outplants'!D:M,10,FALSE)&lt;&gt;0,"TRUE", "FALSE")),"Completed",DATE(year(P117), month(P117)+1, day(P117)))</f>
        <v>#N/A</v>
      </c>
      <c r="V117" s="1360" t="str">
        <f>IF(AND('ex-situ Apal outplants'!D:D=Q117,IF(VLOOKUP(Q117,'ex-situ Apal outplants'!D:T,17,FALSE)&lt;&gt;0,"TRUE", "FALSE")),"Completed",DATE(year(P117)+1, month(P117), day(P117)))</f>
        <v>#N/A</v>
      </c>
      <c r="W117" s="1360"/>
      <c r="X117" s="1360"/>
      <c r="Y117" s="1360"/>
      <c r="Z117" s="1360"/>
      <c r="AA117" s="1360"/>
      <c r="AB117" s="1360"/>
      <c r="AC117" s="1360"/>
      <c r="AD117" s="1371"/>
      <c r="AE117" s="1360"/>
      <c r="AF117" s="1360"/>
      <c r="AG117" s="1360"/>
    </row>
    <row r="118">
      <c r="A118" s="1356">
        <v>43748.0</v>
      </c>
      <c r="B118" s="1357" t="s">
        <v>512</v>
      </c>
      <c r="C118" s="1358" t="s">
        <v>513</v>
      </c>
      <c r="D118" s="1366">
        <f t="shared" si="1"/>
        <v>43779</v>
      </c>
      <c r="E118" s="1366">
        <f t="shared" si="2"/>
        <v>44114</v>
      </c>
      <c r="F118" s="224" t="str">
        <f>IF(AND('in-situ Acer outplants'!D:D=B118,IF(VLOOKUP(B118,'in-situ Acer outplants'!D:M,10,FALSE)&lt;&gt;0,"TRUE", "FALSE")),"Completed",DATE(year(A118), month(A118)+1, day(A118)))</f>
        <v>Completed</v>
      </c>
      <c r="G118" s="1360" t="str">
        <f>IF(AND('in-situ Acer outplants'!D:D=B118,IF(VLOOKUP(B118,'in-situ Acer outplants'!D:T,17,FALSE)&lt;&gt;0,"TRUE", "FALSE")),"Completed",DATE(year(A118)+1, month(A118), day(A118)))</f>
        <v>Completed</v>
      </c>
      <c r="H118" s="1360"/>
      <c r="I118" s="1360"/>
      <c r="J118" s="1360"/>
      <c r="K118" s="1360"/>
      <c r="L118" s="1360"/>
      <c r="M118" s="1360"/>
      <c r="N118" s="1360"/>
      <c r="O118" s="1371"/>
      <c r="P118" s="1385"/>
      <c r="Q118" s="1360"/>
      <c r="R118" s="1360"/>
      <c r="S118" s="1370">
        <f t="shared" si="3"/>
        <v>693992</v>
      </c>
      <c r="T118" s="1366">
        <f t="shared" si="4"/>
        <v>365</v>
      </c>
      <c r="U118" s="1360" t="str">
        <f>IF(AND('ex-situ Apal outplants'!D:D=Q118,IF(VLOOKUP(Q118,'ex-situ Apal outplants'!D:M,10,FALSE)&lt;&gt;0,"TRUE", "FALSE")),"Completed",DATE(year(P118), month(P118)+1, day(P118)))</f>
        <v>#N/A</v>
      </c>
      <c r="V118" s="1360" t="str">
        <f>IF(AND('ex-situ Apal outplants'!D:D=Q118,IF(VLOOKUP(Q118,'ex-situ Apal outplants'!D:T,17,FALSE)&lt;&gt;0,"TRUE", "FALSE")),"Completed",DATE(year(P118)+1, month(P118), day(P118)))</f>
        <v>#N/A</v>
      </c>
      <c r="W118" s="1360"/>
      <c r="X118" s="1360"/>
      <c r="Y118" s="1360"/>
      <c r="Z118" s="1360"/>
      <c r="AA118" s="1360"/>
      <c r="AB118" s="1360"/>
      <c r="AC118" s="1360"/>
      <c r="AD118" s="1371"/>
      <c r="AE118" s="1360"/>
      <c r="AF118" s="1360"/>
      <c r="AG118" s="1360"/>
    </row>
    <row r="119">
      <c r="A119" s="1356">
        <v>43753.0</v>
      </c>
      <c r="B119" s="1357" t="s">
        <v>516</v>
      </c>
      <c r="C119" s="1358" t="s">
        <v>517</v>
      </c>
      <c r="D119" s="1366">
        <f t="shared" si="1"/>
        <v>43784</v>
      </c>
      <c r="E119" s="1366">
        <f t="shared" si="2"/>
        <v>44119</v>
      </c>
      <c r="F119" s="224" t="str">
        <f>IF(AND('in-situ Acer outplants'!D:D=B119,IF(VLOOKUP(B119,'in-situ Acer outplants'!D:M,10,FALSE)&lt;&gt;0,"TRUE", "FALSE")),"Completed",DATE(year(A119), month(A119)+1, day(A119)))</f>
        <v>Completed</v>
      </c>
      <c r="G119" s="1360" t="str">
        <f>IF(AND('in-situ Acer outplants'!D:D=B119,IF(VLOOKUP(B119,'in-situ Acer outplants'!D:T,17,FALSE)&lt;&gt;0,"TRUE", "FALSE")),"Completed",DATE(year(A119)+1, month(A119), day(A119)))</f>
        <v>Completed</v>
      </c>
      <c r="H119" s="1360"/>
      <c r="I119" s="1360"/>
      <c r="J119" s="1360"/>
      <c r="K119" s="1360"/>
      <c r="L119" s="1360"/>
      <c r="M119" s="1360"/>
      <c r="N119" s="1360"/>
      <c r="O119" s="1371"/>
      <c r="P119" s="1385"/>
      <c r="Q119" s="1360"/>
      <c r="R119" s="1360"/>
      <c r="S119" s="1370">
        <f t="shared" si="3"/>
        <v>693992</v>
      </c>
      <c r="T119" s="1366">
        <f t="shared" si="4"/>
        <v>365</v>
      </c>
      <c r="U119" s="1360" t="str">
        <f>IF(AND('ex-situ Apal outplants'!D:D=Q119,IF(VLOOKUP(Q119,'ex-situ Apal outplants'!D:M,10,FALSE)&lt;&gt;0,"TRUE", "FALSE")),"Completed",DATE(year(P119), month(P119)+1, day(P119)))</f>
        <v>#N/A</v>
      </c>
      <c r="V119" s="1360" t="str">
        <f>IF(AND('ex-situ Apal outplants'!D:D=Q119,IF(VLOOKUP(Q119,'ex-situ Apal outplants'!D:T,17,FALSE)&lt;&gt;0,"TRUE", "FALSE")),"Completed",DATE(year(P119)+1, month(P119), day(P119)))</f>
        <v>#N/A</v>
      </c>
      <c r="W119" s="1360"/>
      <c r="X119" s="1360"/>
      <c r="Y119" s="1360"/>
      <c r="Z119" s="1360"/>
      <c r="AA119" s="1360"/>
      <c r="AB119" s="1360"/>
      <c r="AC119" s="1360"/>
      <c r="AD119" s="1371"/>
      <c r="AE119" s="1360"/>
      <c r="AF119" s="1360"/>
      <c r="AG119" s="1360"/>
    </row>
    <row r="120">
      <c r="A120" s="1356">
        <v>43755.0</v>
      </c>
      <c r="B120" s="1357" t="s">
        <v>521</v>
      </c>
      <c r="C120" s="1358" t="s">
        <v>517</v>
      </c>
      <c r="D120" s="1366">
        <f t="shared" si="1"/>
        <v>43786</v>
      </c>
      <c r="E120" s="1366">
        <f t="shared" si="2"/>
        <v>44121</v>
      </c>
      <c r="F120" s="224" t="str">
        <f>IF(AND('in-situ Acer outplants'!D:D=B120,IF(VLOOKUP(B120,'in-situ Acer outplants'!D:M,10,FALSE)&lt;&gt;0,"TRUE", "FALSE")),"Completed",DATE(year(A120), month(A120)+1, day(A120)))</f>
        <v>Completed</v>
      </c>
      <c r="G120" s="1360" t="str">
        <f>IF(AND('in-situ Acer outplants'!D:D=B120,IF(VLOOKUP(B120,'in-situ Acer outplants'!D:T,17,FALSE)&lt;&gt;0,"TRUE", "FALSE")),"Completed",DATE(year(A120)+1, month(A120), day(A120)))</f>
        <v>Completed</v>
      </c>
      <c r="H120" s="1360"/>
      <c r="I120" s="1360"/>
      <c r="J120" s="1360"/>
      <c r="K120" s="1360"/>
      <c r="L120" s="1360"/>
      <c r="M120" s="1360"/>
      <c r="N120" s="1360"/>
      <c r="O120" s="1371"/>
      <c r="P120" s="1385"/>
      <c r="Q120" s="1360"/>
      <c r="R120" s="1360"/>
      <c r="S120" s="1370">
        <f t="shared" si="3"/>
        <v>693992</v>
      </c>
      <c r="T120" s="1366">
        <f t="shared" si="4"/>
        <v>365</v>
      </c>
      <c r="U120" s="1360" t="str">
        <f>IF(AND('ex-situ Apal outplants'!D:D=Q120,IF(VLOOKUP(Q120,'ex-situ Apal outplants'!D:M,10,FALSE)&lt;&gt;0,"TRUE", "FALSE")),"Completed",DATE(year(P120), month(P120)+1, day(P120)))</f>
        <v>#N/A</v>
      </c>
      <c r="V120" s="1360" t="str">
        <f>IF(AND('ex-situ Apal outplants'!D:D=Q120,IF(VLOOKUP(Q120,'ex-situ Apal outplants'!D:T,17,FALSE)&lt;&gt;0,"TRUE", "FALSE")),"Completed",DATE(year(P120)+1, month(P120), day(P120)))</f>
        <v>#N/A</v>
      </c>
      <c r="W120" s="1360"/>
      <c r="X120" s="1360"/>
      <c r="Y120" s="1360"/>
      <c r="Z120" s="1360"/>
      <c r="AA120" s="1360"/>
      <c r="AB120" s="1360"/>
      <c r="AC120" s="1360"/>
      <c r="AD120" s="1371"/>
      <c r="AE120" s="1360"/>
      <c r="AF120" s="1360"/>
      <c r="AG120" s="1360"/>
    </row>
    <row r="121">
      <c r="A121" s="1356">
        <v>43760.0</v>
      </c>
      <c r="B121" s="1357" t="s">
        <v>523</v>
      </c>
      <c r="C121" s="1358" t="s">
        <v>417</v>
      </c>
      <c r="D121" s="1366">
        <f t="shared" si="1"/>
        <v>43791</v>
      </c>
      <c r="E121" s="1366">
        <f t="shared" si="2"/>
        <v>44126</v>
      </c>
      <c r="F121" s="224" t="str">
        <f>IF(AND('in-situ Acer outplants'!D:D=B121,IF(VLOOKUP(B121,'in-situ Acer outplants'!D:M,10,FALSE)&lt;&gt;0,"TRUE", "FALSE")),"Completed",DATE(year(A121), month(A121)+1, day(A121)))</f>
        <v>Completed</v>
      </c>
      <c r="G121" s="1360" t="str">
        <f>IF(AND('in-situ Acer outplants'!D:D=B121,IF(VLOOKUP(B121,'in-situ Acer outplants'!D:T,17,FALSE)&lt;&gt;0,"TRUE", "FALSE")),"Completed",DATE(year(A121)+1, month(A121), day(A121)))</f>
        <v>Completed</v>
      </c>
      <c r="H121" s="1360"/>
      <c r="I121" s="1360"/>
      <c r="J121" s="1360"/>
      <c r="K121" s="1360"/>
      <c r="L121" s="1360"/>
      <c r="M121" s="1360"/>
      <c r="N121" s="1360"/>
      <c r="O121" s="1371"/>
      <c r="P121" s="1385"/>
      <c r="Q121" s="1360"/>
      <c r="R121" s="1360"/>
      <c r="S121" s="1370">
        <f t="shared" si="3"/>
        <v>693992</v>
      </c>
      <c r="T121" s="1366">
        <f t="shared" si="4"/>
        <v>365</v>
      </c>
      <c r="U121" s="1360" t="str">
        <f>IF(AND('ex-situ Apal outplants'!D:D=Q121,IF(VLOOKUP(Q121,'ex-situ Apal outplants'!D:M,10,FALSE)&lt;&gt;0,"TRUE", "FALSE")),"Completed",DATE(year(P121), month(P121)+1, day(P121)))</f>
        <v>#N/A</v>
      </c>
      <c r="V121" s="1360" t="str">
        <f>IF(AND('ex-situ Apal outplants'!D:D=Q121,IF(VLOOKUP(Q121,'ex-situ Apal outplants'!D:T,17,FALSE)&lt;&gt;0,"TRUE", "FALSE")),"Completed",DATE(year(P121)+1, month(P121), day(P121)))</f>
        <v>#N/A</v>
      </c>
      <c r="W121" s="1360"/>
      <c r="X121" s="1360"/>
      <c r="Y121" s="1360"/>
      <c r="Z121" s="1360"/>
      <c r="AA121" s="1360"/>
      <c r="AB121" s="1360"/>
      <c r="AC121" s="1360"/>
      <c r="AD121" s="1371"/>
      <c r="AE121" s="1360"/>
      <c r="AF121" s="1360"/>
      <c r="AG121" s="1360"/>
    </row>
    <row r="122">
      <c r="A122" s="1356">
        <v>43773.0</v>
      </c>
      <c r="B122" s="1357" t="s">
        <v>525</v>
      </c>
      <c r="C122" s="1358" t="s">
        <v>479</v>
      </c>
      <c r="D122" s="1366">
        <f t="shared" si="1"/>
        <v>43803</v>
      </c>
      <c r="E122" s="1366">
        <f t="shared" si="2"/>
        <v>44139</v>
      </c>
      <c r="F122" s="224" t="str">
        <f>IF(AND('in-situ Acer outplants'!D:D=B122,IF(VLOOKUP(B122,'in-situ Acer outplants'!D:M,10,FALSE)&lt;&gt;0,"TRUE", "FALSE")),"Completed",DATE(year(A122), month(A122)+1, day(A122)))</f>
        <v>Completed</v>
      </c>
      <c r="G122" s="1360" t="str">
        <f>IF(AND('in-situ Acer outplants'!D:D=B122,IF(VLOOKUP(B122,'in-situ Acer outplants'!D:T,17,FALSE)&lt;&gt;0,"TRUE", "FALSE")),"Completed",DATE(year(A122)+1, month(A122), day(A122)))</f>
        <v>Completed</v>
      </c>
      <c r="H122" s="1360"/>
      <c r="I122" s="1360"/>
      <c r="J122" s="1360"/>
      <c r="K122" s="1360"/>
      <c r="L122" s="1360"/>
      <c r="M122" s="1360"/>
      <c r="N122" s="1360"/>
      <c r="O122" s="1371"/>
      <c r="P122" s="1385"/>
      <c r="Q122" s="1360"/>
      <c r="R122" s="1360"/>
      <c r="S122" s="1370">
        <f t="shared" si="3"/>
        <v>693992</v>
      </c>
      <c r="T122" s="1366">
        <f t="shared" si="4"/>
        <v>365</v>
      </c>
      <c r="U122" s="1360" t="str">
        <f>IF(AND('ex-situ Apal outplants'!D:D=Q122,IF(VLOOKUP(Q122,'ex-situ Apal outplants'!D:M,10,FALSE)&lt;&gt;0,"TRUE", "FALSE")),"Completed",DATE(year(P122), month(P122)+1, day(P122)))</f>
        <v>#N/A</v>
      </c>
      <c r="V122" s="1360" t="str">
        <f>IF(AND('ex-situ Apal outplants'!D:D=Q122,IF(VLOOKUP(Q122,'ex-situ Apal outplants'!D:T,17,FALSE)&lt;&gt;0,"TRUE", "FALSE")),"Completed",DATE(year(P122)+1, month(P122), day(P122)))</f>
        <v>#N/A</v>
      </c>
      <c r="W122" s="1360"/>
      <c r="X122" s="1360"/>
      <c r="Y122" s="1360"/>
      <c r="Z122" s="1360"/>
      <c r="AA122" s="1360"/>
      <c r="AB122" s="1360"/>
      <c r="AC122" s="1360"/>
      <c r="AD122" s="1371"/>
      <c r="AE122" s="1360"/>
      <c r="AF122" s="1360"/>
      <c r="AG122" s="1360"/>
    </row>
    <row r="123">
      <c r="A123" s="1356">
        <v>43773.0</v>
      </c>
      <c r="B123" s="1357" t="s">
        <v>527</v>
      </c>
      <c r="C123" s="1358" t="s">
        <v>528</v>
      </c>
      <c r="D123" s="1366">
        <f t="shared" si="1"/>
        <v>43803</v>
      </c>
      <c r="E123" s="1366">
        <f t="shared" si="2"/>
        <v>44139</v>
      </c>
      <c r="F123" s="224" t="str">
        <f>IF(AND('in-situ Acer outplants'!D:D=B123,IF(VLOOKUP(B123,'in-situ Acer outplants'!D:M,10,FALSE)&lt;&gt;0,"TRUE", "FALSE")),"Completed",DATE(year(A123), month(A123)+1, day(A123)))</f>
        <v>Completed</v>
      </c>
      <c r="G123" s="1360" t="str">
        <f>IF(AND('in-situ Acer outplants'!D:D=B123,IF(VLOOKUP(B123,'in-situ Acer outplants'!D:T,17,FALSE)&lt;&gt;0,"TRUE", "FALSE")),"Completed",DATE(year(A123)+1, month(A123), day(A123)))</f>
        <v>Completed</v>
      </c>
      <c r="H123" s="1360"/>
      <c r="I123" s="1360"/>
      <c r="J123" s="1360"/>
      <c r="K123" s="1360"/>
      <c r="L123" s="1360"/>
      <c r="M123" s="1360"/>
      <c r="N123" s="1360"/>
      <c r="O123" s="1371"/>
      <c r="P123" s="1385"/>
      <c r="Q123" s="1360"/>
      <c r="R123" s="1360"/>
      <c r="S123" s="1370">
        <f t="shared" si="3"/>
        <v>693992</v>
      </c>
      <c r="T123" s="1366">
        <f t="shared" si="4"/>
        <v>365</v>
      </c>
      <c r="U123" s="1360" t="str">
        <f>IF(AND('ex-situ Apal outplants'!D:D=Q123,IF(VLOOKUP(Q123,'ex-situ Apal outplants'!D:M,10,FALSE)&lt;&gt;0,"TRUE", "FALSE")),"Completed",DATE(year(P123), month(P123)+1, day(P123)))</f>
        <v>#N/A</v>
      </c>
      <c r="V123" s="1360" t="str">
        <f>IF(AND('ex-situ Apal outplants'!D:D=Q123,IF(VLOOKUP(Q123,'ex-situ Apal outplants'!D:T,17,FALSE)&lt;&gt;0,"TRUE", "FALSE")),"Completed",DATE(year(P123)+1, month(P123), day(P123)))</f>
        <v>#N/A</v>
      </c>
      <c r="W123" s="1360"/>
      <c r="X123" s="1360"/>
      <c r="Y123" s="1360"/>
      <c r="Z123" s="1360"/>
      <c r="AA123" s="1360"/>
      <c r="AB123" s="1360"/>
      <c r="AC123" s="1360"/>
      <c r="AD123" s="1371"/>
      <c r="AE123" s="1360"/>
      <c r="AF123" s="1360"/>
      <c r="AG123" s="1360"/>
    </row>
    <row r="124">
      <c r="A124" s="1356">
        <v>43775.0</v>
      </c>
      <c r="B124" s="1357" t="s">
        <v>531</v>
      </c>
      <c r="C124" s="1358" t="s">
        <v>532</v>
      </c>
      <c r="D124" s="1366">
        <f t="shared" si="1"/>
        <v>43805</v>
      </c>
      <c r="E124" s="1366">
        <f t="shared" si="2"/>
        <v>44141</v>
      </c>
      <c r="F124" s="224" t="str">
        <f>IF(AND('in-situ Acer outplants'!D:D=B124,IF(VLOOKUP(B124,'in-situ Acer outplants'!D:M,10,FALSE)&lt;&gt;0,"TRUE", "FALSE")),"Completed",DATE(year(A124), month(A124)+1, day(A124)))</f>
        <v>Completed</v>
      </c>
      <c r="G124" s="1360" t="str">
        <f>IF(AND('in-situ Acer outplants'!D:D=B124,IF(VLOOKUP(B124,'in-situ Acer outplants'!D:T,17,FALSE)&lt;&gt;0,"TRUE", "FALSE")),"Completed",DATE(year(A124)+1, month(A124), day(A124)))</f>
        <v>Completed</v>
      </c>
      <c r="H124" s="1360"/>
      <c r="I124" s="1360"/>
      <c r="J124" s="1360"/>
      <c r="K124" s="1360"/>
      <c r="L124" s="1360"/>
      <c r="M124" s="1360"/>
      <c r="N124" s="1360"/>
      <c r="O124" s="1371"/>
      <c r="P124" s="1385"/>
      <c r="Q124" s="1360"/>
      <c r="R124" s="1360"/>
      <c r="S124" s="1370">
        <f t="shared" si="3"/>
        <v>693992</v>
      </c>
      <c r="T124" s="1366">
        <f t="shared" si="4"/>
        <v>365</v>
      </c>
      <c r="U124" s="1360" t="str">
        <f>IF(AND('ex-situ Apal outplants'!D:D=Q124,IF(VLOOKUP(Q124,'ex-situ Apal outplants'!D:M,10,FALSE)&lt;&gt;0,"TRUE", "FALSE")),"Completed",DATE(year(P124), month(P124)+1, day(P124)))</f>
        <v>#N/A</v>
      </c>
      <c r="V124" s="1360" t="str">
        <f>IF(AND('ex-situ Apal outplants'!D:D=Q124,IF(VLOOKUP(Q124,'ex-situ Apal outplants'!D:T,17,FALSE)&lt;&gt;0,"TRUE", "FALSE")),"Completed",DATE(year(P124)+1, month(P124), day(P124)))</f>
        <v>#N/A</v>
      </c>
      <c r="W124" s="1360"/>
      <c r="X124" s="1360"/>
      <c r="Y124" s="1360"/>
      <c r="Z124" s="1360"/>
      <c r="AA124" s="1360"/>
      <c r="AB124" s="1360"/>
      <c r="AC124" s="1360"/>
      <c r="AD124" s="1371"/>
      <c r="AE124" s="1360"/>
      <c r="AF124" s="1360"/>
      <c r="AG124" s="1360"/>
    </row>
    <row r="125">
      <c r="A125" s="1356">
        <v>43782.0</v>
      </c>
      <c r="B125" s="1357" t="s">
        <v>534</v>
      </c>
      <c r="C125" s="1358" t="s">
        <v>535</v>
      </c>
      <c r="D125" s="1366">
        <f t="shared" si="1"/>
        <v>43812</v>
      </c>
      <c r="E125" s="1366">
        <f t="shared" si="2"/>
        <v>44148</v>
      </c>
      <c r="F125" s="224" t="str">
        <f>IF(AND('in-situ Acer outplants'!D:D=B125,IF(VLOOKUP(B125,'in-situ Acer outplants'!D:M,10,FALSE)&lt;&gt;0,"TRUE", "FALSE")),"Completed",DATE(year(A125), month(A125)+1, day(A125)))</f>
        <v>Completed</v>
      </c>
      <c r="G125" s="1360" t="str">
        <f>IF(AND('in-situ Acer outplants'!D:D=B125,IF(VLOOKUP(B125,'in-situ Acer outplants'!D:T,17,FALSE)&lt;&gt;0,"TRUE", "FALSE")),"Completed",DATE(year(A125)+1, month(A125), day(A125)))</f>
        <v>Completed</v>
      </c>
      <c r="H125" s="1360"/>
      <c r="I125" s="1360"/>
      <c r="J125" s="1360"/>
      <c r="K125" s="1360"/>
      <c r="L125" s="1360"/>
      <c r="M125" s="1360"/>
      <c r="N125" s="1360"/>
      <c r="O125" s="1371"/>
      <c r="P125" s="1385"/>
      <c r="Q125" s="1360"/>
      <c r="R125" s="1360"/>
      <c r="S125" s="1370">
        <f t="shared" si="3"/>
        <v>693992</v>
      </c>
      <c r="T125" s="1366">
        <f t="shared" si="4"/>
        <v>365</v>
      </c>
      <c r="U125" s="1360" t="str">
        <f>IF(AND('ex-situ Apal outplants'!D:D=Q125,IF(VLOOKUP(Q125,'ex-situ Apal outplants'!D:M,10,FALSE)&lt;&gt;0,"TRUE", "FALSE")),"Completed",DATE(year(P125), month(P125)+1, day(P125)))</f>
        <v>#N/A</v>
      </c>
      <c r="V125" s="1360" t="str">
        <f>IF(AND('ex-situ Apal outplants'!D:D=Q125,IF(VLOOKUP(Q125,'ex-situ Apal outplants'!D:T,17,FALSE)&lt;&gt;0,"TRUE", "FALSE")),"Completed",DATE(year(P125)+1, month(P125), day(P125)))</f>
        <v>#N/A</v>
      </c>
      <c r="W125" s="1360"/>
      <c r="X125" s="1360"/>
      <c r="Y125" s="1360"/>
      <c r="Z125" s="1360"/>
      <c r="AA125" s="1360"/>
      <c r="AB125" s="1360"/>
      <c r="AC125" s="1360"/>
      <c r="AD125" s="1371"/>
      <c r="AE125" s="1360"/>
      <c r="AF125" s="1360"/>
      <c r="AG125" s="1360"/>
    </row>
    <row r="126">
      <c r="A126" s="1356">
        <v>43791.0</v>
      </c>
      <c r="B126" s="1357" t="s">
        <v>537</v>
      </c>
      <c r="C126" s="1358" t="s">
        <v>482</v>
      </c>
      <c r="D126" s="1366">
        <f t="shared" si="1"/>
        <v>43821</v>
      </c>
      <c r="E126" s="1366">
        <f t="shared" si="2"/>
        <v>44157</v>
      </c>
      <c r="F126" s="224" t="str">
        <f>IF(AND('in-situ Acer outplants'!D:D=B126,IF(VLOOKUP(B126,'in-situ Acer outplants'!D:M,10,FALSE)&lt;&gt;0,"TRUE", "FALSE")),"Completed",DATE(year(A126), month(A126)+1, day(A126)))</f>
        <v>Completed</v>
      </c>
      <c r="G126" s="1360" t="str">
        <f>IF(AND('in-situ Acer outplants'!D:D=B126,IF(VLOOKUP(B126,'in-situ Acer outplants'!D:T,17,FALSE)&lt;&gt;0,"TRUE", "FALSE")),"Completed",DATE(year(A126)+1, month(A126), day(A126)))</f>
        <v>Completed</v>
      </c>
      <c r="H126" s="1360"/>
      <c r="I126" s="1360"/>
      <c r="J126" s="1360"/>
      <c r="K126" s="1360"/>
      <c r="L126" s="1360"/>
      <c r="M126" s="1360"/>
      <c r="N126" s="1360"/>
      <c r="O126" s="1371"/>
      <c r="P126" s="1385"/>
      <c r="Q126" s="1360"/>
      <c r="R126" s="1360"/>
      <c r="S126" s="1370">
        <f t="shared" si="3"/>
        <v>693992</v>
      </c>
      <c r="T126" s="1366">
        <f t="shared" si="4"/>
        <v>365</v>
      </c>
      <c r="U126" s="1360" t="str">
        <f>IF(AND('ex-situ Apal outplants'!D:D=Q126,IF(VLOOKUP(Q126,'ex-situ Apal outplants'!D:M,10,FALSE)&lt;&gt;0,"TRUE", "FALSE")),"Completed",DATE(year(P126), month(P126)+1, day(P126)))</f>
        <v>#N/A</v>
      </c>
      <c r="V126" s="1360" t="str">
        <f>IF(AND('ex-situ Apal outplants'!D:D=Q126,IF(VLOOKUP(Q126,'ex-situ Apal outplants'!D:T,17,FALSE)&lt;&gt;0,"TRUE", "FALSE")),"Completed",DATE(year(P126)+1, month(P126), day(P126)))</f>
        <v>#N/A</v>
      </c>
      <c r="W126" s="1360"/>
      <c r="X126" s="1360"/>
      <c r="Y126" s="1360"/>
      <c r="Z126" s="1360"/>
      <c r="AA126" s="1360"/>
      <c r="AB126" s="1360"/>
      <c r="AC126" s="1360"/>
      <c r="AD126" s="1371"/>
      <c r="AE126" s="1360"/>
      <c r="AF126" s="1360"/>
      <c r="AG126" s="1360"/>
    </row>
    <row r="127">
      <c r="A127" s="1356">
        <v>43803.0</v>
      </c>
      <c r="B127" s="1357" t="s">
        <v>539</v>
      </c>
      <c r="C127" s="1358" t="s">
        <v>540</v>
      </c>
      <c r="D127" s="1366">
        <f t="shared" si="1"/>
        <v>43834</v>
      </c>
      <c r="E127" s="1366">
        <f t="shared" si="2"/>
        <v>44169</v>
      </c>
      <c r="F127" s="224" t="str">
        <f>IF(AND('in-situ Acer outplants'!D:D=B127,IF(VLOOKUP(B127,'in-situ Acer outplants'!D:M,10,FALSE)&lt;&gt;0,"TRUE", "FALSE")),"Completed",DATE(year(A127), month(A127)+1, day(A127)))</f>
        <v>Completed</v>
      </c>
      <c r="G127" s="1360" t="str">
        <f>IF(AND('in-situ Acer outplants'!D:D=B127,IF(VLOOKUP(B127,'in-situ Acer outplants'!D:T,17,FALSE)&lt;&gt;0,"TRUE", "FALSE")),"Completed",DATE(year(A127)+1, month(A127), day(A127)))</f>
        <v>Completed</v>
      </c>
      <c r="H127" s="1360"/>
      <c r="I127" s="1360"/>
      <c r="J127" s="1360"/>
      <c r="K127" s="1360"/>
      <c r="L127" s="1360"/>
      <c r="M127" s="1360"/>
      <c r="N127" s="1360"/>
      <c r="O127" s="1371"/>
      <c r="P127" s="1385"/>
      <c r="Q127" s="1360"/>
      <c r="R127" s="1360"/>
      <c r="S127" s="1370">
        <f t="shared" si="3"/>
        <v>693992</v>
      </c>
      <c r="T127" s="1366">
        <f t="shared" si="4"/>
        <v>365</v>
      </c>
      <c r="U127" s="1360" t="str">
        <f>IF(AND('ex-situ Apal outplants'!D:D=Q127,IF(VLOOKUP(Q127,'ex-situ Apal outplants'!D:M,10,FALSE)&lt;&gt;0,"TRUE", "FALSE")),"Completed",DATE(year(P127), month(P127)+1, day(P127)))</f>
        <v>#N/A</v>
      </c>
      <c r="V127" s="1360" t="str">
        <f>IF(AND('ex-situ Apal outplants'!D:D=Q127,IF(VLOOKUP(Q127,'ex-situ Apal outplants'!D:T,17,FALSE)&lt;&gt;0,"TRUE", "FALSE")),"Completed",DATE(year(P127)+1, month(P127), day(P127)))</f>
        <v>#N/A</v>
      </c>
      <c r="W127" s="1360"/>
      <c r="X127" s="1360"/>
      <c r="Y127" s="1360"/>
      <c r="Z127" s="1360"/>
      <c r="AA127" s="1360"/>
      <c r="AB127" s="1360"/>
      <c r="AC127" s="1360"/>
      <c r="AD127" s="1371"/>
      <c r="AE127" s="1360"/>
      <c r="AF127" s="1360"/>
      <c r="AG127" s="1360"/>
    </row>
    <row r="128">
      <c r="A128" s="1356">
        <v>43804.0</v>
      </c>
      <c r="B128" s="1357" t="s">
        <v>542</v>
      </c>
      <c r="C128" s="1358" t="s">
        <v>543</v>
      </c>
      <c r="D128" s="1366">
        <f t="shared" si="1"/>
        <v>43835</v>
      </c>
      <c r="E128" s="1366">
        <f t="shared" si="2"/>
        <v>44170</v>
      </c>
      <c r="F128" s="224" t="str">
        <f>IF(AND('in-situ Acer outplants'!D:D=B128,IF(VLOOKUP(B128,'in-situ Acer outplants'!D:M,10,FALSE)&lt;&gt;0,"TRUE", "FALSE")),"Completed",DATE(year(A128), month(A128)+1, day(A128)))</f>
        <v>Completed</v>
      </c>
      <c r="G128" s="1360" t="str">
        <f>IF(AND('in-situ Acer outplants'!D:D=B128,IF(VLOOKUP(B128,'in-situ Acer outplants'!D:T,17,FALSE)&lt;&gt;0,"TRUE", "FALSE")),"Completed",DATE(year(A128)+1, month(A128), day(A128)))</f>
        <v>Completed</v>
      </c>
      <c r="H128" s="1360"/>
      <c r="I128" s="1360"/>
      <c r="J128" s="1360"/>
      <c r="K128" s="1360"/>
      <c r="L128" s="1360"/>
      <c r="M128" s="1360"/>
      <c r="N128" s="1360"/>
      <c r="O128" s="1371"/>
      <c r="P128" s="1385"/>
      <c r="Q128" s="1360"/>
      <c r="R128" s="1360"/>
      <c r="S128" s="1370">
        <f t="shared" si="3"/>
        <v>693992</v>
      </c>
      <c r="T128" s="1366">
        <f t="shared" si="4"/>
        <v>365</v>
      </c>
      <c r="U128" s="1360" t="str">
        <f>IF(AND('ex-situ Apal outplants'!D:D=Q128,IF(VLOOKUP(Q128,'ex-situ Apal outplants'!D:M,10,FALSE)&lt;&gt;0,"TRUE", "FALSE")),"Completed",DATE(year(P128), month(P128)+1, day(P128)))</f>
        <v>#N/A</v>
      </c>
      <c r="V128" s="1360" t="str">
        <f>IF(AND('ex-situ Apal outplants'!D:D=Q128,IF(VLOOKUP(Q128,'ex-situ Apal outplants'!D:T,17,FALSE)&lt;&gt;0,"TRUE", "FALSE")),"Completed",DATE(year(P128)+1, month(P128), day(P128)))</f>
        <v>#N/A</v>
      </c>
      <c r="W128" s="1360"/>
      <c r="X128" s="1360"/>
      <c r="Y128" s="1360"/>
      <c r="Z128" s="1360"/>
      <c r="AA128" s="1360"/>
      <c r="AB128" s="1360"/>
      <c r="AC128" s="1360"/>
      <c r="AD128" s="1371"/>
      <c r="AE128" s="1360"/>
      <c r="AF128" s="1360"/>
      <c r="AG128" s="1360"/>
    </row>
    <row r="129">
      <c r="A129" s="1356">
        <v>43804.0</v>
      </c>
      <c r="B129" s="1357" t="s">
        <v>545</v>
      </c>
      <c r="C129" s="1358" t="s">
        <v>546</v>
      </c>
      <c r="D129" s="1366">
        <f t="shared" si="1"/>
        <v>43835</v>
      </c>
      <c r="E129" s="1366">
        <f t="shared" si="2"/>
        <v>44170</v>
      </c>
      <c r="F129" s="224" t="str">
        <f>IF(AND('in-situ Acer outplants'!D:D=B129,IF(VLOOKUP(B129,'in-situ Acer outplants'!D:M,10,FALSE)&lt;&gt;0,"TRUE", "FALSE")),"Completed",DATE(year(A129), month(A129)+1, day(A129)))</f>
        <v>Completed</v>
      </c>
      <c r="G129" s="1360" t="str">
        <f>IF(AND('in-situ Acer outplants'!D:D=B129,IF(VLOOKUP(B129,'in-situ Acer outplants'!D:T,17,FALSE)&lt;&gt;0,"TRUE", "FALSE")),"Completed",DATE(year(A129)+1, month(A129), day(A129)))</f>
        <v>Completed</v>
      </c>
      <c r="H129" s="1360"/>
      <c r="I129" s="1360"/>
      <c r="J129" s="1360"/>
      <c r="K129" s="1360"/>
      <c r="L129" s="1360"/>
      <c r="M129" s="1360"/>
      <c r="N129" s="1360"/>
      <c r="O129" s="1371"/>
      <c r="P129" s="1385"/>
      <c r="Q129" s="1360"/>
      <c r="R129" s="1360"/>
      <c r="S129" s="1370">
        <f t="shared" si="3"/>
        <v>693992</v>
      </c>
      <c r="T129" s="1366">
        <f t="shared" si="4"/>
        <v>365</v>
      </c>
      <c r="U129" s="1360" t="str">
        <f>IF(AND('ex-situ Apal outplants'!D:D=Q129,IF(VLOOKUP(Q129,'ex-situ Apal outplants'!D:M,10,FALSE)&lt;&gt;0,"TRUE", "FALSE")),"Completed",DATE(year(P129), month(P129)+1, day(P129)))</f>
        <v>#N/A</v>
      </c>
      <c r="V129" s="1360" t="str">
        <f>IF(AND('ex-situ Apal outplants'!D:D=Q129,IF(VLOOKUP(Q129,'ex-situ Apal outplants'!D:T,17,FALSE)&lt;&gt;0,"TRUE", "FALSE")),"Completed",DATE(year(P129)+1, month(P129), day(P129)))</f>
        <v>#N/A</v>
      </c>
      <c r="W129" s="1360"/>
      <c r="X129" s="1360"/>
      <c r="Y129" s="1360"/>
      <c r="Z129" s="1360"/>
      <c r="AA129" s="1360"/>
      <c r="AB129" s="1360"/>
      <c r="AC129" s="1360"/>
      <c r="AD129" s="1371"/>
      <c r="AE129" s="1360"/>
      <c r="AF129" s="1360"/>
      <c r="AG129" s="1360"/>
    </row>
    <row r="130">
      <c r="A130" s="1356">
        <v>43829.0</v>
      </c>
      <c r="B130" s="1357" t="s">
        <v>548</v>
      </c>
      <c r="C130" s="1358" t="s">
        <v>494</v>
      </c>
      <c r="D130" s="1366">
        <f t="shared" si="1"/>
        <v>43860</v>
      </c>
      <c r="E130" s="1366">
        <f t="shared" si="2"/>
        <v>44195</v>
      </c>
      <c r="F130" s="224" t="str">
        <f>IF(AND('in-situ Acer outplants'!D:D=B130,IF(VLOOKUP(B130,'in-situ Acer outplants'!D:M,10,FALSE)&lt;&gt;0,"TRUE", "FALSE")),"Completed",DATE(year(A130), month(A130)+1, day(A130)))</f>
        <v>Completed</v>
      </c>
      <c r="G130" s="1360" t="str">
        <f>IF(AND('in-situ Acer outplants'!D:D=B130,IF(VLOOKUP(B130,'in-situ Acer outplants'!D:T,17,FALSE)&lt;&gt;0,"TRUE", "FALSE")),"Completed",DATE(year(A130)+1, month(A130), day(A130)))</f>
        <v>Completed</v>
      </c>
      <c r="H130" s="1360"/>
      <c r="I130" s="1360"/>
      <c r="J130" s="1360"/>
      <c r="K130" s="1360"/>
      <c r="L130" s="1360"/>
      <c r="M130" s="1360"/>
      <c r="N130" s="1360"/>
      <c r="O130" s="1371"/>
      <c r="P130" s="1385"/>
      <c r="Q130" s="1360"/>
      <c r="R130" s="1360"/>
      <c r="S130" s="1370">
        <f t="shared" si="3"/>
        <v>693992</v>
      </c>
      <c r="T130" s="1366">
        <f t="shared" si="4"/>
        <v>365</v>
      </c>
      <c r="U130" s="1360" t="str">
        <f>IF(AND('ex-situ Apal outplants'!D:D=Q130,IF(VLOOKUP(Q130,'ex-situ Apal outplants'!D:M,10,FALSE)&lt;&gt;0,"TRUE", "FALSE")),"Completed",DATE(year(P130), month(P130)+1, day(P130)))</f>
        <v>#N/A</v>
      </c>
      <c r="V130" s="1360" t="str">
        <f>IF(AND('ex-situ Apal outplants'!D:D=Q130,IF(VLOOKUP(Q130,'ex-situ Apal outplants'!D:T,17,FALSE)&lt;&gt;0,"TRUE", "FALSE")),"Completed",DATE(year(P130)+1, month(P130), day(P130)))</f>
        <v>#N/A</v>
      </c>
      <c r="W130" s="1360"/>
      <c r="X130" s="1360"/>
      <c r="Y130" s="1360"/>
      <c r="Z130" s="1360"/>
      <c r="AA130" s="1360"/>
      <c r="AB130" s="1360"/>
      <c r="AC130" s="1360"/>
      <c r="AD130" s="1371"/>
      <c r="AE130" s="1360"/>
      <c r="AF130" s="1360"/>
      <c r="AG130" s="1360"/>
    </row>
    <row r="131">
      <c r="A131" s="1356">
        <v>43857.0</v>
      </c>
      <c r="B131" s="1357" t="s">
        <v>550</v>
      </c>
      <c r="C131" s="1358" t="s">
        <v>551</v>
      </c>
      <c r="D131" s="1366">
        <f t="shared" si="1"/>
        <v>43888</v>
      </c>
      <c r="E131" s="1366">
        <f t="shared" si="2"/>
        <v>44223</v>
      </c>
      <c r="F131" s="224" t="str">
        <f>IF(AND('in-situ Acer outplants'!D:D=B131,IF(VLOOKUP(B131,'in-situ Acer outplants'!D:M,10,FALSE)&lt;&gt;0,"TRUE", "FALSE")),"Completed",DATE(year(A131), month(A131)+1, day(A131)))</f>
        <v>Completed</v>
      </c>
      <c r="G131" s="1360" t="str">
        <f>IF(AND('in-situ Acer outplants'!D:D=B131,IF(VLOOKUP(B131,'in-situ Acer outplants'!D:T,17,FALSE)&lt;&gt;0,"TRUE", "FALSE")),"Completed",DATE(year(A131)+1, month(A131), day(A131)))</f>
        <v>Completed</v>
      </c>
      <c r="H131" s="1360"/>
      <c r="I131" s="1360"/>
      <c r="J131" s="1360"/>
      <c r="K131" s="1360"/>
      <c r="L131" s="1360"/>
      <c r="M131" s="1360"/>
      <c r="N131" s="1360"/>
      <c r="O131" s="1371"/>
      <c r="P131" s="1385"/>
      <c r="Q131" s="1360"/>
      <c r="R131" s="1360"/>
      <c r="S131" s="1370">
        <f t="shared" si="3"/>
        <v>693992</v>
      </c>
      <c r="T131" s="1366">
        <f t="shared" si="4"/>
        <v>365</v>
      </c>
      <c r="U131" s="1360" t="str">
        <f>IF(AND('ex-situ Apal outplants'!D:D=Q131,IF(VLOOKUP(Q131,'ex-situ Apal outplants'!D:M,10,FALSE)&lt;&gt;0,"TRUE", "FALSE")),"Completed",DATE(year(P131), month(P131)+1, day(P131)))</f>
        <v>#N/A</v>
      </c>
      <c r="V131" s="1360" t="str">
        <f>IF(AND('ex-situ Apal outplants'!D:D=Q131,IF(VLOOKUP(Q131,'ex-situ Apal outplants'!D:T,17,FALSE)&lt;&gt;0,"TRUE", "FALSE")),"Completed",DATE(year(P131)+1, month(P131), day(P131)))</f>
        <v>#N/A</v>
      </c>
      <c r="W131" s="1360"/>
      <c r="X131" s="1360"/>
      <c r="Y131" s="1360"/>
      <c r="Z131" s="1360"/>
      <c r="AA131" s="1360"/>
      <c r="AB131" s="1360"/>
      <c r="AC131" s="1360"/>
      <c r="AD131" s="1371"/>
      <c r="AE131" s="1360"/>
      <c r="AF131" s="1360"/>
      <c r="AG131" s="1360"/>
    </row>
    <row r="132">
      <c r="A132" s="1356">
        <v>43860.0</v>
      </c>
      <c r="B132" s="1357" t="s">
        <v>553</v>
      </c>
      <c r="C132" s="1358" t="s">
        <v>494</v>
      </c>
      <c r="D132" s="1366">
        <f t="shared" si="1"/>
        <v>43891</v>
      </c>
      <c r="E132" s="1366">
        <f t="shared" si="2"/>
        <v>44226</v>
      </c>
      <c r="F132" s="224" t="str">
        <f>IF(AND('in-situ Acer outplants'!D:D=B132,IF(VLOOKUP(B132,'in-situ Acer outplants'!D:M,10,FALSE)&lt;&gt;0,"TRUE", "FALSE")),"Completed",DATE(year(A132), month(A132)+1, day(A132)))</f>
        <v>Completed</v>
      </c>
      <c r="G132" s="1360" t="str">
        <f>IF(AND('in-situ Acer outplants'!D:D=B132,IF(VLOOKUP(B132,'in-situ Acer outplants'!D:T,17,FALSE)&lt;&gt;0,"TRUE", "FALSE")),"Completed",DATE(year(A132)+1, month(A132), day(A132)))</f>
        <v>Completed</v>
      </c>
      <c r="H132" s="1360"/>
      <c r="I132" s="1360"/>
      <c r="J132" s="1360"/>
      <c r="K132" s="1360"/>
      <c r="L132" s="1360"/>
      <c r="M132" s="1360"/>
      <c r="N132" s="1360"/>
      <c r="O132" s="1371"/>
      <c r="P132" s="1385"/>
      <c r="Q132" s="1360"/>
      <c r="R132" s="1360"/>
      <c r="S132" s="1370">
        <f t="shared" si="3"/>
        <v>693992</v>
      </c>
      <c r="T132" s="1366">
        <f t="shared" si="4"/>
        <v>365</v>
      </c>
      <c r="U132" s="1360" t="str">
        <f>IF(AND('ex-situ Apal outplants'!D:D=Q132,IF(VLOOKUP(Q132,'ex-situ Apal outplants'!D:M,10,FALSE)&lt;&gt;0,"TRUE", "FALSE")),"Completed",DATE(year(P132), month(P132)+1, day(P132)))</f>
        <v>#N/A</v>
      </c>
      <c r="V132" s="1360" t="str">
        <f>IF(AND('ex-situ Apal outplants'!D:D=Q132,IF(VLOOKUP(Q132,'ex-situ Apal outplants'!D:T,17,FALSE)&lt;&gt;0,"TRUE", "FALSE")),"Completed",DATE(year(P132)+1, month(P132), day(P132)))</f>
        <v>#N/A</v>
      </c>
      <c r="W132" s="1360"/>
      <c r="X132" s="1360"/>
      <c r="Y132" s="1360"/>
      <c r="Z132" s="1360"/>
      <c r="AA132" s="1360"/>
      <c r="AB132" s="1360"/>
      <c r="AC132" s="1360"/>
      <c r="AD132" s="1371"/>
      <c r="AE132" s="1360"/>
      <c r="AF132" s="1360"/>
      <c r="AG132" s="1360"/>
    </row>
    <row r="133">
      <c r="A133" s="1356">
        <v>43861.0</v>
      </c>
      <c r="B133" s="1357" t="s">
        <v>556</v>
      </c>
      <c r="C133" s="1358" t="s">
        <v>557</v>
      </c>
      <c r="D133" s="1366">
        <f t="shared" si="1"/>
        <v>43892</v>
      </c>
      <c r="E133" s="1366">
        <f t="shared" si="2"/>
        <v>44227</v>
      </c>
      <c r="F133" s="224" t="str">
        <f>IF(AND('in-situ Acer outplants'!D:D=B133,IF(VLOOKUP(B133,'in-situ Acer outplants'!D:M,10,FALSE)&lt;&gt;0,"TRUE", "FALSE")),"Completed",DATE(year(A133), month(A133)+1, day(A133)))</f>
        <v>Completed</v>
      </c>
      <c r="G133" s="1360" t="str">
        <f>IF(AND('in-situ Acer outplants'!D:D=B133,IF(VLOOKUP(B133,'in-situ Acer outplants'!D:T,17,FALSE)&lt;&gt;0,"TRUE", "FALSE")),"Completed",DATE(year(A133)+1, month(A133), day(A133)))</f>
        <v>Completed</v>
      </c>
      <c r="H133" s="1360"/>
      <c r="I133" s="1360"/>
      <c r="J133" s="1360"/>
      <c r="K133" s="1360"/>
      <c r="L133" s="1360"/>
      <c r="M133" s="1360"/>
      <c r="N133" s="1360"/>
      <c r="O133" s="1371"/>
      <c r="P133" s="1385"/>
      <c r="Q133" s="1360"/>
      <c r="R133" s="1360"/>
      <c r="S133" s="1370">
        <f t="shared" si="3"/>
        <v>693992</v>
      </c>
      <c r="T133" s="1366">
        <f t="shared" si="4"/>
        <v>365</v>
      </c>
      <c r="U133" s="1360" t="str">
        <f>IF(AND('ex-situ Apal outplants'!D:D=Q133,IF(VLOOKUP(Q133,'ex-situ Apal outplants'!D:M,10,FALSE)&lt;&gt;0,"TRUE", "FALSE")),"Completed",DATE(year(P133), month(P133)+1, day(P133)))</f>
        <v>#N/A</v>
      </c>
      <c r="V133" s="1360" t="str">
        <f>IF(AND('ex-situ Apal outplants'!D:D=Q133,IF(VLOOKUP(Q133,'ex-situ Apal outplants'!D:T,17,FALSE)&lt;&gt;0,"TRUE", "FALSE")),"Completed",DATE(year(P133)+1, month(P133), day(P133)))</f>
        <v>#N/A</v>
      </c>
      <c r="W133" s="1360"/>
      <c r="X133" s="1360"/>
      <c r="Y133" s="1360"/>
      <c r="Z133" s="1360"/>
      <c r="AA133" s="1360"/>
      <c r="AB133" s="1360"/>
      <c r="AC133" s="1360"/>
      <c r="AD133" s="1371"/>
      <c r="AE133" s="1360"/>
      <c r="AF133" s="1360"/>
      <c r="AG133" s="1360"/>
    </row>
    <row r="134">
      <c r="A134" s="1356">
        <v>43864.0</v>
      </c>
      <c r="B134" s="1357" t="s">
        <v>559</v>
      </c>
      <c r="C134" s="1358" t="s">
        <v>557</v>
      </c>
      <c r="D134" s="1366">
        <f t="shared" si="1"/>
        <v>43893</v>
      </c>
      <c r="E134" s="1366">
        <f t="shared" si="2"/>
        <v>44230</v>
      </c>
      <c r="F134" s="224" t="str">
        <f>IF(AND('in-situ Acer outplants'!D:D=B134,IF(VLOOKUP(B134,'in-situ Acer outplants'!D:M,10,FALSE)&lt;&gt;0,"TRUE", "FALSE")),"Completed",DATE(year(A134), month(A134)+1, day(A134)))</f>
        <v>Completed</v>
      </c>
      <c r="G134" s="1360" t="str">
        <f>IF(AND('in-situ Acer outplants'!D:D=B134,IF(VLOOKUP(B134,'in-situ Acer outplants'!D:T,17,FALSE)&lt;&gt;0,"TRUE", "FALSE")),"Completed",DATE(year(A134)+1, month(A134), day(A134)))</f>
        <v>Completed</v>
      </c>
      <c r="H134" s="1360"/>
      <c r="I134" s="1360"/>
      <c r="J134" s="1360"/>
      <c r="K134" s="1360"/>
      <c r="L134" s="1360"/>
      <c r="M134" s="1360"/>
      <c r="N134" s="1360"/>
      <c r="O134" s="1371"/>
      <c r="P134" s="1385"/>
      <c r="Q134" s="1360"/>
      <c r="R134" s="1360"/>
      <c r="S134" s="1370">
        <f t="shared" si="3"/>
        <v>693992</v>
      </c>
      <c r="T134" s="1366">
        <f t="shared" si="4"/>
        <v>365</v>
      </c>
      <c r="U134" s="1360" t="str">
        <f>IF(AND('ex-situ Apal outplants'!D:D=Q134,IF(VLOOKUP(Q134,'ex-situ Apal outplants'!D:M,10,FALSE)&lt;&gt;0,"TRUE", "FALSE")),"Completed",DATE(year(P134), month(P134)+1, day(P134)))</f>
        <v>#N/A</v>
      </c>
      <c r="V134" s="1360" t="str">
        <f>IF(AND('ex-situ Apal outplants'!D:D=Q134,IF(VLOOKUP(Q134,'ex-situ Apal outplants'!D:T,17,FALSE)&lt;&gt;0,"TRUE", "FALSE")),"Completed",DATE(year(P134)+1, month(P134), day(P134)))</f>
        <v>#N/A</v>
      </c>
      <c r="W134" s="1360"/>
      <c r="X134" s="1360"/>
      <c r="Y134" s="1360"/>
      <c r="Z134" s="1360"/>
      <c r="AA134" s="1360"/>
      <c r="AB134" s="1360"/>
      <c r="AC134" s="1360"/>
      <c r="AD134" s="1371"/>
      <c r="AE134" s="1360"/>
      <c r="AF134" s="1360"/>
      <c r="AG134" s="1360"/>
    </row>
    <row r="135">
      <c r="A135" s="1356">
        <v>43894.0</v>
      </c>
      <c r="B135" s="1357" t="s">
        <v>561</v>
      </c>
      <c r="C135" s="1358" t="s">
        <v>423</v>
      </c>
      <c r="D135" s="1366">
        <f t="shared" si="1"/>
        <v>43925</v>
      </c>
      <c r="E135" s="1366">
        <f t="shared" si="2"/>
        <v>44259</v>
      </c>
      <c r="F135" s="224" t="str">
        <f>IF(AND('in-situ Acer outplants'!D:D=B135,IF(VLOOKUP(B135,'in-situ Acer outplants'!D:M,10,FALSE)&lt;&gt;0,"TRUE", "FALSE")),"Completed",DATE(year(A135), month(A135)+1, day(A135)))</f>
        <v>Completed</v>
      </c>
      <c r="G135" s="1360" t="str">
        <f>IF(AND('in-situ Acer outplants'!D:D=B135,IF(VLOOKUP(B135,'in-situ Acer outplants'!D:T,17,FALSE)&lt;&gt;0,"TRUE", "FALSE")),"Completed",DATE(year(A135)+1, month(A135), day(A135)))</f>
        <v>Completed</v>
      </c>
      <c r="H135" s="1360"/>
      <c r="I135" s="1360"/>
      <c r="J135" s="1360"/>
      <c r="K135" s="1360"/>
      <c r="L135" s="1360"/>
      <c r="M135" s="1360"/>
      <c r="N135" s="1360"/>
      <c r="O135" s="1371"/>
      <c r="P135" s="1385"/>
      <c r="Q135" s="1360"/>
      <c r="R135" s="1360"/>
      <c r="S135" s="1370">
        <f t="shared" si="3"/>
        <v>693992</v>
      </c>
      <c r="T135" s="1366">
        <f t="shared" si="4"/>
        <v>365</v>
      </c>
      <c r="U135" s="1360" t="str">
        <f>IF(AND('ex-situ Apal outplants'!D:D=Q135,IF(VLOOKUP(Q135,'ex-situ Apal outplants'!D:M,10,FALSE)&lt;&gt;0,"TRUE", "FALSE")),"Completed",DATE(year(P135), month(P135)+1, day(P135)))</f>
        <v>#N/A</v>
      </c>
      <c r="V135" s="1360" t="str">
        <f>IF(AND('ex-situ Apal outplants'!D:D=Q135,IF(VLOOKUP(Q135,'ex-situ Apal outplants'!D:T,17,FALSE)&lt;&gt;0,"TRUE", "FALSE")),"Completed",DATE(year(P135)+1, month(P135), day(P135)))</f>
        <v>#N/A</v>
      </c>
      <c r="W135" s="1360"/>
      <c r="X135" s="1360"/>
      <c r="Y135" s="1360"/>
      <c r="Z135" s="1360"/>
      <c r="AA135" s="1360"/>
      <c r="AB135" s="1360"/>
      <c r="AC135" s="1360"/>
      <c r="AD135" s="1371"/>
      <c r="AE135" s="1360"/>
      <c r="AF135" s="1360"/>
      <c r="AG135" s="1360"/>
    </row>
    <row r="136">
      <c r="A136" s="1356">
        <v>43895.0</v>
      </c>
      <c r="B136" s="1357" t="s">
        <v>563</v>
      </c>
      <c r="C136" s="1358" t="s">
        <v>388</v>
      </c>
      <c r="D136" s="1366">
        <f t="shared" si="1"/>
        <v>43926</v>
      </c>
      <c r="E136" s="1366">
        <f t="shared" si="2"/>
        <v>44260</v>
      </c>
      <c r="F136" s="224" t="str">
        <f>IF(AND('in-situ Acer outplants'!D:D=B136,IF(VLOOKUP(B136,'in-situ Acer outplants'!D:M,10,FALSE)&lt;&gt;0,"TRUE", "FALSE")),"Completed",DATE(year(A136), month(A136)+1, day(A136)))</f>
        <v>Completed</v>
      </c>
      <c r="G136" s="1360" t="str">
        <f>IF(AND('in-situ Acer outplants'!D:D=B136,IF(VLOOKUP(B136,'in-situ Acer outplants'!D:T,17,FALSE)&lt;&gt;0,"TRUE", "FALSE")),"Completed",DATE(year(A136)+1, month(A136), day(A136)))</f>
        <v>Completed</v>
      </c>
      <c r="H136" s="1360"/>
      <c r="I136" s="1360"/>
      <c r="J136" s="1360"/>
      <c r="K136" s="1360"/>
      <c r="L136" s="1360"/>
      <c r="M136" s="1360"/>
      <c r="N136" s="1360"/>
      <c r="O136" s="1371"/>
      <c r="P136" s="1385"/>
      <c r="Q136" s="1360"/>
      <c r="R136" s="1360"/>
      <c r="S136" s="1370">
        <f t="shared" si="3"/>
        <v>693992</v>
      </c>
      <c r="T136" s="1366">
        <f t="shared" si="4"/>
        <v>365</v>
      </c>
      <c r="U136" s="1360" t="str">
        <f>IF(AND('ex-situ Apal outplants'!D:D=Q136,IF(VLOOKUP(Q136,'ex-situ Apal outplants'!D:M,10,FALSE)&lt;&gt;0,"TRUE", "FALSE")),"Completed",DATE(year(P136), month(P136)+1, day(P136)))</f>
        <v>#N/A</v>
      </c>
      <c r="V136" s="1360" t="str">
        <f>IF(AND('ex-situ Apal outplants'!D:D=Q136,IF(VLOOKUP(Q136,'ex-situ Apal outplants'!D:T,17,FALSE)&lt;&gt;0,"TRUE", "FALSE")),"Completed",DATE(year(P136)+1, month(P136), day(P136)))</f>
        <v>#N/A</v>
      </c>
      <c r="W136" s="1360"/>
      <c r="X136" s="1360"/>
      <c r="Y136" s="1360"/>
      <c r="Z136" s="1360"/>
      <c r="AA136" s="1360"/>
      <c r="AB136" s="1360"/>
      <c r="AC136" s="1360"/>
      <c r="AD136" s="1371"/>
      <c r="AE136" s="1360"/>
      <c r="AF136" s="1360"/>
      <c r="AG136" s="1360"/>
    </row>
    <row r="137">
      <c r="A137" s="1356">
        <v>43903.0</v>
      </c>
      <c r="B137" s="1357" t="s">
        <v>565</v>
      </c>
      <c r="C137" s="224" t="s">
        <v>500</v>
      </c>
      <c r="D137" s="1366">
        <f t="shared" si="1"/>
        <v>43934</v>
      </c>
      <c r="E137" s="1366">
        <f t="shared" si="2"/>
        <v>44268</v>
      </c>
      <c r="F137" s="224" t="str">
        <f>IF(AND('in-situ Acer outplants'!D:D=B137,IF(VLOOKUP(B137,'in-situ Acer outplants'!D:M,10,FALSE)&lt;&gt;0,"TRUE", "FALSE")),"Completed",DATE(year(A137), month(A137)+1, day(A137)))</f>
        <v>Completed</v>
      </c>
      <c r="G137" s="1360" t="str">
        <f>IF(AND('in-situ Acer outplants'!D:D=B137,IF(VLOOKUP(B137,'in-situ Acer outplants'!D:T,17,FALSE)&lt;&gt;0,"TRUE", "FALSE")),"Completed",DATE(year(A137)+1, month(A137), day(A137)))</f>
        <v>Completed</v>
      </c>
      <c r="H137" s="1360"/>
      <c r="I137" s="1360"/>
      <c r="J137" s="1360"/>
      <c r="K137" s="1360"/>
      <c r="L137" s="1360"/>
      <c r="M137" s="1360"/>
      <c r="N137" s="1360"/>
      <c r="O137" s="1371"/>
      <c r="P137" s="1385"/>
      <c r="Q137" s="1360"/>
      <c r="R137" s="1360"/>
      <c r="S137" s="1370">
        <f t="shared" si="3"/>
        <v>693992</v>
      </c>
      <c r="T137" s="1366">
        <f t="shared" si="4"/>
        <v>365</v>
      </c>
      <c r="U137" s="1360" t="str">
        <f>IF(AND('ex-situ Apal outplants'!D:D=Q137,IF(VLOOKUP(Q137,'ex-situ Apal outplants'!D:M,10,FALSE)&lt;&gt;0,"TRUE", "FALSE")),"Completed",DATE(year(P137), month(P137)+1, day(P137)))</f>
        <v>#N/A</v>
      </c>
      <c r="V137" s="1360" t="str">
        <f>IF(AND('ex-situ Apal outplants'!D:D=Q137,IF(VLOOKUP(Q137,'ex-situ Apal outplants'!D:T,17,FALSE)&lt;&gt;0,"TRUE", "FALSE")),"Completed",DATE(year(P137)+1, month(P137), day(P137)))</f>
        <v>#N/A</v>
      </c>
      <c r="W137" s="1360"/>
      <c r="X137" s="1360"/>
      <c r="Y137" s="1360"/>
      <c r="Z137" s="1360"/>
      <c r="AA137" s="1360"/>
      <c r="AB137" s="1360"/>
      <c r="AC137" s="1360"/>
      <c r="AD137" s="1371"/>
      <c r="AE137" s="1360"/>
      <c r="AF137" s="1360"/>
      <c r="AG137" s="1360"/>
    </row>
    <row r="138">
      <c r="A138" s="1356">
        <v>43906.0</v>
      </c>
      <c r="B138" s="1357" t="s">
        <v>567</v>
      </c>
      <c r="C138" s="1358" t="s">
        <v>568</v>
      </c>
      <c r="D138" s="1366">
        <f t="shared" si="1"/>
        <v>43937</v>
      </c>
      <c r="E138" s="1366">
        <f t="shared" si="2"/>
        <v>44271</v>
      </c>
      <c r="F138" s="224" t="str">
        <f>IF(AND('in-situ Acer outplants'!D:D=B138,IF(VLOOKUP(B138,'in-situ Acer outplants'!D:M,10,FALSE)&lt;&gt;0,"TRUE", "FALSE")),"Completed",DATE(year(A138), month(A138)+1, day(A138)))</f>
        <v>Completed</v>
      </c>
      <c r="G138" s="1360" t="str">
        <f>IF(AND('in-situ Acer outplants'!D:D=B138,IF(VLOOKUP(B138,'in-situ Acer outplants'!D:T,17,FALSE)&lt;&gt;0,"TRUE", "FALSE")),"Completed",DATE(year(A138)+1, month(A138), day(A138)))</f>
        <v>Completed</v>
      </c>
      <c r="H138" s="1360"/>
      <c r="I138" s="1360"/>
      <c r="J138" s="1360"/>
      <c r="K138" s="1360"/>
      <c r="L138" s="1360"/>
      <c r="M138" s="1360"/>
      <c r="N138" s="1360"/>
      <c r="O138" s="1371"/>
      <c r="P138" s="1385"/>
      <c r="Q138" s="1360"/>
      <c r="R138" s="1360"/>
      <c r="S138" s="1370">
        <f t="shared" si="3"/>
        <v>693992</v>
      </c>
      <c r="T138" s="1366">
        <f t="shared" si="4"/>
        <v>365</v>
      </c>
      <c r="U138" s="1360" t="str">
        <f>IF(AND('ex-situ Apal outplants'!D:D=Q138,IF(VLOOKUP(Q138,'ex-situ Apal outplants'!D:M,10,FALSE)&lt;&gt;0,"TRUE", "FALSE")),"Completed",DATE(year(P138), month(P138)+1, day(P138)))</f>
        <v>#N/A</v>
      </c>
      <c r="V138" s="1360" t="str">
        <f>IF(AND('ex-situ Apal outplants'!D:D=Q138,IF(VLOOKUP(Q138,'ex-situ Apal outplants'!D:T,17,FALSE)&lt;&gt;0,"TRUE", "FALSE")),"Completed",DATE(year(P138)+1, month(P138), day(P138)))</f>
        <v>#N/A</v>
      </c>
      <c r="W138" s="1360"/>
      <c r="X138" s="1360"/>
      <c r="Y138" s="1360"/>
      <c r="Z138" s="1360"/>
      <c r="AA138" s="1360"/>
      <c r="AB138" s="1360"/>
      <c r="AC138" s="1360"/>
      <c r="AD138" s="1371"/>
      <c r="AE138" s="1360"/>
      <c r="AF138" s="1360"/>
      <c r="AG138" s="1360"/>
    </row>
    <row r="139">
      <c r="A139" s="1356">
        <v>43955.0</v>
      </c>
      <c r="B139" s="1357" t="s">
        <v>570</v>
      </c>
      <c r="C139" s="1358" t="s">
        <v>290</v>
      </c>
      <c r="D139" s="1366">
        <f t="shared" si="1"/>
        <v>43986</v>
      </c>
      <c r="E139" s="1366">
        <f t="shared" si="2"/>
        <v>44320</v>
      </c>
      <c r="F139" s="224" t="str">
        <f>IF(AND('in-situ Acer outplants'!D:D=B139,IF(VLOOKUP(B139,'in-situ Acer outplants'!D:M,10,FALSE)&lt;&gt;0,"TRUE", "FALSE")),"Completed",DATE(year(A139), month(A139)+1, day(A139)))</f>
        <v>Completed</v>
      </c>
      <c r="G139" s="1360" t="str">
        <f>IF(AND('in-situ Acer outplants'!D:D=B139,IF(VLOOKUP(B139,'in-situ Acer outplants'!D:T,17,FALSE)&lt;&gt;0,"TRUE", "FALSE")),"Completed",DATE(year(A139)+1, month(A139), day(A139)))</f>
        <v>Completed</v>
      </c>
      <c r="H139" s="1360"/>
      <c r="I139" s="1360"/>
      <c r="J139" s="1360"/>
      <c r="K139" s="1360"/>
      <c r="L139" s="1360"/>
      <c r="M139" s="1360"/>
      <c r="N139" s="1360"/>
      <c r="O139" s="1371"/>
      <c r="P139" s="1385"/>
      <c r="Q139" s="1360"/>
      <c r="R139" s="1360"/>
      <c r="S139" s="1370">
        <f t="shared" si="3"/>
        <v>693992</v>
      </c>
      <c r="T139" s="1366">
        <f t="shared" si="4"/>
        <v>365</v>
      </c>
      <c r="U139" s="1360" t="str">
        <f>IF(AND('ex-situ Apal outplants'!D:D=Q139,IF(VLOOKUP(Q139,'ex-situ Apal outplants'!D:M,10,FALSE)&lt;&gt;0,"TRUE", "FALSE")),"Completed",DATE(year(P139), month(P139)+1, day(P139)))</f>
        <v>#N/A</v>
      </c>
      <c r="V139" s="1360" t="str">
        <f>IF(AND('ex-situ Apal outplants'!D:D=Q139,IF(VLOOKUP(Q139,'ex-situ Apal outplants'!D:T,17,FALSE)&lt;&gt;0,"TRUE", "FALSE")),"Completed",DATE(year(P139)+1, month(P139), day(P139)))</f>
        <v>#N/A</v>
      </c>
      <c r="W139" s="1360"/>
      <c r="X139" s="1360"/>
      <c r="Y139" s="1360"/>
      <c r="Z139" s="1360"/>
      <c r="AA139" s="1360"/>
      <c r="AB139" s="1360"/>
      <c r="AC139" s="1360"/>
      <c r="AD139" s="1371"/>
      <c r="AE139" s="1360"/>
      <c r="AF139" s="1360"/>
      <c r="AG139" s="1360"/>
    </row>
    <row r="140">
      <c r="A140" s="1356">
        <v>43956.0</v>
      </c>
      <c r="B140" s="1357" t="s">
        <v>572</v>
      </c>
      <c r="C140" s="1358" t="s">
        <v>557</v>
      </c>
      <c r="D140" s="1366">
        <f t="shared" si="1"/>
        <v>43987</v>
      </c>
      <c r="E140" s="1366">
        <f t="shared" si="2"/>
        <v>44321</v>
      </c>
      <c r="F140" s="224" t="str">
        <f>IF(AND('in-situ Acer outplants'!D:D=B140,IF(VLOOKUP(B140,'in-situ Acer outplants'!D:M,10,FALSE)&lt;&gt;0,"TRUE", "FALSE")),"Completed",DATE(year(A140), month(A140)+1, day(A140)))</f>
        <v>Completed</v>
      </c>
      <c r="G140" s="1360" t="str">
        <f>IF(AND('in-situ Acer outplants'!D:D=B140,IF(VLOOKUP(B140,'in-situ Acer outplants'!D:T,17,FALSE)&lt;&gt;0,"TRUE", "FALSE")),"Completed",DATE(year(A140)+1, month(A140), day(A140)))</f>
        <v>Completed</v>
      </c>
      <c r="H140" s="1360"/>
      <c r="I140" s="1360"/>
      <c r="J140" s="1360"/>
      <c r="K140" s="1360"/>
      <c r="L140" s="1360"/>
      <c r="M140" s="1360"/>
      <c r="N140" s="1360"/>
      <c r="O140" s="1371"/>
      <c r="P140" s="1385"/>
      <c r="Q140" s="1360"/>
      <c r="R140" s="1360"/>
      <c r="S140" s="1370">
        <f t="shared" si="3"/>
        <v>693992</v>
      </c>
      <c r="T140" s="1366">
        <f t="shared" si="4"/>
        <v>365</v>
      </c>
      <c r="U140" s="1360" t="str">
        <f>IF(AND('ex-situ Apal outplants'!D:D=Q140,IF(VLOOKUP(Q140,'ex-situ Apal outplants'!D:M,10,FALSE)&lt;&gt;0,"TRUE", "FALSE")),"Completed",DATE(year(P140), month(P140)+1, day(P140)))</f>
        <v>#N/A</v>
      </c>
      <c r="V140" s="1360" t="str">
        <f>IF(AND('ex-situ Apal outplants'!D:D=Q140,IF(VLOOKUP(Q140,'ex-situ Apal outplants'!D:T,17,FALSE)&lt;&gt;0,"TRUE", "FALSE")),"Completed",DATE(year(P140)+1, month(P140), day(P140)))</f>
        <v>#N/A</v>
      </c>
      <c r="W140" s="1360"/>
      <c r="X140" s="1360"/>
      <c r="Y140" s="1360"/>
      <c r="Z140" s="1360"/>
      <c r="AA140" s="1360"/>
      <c r="AB140" s="1360"/>
      <c r="AC140" s="1360"/>
      <c r="AD140" s="1371"/>
      <c r="AE140" s="1360"/>
      <c r="AF140" s="1360"/>
      <c r="AG140" s="1360"/>
    </row>
    <row r="141">
      <c r="A141" s="1356">
        <v>43957.0</v>
      </c>
      <c r="B141" s="1357" t="s">
        <v>574</v>
      </c>
      <c r="C141" s="1358" t="s">
        <v>575</v>
      </c>
      <c r="D141" s="1366">
        <f t="shared" si="1"/>
        <v>43988</v>
      </c>
      <c r="E141" s="1366">
        <f t="shared" si="2"/>
        <v>44322</v>
      </c>
      <c r="F141" s="224" t="str">
        <f>IF(AND('in-situ Acer outplants'!D:D=B141,IF(VLOOKUP(B141,'in-situ Acer outplants'!D:M,10,FALSE)&lt;&gt;0,"TRUE", "FALSE")),"Completed",DATE(year(A141), month(A141)+1, day(A141)))</f>
        <v>Completed</v>
      </c>
      <c r="G141" s="1360" t="str">
        <f>IF(AND('in-situ Acer outplants'!D:D=B141,IF(VLOOKUP(B141,'in-situ Acer outplants'!D:T,17,FALSE)&lt;&gt;0,"TRUE", "FALSE")),"Completed",DATE(year(A141)+1, month(A141), day(A141)))</f>
        <v>Completed</v>
      </c>
      <c r="H141" s="1360"/>
      <c r="I141" s="1360"/>
      <c r="J141" s="1360"/>
      <c r="K141" s="1360"/>
      <c r="L141" s="1360"/>
      <c r="M141" s="1360"/>
      <c r="N141" s="1360"/>
      <c r="O141" s="1371"/>
      <c r="P141" s="1385"/>
      <c r="Q141" s="1360"/>
      <c r="R141" s="1360"/>
      <c r="S141" s="1370">
        <f t="shared" si="3"/>
        <v>693992</v>
      </c>
      <c r="T141" s="1366">
        <f t="shared" si="4"/>
        <v>365</v>
      </c>
      <c r="U141" s="1360" t="str">
        <f>IF(AND('ex-situ Apal outplants'!D:D=Q141,IF(VLOOKUP(Q141,'ex-situ Apal outplants'!D:M,10,FALSE)&lt;&gt;0,"TRUE", "FALSE")),"Completed",DATE(year(P141), month(P141)+1, day(P141)))</f>
        <v>#N/A</v>
      </c>
      <c r="V141" s="1360" t="str">
        <f>IF(AND('ex-situ Apal outplants'!D:D=Q141,IF(VLOOKUP(Q141,'ex-situ Apal outplants'!D:T,17,FALSE)&lt;&gt;0,"TRUE", "FALSE")),"Completed",DATE(year(P141)+1, month(P141), day(P141)))</f>
        <v>#N/A</v>
      </c>
      <c r="W141" s="1360"/>
      <c r="X141" s="1360"/>
      <c r="Y141" s="1360"/>
      <c r="Z141" s="1360"/>
      <c r="AA141" s="1360"/>
      <c r="AB141" s="1360"/>
      <c r="AC141" s="1360"/>
      <c r="AD141" s="1371"/>
      <c r="AE141" s="1360"/>
      <c r="AF141" s="1360"/>
      <c r="AG141" s="1360"/>
    </row>
    <row r="142">
      <c r="A142" s="1356">
        <v>43962.0</v>
      </c>
      <c r="B142" s="1357" t="s">
        <v>578</v>
      </c>
      <c r="C142" s="1358" t="s">
        <v>517</v>
      </c>
      <c r="D142" s="1366">
        <f t="shared" si="1"/>
        <v>43993</v>
      </c>
      <c r="E142" s="1366">
        <f t="shared" si="2"/>
        <v>44327</v>
      </c>
      <c r="F142" s="224" t="str">
        <f>IF(AND('in-situ Acer outplants'!D:D=B142,IF(VLOOKUP(B142,'in-situ Acer outplants'!D:M,10,FALSE)&lt;&gt;0,"TRUE", "FALSE")),"Completed",DATE(year(A142), month(A142)+1, day(A142)))</f>
        <v>Completed</v>
      </c>
      <c r="G142" s="1360" t="str">
        <f>IF(AND('in-situ Acer outplants'!D:D=B142,IF(VLOOKUP(B142,'in-situ Acer outplants'!D:T,17,FALSE)&lt;&gt;0,"TRUE", "FALSE")),"Completed",DATE(year(A142)+1, month(A142), day(A142)))</f>
        <v>Completed</v>
      </c>
      <c r="H142" s="1360"/>
      <c r="I142" s="1360"/>
      <c r="J142" s="1360"/>
      <c r="K142" s="1360"/>
      <c r="L142" s="1360"/>
      <c r="M142" s="1360"/>
      <c r="N142" s="1360"/>
      <c r="O142" s="1371"/>
      <c r="P142" s="1385"/>
      <c r="Q142" s="1360"/>
      <c r="R142" s="1360"/>
      <c r="S142" s="1370">
        <f t="shared" si="3"/>
        <v>693992</v>
      </c>
      <c r="T142" s="1366">
        <f t="shared" si="4"/>
        <v>365</v>
      </c>
      <c r="U142" s="1360" t="str">
        <f>IF(AND('ex-situ Apal outplants'!D:D=Q142,IF(VLOOKUP(Q142,'ex-situ Apal outplants'!D:M,10,FALSE)&lt;&gt;0,"TRUE", "FALSE")),"Completed",DATE(year(P142), month(P142)+1, day(P142)))</f>
        <v>#N/A</v>
      </c>
      <c r="V142" s="1360" t="str">
        <f>IF(AND('ex-situ Apal outplants'!D:D=Q142,IF(VLOOKUP(Q142,'ex-situ Apal outplants'!D:T,17,FALSE)&lt;&gt;0,"TRUE", "FALSE")),"Completed",DATE(year(P142)+1, month(P142), day(P142)))</f>
        <v>#N/A</v>
      </c>
      <c r="W142" s="1360"/>
      <c r="X142" s="1360"/>
      <c r="Y142" s="1360"/>
      <c r="Z142" s="1360"/>
      <c r="AA142" s="1360"/>
      <c r="AB142" s="1360"/>
      <c r="AC142" s="1360"/>
      <c r="AD142" s="1371"/>
      <c r="AE142" s="1360"/>
      <c r="AF142" s="1360"/>
      <c r="AG142" s="1360"/>
    </row>
    <row r="143">
      <c r="A143" s="1356">
        <v>43970.0</v>
      </c>
      <c r="B143" s="1357" t="s">
        <v>580</v>
      </c>
      <c r="C143" s="1358" t="s">
        <v>581</v>
      </c>
      <c r="D143" s="1366">
        <f t="shared" si="1"/>
        <v>44001</v>
      </c>
      <c r="E143" s="1366">
        <f t="shared" si="2"/>
        <v>44335</v>
      </c>
      <c r="F143" s="224" t="str">
        <f>IF(AND('in-situ Acer outplants'!D:D=B143,IF(VLOOKUP(B143,'in-situ Acer outplants'!D:M,10,FALSE)&lt;&gt;0,"TRUE", "FALSE")),"Completed",DATE(year(A143), month(A143)+1, day(A143)))</f>
        <v>Completed</v>
      </c>
      <c r="G143" s="1360" t="str">
        <f>IF(AND('in-situ Acer outplants'!D:D=B143,IF(VLOOKUP(B143,'in-situ Acer outplants'!D:T,17,FALSE)&lt;&gt;0,"TRUE", "FALSE")),"Completed",DATE(year(A143)+1, month(A143), day(A143)))</f>
        <v>Completed</v>
      </c>
      <c r="H143" s="1360"/>
      <c r="I143" s="1360"/>
      <c r="J143" s="1360"/>
      <c r="K143" s="1360"/>
      <c r="L143" s="1360"/>
      <c r="M143" s="1360"/>
      <c r="N143" s="1360"/>
      <c r="O143" s="1371"/>
      <c r="P143" s="1385"/>
      <c r="Q143" s="1360"/>
      <c r="R143" s="1360"/>
      <c r="S143" s="1370">
        <f t="shared" si="3"/>
        <v>693992</v>
      </c>
      <c r="T143" s="1366">
        <f t="shared" si="4"/>
        <v>365</v>
      </c>
      <c r="U143" s="1360" t="str">
        <f>IF(AND('ex-situ Apal outplants'!D:D=Q143,IF(VLOOKUP(Q143,'ex-situ Apal outplants'!D:M,10,FALSE)&lt;&gt;0,"TRUE", "FALSE")),"Completed",DATE(year(P143), month(P143)+1, day(P143)))</f>
        <v>#N/A</v>
      </c>
      <c r="V143" s="1360" t="str">
        <f>IF(AND('ex-situ Apal outplants'!D:D=Q143,IF(VLOOKUP(Q143,'ex-situ Apal outplants'!D:T,17,FALSE)&lt;&gt;0,"TRUE", "FALSE")),"Completed",DATE(year(P143)+1, month(P143), day(P143)))</f>
        <v>#N/A</v>
      </c>
      <c r="W143" s="1360"/>
      <c r="X143" s="1360"/>
      <c r="Y143" s="1360"/>
      <c r="Z143" s="1360"/>
      <c r="AA143" s="1360"/>
      <c r="AB143" s="1360"/>
      <c r="AC143" s="1360"/>
      <c r="AD143" s="1371"/>
      <c r="AE143" s="1360"/>
      <c r="AF143" s="1360"/>
      <c r="AG143" s="1360"/>
    </row>
    <row r="144">
      <c r="A144" s="1356">
        <v>43973.0</v>
      </c>
      <c r="B144" s="1357" t="s">
        <v>584</v>
      </c>
      <c r="C144" s="1358" t="s">
        <v>557</v>
      </c>
      <c r="D144" s="1366">
        <f t="shared" si="1"/>
        <v>44004</v>
      </c>
      <c r="E144" s="1366">
        <f t="shared" si="2"/>
        <v>44338</v>
      </c>
      <c r="F144" s="224" t="str">
        <f>IF(AND('in-situ Acer outplants'!D:D=B144,IF(VLOOKUP(B144,'in-situ Acer outplants'!D:M,10,FALSE)&lt;&gt;0,"TRUE", "FALSE")),"Completed",DATE(year(A144), month(A144)+1, day(A144)))</f>
        <v>Completed</v>
      </c>
      <c r="G144" s="1360" t="str">
        <f>IF(AND('in-situ Acer outplants'!D:D=B144,IF(VLOOKUP(B144,'in-situ Acer outplants'!D:T,17,FALSE)&lt;&gt;0,"TRUE", "FALSE")),"Completed",DATE(year(A144)+1, month(A144), day(A144)))</f>
        <v>Completed</v>
      </c>
      <c r="H144" s="1360"/>
      <c r="I144" s="1360"/>
      <c r="J144" s="1360"/>
      <c r="K144" s="1360"/>
      <c r="L144" s="1360"/>
      <c r="M144" s="1360"/>
      <c r="N144" s="1360"/>
      <c r="O144" s="1371"/>
      <c r="P144" s="1385"/>
      <c r="Q144" s="1360"/>
      <c r="R144" s="1360"/>
      <c r="S144" s="1370">
        <f t="shared" si="3"/>
        <v>693992</v>
      </c>
      <c r="T144" s="1366">
        <f t="shared" si="4"/>
        <v>365</v>
      </c>
      <c r="U144" s="1360" t="str">
        <f>IF(AND('ex-situ Apal outplants'!D:D=Q144,IF(VLOOKUP(Q144,'ex-situ Apal outplants'!D:M,10,FALSE)&lt;&gt;0,"TRUE", "FALSE")),"Completed",DATE(year(P144), month(P144)+1, day(P144)))</f>
        <v>#N/A</v>
      </c>
      <c r="V144" s="1360" t="str">
        <f>IF(AND('ex-situ Apal outplants'!D:D=Q144,IF(VLOOKUP(Q144,'ex-situ Apal outplants'!D:T,17,FALSE)&lt;&gt;0,"TRUE", "FALSE")),"Completed",DATE(year(P144)+1, month(P144), day(P144)))</f>
        <v>#N/A</v>
      </c>
      <c r="W144" s="1360"/>
      <c r="X144" s="1360"/>
      <c r="Y144" s="1360"/>
      <c r="Z144" s="1360"/>
      <c r="AA144" s="1360"/>
      <c r="AB144" s="1360"/>
      <c r="AC144" s="1360"/>
      <c r="AD144" s="1371"/>
      <c r="AE144" s="1360"/>
      <c r="AF144" s="1360"/>
      <c r="AG144" s="1360"/>
    </row>
    <row r="145">
      <c r="A145" s="1356">
        <v>43983.0</v>
      </c>
      <c r="B145" s="1357" t="s">
        <v>587</v>
      </c>
      <c r="C145" s="1358" t="s">
        <v>517</v>
      </c>
      <c r="D145" s="1366">
        <f t="shared" si="1"/>
        <v>44013</v>
      </c>
      <c r="E145" s="1366">
        <f t="shared" si="2"/>
        <v>44348</v>
      </c>
      <c r="F145" s="224" t="str">
        <f>IF(AND('in-situ Acer outplants'!D:D=B145,IF(VLOOKUP(B145,'in-situ Acer outplants'!D:M,10,FALSE)&lt;&gt;0,"TRUE", "FALSE")),"Completed",DATE(year(A145), month(A145)+1, day(A145)))</f>
        <v>Completed</v>
      </c>
      <c r="G145" s="1360" t="str">
        <f>IF(AND('in-situ Acer outplants'!D:D=B145,IF(VLOOKUP(B145,'in-situ Acer outplants'!D:T,17,FALSE)&lt;&gt;0,"TRUE", "FALSE")),"Completed",DATE(year(A145)+1, month(A145), day(A145)))</f>
        <v>Completed</v>
      </c>
      <c r="H145" s="1360"/>
      <c r="I145" s="1360"/>
      <c r="J145" s="1360"/>
      <c r="K145" s="1360"/>
      <c r="L145" s="1360"/>
      <c r="M145" s="1360"/>
      <c r="N145" s="1360"/>
      <c r="O145" s="1371"/>
      <c r="P145" s="1385"/>
      <c r="Q145" s="1360"/>
      <c r="R145" s="1360"/>
      <c r="S145" s="1370">
        <f t="shared" si="3"/>
        <v>693992</v>
      </c>
      <c r="T145" s="1366">
        <f t="shared" si="4"/>
        <v>365</v>
      </c>
      <c r="U145" s="1360" t="str">
        <f>IF(AND('ex-situ Apal outplants'!D:D=Q145,IF(VLOOKUP(Q145,'ex-situ Apal outplants'!D:M,10,FALSE)&lt;&gt;0,"TRUE", "FALSE")),"Completed",DATE(year(P145), month(P145)+1, day(P145)))</f>
        <v>#N/A</v>
      </c>
      <c r="V145" s="1360" t="str">
        <f>IF(AND('ex-situ Apal outplants'!D:D=Q145,IF(VLOOKUP(Q145,'ex-situ Apal outplants'!D:T,17,FALSE)&lt;&gt;0,"TRUE", "FALSE")),"Completed",DATE(year(P145)+1, month(P145), day(P145)))</f>
        <v>#N/A</v>
      </c>
      <c r="W145" s="1360"/>
      <c r="X145" s="1360"/>
      <c r="Y145" s="1360"/>
      <c r="Z145" s="1360"/>
      <c r="AA145" s="1360"/>
      <c r="AB145" s="1360"/>
      <c r="AC145" s="1360"/>
      <c r="AD145" s="1371"/>
      <c r="AE145" s="1360"/>
      <c r="AF145" s="1360"/>
      <c r="AG145" s="1360"/>
    </row>
    <row r="146">
      <c r="A146" s="1356">
        <v>43992.0</v>
      </c>
      <c r="B146" s="1357" t="s">
        <v>589</v>
      </c>
      <c r="C146" s="1358" t="s">
        <v>581</v>
      </c>
      <c r="D146" s="1366">
        <f t="shared" si="1"/>
        <v>44022</v>
      </c>
      <c r="E146" s="1366">
        <f t="shared" si="2"/>
        <v>44357</v>
      </c>
      <c r="F146" s="224" t="str">
        <f>IF(AND('in-situ Acer outplants'!D:D=B146,IF(VLOOKUP(B146,'in-situ Acer outplants'!D:M,10,FALSE)&lt;&gt;0,"TRUE", "FALSE")),"Completed",DATE(year(A146), month(A146)+1, day(A146)))</f>
        <v>Completed</v>
      </c>
      <c r="G146" s="1360" t="str">
        <f>IF(AND('in-situ Acer outplants'!D:D=B146,IF(VLOOKUP(B146,'in-situ Acer outplants'!D:T,17,FALSE)&lt;&gt;0,"TRUE", "FALSE")),"Completed",DATE(year(A146)+1, month(A146), day(A146)))</f>
        <v>Completed</v>
      </c>
      <c r="H146" s="1360"/>
      <c r="I146" s="1360"/>
      <c r="J146" s="1360"/>
      <c r="K146" s="1360"/>
      <c r="L146" s="1360"/>
      <c r="M146" s="1360"/>
      <c r="N146" s="1360"/>
      <c r="O146" s="1371"/>
      <c r="P146" s="1385"/>
      <c r="Q146" s="1360"/>
      <c r="R146" s="1360"/>
      <c r="S146" s="1370">
        <f t="shared" si="3"/>
        <v>693992</v>
      </c>
      <c r="T146" s="1366">
        <f t="shared" si="4"/>
        <v>365</v>
      </c>
      <c r="U146" s="1360" t="str">
        <f>IF(AND('ex-situ Apal outplants'!D:D=Q146,IF(VLOOKUP(Q146,'ex-situ Apal outplants'!D:M,10,FALSE)&lt;&gt;0,"TRUE", "FALSE")),"Completed",DATE(year(P146), month(P146)+1, day(P146)))</f>
        <v>#N/A</v>
      </c>
      <c r="V146" s="1360" t="str">
        <f>IF(AND('ex-situ Apal outplants'!D:D=Q146,IF(VLOOKUP(Q146,'ex-situ Apal outplants'!D:T,17,FALSE)&lt;&gt;0,"TRUE", "FALSE")),"Completed",DATE(year(P146)+1, month(P146), day(P146)))</f>
        <v>#N/A</v>
      </c>
      <c r="W146" s="1360"/>
      <c r="X146" s="1360"/>
      <c r="Y146" s="1360"/>
      <c r="Z146" s="1360"/>
      <c r="AA146" s="1360"/>
      <c r="AB146" s="1360"/>
      <c r="AC146" s="1360"/>
      <c r="AD146" s="1371"/>
      <c r="AE146" s="1360"/>
      <c r="AF146" s="1360"/>
      <c r="AG146" s="1360"/>
    </row>
    <row r="147">
      <c r="A147" s="1356">
        <v>43997.0</v>
      </c>
      <c r="B147" s="1357" t="s">
        <v>592</v>
      </c>
      <c r="C147" s="1358" t="s">
        <v>517</v>
      </c>
      <c r="D147" s="1366">
        <f t="shared" si="1"/>
        <v>44027</v>
      </c>
      <c r="E147" s="1366">
        <f t="shared" si="2"/>
        <v>44362</v>
      </c>
      <c r="F147" s="224" t="str">
        <f>IF(AND('in-situ Acer outplants'!D:D=B147,IF(VLOOKUP(B147,'in-situ Acer outplants'!D:M,10,FALSE)&lt;&gt;0,"TRUE", "FALSE")),"Completed",DATE(year(A147), month(A147)+1, day(A147)))</f>
        <v>Completed</v>
      </c>
      <c r="G147" s="1360" t="str">
        <f>IF(AND('in-situ Acer outplants'!D:D=B147,IF(VLOOKUP(B147,'in-situ Acer outplants'!D:T,17,FALSE)&lt;&gt;0,"TRUE", "FALSE")),"Completed",DATE(year(A147)+1, month(A147), day(A147)))</f>
        <v>Completed</v>
      </c>
      <c r="H147" s="1360"/>
      <c r="I147" s="1360"/>
      <c r="J147" s="1360"/>
      <c r="K147" s="1360"/>
      <c r="L147" s="1360"/>
      <c r="M147" s="1360"/>
      <c r="N147" s="1360"/>
      <c r="O147" s="1371"/>
      <c r="P147" s="1385"/>
      <c r="Q147" s="1360"/>
      <c r="R147" s="1360"/>
      <c r="S147" s="1370">
        <f t="shared" si="3"/>
        <v>693992</v>
      </c>
      <c r="T147" s="1366">
        <f t="shared" si="4"/>
        <v>365</v>
      </c>
      <c r="U147" s="1360" t="str">
        <f>IF(AND('ex-situ Apal outplants'!D:D=Q147,IF(VLOOKUP(Q147,'ex-situ Apal outplants'!D:M,10,FALSE)&lt;&gt;0,"TRUE", "FALSE")),"Completed",DATE(year(P147), month(P147)+1, day(P147)))</f>
        <v>#N/A</v>
      </c>
      <c r="V147" s="1360" t="str">
        <f>IF(AND('ex-situ Apal outplants'!D:D=Q147,IF(VLOOKUP(Q147,'ex-situ Apal outplants'!D:T,17,FALSE)&lt;&gt;0,"TRUE", "FALSE")),"Completed",DATE(year(P147)+1, month(P147), day(P147)))</f>
        <v>#N/A</v>
      </c>
      <c r="W147" s="1360"/>
      <c r="X147" s="1360"/>
      <c r="Y147" s="1360"/>
      <c r="Z147" s="1360"/>
      <c r="AA147" s="1360"/>
      <c r="AB147" s="1360"/>
      <c r="AC147" s="1360"/>
      <c r="AD147" s="1371"/>
      <c r="AE147" s="1360"/>
      <c r="AF147" s="1360"/>
      <c r="AG147" s="1360"/>
    </row>
    <row r="148">
      <c r="A148" s="1356">
        <v>44000.0</v>
      </c>
      <c r="B148" s="1357" t="s">
        <v>594</v>
      </c>
      <c r="C148" s="1358" t="s">
        <v>290</v>
      </c>
      <c r="D148" s="1366">
        <f t="shared" si="1"/>
        <v>44030</v>
      </c>
      <c r="E148" s="1366">
        <f t="shared" si="2"/>
        <v>44365</v>
      </c>
      <c r="F148" s="224" t="str">
        <f>IF(AND('in-situ Acer outplants'!D:D=B148,IF(VLOOKUP(B148,'in-situ Acer outplants'!D:M,10,FALSE)&lt;&gt;0,"TRUE", "FALSE")),"Completed",DATE(year(A148), month(A148)+1, day(A148)))</f>
        <v>Completed</v>
      </c>
      <c r="G148" s="1360" t="str">
        <f>IF(AND('in-situ Acer outplants'!D:D=B148,IF(VLOOKUP(B148,'in-situ Acer outplants'!D:T,17,FALSE)&lt;&gt;0,"TRUE", "FALSE")),"Completed",DATE(year(A148)+1, month(A148), day(A148)))</f>
        <v>Completed</v>
      </c>
      <c r="H148" s="1360"/>
      <c r="I148" s="1360"/>
      <c r="J148" s="1360"/>
      <c r="K148" s="1360"/>
      <c r="L148" s="1360"/>
      <c r="M148" s="1360"/>
      <c r="N148" s="1360"/>
      <c r="O148" s="1371"/>
      <c r="P148" s="1385"/>
      <c r="Q148" s="1360"/>
      <c r="R148" s="1360"/>
      <c r="S148" s="1370">
        <f t="shared" si="3"/>
        <v>693992</v>
      </c>
      <c r="T148" s="1366">
        <f t="shared" si="4"/>
        <v>365</v>
      </c>
      <c r="U148" s="1360" t="str">
        <f>IF(AND('ex-situ Apal outplants'!D:D=Q148,IF(VLOOKUP(Q148,'ex-situ Apal outplants'!D:M,10,FALSE)&lt;&gt;0,"TRUE", "FALSE")),"Completed",DATE(year(P148), month(P148)+1, day(P148)))</f>
        <v>#N/A</v>
      </c>
      <c r="V148" s="1360" t="str">
        <f>IF(AND('ex-situ Apal outplants'!D:D=Q148,IF(VLOOKUP(Q148,'ex-situ Apal outplants'!D:T,17,FALSE)&lt;&gt;0,"TRUE", "FALSE")),"Completed",DATE(year(P148)+1, month(P148), day(P148)))</f>
        <v>#N/A</v>
      </c>
      <c r="W148" s="1360"/>
      <c r="X148" s="1360"/>
      <c r="Y148" s="1360"/>
      <c r="Z148" s="1360"/>
      <c r="AA148" s="1360"/>
      <c r="AB148" s="1360"/>
      <c r="AC148" s="1360"/>
      <c r="AD148" s="1371"/>
      <c r="AE148" s="1360"/>
      <c r="AF148" s="1360"/>
      <c r="AG148" s="1360"/>
    </row>
    <row r="149">
      <c r="A149" s="1356">
        <v>44006.0</v>
      </c>
      <c r="B149" s="1357" t="s">
        <v>597</v>
      </c>
      <c r="C149" s="1358" t="s">
        <v>598</v>
      </c>
      <c r="D149" s="1366">
        <f t="shared" si="1"/>
        <v>44036</v>
      </c>
      <c r="E149" s="1366">
        <f t="shared" si="2"/>
        <v>44371</v>
      </c>
      <c r="F149" s="224" t="str">
        <f>IF(AND('in-situ Acer outplants'!D:D=B149,IF(VLOOKUP(B149,'in-situ Acer outplants'!D:M,10,FALSE)&lt;&gt;0,"TRUE", "FALSE")),"Completed",DATE(year(A149), month(A149)+1, day(A149)))</f>
        <v>Completed</v>
      </c>
      <c r="G149" s="1360" t="str">
        <f>IF(AND('in-situ Acer outplants'!D:D=B149,IF(VLOOKUP(B149,'in-situ Acer outplants'!D:T,17,FALSE)&lt;&gt;0,"TRUE", "FALSE")),"Completed",DATE(year(A149)+1, month(A149), day(A149)))</f>
        <v>Completed</v>
      </c>
      <c r="H149" s="1360"/>
      <c r="I149" s="1360"/>
      <c r="J149" s="1360"/>
      <c r="K149" s="1360"/>
      <c r="L149" s="1360"/>
      <c r="M149" s="1360"/>
      <c r="N149" s="1360"/>
      <c r="O149" s="1371"/>
      <c r="P149" s="1385"/>
      <c r="Q149" s="1360"/>
      <c r="R149" s="1360"/>
      <c r="S149" s="1370">
        <f t="shared" si="3"/>
        <v>693992</v>
      </c>
      <c r="T149" s="1366">
        <f t="shared" si="4"/>
        <v>365</v>
      </c>
      <c r="U149" s="1360" t="str">
        <f>IF(AND('ex-situ Apal outplants'!D:D=Q149,IF(VLOOKUP(Q149,'ex-situ Apal outplants'!D:M,10,FALSE)&lt;&gt;0,"TRUE", "FALSE")),"Completed",DATE(year(P149), month(P149)+1, day(P149)))</f>
        <v>#N/A</v>
      </c>
      <c r="V149" s="1360" t="str">
        <f>IF(AND('ex-situ Apal outplants'!D:D=Q149,IF(VLOOKUP(Q149,'ex-situ Apal outplants'!D:T,17,FALSE)&lt;&gt;0,"TRUE", "FALSE")),"Completed",DATE(year(P149)+1, month(P149), day(P149)))</f>
        <v>#N/A</v>
      </c>
      <c r="W149" s="1360"/>
      <c r="X149" s="1360"/>
      <c r="Y149" s="1360"/>
      <c r="Z149" s="1360"/>
      <c r="AA149" s="1360"/>
      <c r="AB149" s="1360"/>
      <c r="AC149" s="1360"/>
      <c r="AD149" s="1371"/>
      <c r="AE149" s="1360"/>
      <c r="AF149" s="1360"/>
      <c r="AG149" s="1360"/>
    </row>
    <row r="150">
      <c r="A150" s="1356">
        <v>44011.0</v>
      </c>
      <c r="B150" s="1357" t="s">
        <v>600</v>
      </c>
      <c r="C150" s="1358" t="s">
        <v>299</v>
      </c>
      <c r="D150" s="1366">
        <f t="shared" si="1"/>
        <v>44041</v>
      </c>
      <c r="E150" s="1366">
        <f t="shared" si="2"/>
        <v>44376</v>
      </c>
      <c r="F150" s="224" t="str">
        <f>IF(AND('in-situ Acer outplants'!D:D=B150,IF(VLOOKUP(B150,'in-situ Acer outplants'!D:M,10,FALSE)&lt;&gt;0,"TRUE", "FALSE")),"Completed",DATE(year(A150), month(A150)+1, day(A150)))</f>
        <v>Completed</v>
      </c>
      <c r="G150" s="1360" t="str">
        <f>IF(AND('in-situ Acer outplants'!D:D=B150,IF(VLOOKUP(B150,'in-situ Acer outplants'!D:T,17,FALSE)&lt;&gt;0,"TRUE", "FALSE")),"Completed",DATE(year(A150)+1, month(A150), day(A150)))</f>
        <v>Completed</v>
      </c>
      <c r="H150" s="1360"/>
      <c r="I150" s="1360"/>
      <c r="J150" s="1360"/>
      <c r="K150" s="1360"/>
      <c r="L150" s="1360"/>
      <c r="M150" s="1360"/>
      <c r="N150" s="1360"/>
      <c r="O150" s="1371"/>
      <c r="P150" s="1385"/>
      <c r="Q150" s="1360"/>
      <c r="R150" s="1360"/>
      <c r="S150" s="1370">
        <f t="shared" si="3"/>
        <v>693992</v>
      </c>
      <c r="T150" s="1366">
        <f t="shared" si="4"/>
        <v>365</v>
      </c>
      <c r="U150" s="1360" t="str">
        <f>IF(AND('ex-situ Apal outplants'!D:D=Q150,IF(VLOOKUP(Q150,'ex-situ Apal outplants'!D:M,10,FALSE)&lt;&gt;0,"TRUE", "FALSE")),"Completed",DATE(year(P150), month(P150)+1, day(P150)))</f>
        <v>#N/A</v>
      </c>
      <c r="V150" s="1360" t="str">
        <f>IF(AND('ex-situ Apal outplants'!D:D=Q150,IF(VLOOKUP(Q150,'ex-situ Apal outplants'!D:T,17,FALSE)&lt;&gt;0,"TRUE", "FALSE")),"Completed",DATE(year(P150)+1, month(P150), day(P150)))</f>
        <v>#N/A</v>
      </c>
      <c r="W150" s="1360"/>
      <c r="X150" s="1360"/>
      <c r="Y150" s="1360"/>
      <c r="Z150" s="1360"/>
      <c r="AA150" s="1360"/>
      <c r="AB150" s="1360"/>
      <c r="AC150" s="1360"/>
      <c r="AD150" s="1371"/>
      <c r="AE150" s="1360"/>
      <c r="AF150" s="1360"/>
      <c r="AG150" s="1360"/>
    </row>
    <row r="151">
      <c r="A151" s="1356">
        <v>44018.0</v>
      </c>
      <c r="B151" s="1357" t="s">
        <v>602</v>
      </c>
      <c r="C151" s="1358" t="s">
        <v>290</v>
      </c>
      <c r="D151" s="1366">
        <f t="shared" si="1"/>
        <v>44049</v>
      </c>
      <c r="E151" s="1366">
        <f t="shared" si="2"/>
        <v>44383</v>
      </c>
      <c r="F151" s="224" t="str">
        <f>IF(AND('in-situ Acer outplants'!D:D=B151,IF(VLOOKUP(B151,'in-situ Acer outplants'!D:M,10,FALSE)&lt;&gt;0,"TRUE", "FALSE")),"Completed",DATE(year(A151), month(A151)+1, day(A151)))</f>
        <v>Completed</v>
      </c>
      <c r="G151" s="1360" t="str">
        <f>IF(AND('in-situ Acer outplants'!D:D=B151,IF(VLOOKUP(B151,'in-situ Acer outplants'!D:T,17,FALSE)&lt;&gt;0,"TRUE", "FALSE")),"Completed",DATE(year(A151)+1, month(A151), day(A151)))</f>
        <v>Completed</v>
      </c>
      <c r="H151" s="1360"/>
      <c r="I151" s="1360"/>
      <c r="J151" s="1360"/>
      <c r="K151" s="1360"/>
      <c r="L151" s="1360"/>
      <c r="M151" s="1360"/>
      <c r="N151" s="1360"/>
      <c r="O151" s="1371"/>
      <c r="P151" s="1385"/>
      <c r="Q151" s="1360"/>
      <c r="R151" s="1360"/>
      <c r="S151" s="1370">
        <f t="shared" si="3"/>
        <v>693992</v>
      </c>
      <c r="T151" s="1366">
        <f t="shared" si="4"/>
        <v>365</v>
      </c>
      <c r="U151" s="1360" t="str">
        <f>IF(AND('ex-situ Apal outplants'!D:D=Q151,IF(VLOOKUP(Q151,'ex-situ Apal outplants'!D:M,10,FALSE)&lt;&gt;0,"TRUE", "FALSE")),"Completed",DATE(year(P151), month(P151)+1, day(P151)))</f>
        <v>#N/A</v>
      </c>
      <c r="V151" s="1360" t="str">
        <f>IF(AND('ex-situ Apal outplants'!D:D=Q151,IF(VLOOKUP(Q151,'ex-situ Apal outplants'!D:T,17,FALSE)&lt;&gt;0,"TRUE", "FALSE")),"Completed",DATE(year(P151)+1, month(P151), day(P151)))</f>
        <v>#N/A</v>
      </c>
      <c r="W151" s="1360"/>
      <c r="X151" s="1360"/>
      <c r="Y151" s="1360"/>
      <c r="Z151" s="1360"/>
      <c r="AA151" s="1360"/>
      <c r="AB151" s="1360"/>
      <c r="AC151" s="1360"/>
      <c r="AD151" s="1371"/>
      <c r="AE151" s="1360"/>
      <c r="AF151" s="1360"/>
      <c r="AG151" s="1360"/>
    </row>
    <row r="152">
      <c r="A152" s="1356">
        <v>44040.0</v>
      </c>
      <c r="B152" s="1357" t="s">
        <v>604</v>
      </c>
      <c r="C152" s="1358" t="s">
        <v>605</v>
      </c>
      <c r="D152" s="1366">
        <f t="shared" si="1"/>
        <v>44071</v>
      </c>
      <c r="E152" s="1366">
        <f t="shared" si="2"/>
        <v>44405</v>
      </c>
      <c r="F152" s="224" t="str">
        <f>IF(AND('in-situ Acer outplants'!D:D=B152,IF(VLOOKUP(B152,'in-situ Acer outplants'!D:M,10,FALSE)&lt;&gt;0,"TRUE", "FALSE")),"Completed",DATE(year(A152), month(A152)+1, day(A152)))</f>
        <v>Completed</v>
      </c>
      <c r="G152" s="1360" t="str">
        <f>IF(AND('in-situ Acer outplants'!D:D=B152,IF(VLOOKUP(B152,'in-situ Acer outplants'!D:T,17,FALSE)&lt;&gt;0,"TRUE", "FALSE")),"Completed",DATE(year(A152)+1, month(A152), day(A152)))</f>
        <v>Completed</v>
      </c>
      <c r="H152" s="1360"/>
      <c r="I152" s="1360"/>
      <c r="J152" s="1360"/>
      <c r="K152" s="1360"/>
      <c r="L152" s="1360"/>
      <c r="M152" s="1360"/>
      <c r="N152" s="1360"/>
      <c r="O152" s="1371"/>
      <c r="P152" s="1385"/>
      <c r="Q152" s="1360"/>
      <c r="R152" s="1360"/>
      <c r="S152" s="1370">
        <f t="shared" si="3"/>
        <v>693992</v>
      </c>
      <c r="T152" s="1366">
        <f t="shared" si="4"/>
        <v>365</v>
      </c>
      <c r="U152" s="1360" t="str">
        <f>IF(AND('ex-situ Apal outplants'!D:D=Q152,IF(VLOOKUP(Q152,'ex-situ Apal outplants'!D:M,10,FALSE)&lt;&gt;0,"TRUE", "FALSE")),"Completed",DATE(year(P152), month(P152)+1, day(P152)))</f>
        <v>#N/A</v>
      </c>
      <c r="V152" s="1360" t="str">
        <f>IF(AND('ex-situ Apal outplants'!D:D=Q152,IF(VLOOKUP(Q152,'ex-situ Apal outplants'!D:T,17,FALSE)&lt;&gt;0,"TRUE", "FALSE")),"Completed",DATE(year(P152)+1, month(P152), day(P152)))</f>
        <v>#N/A</v>
      </c>
      <c r="W152" s="1360"/>
      <c r="X152" s="1360"/>
      <c r="Y152" s="1360"/>
      <c r="Z152" s="1360"/>
      <c r="AA152" s="1360"/>
      <c r="AB152" s="1360"/>
      <c r="AC152" s="1360"/>
      <c r="AD152" s="1371"/>
      <c r="AE152" s="1360"/>
      <c r="AF152" s="1360"/>
      <c r="AG152" s="1360"/>
    </row>
    <row r="153">
      <c r="A153" s="1356">
        <v>44046.0</v>
      </c>
      <c r="B153" s="1357" t="s">
        <v>609</v>
      </c>
      <c r="C153" s="1358" t="s">
        <v>517</v>
      </c>
      <c r="D153" s="1366">
        <f t="shared" si="1"/>
        <v>44077</v>
      </c>
      <c r="E153" s="1366">
        <f t="shared" si="2"/>
        <v>44411</v>
      </c>
      <c r="F153" s="224" t="str">
        <f>IF(AND('in-situ Acer outplants'!D:D=B153,IF(VLOOKUP(B153,'in-situ Acer outplants'!D:M,10,FALSE)&lt;&gt;0,"TRUE", "FALSE")),"Completed",DATE(year(A153), month(A153)+1, day(A153)))</f>
        <v>Completed</v>
      </c>
      <c r="G153" s="1360" t="str">
        <f>IF(AND('in-situ Acer outplants'!D:D=B153,IF(VLOOKUP(B153,'in-situ Acer outplants'!D:T,17,FALSE)&lt;&gt;0,"TRUE", "FALSE")),"Completed",DATE(year(A153)+1, month(A153), day(A153)))</f>
        <v>Completed</v>
      </c>
      <c r="H153" s="1360"/>
      <c r="I153" s="1360"/>
      <c r="J153" s="1360"/>
      <c r="K153" s="1360"/>
      <c r="L153" s="1360"/>
      <c r="M153" s="1360"/>
      <c r="N153" s="1360"/>
      <c r="O153" s="1371"/>
      <c r="P153" s="1385"/>
      <c r="Q153" s="1360"/>
      <c r="R153" s="1360"/>
      <c r="S153" s="1370">
        <f t="shared" si="3"/>
        <v>693992</v>
      </c>
      <c r="T153" s="1366">
        <f t="shared" si="4"/>
        <v>365</v>
      </c>
      <c r="U153" s="1360" t="str">
        <f>IF(AND('ex-situ Apal outplants'!D:D=Q153,IF(VLOOKUP(Q153,'ex-situ Apal outplants'!D:M,10,FALSE)&lt;&gt;0,"TRUE", "FALSE")),"Completed",DATE(year(P153), month(P153)+1, day(P153)))</f>
        <v>#N/A</v>
      </c>
      <c r="V153" s="1360" t="str">
        <f>IF(AND('ex-situ Apal outplants'!D:D=Q153,IF(VLOOKUP(Q153,'ex-situ Apal outplants'!D:T,17,FALSE)&lt;&gt;0,"TRUE", "FALSE")),"Completed",DATE(year(P153)+1, month(P153), day(P153)))</f>
        <v>#N/A</v>
      </c>
      <c r="W153" s="1360"/>
      <c r="X153" s="1360"/>
      <c r="Y153" s="1360"/>
      <c r="Z153" s="1360"/>
      <c r="AA153" s="1360"/>
      <c r="AB153" s="1360"/>
      <c r="AC153" s="1360"/>
      <c r="AD153" s="1371"/>
      <c r="AE153" s="1360"/>
      <c r="AF153" s="1360"/>
      <c r="AG153" s="1360"/>
    </row>
    <row r="154">
      <c r="A154" s="1356">
        <v>44047.0</v>
      </c>
      <c r="B154" s="1357" t="s">
        <v>611</v>
      </c>
      <c r="C154" s="1358" t="s">
        <v>612</v>
      </c>
      <c r="D154" s="1366">
        <f t="shared" si="1"/>
        <v>44078</v>
      </c>
      <c r="E154" s="1366">
        <f t="shared" si="2"/>
        <v>44412</v>
      </c>
      <c r="F154" s="224" t="str">
        <f>IF(AND('in-situ Acer outplants'!D:D=B154,IF(VLOOKUP(B154,'in-situ Acer outplants'!D:M,10,FALSE)&lt;&gt;0,"TRUE", "FALSE")),"Completed",DATE(year(A154), month(A154)+1, day(A154)))</f>
        <v>Completed</v>
      </c>
      <c r="G154" s="1360" t="str">
        <f>IF(AND('in-situ Acer outplants'!D:D=B154,IF(VLOOKUP(B154,'in-situ Acer outplants'!D:T,17,FALSE)&lt;&gt;0,"TRUE", "FALSE")),"Completed",DATE(year(A154)+1, month(A154), day(A154)))</f>
        <v>Completed</v>
      </c>
      <c r="H154" s="1360"/>
      <c r="I154" s="1360"/>
      <c r="J154" s="1360"/>
      <c r="K154" s="1360"/>
      <c r="L154" s="1360"/>
      <c r="M154" s="1360"/>
      <c r="N154" s="1360"/>
      <c r="O154" s="1371"/>
      <c r="P154" s="1385"/>
      <c r="Q154" s="1360"/>
      <c r="R154" s="1360"/>
      <c r="S154" s="1370">
        <f t="shared" si="3"/>
        <v>693992</v>
      </c>
      <c r="T154" s="1366">
        <f t="shared" si="4"/>
        <v>365</v>
      </c>
      <c r="U154" s="1360" t="str">
        <f>IF(AND('ex-situ Apal outplants'!D:D=Q154,IF(VLOOKUP(Q154,'ex-situ Apal outplants'!D:M,10,FALSE)&lt;&gt;0,"TRUE", "FALSE")),"Completed",DATE(year(P154), month(P154)+1, day(P154)))</f>
        <v>#N/A</v>
      </c>
      <c r="V154" s="1360" t="str">
        <f>IF(AND('ex-situ Apal outplants'!D:D=Q154,IF(VLOOKUP(Q154,'ex-situ Apal outplants'!D:T,17,FALSE)&lt;&gt;0,"TRUE", "FALSE")),"Completed",DATE(year(P154)+1, month(P154), day(P154)))</f>
        <v>#N/A</v>
      </c>
      <c r="W154" s="1360"/>
      <c r="X154" s="1360"/>
      <c r="Y154" s="1360"/>
      <c r="Z154" s="1360"/>
      <c r="AA154" s="1360"/>
      <c r="AB154" s="1360"/>
      <c r="AC154" s="1360"/>
      <c r="AD154" s="1371"/>
      <c r="AE154" s="1360"/>
      <c r="AF154" s="1360"/>
      <c r="AG154" s="1360"/>
    </row>
    <row r="155">
      <c r="A155" s="1356">
        <v>44049.0</v>
      </c>
      <c r="B155" s="1357" t="s">
        <v>615</v>
      </c>
      <c r="C155" s="1358" t="s">
        <v>517</v>
      </c>
      <c r="D155" s="1366">
        <f t="shared" si="1"/>
        <v>44080</v>
      </c>
      <c r="E155" s="1366">
        <f t="shared" si="2"/>
        <v>44414</v>
      </c>
      <c r="F155" s="224" t="str">
        <f>IF(AND('in-situ Acer outplants'!D:D=B155,IF(VLOOKUP(B155,'in-situ Acer outplants'!D:M,10,FALSE)&lt;&gt;0,"TRUE", "FALSE")),"Completed",DATE(year(A155), month(A155)+1, day(A155)))</f>
        <v>Completed</v>
      </c>
      <c r="G155" s="1360" t="str">
        <f>IF(AND('in-situ Acer outplants'!D:D=B155,IF(VLOOKUP(B155,'in-situ Acer outplants'!D:T,17,FALSE)&lt;&gt;0,"TRUE", "FALSE")),"Completed",DATE(year(A155)+1, month(A155), day(A155)))</f>
        <v>Completed</v>
      </c>
      <c r="H155" s="1360"/>
      <c r="I155" s="1360"/>
      <c r="J155" s="1360"/>
      <c r="K155" s="1360"/>
      <c r="L155" s="1360"/>
      <c r="M155" s="1360"/>
      <c r="N155" s="1360"/>
      <c r="O155" s="1371"/>
      <c r="P155" s="1385"/>
      <c r="Q155" s="1360"/>
      <c r="R155" s="1360"/>
      <c r="S155" s="1370">
        <f t="shared" si="3"/>
        <v>693992</v>
      </c>
      <c r="T155" s="1366">
        <f t="shared" si="4"/>
        <v>365</v>
      </c>
      <c r="U155" s="1360" t="str">
        <f>IF(AND('ex-situ Apal outplants'!D:D=Q155,IF(VLOOKUP(Q155,'ex-situ Apal outplants'!D:M,10,FALSE)&lt;&gt;0,"TRUE", "FALSE")),"Completed",DATE(year(P155), month(P155)+1, day(P155)))</f>
        <v>#N/A</v>
      </c>
      <c r="V155" s="1360" t="str">
        <f>IF(AND('ex-situ Apal outplants'!D:D=Q155,IF(VLOOKUP(Q155,'ex-situ Apal outplants'!D:T,17,FALSE)&lt;&gt;0,"TRUE", "FALSE")),"Completed",DATE(year(P155)+1, month(P155), day(P155)))</f>
        <v>#N/A</v>
      </c>
      <c r="W155" s="1360"/>
      <c r="X155" s="1360"/>
      <c r="Y155" s="1360"/>
      <c r="Z155" s="1360"/>
      <c r="AA155" s="1360"/>
      <c r="AB155" s="1360"/>
      <c r="AC155" s="1360"/>
      <c r="AD155" s="1371"/>
      <c r="AE155" s="1360"/>
      <c r="AF155" s="1360"/>
      <c r="AG155" s="1360"/>
    </row>
    <row r="156">
      <c r="A156" s="1356">
        <v>44054.0</v>
      </c>
      <c r="B156" s="1357" t="s">
        <v>617</v>
      </c>
      <c r="C156" s="1358" t="s">
        <v>581</v>
      </c>
      <c r="D156" s="1366">
        <f t="shared" si="1"/>
        <v>44085</v>
      </c>
      <c r="E156" s="1366">
        <f t="shared" si="2"/>
        <v>44419</v>
      </c>
      <c r="F156" s="224" t="str">
        <f>IF(AND('in-situ Acer outplants'!D:D=B156,IF(VLOOKUP(B156,'in-situ Acer outplants'!D:M,10,FALSE)&lt;&gt;0,"TRUE", "FALSE")),"Completed",DATE(year(A156), month(A156)+1, day(A156)))</f>
        <v>Completed</v>
      </c>
      <c r="G156" s="1360" t="str">
        <f>IF(AND('in-situ Acer outplants'!D:D=B156,IF(VLOOKUP(B156,'in-situ Acer outplants'!D:T,17,FALSE)&lt;&gt;0,"TRUE", "FALSE")),"Completed",DATE(year(A156)+1, month(A156), day(A156)))</f>
        <v>Completed</v>
      </c>
      <c r="H156" s="1360"/>
      <c r="I156" s="1360"/>
      <c r="J156" s="1360"/>
      <c r="K156" s="1360"/>
      <c r="L156" s="1360"/>
      <c r="M156" s="1360"/>
      <c r="N156" s="1360"/>
      <c r="O156" s="1371"/>
      <c r="P156" s="1385"/>
      <c r="Q156" s="1360"/>
      <c r="R156" s="1360"/>
      <c r="S156" s="1370">
        <f t="shared" si="3"/>
        <v>693992</v>
      </c>
      <c r="T156" s="1366">
        <f t="shared" si="4"/>
        <v>365</v>
      </c>
      <c r="U156" s="1360" t="str">
        <f>IF(AND('ex-situ Apal outplants'!D:D=Q156,IF(VLOOKUP(Q156,'ex-situ Apal outplants'!D:M,10,FALSE)&lt;&gt;0,"TRUE", "FALSE")),"Completed",DATE(year(P156), month(P156)+1, day(P156)))</f>
        <v>#N/A</v>
      </c>
      <c r="V156" s="1360" t="str">
        <f>IF(AND('ex-situ Apal outplants'!D:D=Q156,IF(VLOOKUP(Q156,'ex-situ Apal outplants'!D:T,17,FALSE)&lt;&gt;0,"TRUE", "FALSE")),"Completed",DATE(year(P156)+1, month(P156), day(P156)))</f>
        <v>#N/A</v>
      </c>
      <c r="W156" s="1360"/>
      <c r="X156" s="1360"/>
      <c r="Y156" s="1360"/>
      <c r="Z156" s="1360"/>
      <c r="AA156" s="1360"/>
      <c r="AB156" s="1360"/>
      <c r="AC156" s="1360"/>
      <c r="AD156" s="1371"/>
      <c r="AE156" s="1360"/>
      <c r="AF156" s="1360"/>
      <c r="AG156" s="1360"/>
    </row>
    <row r="157">
      <c r="A157" s="1356">
        <v>44055.0</v>
      </c>
      <c r="B157" s="1357" t="s">
        <v>620</v>
      </c>
      <c r="C157" s="1358" t="s">
        <v>409</v>
      </c>
      <c r="D157" s="1366">
        <f t="shared" si="1"/>
        <v>44086</v>
      </c>
      <c r="E157" s="1366">
        <f t="shared" si="2"/>
        <v>44420</v>
      </c>
      <c r="F157" s="224" t="str">
        <f>IF(AND('in-situ Acer outplants'!D:D=B157,IF(VLOOKUP(B157,'in-situ Acer outplants'!D:M,10,FALSE)&lt;&gt;0,"TRUE", "FALSE")),"Completed",DATE(year(A157), month(A157)+1, day(A157)))</f>
        <v>Completed</v>
      </c>
      <c r="G157" s="1360" t="str">
        <f>IF(AND('in-situ Acer outplants'!D:D=B157,IF(VLOOKUP(B157,'in-situ Acer outplants'!D:T,17,FALSE)&lt;&gt;0,"TRUE", "FALSE")),"Completed",DATE(year(A157)+1, month(A157), day(A157)))</f>
        <v>Completed</v>
      </c>
      <c r="H157" s="1360"/>
      <c r="I157" s="1360"/>
      <c r="J157" s="1360"/>
      <c r="K157" s="1360"/>
      <c r="L157" s="1360"/>
      <c r="M157" s="1360"/>
      <c r="N157" s="1360"/>
      <c r="O157" s="1371"/>
      <c r="P157" s="1385"/>
      <c r="Q157" s="1360"/>
      <c r="R157" s="1360"/>
      <c r="S157" s="1370">
        <f t="shared" si="3"/>
        <v>693992</v>
      </c>
      <c r="T157" s="1366">
        <f t="shared" si="4"/>
        <v>365</v>
      </c>
      <c r="U157" s="1360" t="str">
        <f>IF(AND('ex-situ Apal outplants'!D:D=Q157,IF(VLOOKUP(Q157,'ex-situ Apal outplants'!D:M,10,FALSE)&lt;&gt;0,"TRUE", "FALSE")),"Completed",DATE(year(P157), month(P157)+1, day(P157)))</f>
        <v>#N/A</v>
      </c>
      <c r="V157" s="1360" t="str">
        <f>IF(AND('ex-situ Apal outplants'!D:D=Q157,IF(VLOOKUP(Q157,'ex-situ Apal outplants'!D:T,17,FALSE)&lt;&gt;0,"TRUE", "FALSE")),"Completed",DATE(year(P157)+1, month(P157), day(P157)))</f>
        <v>#N/A</v>
      </c>
      <c r="W157" s="1360"/>
      <c r="X157" s="1360"/>
      <c r="Y157" s="1360"/>
      <c r="Z157" s="1360"/>
      <c r="AA157" s="1360"/>
      <c r="AB157" s="1360"/>
      <c r="AC157" s="1360"/>
      <c r="AD157" s="1371"/>
      <c r="AE157" s="1360"/>
      <c r="AF157" s="1360"/>
      <c r="AG157" s="1360"/>
    </row>
    <row r="158">
      <c r="A158" s="1356">
        <v>44060.0</v>
      </c>
      <c r="B158" s="1357" t="s">
        <v>622</v>
      </c>
      <c r="C158" s="1358" t="s">
        <v>623</v>
      </c>
      <c r="D158" s="1366">
        <f t="shared" si="1"/>
        <v>44091</v>
      </c>
      <c r="E158" s="1366">
        <f t="shared" si="2"/>
        <v>44425</v>
      </c>
      <c r="F158" s="224" t="str">
        <f>IF(AND('in-situ Acer outplants'!D:D=B158,IF(VLOOKUP(B158,'in-situ Acer outplants'!D:M,10,FALSE)&lt;&gt;0,"TRUE", "FALSE")),"Completed",DATE(year(A158), month(A158)+1, day(A158)))</f>
        <v>Completed</v>
      </c>
      <c r="G158" s="1360" t="str">
        <f>IF(AND('in-situ Acer outplants'!D:D=B158,IF(VLOOKUP(B158,'in-situ Acer outplants'!D:T,17,FALSE)&lt;&gt;0,"TRUE", "FALSE")),"Completed",DATE(year(A158)+1, month(A158), day(A158)))</f>
        <v>Completed</v>
      </c>
      <c r="H158" s="1360"/>
      <c r="I158" s="1360"/>
      <c r="J158" s="1360"/>
      <c r="K158" s="1360"/>
      <c r="L158" s="1360"/>
      <c r="M158" s="1360"/>
      <c r="N158" s="1360"/>
      <c r="O158" s="1371"/>
      <c r="P158" s="1385"/>
      <c r="Q158" s="1360"/>
      <c r="R158" s="1360"/>
      <c r="S158" s="1370">
        <f t="shared" si="3"/>
        <v>693992</v>
      </c>
      <c r="T158" s="1366">
        <f t="shared" si="4"/>
        <v>365</v>
      </c>
      <c r="U158" s="1360" t="str">
        <f>IF(AND('ex-situ Apal outplants'!D:D=Q158,IF(VLOOKUP(Q158,'ex-situ Apal outplants'!D:M,10,FALSE)&lt;&gt;0,"TRUE", "FALSE")),"Completed",DATE(year(P158), month(P158)+1, day(P158)))</f>
        <v>#N/A</v>
      </c>
      <c r="V158" s="1360" t="str">
        <f>IF(AND('ex-situ Apal outplants'!D:D=Q158,IF(VLOOKUP(Q158,'ex-situ Apal outplants'!D:T,17,FALSE)&lt;&gt;0,"TRUE", "FALSE")),"Completed",DATE(year(P158)+1, month(P158), day(P158)))</f>
        <v>#N/A</v>
      </c>
      <c r="W158" s="1360"/>
      <c r="X158" s="1360"/>
      <c r="Y158" s="1360"/>
      <c r="Z158" s="1360"/>
      <c r="AA158" s="1360"/>
      <c r="AB158" s="1360"/>
      <c r="AC158" s="1360"/>
      <c r="AD158" s="1371"/>
      <c r="AE158" s="1360"/>
      <c r="AF158" s="1360"/>
      <c r="AG158" s="1360"/>
    </row>
    <row r="159">
      <c r="A159" s="1356">
        <v>44061.0</v>
      </c>
      <c r="B159" s="1357" t="s">
        <v>625</v>
      </c>
      <c r="C159" s="1358" t="s">
        <v>623</v>
      </c>
      <c r="D159" s="1366">
        <f t="shared" si="1"/>
        <v>44092</v>
      </c>
      <c r="E159" s="1366">
        <f t="shared" si="2"/>
        <v>44426</v>
      </c>
      <c r="F159" s="224" t="str">
        <f>IF(AND('in-situ Acer outplants'!D:D=B159,IF(VLOOKUP(B159,'in-situ Acer outplants'!D:M,10,FALSE)&lt;&gt;0,"TRUE", "FALSE")),"Completed",DATE(year(A159), month(A159)+1, day(A159)))</f>
        <v>Completed</v>
      </c>
      <c r="G159" s="1360" t="str">
        <f>IF(AND('in-situ Acer outplants'!D:D=B159,IF(VLOOKUP(B159,'in-situ Acer outplants'!D:T,17,FALSE)&lt;&gt;0,"TRUE", "FALSE")),"Completed",DATE(year(A159)+1, month(A159), day(A159)))</f>
        <v>Completed</v>
      </c>
      <c r="H159" s="1360"/>
      <c r="I159" s="1360"/>
      <c r="J159" s="1360"/>
      <c r="K159" s="1360"/>
      <c r="L159" s="1360"/>
      <c r="M159" s="1360"/>
      <c r="N159" s="1360"/>
      <c r="O159" s="1371"/>
      <c r="P159" s="1385"/>
      <c r="Q159" s="1360"/>
      <c r="R159" s="1360"/>
      <c r="S159" s="1370">
        <f t="shared" si="3"/>
        <v>693992</v>
      </c>
      <c r="T159" s="1366">
        <f t="shared" si="4"/>
        <v>365</v>
      </c>
      <c r="U159" s="1360" t="str">
        <f>IF(AND('ex-situ Apal outplants'!D:D=Q159,IF(VLOOKUP(Q159,'ex-situ Apal outplants'!D:M,10,FALSE)&lt;&gt;0,"TRUE", "FALSE")),"Completed",DATE(year(P159), month(P159)+1, day(P159)))</f>
        <v>#N/A</v>
      </c>
      <c r="V159" s="1360" t="str">
        <f>IF(AND('ex-situ Apal outplants'!D:D=Q159,IF(VLOOKUP(Q159,'ex-situ Apal outplants'!D:T,17,FALSE)&lt;&gt;0,"TRUE", "FALSE")),"Completed",DATE(year(P159)+1, month(P159), day(P159)))</f>
        <v>#N/A</v>
      </c>
      <c r="W159" s="1360"/>
      <c r="X159" s="1360"/>
      <c r="Y159" s="1360"/>
      <c r="Z159" s="1360"/>
      <c r="AA159" s="1360"/>
      <c r="AB159" s="1360"/>
      <c r="AC159" s="1360"/>
      <c r="AD159" s="1371"/>
      <c r="AE159" s="1360"/>
      <c r="AF159" s="1360"/>
      <c r="AG159" s="1360"/>
    </row>
    <row r="160">
      <c r="A160" s="1356">
        <v>44071.0</v>
      </c>
      <c r="B160" s="1357" t="s">
        <v>626</v>
      </c>
      <c r="C160" s="1358" t="s">
        <v>627</v>
      </c>
      <c r="D160" s="1366">
        <f t="shared" si="1"/>
        <v>44102</v>
      </c>
      <c r="E160" s="1366">
        <f t="shared" si="2"/>
        <v>44436</v>
      </c>
      <c r="F160" s="224" t="str">
        <f>IF(AND('in-situ Acer outplants'!D:D=B160,IF(VLOOKUP(B160,'in-situ Acer outplants'!D:M,10,FALSE)&lt;&gt;0,"TRUE", "FALSE")),"Completed",DATE(year(A160), month(A160)+1, day(A160)))</f>
        <v>Completed</v>
      </c>
      <c r="G160" s="1360" t="str">
        <f>IF(AND('in-situ Acer outplants'!D:D=B160,IF(VLOOKUP(B160,'in-situ Acer outplants'!D:T,17,FALSE)&lt;&gt;0,"TRUE", "FALSE")),"Completed",DATE(year(A160)+1, month(A160), day(A160)))</f>
        <v>Completed</v>
      </c>
      <c r="H160" s="1360"/>
      <c r="I160" s="1360"/>
      <c r="J160" s="1360"/>
      <c r="K160" s="1360"/>
      <c r="L160" s="1360"/>
      <c r="M160" s="1360"/>
      <c r="N160" s="1360"/>
      <c r="O160" s="1371"/>
      <c r="P160" s="1385"/>
      <c r="Q160" s="1360"/>
      <c r="R160" s="1360"/>
      <c r="S160" s="1370">
        <f t="shared" si="3"/>
        <v>693992</v>
      </c>
      <c r="T160" s="1366">
        <f t="shared" si="4"/>
        <v>365</v>
      </c>
      <c r="U160" s="1360" t="str">
        <f>IF(AND('ex-situ Apal outplants'!D:D=Q160,IF(VLOOKUP(Q160,'ex-situ Apal outplants'!D:M,10,FALSE)&lt;&gt;0,"TRUE", "FALSE")),"Completed",DATE(year(P160), month(P160)+1, day(P160)))</f>
        <v>#N/A</v>
      </c>
      <c r="V160" s="1360" t="str">
        <f>IF(AND('ex-situ Apal outplants'!D:D=Q160,IF(VLOOKUP(Q160,'ex-situ Apal outplants'!D:T,17,FALSE)&lt;&gt;0,"TRUE", "FALSE")),"Completed",DATE(year(P160)+1, month(P160), day(P160)))</f>
        <v>#N/A</v>
      </c>
      <c r="W160" s="1360"/>
      <c r="X160" s="1360"/>
      <c r="Y160" s="1360"/>
      <c r="Z160" s="1360"/>
      <c r="AA160" s="1360"/>
      <c r="AB160" s="1360"/>
      <c r="AC160" s="1360"/>
      <c r="AD160" s="1371"/>
      <c r="AE160" s="1360"/>
      <c r="AF160" s="1360"/>
      <c r="AG160" s="1360"/>
    </row>
    <row r="161">
      <c r="A161" s="1356">
        <v>44091.0</v>
      </c>
      <c r="B161" s="1357" t="s">
        <v>630</v>
      </c>
      <c r="C161" s="1358" t="s">
        <v>299</v>
      </c>
      <c r="D161" s="1366">
        <f t="shared" si="1"/>
        <v>44121</v>
      </c>
      <c r="E161" s="1366">
        <f t="shared" si="2"/>
        <v>44456</v>
      </c>
      <c r="F161" s="224" t="str">
        <f>IF(AND('in-situ Acer outplants'!D:D=B161,IF(VLOOKUP(B161,'in-situ Acer outplants'!D:M,10,FALSE)&lt;&gt;0,"TRUE", "FALSE")),"Completed",DATE(year(A161), month(A161)+1, day(A161)))</f>
        <v>Completed</v>
      </c>
      <c r="G161" s="1360" t="str">
        <f>IF(AND('in-situ Acer outplants'!D:D=B161,IF(VLOOKUP(B161,'in-situ Acer outplants'!D:T,17,FALSE)&lt;&gt;0,"TRUE", "FALSE")),"Completed",DATE(year(A161)+1, month(A161), day(A161)))</f>
        <v>Completed</v>
      </c>
      <c r="H161" s="1360"/>
      <c r="I161" s="1360"/>
      <c r="J161" s="1360"/>
      <c r="K161" s="1360"/>
      <c r="L161" s="1360"/>
      <c r="M161" s="1360"/>
      <c r="N161" s="1360"/>
      <c r="O161" s="1371"/>
      <c r="P161" s="1385"/>
      <c r="Q161" s="1360"/>
      <c r="R161" s="1360"/>
      <c r="S161" s="1370">
        <f t="shared" si="3"/>
        <v>693992</v>
      </c>
      <c r="T161" s="1366">
        <f t="shared" si="4"/>
        <v>365</v>
      </c>
      <c r="U161" s="1360" t="str">
        <f>IF(AND('ex-situ Apal outplants'!D:D=Q161,IF(VLOOKUP(Q161,'ex-situ Apal outplants'!D:M,10,FALSE)&lt;&gt;0,"TRUE", "FALSE")),"Completed",DATE(year(P161), month(P161)+1, day(P161)))</f>
        <v>#N/A</v>
      </c>
      <c r="V161" s="1360" t="str">
        <f>IF(AND('ex-situ Apal outplants'!D:D=Q161,IF(VLOOKUP(Q161,'ex-situ Apal outplants'!D:T,17,FALSE)&lt;&gt;0,"TRUE", "FALSE")),"Completed",DATE(year(P161)+1, month(P161), day(P161)))</f>
        <v>#N/A</v>
      </c>
      <c r="W161" s="1360"/>
      <c r="X161" s="1360"/>
      <c r="Y161" s="1360"/>
      <c r="Z161" s="1360"/>
      <c r="AA161" s="1360"/>
      <c r="AB161" s="1360"/>
      <c r="AC161" s="1360"/>
      <c r="AD161" s="1371"/>
      <c r="AE161" s="1360"/>
      <c r="AF161" s="1360"/>
      <c r="AG161" s="1360"/>
    </row>
    <row r="162">
      <c r="A162" s="1356">
        <v>44095.0</v>
      </c>
      <c r="B162" s="1357" t="s">
        <v>632</v>
      </c>
      <c r="C162" s="1358" t="s">
        <v>633</v>
      </c>
      <c r="D162" s="1366">
        <f t="shared" si="1"/>
        <v>44125</v>
      </c>
      <c r="E162" s="1366">
        <f t="shared" si="2"/>
        <v>44460</v>
      </c>
      <c r="F162" s="224" t="str">
        <f>IF(AND('in-situ Acer outplants'!D:D=B162,IF(VLOOKUP(B162,'in-situ Acer outplants'!D:M,10,FALSE)&lt;&gt;0,"TRUE", "FALSE")),"Completed",DATE(year(A162), month(A162)+1, day(A162)))</f>
        <v>Completed</v>
      </c>
      <c r="G162" s="1360" t="str">
        <f>IF(AND('in-situ Acer outplants'!D:D=B162,IF(VLOOKUP(B162,'in-situ Acer outplants'!D:T,17,FALSE)&lt;&gt;0,"TRUE", "FALSE")),"Completed",DATE(year(A162)+1, month(A162), day(A162)))</f>
        <v>Completed</v>
      </c>
      <c r="H162" s="1360"/>
      <c r="I162" s="1360"/>
      <c r="J162" s="1360"/>
      <c r="K162" s="1360"/>
      <c r="L162" s="1360"/>
      <c r="M162" s="1360"/>
      <c r="N162" s="1360"/>
      <c r="O162" s="1371"/>
      <c r="P162" s="1385"/>
      <c r="Q162" s="1360"/>
      <c r="R162" s="1360"/>
      <c r="S162" s="1370">
        <f t="shared" si="3"/>
        <v>693992</v>
      </c>
      <c r="T162" s="1366">
        <f t="shared" si="4"/>
        <v>365</v>
      </c>
      <c r="U162" s="1360" t="str">
        <f>IF(AND('ex-situ Apal outplants'!D:D=Q162,IF(VLOOKUP(Q162,'ex-situ Apal outplants'!D:M,10,FALSE)&lt;&gt;0,"TRUE", "FALSE")),"Completed",DATE(year(P162), month(P162)+1, day(P162)))</f>
        <v>#N/A</v>
      </c>
      <c r="V162" s="1360" t="str">
        <f>IF(AND('ex-situ Apal outplants'!D:D=Q162,IF(VLOOKUP(Q162,'ex-situ Apal outplants'!D:T,17,FALSE)&lt;&gt;0,"TRUE", "FALSE")),"Completed",DATE(year(P162)+1, month(P162), day(P162)))</f>
        <v>#N/A</v>
      </c>
      <c r="W162" s="1360"/>
      <c r="X162" s="1360"/>
      <c r="Y162" s="1360"/>
      <c r="Z162" s="1360"/>
      <c r="AA162" s="1360"/>
      <c r="AB162" s="1360"/>
      <c r="AC162" s="1360"/>
      <c r="AD162" s="1371"/>
      <c r="AE162" s="1360"/>
      <c r="AF162" s="1360"/>
      <c r="AG162" s="1360"/>
    </row>
    <row r="163">
      <c r="A163" s="1356">
        <v>44104.0</v>
      </c>
      <c r="B163" s="1357" t="s">
        <v>635</v>
      </c>
      <c r="C163" s="1358" t="s">
        <v>423</v>
      </c>
      <c r="D163" s="1366">
        <f t="shared" si="1"/>
        <v>44134</v>
      </c>
      <c r="E163" s="1366">
        <f t="shared" si="2"/>
        <v>44469</v>
      </c>
      <c r="F163" s="224" t="str">
        <f>IF(AND('in-situ Acer outplants'!D:D=B163,IF(VLOOKUP(B163,'in-situ Acer outplants'!D:M,10,FALSE)&lt;&gt;0,"TRUE", "FALSE")),"Completed",DATE(year(A163), month(A163)+1, day(A163)))</f>
        <v>Completed</v>
      </c>
      <c r="G163" s="1360" t="str">
        <f>IF(AND('in-situ Acer outplants'!D:D=B163,IF(VLOOKUP(B163,'in-situ Acer outplants'!D:T,17,FALSE)&lt;&gt;0,"TRUE", "FALSE")),"Completed",DATE(year(A163)+1, month(A163), day(A163)))</f>
        <v>Completed</v>
      </c>
      <c r="H163" s="1360"/>
      <c r="I163" s="1360"/>
      <c r="J163" s="1360"/>
      <c r="K163" s="1360"/>
      <c r="L163" s="1360"/>
      <c r="M163" s="1360"/>
      <c r="N163" s="1360"/>
      <c r="O163" s="1371"/>
      <c r="P163" s="1385"/>
      <c r="Q163" s="1360"/>
      <c r="R163" s="1360"/>
      <c r="S163" s="1370">
        <f t="shared" si="3"/>
        <v>693992</v>
      </c>
      <c r="T163" s="1366">
        <f t="shared" si="4"/>
        <v>365</v>
      </c>
      <c r="U163" s="1360" t="str">
        <f>IF(AND('ex-situ Apal outplants'!D:D=Q163,IF(VLOOKUP(Q163,'ex-situ Apal outplants'!D:M,10,FALSE)&lt;&gt;0,"TRUE", "FALSE")),"Completed",DATE(year(P163), month(P163)+1, day(P163)))</f>
        <v>#N/A</v>
      </c>
      <c r="V163" s="1360" t="str">
        <f>IF(AND('ex-situ Apal outplants'!D:D=Q163,IF(VLOOKUP(Q163,'ex-situ Apal outplants'!D:T,17,FALSE)&lt;&gt;0,"TRUE", "FALSE")),"Completed",DATE(year(P163)+1, month(P163), day(P163)))</f>
        <v>#N/A</v>
      </c>
      <c r="W163" s="1360"/>
      <c r="X163" s="1360"/>
      <c r="Y163" s="1360"/>
      <c r="Z163" s="1360"/>
      <c r="AA163" s="1360"/>
      <c r="AB163" s="1360"/>
      <c r="AC163" s="1360"/>
      <c r="AD163" s="1371"/>
      <c r="AE163" s="1360"/>
      <c r="AF163" s="1360"/>
      <c r="AG163" s="1360"/>
    </row>
    <row r="164">
      <c r="A164" s="1356">
        <v>44105.0</v>
      </c>
      <c r="B164" s="1357" t="s">
        <v>637</v>
      </c>
      <c r="C164" s="1358" t="s">
        <v>299</v>
      </c>
      <c r="D164" s="1366">
        <f t="shared" si="1"/>
        <v>44136</v>
      </c>
      <c r="E164" s="1366">
        <f t="shared" si="2"/>
        <v>44470</v>
      </c>
      <c r="F164" s="224" t="str">
        <f>IF(AND('in-situ Acer outplants'!D:D=B164,IF(VLOOKUP(B164,'in-situ Acer outplants'!D:M,10,FALSE)&lt;&gt;0,"TRUE", "FALSE")),"Completed",DATE(year(A164), month(A164)+1, day(A164)))</f>
        <v>Completed</v>
      </c>
      <c r="G164" s="1360" t="str">
        <f>IF(AND('in-situ Acer outplants'!D:D=B164,IF(VLOOKUP(B164,'in-situ Acer outplants'!D:T,17,FALSE)&lt;&gt;0,"TRUE", "FALSE")),"Completed",DATE(year(A164)+1, month(A164), day(A164)))</f>
        <v>Completed</v>
      </c>
      <c r="H164" s="1360"/>
      <c r="I164" s="1360"/>
      <c r="J164" s="1360"/>
      <c r="K164" s="1360"/>
      <c r="L164" s="1360"/>
      <c r="M164" s="1360"/>
      <c r="N164" s="1360"/>
      <c r="O164" s="1371"/>
      <c r="P164" s="1385"/>
      <c r="Q164" s="1360"/>
      <c r="R164" s="1360"/>
      <c r="S164" s="1370">
        <f t="shared" si="3"/>
        <v>693992</v>
      </c>
      <c r="T164" s="1366">
        <f t="shared" si="4"/>
        <v>365</v>
      </c>
      <c r="U164" s="1360" t="str">
        <f>IF(AND('ex-situ Apal outplants'!D:D=Q164,IF(VLOOKUP(Q164,'ex-situ Apal outplants'!D:M,10,FALSE)&lt;&gt;0,"TRUE", "FALSE")),"Completed",DATE(year(P164), month(P164)+1, day(P164)))</f>
        <v>#N/A</v>
      </c>
      <c r="V164" s="1360" t="str">
        <f>IF(AND('ex-situ Apal outplants'!D:D=Q164,IF(VLOOKUP(Q164,'ex-situ Apal outplants'!D:T,17,FALSE)&lt;&gt;0,"TRUE", "FALSE")),"Completed",DATE(year(P164)+1, month(P164), day(P164)))</f>
        <v>#N/A</v>
      </c>
      <c r="W164" s="1360"/>
      <c r="X164" s="1360"/>
      <c r="Y164" s="1360"/>
      <c r="Z164" s="1360"/>
      <c r="AA164" s="1360"/>
      <c r="AB164" s="1360"/>
      <c r="AC164" s="1360"/>
      <c r="AD164" s="1371"/>
      <c r="AE164" s="1360"/>
      <c r="AF164" s="1360"/>
      <c r="AG164" s="1360"/>
    </row>
    <row r="165">
      <c r="A165" s="1356">
        <v>44117.0</v>
      </c>
      <c r="B165" s="1357" t="s">
        <v>639</v>
      </c>
      <c r="C165" s="1358" t="s">
        <v>290</v>
      </c>
      <c r="D165" s="1366">
        <f t="shared" si="1"/>
        <v>44148</v>
      </c>
      <c r="E165" s="1366">
        <f t="shared" si="2"/>
        <v>44482</v>
      </c>
      <c r="F165" s="224" t="str">
        <f>IF(AND('in-situ Acer outplants'!D:D=B165,IF(VLOOKUP(B165,'in-situ Acer outplants'!D:M,10,FALSE)&lt;&gt;0,"TRUE", "FALSE")),"Completed",DATE(year(A165), month(A165)+1, day(A165)))</f>
        <v>Completed</v>
      </c>
      <c r="G165" s="1360" t="str">
        <f>IF(AND('in-situ Acer outplants'!D:D=B165,IF(VLOOKUP(B165,'in-situ Acer outplants'!D:T,17,FALSE)&lt;&gt;0,"TRUE", "FALSE")),"Completed",DATE(year(A165)+1, month(A165), day(A165)))</f>
        <v>Completed</v>
      </c>
      <c r="H165" s="1360"/>
      <c r="I165" s="1360"/>
      <c r="J165" s="1360"/>
      <c r="K165" s="1360"/>
      <c r="L165" s="1360"/>
      <c r="M165" s="1360"/>
      <c r="N165" s="1360"/>
      <c r="O165" s="1371"/>
      <c r="P165" s="1385"/>
      <c r="Q165" s="1360"/>
      <c r="R165" s="1360"/>
      <c r="S165" s="1370">
        <f t="shared" si="3"/>
        <v>693992</v>
      </c>
      <c r="T165" s="1366">
        <f t="shared" si="4"/>
        <v>365</v>
      </c>
      <c r="U165" s="1360" t="str">
        <f>IF(AND('ex-situ Apal outplants'!D:D=Q165,IF(VLOOKUP(Q165,'ex-situ Apal outplants'!D:M,10,FALSE)&lt;&gt;0,"TRUE", "FALSE")),"Completed",DATE(year(P165), month(P165)+1, day(P165)))</f>
        <v>#N/A</v>
      </c>
      <c r="V165" s="1360" t="str">
        <f>IF(AND('ex-situ Apal outplants'!D:D=Q165,IF(VLOOKUP(Q165,'ex-situ Apal outplants'!D:T,17,FALSE)&lt;&gt;0,"TRUE", "FALSE")),"Completed",DATE(year(P165)+1, month(P165), day(P165)))</f>
        <v>#N/A</v>
      </c>
      <c r="W165" s="1360"/>
      <c r="X165" s="1360"/>
      <c r="Y165" s="1360"/>
      <c r="Z165" s="1360"/>
      <c r="AA165" s="1360"/>
      <c r="AB165" s="1360"/>
      <c r="AC165" s="1360"/>
      <c r="AD165" s="1371"/>
      <c r="AE165" s="1360"/>
      <c r="AF165" s="1360"/>
      <c r="AG165" s="1360"/>
    </row>
    <row r="166">
      <c r="A166" s="1356">
        <v>44119.0</v>
      </c>
      <c r="B166" s="1357" t="s">
        <v>643</v>
      </c>
      <c r="C166" s="1358" t="s">
        <v>517</v>
      </c>
      <c r="D166" s="1366">
        <f t="shared" si="1"/>
        <v>44150</v>
      </c>
      <c r="E166" s="1366">
        <f t="shared" si="2"/>
        <v>44484</v>
      </c>
      <c r="F166" s="224" t="str">
        <f>IF(AND('in-situ Acer outplants'!D:D=B166,IF(VLOOKUP(B166,'in-situ Acer outplants'!D:M,10,FALSE)&lt;&gt;0,"TRUE", "FALSE")),"Completed",DATE(year(A166), month(A166)+1, day(A166)))</f>
        <v>Completed</v>
      </c>
      <c r="G166" s="1360" t="str">
        <f>IF(AND('in-situ Acer outplants'!D:D=B166,IF(VLOOKUP(B166,'in-situ Acer outplants'!D:T,17,FALSE)&lt;&gt;0,"TRUE", "FALSE")),"Completed",DATE(year(A166)+1, month(A166), day(A166)))</f>
        <v>Completed</v>
      </c>
      <c r="H166" s="1360"/>
      <c r="I166" s="1360"/>
      <c r="J166" s="1360"/>
      <c r="K166" s="1360"/>
      <c r="L166" s="1360"/>
      <c r="M166" s="1360"/>
      <c r="N166" s="1360"/>
      <c r="O166" s="1371"/>
      <c r="P166" s="1385"/>
      <c r="Q166" s="1360"/>
      <c r="R166" s="1360"/>
      <c r="S166" s="1370">
        <f t="shared" si="3"/>
        <v>693992</v>
      </c>
      <c r="T166" s="1366">
        <f t="shared" si="4"/>
        <v>365</v>
      </c>
      <c r="U166" s="1360" t="str">
        <f>IF(AND('ex-situ Apal outplants'!D:D=Q166,IF(VLOOKUP(Q166,'ex-situ Apal outplants'!D:M,10,FALSE)&lt;&gt;0,"TRUE", "FALSE")),"Completed",DATE(year(P166), month(P166)+1, day(P166)))</f>
        <v>#N/A</v>
      </c>
      <c r="V166" s="1360" t="str">
        <f>IF(AND('ex-situ Apal outplants'!D:D=Q166,IF(VLOOKUP(Q166,'ex-situ Apal outplants'!D:T,17,FALSE)&lt;&gt;0,"TRUE", "FALSE")),"Completed",DATE(year(P166)+1, month(P166), day(P166)))</f>
        <v>#N/A</v>
      </c>
      <c r="W166" s="1360"/>
      <c r="X166" s="1360"/>
      <c r="Y166" s="1360"/>
      <c r="Z166" s="1360"/>
      <c r="AA166" s="1360"/>
      <c r="AB166" s="1360"/>
      <c r="AC166" s="1360"/>
      <c r="AD166" s="1371"/>
      <c r="AE166" s="1360"/>
      <c r="AF166" s="1360"/>
      <c r="AG166" s="1360"/>
    </row>
    <row r="167">
      <c r="A167" s="1356">
        <v>44175.0</v>
      </c>
      <c r="B167" s="1357" t="s">
        <v>645</v>
      </c>
      <c r="C167" s="1358" t="s">
        <v>249</v>
      </c>
      <c r="D167" s="1366">
        <f t="shared" si="1"/>
        <v>44206</v>
      </c>
      <c r="E167" s="1366">
        <f t="shared" si="2"/>
        <v>44540</v>
      </c>
      <c r="F167" s="224" t="str">
        <f>IF(AND('in-situ Acer outplants'!D:D=B167,IF(VLOOKUP(B167,'in-situ Acer outplants'!D:M,10,FALSE)&lt;&gt;0,"TRUE", "FALSE")),"Completed",DATE(year(A167), month(A167)+1, day(A167)))</f>
        <v>Completed</v>
      </c>
      <c r="G167" s="1360" t="str">
        <f>IF(AND('in-situ Acer outplants'!D:D=B167,IF(VLOOKUP(B167,'in-situ Acer outplants'!D:T,17,FALSE)&lt;&gt;0,"TRUE", "FALSE")),"Completed",DATE(year(A167)+1, month(A167), day(A167)))</f>
        <v>Completed</v>
      </c>
      <c r="H167" s="1360"/>
      <c r="I167" s="1360"/>
      <c r="J167" s="1360"/>
      <c r="K167" s="1360"/>
      <c r="L167" s="1360"/>
      <c r="M167" s="1360"/>
      <c r="N167" s="1360"/>
      <c r="O167" s="1371"/>
      <c r="P167" s="1385"/>
      <c r="Q167" s="1360"/>
      <c r="R167" s="1360"/>
      <c r="S167" s="1370">
        <f t="shared" si="3"/>
        <v>693992</v>
      </c>
      <c r="T167" s="1366">
        <f t="shared" si="4"/>
        <v>365</v>
      </c>
      <c r="U167" s="1360" t="str">
        <f>IF(AND('ex-situ Apal outplants'!D:D=Q167,IF(VLOOKUP(Q167,'ex-situ Apal outplants'!D:M,10,FALSE)&lt;&gt;0,"TRUE", "FALSE")),"Completed",DATE(year(P167), month(P167)+1, day(P167)))</f>
        <v>#N/A</v>
      </c>
      <c r="V167" s="1360" t="str">
        <f>IF(AND('ex-situ Apal outplants'!D:D=Q167,IF(VLOOKUP(Q167,'ex-situ Apal outplants'!D:T,17,FALSE)&lt;&gt;0,"TRUE", "FALSE")),"Completed",DATE(year(P167)+1, month(P167), day(P167)))</f>
        <v>#N/A</v>
      </c>
      <c r="W167" s="1360"/>
      <c r="X167" s="1360"/>
      <c r="Y167" s="1360"/>
      <c r="Z167" s="1360"/>
      <c r="AA167" s="1360"/>
      <c r="AB167" s="1360"/>
      <c r="AC167" s="1360"/>
      <c r="AD167" s="1371"/>
      <c r="AE167" s="1360"/>
      <c r="AF167" s="1360"/>
      <c r="AG167" s="1360"/>
    </row>
    <row r="168">
      <c r="A168" s="1356">
        <v>44175.0</v>
      </c>
      <c r="B168" s="1357" t="s">
        <v>647</v>
      </c>
      <c r="C168" s="1358" t="s">
        <v>249</v>
      </c>
      <c r="D168" s="1366">
        <f t="shared" si="1"/>
        <v>44206</v>
      </c>
      <c r="E168" s="1366">
        <f t="shared" si="2"/>
        <v>44540</v>
      </c>
      <c r="F168" s="224" t="str">
        <f>IF(AND('in-situ Acer outplants'!D:D=B168,IF(VLOOKUP(B168,'in-situ Acer outplants'!D:M,10,FALSE)&lt;&gt;0,"TRUE", "FALSE")),"Completed",DATE(year(A168), month(A168)+1, day(A168)))</f>
        <v>Completed</v>
      </c>
      <c r="G168" s="1360" t="str">
        <f>IF(AND('in-situ Acer outplants'!D:D=B168,IF(VLOOKUP(B168,'in-situ Acer outplants'!D:T,17,FALSE)&lt;&gt;0,"TRUE", "FALSE")),"Completed",DATE(year(A168)+1, month(A168), day(A168)))</f>
        <v>Completed</v>
      </c>
      <c r="H168" s="1360"/>
      <c r="I168" s="1360"/>
      <c r="J168" s="1360"/>
      <c r="K168" s="1360"/>
      <c r="L168" s="1360"/>
      <c r="M168" s="1360"/>
      <c r="N168" s="1360"/>
      <c r="O168" s="1371"/>
      <c r="P168" s="1385"/>
      <c r="Q168" s="1360"/>
      <c r="R168" s="1360"/>
      <c r="S168" s="1370">
        <f t="shared" si="3"/>
        <v>693992</v>
      </c>
      <c r="T168" s="1366">
        <f t="shared" si="4"/>
        <v>365</v>
      </c>
      <c r="U168" s="1360" t="str">
        <f>IF(AND('ex-situ Apal outplants'!D:D=Q168,IF(VLOOKUP(Q168,'ex-situ Apal outplants'!D:M,10,FALSE)&lt;&gt;0,"TRUE", "FALSE")),"Completed",DATE(year(P168), month(P168)+1, day(P168)))</f>
        <v>#N/A</v>
      </c>
      <c r="V168" s="1360" t="str">
        <f>IF(AND('ex-situ Apal outplants'!D:D=Q168,IF(VLOOKUP(Q168,'ex-situ Apal outplants'!D:T,17,FALSE)&lt;&gt;0,"TRUE", "FALSE")),"Completed",DATE(year(P168)+1, month(P168), day(P168)))</f>
        <v>#N/A</v>
      </c>
      <c r="W168" s="1360"/>
      <c r="X168" s="1360"/>
      <c r="Y168" s="1360"/>
      <c r="Z168" s="1360"/>
      <c r="AA168" s="1360"/>
      <c r="AB168" s="1360"/>
      <c r="AC168" s="1360"/>
      <c r="AD168" s="1371"/>
      <c r="AE168" s="1360"/>
      <c r="AF168" s="1360"/>
      <c r="AG168" s="1360"/>
    </row>
    <row r="169">
      <c r="A169" s="1356">
        <v>44175.0</v>
      </c>
      <c r="B169" s="1357" t="s">
        <v>649</v>
      </c>
      <c r="C169" s="1358" t="s">
        <v>249</v>
      </c>
      <c r="D169" s="1366">
        <f t="shared" si="1"/>
        <v>44206</v>
      </c>
      <c r="E169" s="1366">
        <f t="shared" si="2"/>
        <v>44540</v>
      </c>
      <c r="F169" s="224" t="str">
        <f>IF(AND('in-situ Acer outplants'!D:D=B169,IF(VLOOKUP(B169,'in-situ Acer outplants'!D:M,10,FALSE)&lt;&gt;0,"TRUE", "FALSE")),"Completed",DATE(year(A169), month(A169)+1, day(A169)))</f>
        <v>Completed</v>
      </c>
      <c r="G169" s="1360" t="str">
        <f>IF(AND('in-situ Acer outplants'!D:D=B169,IF(VLOOKUP(B169,'in-situ Acer outplants'!D:T,17,FALSE)&lt;&gt;0,"TRUE", "FALSE")),"Completed",DATE(year(A169)+1, month(A169), day(A169)))</f>
        <v>Completed</v>
      </c>
      <c r="H169" s="1360"/>
      <c r="I169" s="1360"/>
      <c r="J169" s="1360"/>
      <c r="K169" s="1360"/>
      <c r="L169" s="1360"/>
      <c r="M169" s="1360"/>
      <c r="N169" s="1360"/>
      <c r="O169" s="1371"/>
      <c r="P169" s="1385"/>
      <c r="Q169" s="1360"/>
      <c r="R169" s="1360"/>
      <c r="S169" s="1370">
        <f t="shared" si="3"/>
        <v>693992</v>
      </c>
      <c r="T169" s="1366">
        <f t="shared" si="4"/>
        <v>365</v>
      </c>
      <c r="U169" s="1360" t="str">
        <f>IF(AND('ex-situ Apal outplants'!D:D=Q169,IF(VLOOKUP(Q169,'ex-situ Apal outplants'!D:M,10,FALSE)&lt;&gt;0,"TRUE", "FALSE")),"Completed",DATE(year(P169), month(P169)+1, day(P169)))</f>
        <v>#N/A</v>
      </c>
      <c r="V169" s="1360" t="str">
        <f>IF(AND('ex-situ Apal outplants'!D:D=Q169,IF(VLOOKUP(Q169,'ex-situ Apal outplants'!D:T,17,FALSE)&lt;&gt;0,"TRUE", "FALSE")),"Completed",DATE(year(P169)+1, month(P169), day(P169)))</f>
        <v>#N/A</v>
      </c>
      <c r="W169" s="1360"/>
      <c r="X169" s="1360"/>
      <c r="Y169" s="1360"/>
      <c r="Z169" s="1360"/>
      <c r="AA169" s="1360"/>
      <c r="AB169" s="1360"/>
      <c r="AC169" s="1360"/>
      <c r="AD169" s="1371"/>
      <c r="AE169" s="1360"/>
      <c r="AF169" s="1360"/>
      <c r="AG169" s="1360"/>
    </row>
    <row r="170">
      <c r="A170" s="1356">
        <v>44176.0</v>
      </c>
      <c r="B170" s="1357" t="s">
        <v>651</v>
      </c>
      <c r="C170" s="1358" t="s">
        <v>652</v>
      </c>
      <c r="D170" s="1366">
        <f t="shared" si="1"/>
        <v>44207</v>
      </c>
      <c r="E170" s="1366">
        <f t="shared" si="2"/>
        <v>44541</v>
      </c>
      <c r="F170" s="224" t="str">
        <f>IF(AND('in-situ Acer outplants'!D:D=B170,IF(VLOOKUP(B170,'in-situ Acer outplants'!D:M,10,FALSE)&lt;&gt;0,"TRUE", "FALSE")),"Completed",DATE(year(A170), month(A170)+1, day(A170)))</f>
        <v>Completed</v>
      </c>
      <c r="G170" s="1360" t="str">
        <f>IF(AND('in-situ Acer outplants'!D:D=B170,IF(VLOOKUP(B170,'in-situ Acer outplants'!D:T,17,FALSE)&lt;&gt;0,"TRUE", "FALSE")),"Completed",DATE(year(A170)+1, month(A170), day(A170)))</f>
        <v>Completed</v>
      </c>
      <c r="H170" s="1360"/>
      <c r="I170" s="1360"/>
      <c r="J170" s="1360"/>
      <c r="K170" s="1360"/>
      <c r="L170" s="1360"/>
      <c r="M170" s="1360"/>
      <c r="N170" s="1360"/>
      <c r="O170" s="1371"/>
      <c r="P170" s="1385"/>
      <c r="Q170" s="1360"/>
      <c r="R170" s="1360"/>
      <c r="S170" s="1370">
        <f t="shared" si="3"/>
        <v>693992</v>
      </c>
      <c r="T170" s="1366">
        <f t="shared" si="4"/>
        <v>365</v>
      </c>
      <c r="U170" s="1360" t="str">
        <f>IF(AND('ex-situ Apal outplants'!D:D=Q170,IF(VLOOKUP(Q170,'ex-situ Apal outplants'!D:M,10,FALSE)&lt;&gt;0,"TRUE", "FALSE")),"Completed",DATE(year(P170), month(P170)+1, day(P170)))</f>
        <v>#N/A</v>
      </c>
      <c r="V170" s="1360" t="str">
        <f>IF(AND('ex-situ Apal outplants'!D:D=Q170,IF(VLOOKUP(Q170,'ex-situ Apal outplants'!D:T,17,FALSE)&lt;&gt;0,"TRUE", "FALSE")),"Completed",DATE(year(P170)+1, month(P170), day(P170)))</f>
        <v>#N/A</v>
      </c>
      <c r="W170" s="1360"/>
      <c r="X170" s="1360"/>
      <c r="Y170" s="1360"/>
      <c r="Z170" s="1360"/>
      <c r="AA170" s="1360"/>
      <c r="AB170" s="1360"/>
      <c r="AC170" s="1360"/>
      <c r="AD170" s="1371"/>
      <c r="AE170" s="1360"/>
      <c r="AF170" s="1360"/>
      <c r="AG170" s="1360"/>
    </row>
    <row r="171">
      <c r="A171" s="1356">
        <v>44176.0</v>
      </c>
      <c r="B171" s="1357" t="s">
        <v>654</v>
      </c>
      <c r="C171" s="1358" t="s">
        <v>423</v>
      </c>
      <c r="D171" s="1366">
        <f t="shared" si="1"/>
        <v>44207</v>
      </c>
      <c r="E171" s="1366">
        <f t="shared" si="2"/>
        <v>44541</v>
      </c>
      <c r="F171" s="224" t="str">
        <f>IF(AND('in-situ Acer outplants'!D:D=B171,IF(VLOOKUP(B171,'in-situ Acer outplants'!D:M,10,FALSE)&lt;&gt;0,"TRUE", "FALSE")),"Completed",DATE(year(A171), month(A171)+1, day(A171)))</f>
        <v>Completed</v>
      </c>
      <c r="G171" s="1360" t="str">
        <f>IF(AND('in-situ Acer outplants'!D:D=B171,IF(VLOOKUP(B171,'in-situ Acer outplants'!D:T,17,FALSE)&lt;&gt;0,"TRUE", "FALSE")),"Completed",DATE(year(A171)+1, month(A171), day(A171)))</f>
        <v>Completed</v>
      </c>
      <c r="H171" s="1360"/>
      <c r="I171" s="1360"/>
      <c r="J171" s="1360"/>
      <c r="K171" s="1360"/>
      <c r="L171" s="1360"/>
      <c r="M171" s="1360"/>
      <c r="N171" s="1360"/>
      <c r="O171" s="1371"/>
      <c r="P171" s="1385"/>
      <c r="Q171" s="1360"/>
      <c r="R171" s="1360"/>
      <c r="S171" s="1370">
        <f t="shared" si="3"/>
        <v>693992</v>
      </c>
      <c r="T171" s="1366">
        <f t="shared" si="4"/>
        <v>365</v>
      </c>
      <c r="U171" s="1360" t="str">
        <f>IF(AND('ex-situ Apal outplants'!D:D=Q171,IF(VLOOKUP(Q171,'ex-situ Apal outplants'!D:M,10,FALSE)&lt;&gt;0,"TRUE", "FALSE")),"Completed",DATE(year(P171), month(P171)+1, day(P171)))</f>
        <v>#N/A</v>
      </c>
      <c r="V171" s="1360" t="str">
        <f>IF(AND('ex-situ Apal outplants'!D:D=Q171,IF(VLOOKUP(Q171,'ex-situ Apal outplants'!D:T,17,FALSE)&lt;&gt;0,"TRUE", "FALSE")),"Completed",DATE(year(P171)+1, month(P171), day(P171)))</f>
        <v>#N/A</v>
      </c>
      <c r="W171" s="1360"/>
      <c r="X171" s="1360"/>
      <c r="Y171" s="1360"/>
      <c r="Z171" s="1360"/>
      <c r="AA171" s="1360"/>
      <c r="AB171" s="1360"/>
      <c r="AC171" s="1360"/>
      <c r="AD171" s="1371"/>
      <c r="AE171" s="1360"/>
      <c r="AF171" s="1360"/>
      <c r="AG171" s="1360"/>
    </row>
    <row r="172">
      <c r="A172" s="1356">
        <v>44179.0</v>
      </c>
      <c r="B172" s="1357" t="s">
        <v>656</v>
      </c>
      <c r="C172" s="1358" t="s">
        <v>299</v>
      </c>
      <c r="D172" s="1366">
        <f t="shared" si="1"/>
        <v>44210</v>
      </c>
      <c r="E172" s="1366">
        <f t="shared" si="2"/>
        <v>44544</v>
      </c>
      <c r="F172" s="224" t="str">
        <f>IF(AND('in-situ Acer outplants'!D:D=B172,IF(VLOOKUP(B172,'in-situ Acer outplants'!D:M,10,FALSE)&lt;&gt;0,"TRUE", "FALSE")),"Completed",DATE(year(A172), month(A172)+1, day(A172)))</f>
        <v>Completed</v>
      </c>
      <c r="G172" s="1360" t="str">
        <f>IF(AND('in-situ Acer outplants'!D:D=B172,IF(VLOOKUP(B172,'in-situ Acer outplants'!D:T,17,FALSE)&lt;&gt;0,"TRUE", "FALSE")),"Completed",DATE(year(A172)+1, month(A172), day(A172)))</f>
        <v>Completed</v>
      </c>
      <c r="H172" s="1360"/>
      <c r="I172" s="1360"/>
      <c r="J172" s="1360"/>
      <c r="K172" s="1360"/>
      <c r="L172" s="1360"/>
      <c r="M172" s="1360"/>
      <c r="N172" s="1360"/>
      <c r="O172" s="1371"/>
      <c r="P172" s="1385"/>
      <c r="Q172" s="1360"/>
      <c r="R172" s="1360"/>
      <c r="S172" s="1370">
        <f t="shared" si="3"/>
        <v>693992</v>
      </c>
      <c r="T172" s="1366">
        <f t="shared" si="4"/>
        <v>365</v>
      </c>
      <c r="U172" s="1360" t="str">
        <f>IF(AND('ex-situ Apal outplants'!D:D=Q172,IF(VLOOKUP(Q172,'ex-situ Apal outplants'!D:M,10,FALSE)&lt;&gt;0,"TRUE", "FALSE")),"Completed",DATE(year(P172), month(P172)+1, day(P172)))</f>
        <v>#N/A</v>
      </c>
      <c r="V172" s="1360" t="str">
        <f>IF(AND('ex-situ Apal outplants'!D:D=Q172,IF(VLOOKUP(Q172,'ex-situ Apal outplants'!D:T,17,FALSE)&lt;&gt;0,"TRUE", "FALSE")),"Completed",DATE(year(P172)+1, month(P172), day(P172)))</f>
        <v>#N/A</v>
      </c>
      <c r="W172" s="1360"/>
      <c r="X172" s="1360"/>
      <c r="Y172" s="1360"/>
      <c r="Z172" s="1360"/>
      <c r="AA172" s="1360"/>
      <c r="AB172" s="1360"/>
      <c r="AC172" s="1360"/>
      <c r="AD172" s="1371"/>
      <c r="AE172" s="1360"/>
      <c r="AF172" s="1360"/>
      <c r="AG172" s="1360"/>
    </row>
    <row r="173">
      <c r="A173" s="1356">
        <v>44180.0</v>
      </c>
      <c r="B173" s="1357" t="s">
        <v>658</v>
      </c>
      <c r="C173" s="1358" t="s">
        <v>290</v>
      </c>
      <c r="D173" s="1366">
        <f t="shared" si="1"/>
        <v>44211</v>
      </c>
      <c r="E173" s="1366">
        <f t="shared" si="2"/>
        <v>44545</v>
      </c>
      <c r="F173" s="224" t="str">
        <f>IF(AND('in-situ Acer outplants'!D:D=B173,IF(VLOOKUP(B173,'in-situ Acer outplants'!D:M,10,FALSE)&lt;&gt;0,"TRUE", "FALSE")),"Completed",DATE(year(A173), month(A173)+1, day(A173)))</f>
        <v>Completed</v>
      </c>
      <c r="G173" s="1360" t="str">
        <f>IF(AND('in-situ Acer outplants'!D:D=B173,IF(VLOOKUP(B173,'in-situ Acer outplants'!D:T,17,FALSE)&lt;&gt;0,"TRUE", "FALSE")),"Completed",DATE(year(A173)+1, month(A173), day(A173)))</f>
        <v>Completed</v>
      </c>
      <c r="H173" s="1360"/>
      <c r="I173" s="1360"/>
      <c r="J173" s="1360"/>
      <c r="K173" s="1360"/>
      <c r="L173" s="1360"/>
      <c r="M173" s="1360"/>
      <c r="N173" s="1360"/>
      <c r="O173" s="1371"/>
      <c r="P173" s="1385"/>
      <c r="Q173" s="1360"/>
      <c r="R173" s="1360"/>
      <c r="S173" s="1370">
        <f t="shared" si="3"/>
        <v>693992</v>
      </c>
      <c r="T173" s="1366">
        <f t="shared" si="4"/>
        <v>365</v>
      </c>
      <c r="U173" s="1360" t="str">
        <f>IF(AND('ex-situ Apal outplants'!D:D=Q173,IF(VLOOKUP(Q173,'ex-situ Apal outplants'!D:M,10,FALSE)&lt;&gt;0,"TRUE", "FALSE")),"Completed",DATE(year(P173), month(P173)+1, day(P173)))</f>
        <v>#N/A</v>
      </c>
      <c r="V173" s="1360" t="str">
        <f>IF(AND('ex-situ Apal outplants'!D:D=Q173,IF(VLOOKUP(Q173,'ex-situ Apal outplants'!D:T,17,FALSE)&lt;&gt;0,"TRUE", "FALSE")),"Completed",DATE(year(P173)+1, month(P173), day(P173)))</f>
        <v>#N/A</v>
      </c>
      <c r="W173" s="1360"/>
      <c r="X173" s="1360"/>
      <c r="Y173" s="1360"/>
      <c r="Z173" s="1360"/>
      <c r="AA173" s="1360"/>
      <c r="AB173" s="1360"/>
      <c r="AC173" s="1360"/>
      <c r="AD173" s="1371"/>
      <c r="AE173" s="1360"/>
      <c r="AF173" s="1360"/>
      <c r="AG173" s="1360"/>
    </row>
    <row r="174">
      <c r="A174" s="1356">
        <v>44182.0</v>
      </c>
      <c r="B174" s="1357" t="s">
        <v>660</v>
      </c>
      <c r="C174" s="1358" t="s">
        <v>661</v>
      </c>
      <c r="D174" s="1366">
        <f t="shared" si="1"/>
        <v>44213</v>
      </c>
      <c r="E174" s="1366">
        <f t="shared" si="2"/>
        <v>44547</v>
      </c>
      <c r="F174" s="224" t="str">
        <f>IF(AND('in-situ Acer outplants'!D:D=B174,IF(VLOOKUP(B174,'in-situ Acer outplants'!D:M,10,FALSE)&lt;&gt;0,"TRUE", "FALSE")),"Completed",DATE(year(A174), month(A174)+1, day(A174)))</f>
        <v>Completed</v>
      </c>
      <c r="G174" s="1360" t="str">
        <f>IF(AND('in-situ Acer outplants'!D:D=B174,IF(VLOOKUP(B174,'in-situ Acer outplants'!D:T,17,FALSE)&lt;&gt;0,"TRUE", "FALSE")),"Completed",DATE(year(A174)+1, month(A174), day(A174)))</f>
        <v>Completed</v>
      </c>
      <c r="H174" s="1360"/>
      <c r="I174" s="1360"/>
      <c r="J174" s="1360"/>
      <c r="K174" s="1360"/>
      <c r="L174" s="1360"/>
      <c r="M174" s="1360"/>
      <c r="N174" s="1360"/>
      <c r="O174" s="1371"/>
      <c r="P174" s="1385"/>
      <c r="Q174" s="1360"/>
      <c r="R174" s="1360"/>
      <c r="S174" s="1370">
        <f t="shared" si="3"/>
        <v>693992</v>
      </c>
      <c r="T174" s="1366">
        <f t="shared" si="4"/>
        <v>365</v>
      </c>
      <c r="U174" s="1360" t="str">
        <f>IF(AND('ex-situ Apal outplants'!D:D=Q174,IF(VLOOKUP(Q174,'ex-situ Apal outplants'!D:M,10,FALSE)&lt;&gt;0,"TRUE", "FALSE")),"Completed",DATE(year(P174), month(P174)+1, day(P174)))</f>
        <v>#N/A</v>
      </c>
      <c r="V174" s="1360" t="str">
        <f>IF(AND('ex-situ Apal outplants'!D:D=Q174,IF(VLOOKUP(Q174,'ex-situ Apal outplants'!D:T,17,FALSE)&lt;&gt;0,"TRUE", "FALSE")),"Completed",DATE(year(P174)+1, month(P174), day(P174)))</f>
        <v>#N/A</v>
      </c>
      <c r="W174" s="1360"/>
      <c r="X174" s="1360"/>
      <c r="Y174" s="1360"/>
      <c r="Z174" s="1360"/>
      <c r="AA174" s="1360"/>
      <c r="AB174" s="1360"/>
      <c r="AC174" s="1360"/>
      <c r="AD174" s="1371"/>
      <c r="AE174" s="1360"/>
      <c r="AF174" s="1360"/>
      <c r="AG174" s="1360"/>
    </row>
    <row r="175">
      <c r="A175" s="1356">
        <v>44186.0</v>
      </c>
      <c r="B175" s="1357" t="s">
        <v>664</v>
      </c>
      <c r="C175" s="1358" t="s">
        <v>665</v>
      </c>
      <c r="D175" s="1366">
        <f t="shared" si="1"/>
        <v>44217</v>
      </c>
      <c r="E175" s="1366">
        <f t="shared" si="2"/>
        <v>44551</v>
      </c>
      <c r="F175" s="224" t="str">
        <f>IF(AND('in-situ Acer outplants'!D:D=B175,IF(VLOOKUP(B175,'in-situ Acer outplants'!D:M,10,FALSE)&lt;&gt;0,"TRUE", "FALSE")),"Completed",DATE(year(A175), month(A175)+1, day(A175)))</f>
        <v>Completed</v>
      </c>
      <c r="G175" s="1360" t="str">
        <f>IF(AND('in-situ Acer outplants'!D:D=B175,IF(VLOOKUP(B175,'in-situ Acer outplants'!D:T,17,FALSE)&lt;&gt;0,"TRUE", "FALSE")),"Completed",DATE(year(A175)+1, month(A175), day(A175)))</f>
        <v>Completed</v>
      </c>
      <c r="H175" s="1360"/>
      <c r="I175" s="1360"/>
      <c r="J175" s="1360"/>
      <c r="K175" s="1360"/>
      <c r="L175" s="1360"/>
      <c r="M175" s="1360"/>
      <c r="N175" s="1360"/>
      <c r="O175" s="1371"/>
      <c r="P175" s="1385"/>
      <c r="Q175" s="1360"/>
      <c r="R175" s="1360"/>
      <c r="S175" s="1370">
        <f t="shared" si="3"/>
        <v>693992</v>
      </c>
      <c r="T175" s="1366">
        <f t="shared" si="4"/>
        <v>365</v>
      </c>
      <c r="U175" s="1360" t="str">
        <f>IF(AND('ex-situ Apal outplants'!D:D=Q175,IF(VLOOKUP(Q175,'ex-situ Apal outplants'!D:M,10,FALSE)&lt;&gt;0,"TRUE", "FALSE")),"Completed",DATE(year(P175), month(P175)+1, day(P175)))</f>
        <v>#N/A</v>
      </c>
      <c r="V175" s="1360" t="str">
        <f>IF(AND('ex-situ Apal outplants'!D:D=Q175,IF(VLOOKUP(Q175,'ex-situ Apal outplants'!D:T,17,FALSE)&lt;&gt;0,"TRUE", "FALSE")),"Completed",DATE(year(P175)+1, month(P175), day(P175)))</f>
        <v>#N/A</v>
      </c>
      <c r="W175" s="1360"/>
      <c r="X175" s="1360"/>
      <c r="Y175" s="1360"/>
      <c r="Z175" s="1360"/>
      <c r="AA175" s="1360"/>
      <c r="AB175" s="1360"/>
      <c r="AC175" s="1360"/>
      <c r="AD175" s="1371"/>
      <c r="AE175" s="1360"/>
      <c r="AF175" s="1360"/>
      <c r="AG175" s="1360"/>
    </row>
    <row r="176">
      <c r="A176" s="1356">
        <v>44208.0</v>
      </c>
      <c r="B176" s="1357" t="s">
        <v>667</v>
      </c>
      <c r="C176" s="1358" t="s">
        <v>612</v>
      </c>
      <c r="D176" s="1366">
        <f t="shared" si="1"/>
        <v>44239</v>
      </c>
      <c r="E176" s="1366">
        <f t="shared" si="2"/>
        <v>44573</v>
      </c>
      <c r="F176" s="224" t="str">
        <f>IF(AND('in-situ Acer outplants'!D:D=B176,IF(VLOOKUP(B176,'in-situ Acer outplants'!D:M,10,FALSE)&lt;&gt;0,"TRUE", "FALSE")),"Completed",DATE(year(A176), month(A176)+1, day(A176)))</f>
        <v>Completed</v>
      </c>
      <c r="G176" s="1360" t="str">
        <f>IF(AND('in-situ Acer outplants'!D:D=B176,IF(VLOOKUP(B176,'in-situ Acer outplants'!D:T,17,FALSE)&lt;&gt;0,"TRUE", "FALSE")),"Completed",DATE(year(A176)+1, month(A176), day(A176)))</f>
        <v>Completed</v>
      </c>
      <c r="H176" s="1360"/>
      <c r="I176" s="1360"/>
      <c r="J176" s="1360"/>
      <c r="K176" s="1360"/>
      <c r="L176" s="1360"/>
      <c r="M176" s="1360"/>
      <c r="N176" s="1360"/>
      <c r="O176" s="1371"/>
      <c r="P176" s="1385"/>
      <c r="Q176" s="1360"/>
      <c r="R176" s="1360"/>
      <c r="S176" s="1370">
        <f t="shared" si="3"/>
        <v>693992</v>
      </c>
      <c r="T176" s="1366">
        <f t="shared" si="4"/>
        <v>365</v>
      </c>
      <c r="U176" s="1360" t="str">
        <f>IF(AND('ex-situ Apal outplants'!D:D=Q176,IF(VLOOKUP(Q176,'ex-situ Apal outplants'!D:M,10,FALSE)&lt;&gt;0,"TRUE", "FALSE")),"Completed",DATE(year(P176), month(P176)+1, day(P176)))</f>
        <v>#N/A</v>
      </c>
      <c r="V176" s="1360" t="str">
        <f>IF(AND('ex-situ Apal outplants'!D:D=Q176,IF(VLOOKUP(Q176,'ex-situ Apal outplants'!D:T,17,FALSE)&lt;&gt;0,"TRUE", "FALSE")),"Completed",DATE(year(P176)+1, month(P176), day(P176)))</f>
        <v>#N/A</v>
      </c>
      <c r="W176" s="1360"/>
      <c r="X176" s="1360"/>
      <c r="Y176" s="1360"/>
      <c r="Z176" s="1360"/>
      <c r="AA176" s="1360"/>
      <c r="AB176" s="1360"/>
      <c r="AC176" s="1360"/>
      <c r="AD176" s="1371"/>
      <c r="AE176" s="1360"/>
      <c r="AF176" s="1360"/>
      <c r="AG176" s="1360"/>
    </row>
    <row r="177">
      <c r="A177" s="1356">
        <v>44218.0</v>
      </c>
      <c r="B177" s="1357" t="s">
        <v>669</v>
      </c>
      <c r="C177" s="1358" t="s">
        <v>290</v>
      </c>
      <c r="D177" s="1366">
        <f t="shared" si="1"/>
        <v>44249</v>
      </c>
      <c r="E177" s="1366">
        <f t="shared" si="2"/>
        <v>44583</v>
      </c>
      <c r="F177" s="224" t="str">
        <f>IF(AND('in-situ Acer outplants'!D:D=B177,IF(VLOOKUP(B177,'in-situ Acer outplants'!D:M,10,FALSE)&lt;&gt;0,"TRUE", "FALSE")),"Completed",DATE(year(A177), month(A177)+1, day(A177)))</f>
        <v>Completed</v>
      </c>
      <c r="G177" s="1360" t="str">
        <f>IF(AND('in-situ Acer outplants'!D:D=B177,IF(VLOOKUP(B177,'in-situ Acer outplants'!D:T,17,FALSE)&lt;&gt;0,"TRUE", "FALSE")),"Completed",DATE(year(A177)+1, month(A177), day(A177)))</f>
        <v>Completed</v>
      </c>
      <c r="H177" s="1360"/>
      <c r="I177" s="1360"/>
      <c r="J177" s="1360"/>
      <c r="K177" s="1360"/>
      <c r="L177" s="1360"/>
      <c r="M177" s="1360"/>
      <c r="N177" s="1360"/>
      <c r="O177" s="1371"/>
      <c r="P177" s="1385"/>
      <c r="Q177" s="1360"/>
      <c r="R177" s="1360"/>
      <c r="S177" s="1370">
        <f t="shared" si="3"/>
        <v>693992</v>
      </c>
      <c r="T177" s="1366">
        <f t="shared" si="4"/>
        <v>365</v>
      </c>
      <c r="U177" s="1360" t="str">
        <f>IF(AND('ex-situ Apal outplants'!D:D=Q177,IF(VLOOKUP(Q177,'ex-situ Apal outplants'!D:M,10,FALSE)&lt;&gt;0,"TRUE", "FALSE")),"Completed",DATE(year(P177), month(P177)+1, day(P177)))</f>
        <v>#N/A</v>
      </c>
      <c r="V177" s="1360" t="str">
        <f>IF(AND('ex-situ Apal outplants'!D:D=Q177,IF(VLOOKUP(Q177,'ex-situ Apal outplants'!D:T,17,FALSE)&lt;&gt;0,"TRUE", "FALSE")),"Completed",DATE(year(P177)+1, month(P177), day(P177)))</f>
        <v>#N/A</v>
      </c>
      <c r="W177" s="1360"/>
      <c r="X177" s="1360"/>
      <c r="Y177" s="1360"/>
      <c r="Z177" s="1360"/>
      <c r="AA177" s="1360"/>
      <c r="AB177" s="1360"/>
      <c r="AC177" s="1360"/>
      <c r="AD177" s="1371"/>
      <c r="AE177" s="1360"/>
      <c r="AF177" s="1360"/>
      <c r="AG177" s="1360"/>
    </row>
    <row r="178">
      <c r="A178" s="1356">
        <v>44223.0</v>
      </c>
      <c r="B178" s="1357" t="s">
        <v>672</v>
      </c>
      <c r="C178" s="1358" t="s">
        <v>673</v>
      </c>
      <c r="D178" s="1366">
        <f t="shared" si="1"/>
        <v>44254</v>
      </c>
      <c r="E178" s="1366">
        <f t="shared" si="2"/>
        <v>44588</v>
      </c>
      <c r="F178" s="224" t="str">
        <f>IF(AND('in-situ Acer outplants'!D:D=B178,IF(VLOOKUP(B178,'in-situ Acer outplants'!D:M,10,FALSE)&lt;&gt;0,"TRUE", "FALSE")),"Completed",DATE(year(A178), month(A178)+1, day(A178)))</f>
        <v>Completed</v>
      </c>
      <c r="G178" s="1360" t="str">
        <f>IF(AND('in-situ Acer outplants'!D:D=B178,IF(VLOOKUP(B178,'in-situ Acer outplants'!D:T,17,FALSE)&lt;&gt;0,"TRUE", "FALSE")),"Completed",DATE(year(A178)+1, month(A178), day(A178)))</f>
        <v>Completed</v>
      </c>
      <c r="H178" s="1360"/>
      <c r="I178" s="1360"/>
      <c r="J178" s="1360"/>
      <c r="K178" s="1360"/>
      <c r="L178" s="1360"/>
      <c r="M178" s="1360"/>
      <c r="N178" s="1360"/>
      <c r="O178" s="1371"/>
      <c r="P178" s="1385"/>
      <c r="Q178" s="1360"/>
      <c r="R178" s="1360"/>
      <c r="S178" s="1370">
        <f t="shared" si="3"/>
        <v>693992</v>
      </c>
      <c r="T178" s="1366">
        <f t="shared" si="4"/>
        <v>365</v>
      </c>
      <c r="U178" s="1360" t="str">
        <f>IF(AND('ex-situ Apal outplants'!D:D=Q178,IF(VLOOKUP(Q178,'ex-situ Apal outplants'!D:M,10,FALSE)&lt;&gt;0,"TRUE", "FALSE")),"Completed",DATE(year(P178), month(P178)+1, day(P178)))</f>
        <v>#N/A</v>
      </c>
      <c r="V178" s="1360" t="str">
        <f>IF(AND('ex-situ Apal outplants'!D:D=Q178,IF(VLOOKUP(Q178,'ex-situ Apal outplants'!D:T,17,FALSE)&lt;&gt;0,"TRUE", "FALSE")),"Completed",DATE(year(P178)+1, month(P178), day(P178)))</f>
        <v>#N/A</v>
      </c>
      <c r="W178" s="1360"/>
      <c r="X178" s="1360"/>
      <c r="Y178" s="1360"/>
      <c r="Z178" s="1360"/>
      <c r="AA178" s="1360"/>
      <c r="AB178" s="1360"/>
      <c r="AC178" s="1360"/>
      <c r="AD178" s="1371"/>
      <c r="AE178" s="1360"/>
      <c r="AF178" s="1360"/>
      <c r="AG178" s="1360"/>
    </row>
    <row r="179">
      <c r="A179" s="1356">
        <v>44232.0</v>
      </c>
      <c r="B179" s="1357" t="s">
        <v>675</v>
      </c>
      <c r="C179" s="1358" t="s">
        <v>676</v>
      </c>
      <c r="D179" s="1366">
        <f t="shared" si="1"/>
        <v>44260</v>
      </c>
      <c r="E179" s="1366">
        <f t="shared" si="2"/>
        <v>44597</v>
      </c>
      <c r="F179" s="224" t="str">
        <f>IF(AND('in-situ Acer outplants'!D:D=B179,IF(VLOOKUP(B179,'in-situ Acer outplants'!D:M,10,FALSE)&lt;&gt;0,"TRUE", "FALSE")),"Completed",DATE(year(A179), month(A179)+1, day(A179)))</f>
        <v>Completed</v>
      </c>
      <c r="G179" s="1360" t="str">
        <f>IF(AND('in-situ Acer outplants'!D:D=B179,IF(VLOOKUP(B179,'in-situ Acer outplants'!D:T,17,FALSE)&lt;&gt;0,"TRUE", "FALSE")),"Completed",DATE(year(A179)+1, month(A179), day(A179)))</f>
        <v>Completed</v>
      </c>
      <c r="H179" s="1360"/>
      <c r="I179" s="1360"/>
      <c r="J179" s="1360"/>
      <c r="K179" s="1360"/>
      <c r="L179" s="1360"/>
      <c r="M179" s="1360"/>
      <c r="N179" s="1360"/>
      <c r="O179" s="1371"/>
      <c r="P179" s="1385"/>
      <c r="Q179" s="1360"/>
      <c r="R179" s="1360"/>
      <c r="S179" s="1370">
        <f t="shared" si="3"/>
        <v>693992</v>
      </c>
      <c r="T179" s="1366">
        <f t="shared" si="4"/>
        <v>365</v>
      </c>
      <c r="U179" s="1360" t="str">
        <f>IF(AND('ex-situ Apal outplants'!D:D=Q179,IF(VLOOKUP(Q179,'ex-situ Apal outplants'!D:M,10,FALSE)&lt;&gt;0,"TRUE", "FALSE")),"Completed",DATE(year(P179), month(P179)+1, day(P179)))</f>
        <v>#N/A</v>
      </c>
      <c r="V179" s="1360" t="str">
        <f>IF(AND('ex-situ Apal outplants'!D:D=Q179,IF(VLOOKUP(Q179,'ex-situ Apal outplants'!D:T,17,FALSE)&lt;&gt;0,"TRUE", "FALSE")),"Completed",DATE(year(P179)+1, month(P179), day(P179)))</f>
        <v>#N/A</v>
      </c>
      <c r="W179" s="1360"/>
      <c r="X179" s="1360"/>
      <c r="Y179" s="1360"/>
      <c r="Z179" s="1360"/>
      <c r="AA179" s="1360"/>
      <c r="AB179" s="1360"/>
      <c r="AC179" s="1360"/>
      <c r="AD179" s="1371"/>
      <c r="AE179" s="1360"/>
      <c r="AF179" s="1360"/>
      <c r="AG179" s="1360"/>
    </row>
    <row r="180">
      <c r="A180" s="1356">
        <v>44239.0</v>
      </c>
      <c r="B180" s="1357" t="s">
        <v>678</v>
      </c>
      <c r="C180" s="1358" t="s">
        <v>612</v>
      </c>
      <c r="D180" s="1366">
        <f t="shared" si="1"/>
        <v>44267</v>
      </c>
      <c r="E180" s="1366">
        <f t="shared" si="2"/>
        <v>44604</v>
      </c>
      <c r="F180" s="224" t="str">
        <f>IF(AND('in-situ Acer outplants'!D:D=B180,IF(VLOOKUP(B180,'in-situ Acer outplants'!D:M,10,FALSE)&lt;&gt;0,"TRUE", "FALSE")),"Completed",DATE(year(A180), month(A180)+1, day(A180)))</f>
        <v>Completed</v>
      </c>
      <c r="G180" s="1360" t="str">
        <f>IF(AND('in-situ Acer outplants'!D:D=B180,IF(VLOOKUP(B180,'in-situ Acer outplants'!D:T,17,FALSE)&lt;&gt;0,"TRUE", "FALSE")),"Completed",DATE(year(A180)+1, month(A180), day(A180)))</f>
        <v>Completed</v>
      </c>
      <c r="H180" s="1360"/>
      <c r="I180" s="1360"/>
      <c r="J180" s="1360"/>
      <c r="K180" s="1360"/>
      <c r="L180" s="1360"/>
      <c r="M180" s="1360"/>
      <c r="N180" s="1360"/>
      <c r="O180" s="1371"/>
      <c r="P180" s="1385"/>
      <c r="Q180" s="1360"/>
      <c r="R180" s="1360"/>
      <c r="S180" s="1370">
        <f t="shared" si="3"/>
        <v>693992</v>
      </c>
      <c r="T180" s="1366">
        <f t="shared" si="4"/>
        <v>365</v>
      </c>
      <c r="U180" s="1360" t="str">
        <f>IF(AND('ex-situ Apal outplants'!D:D=Q180,IF(VLOOKUP(Q180,'ex-situ Apal outplants'!D:M,10,FALSE)&lt;&gt;0,"TRUE", "FALSE")),"Completed",DATE(year(P180), month(P180)+1, day(P180)))</f>
        <v>#N/A</v>
      </c>
      <c r="V180" s="1360" t="str">
        <f>IF(AND('ex-situ Apal outplants'!D:D=Q180,IF(VLOOKUP(Q180,'ex-situ Apal outplants'!D:T,17,FALSE)&lt;&gt;0,"TRUE", "FALSE")),"Completed",DATE(year(P180)+1, month(P180), day(P180)))</f>
        <v>#N/A</v>
      </c>
      <c r="W180" s="1360"/>
      <c r="X180" s="1360"/>
      <c r="Y180" s="1360"/>
      <c r="Z180" s="1360"/>
      <c r="AA180" s="1360"/>
      <c r="AB180" s="1360"/>
      <c r="AC180" s="1360"/>
      <c r="AD180" s="1371"/>
      <c r="AE180" s="1360"/>
      <c r="AF180" s="1360"/>
      <c r="AG180" s="1360"/>
    </row>
    <row r="181">
      <c r="A181" s="1356">
        <v>44250.0</v>
      </c>
      <c r="B181" s="1357" t="s">
        <v>680</v>
      </c>
      <c r="C181" s="1358" t="s">
        <v>316</v>
      </c>
      <c r="D181" s="1366">
        <f t="shared" si="1"/>
        <v>44278</v>
      </c>
      <c r="E181" s="1366">
        <f t="shared" si="2"/>
        <v>44615</v>
      </c>
      <c r="F181" s="224" t="str">
        <f>IF(AND('in-situ Acer outplants'!D:D=B181,IF(VLOOKUP(B181,'in-situ Acer outplants'!D:M,10,FALSE)&lt;&gt;0,"TRUE", "FALSE")),"Completed",DATE(year(A181), month(A181)+1, day(A181)))</f>
        <v>Completed</v>
      </c>
      <c r="G181" s="1360" t="str">
        <f>IF(AND('in-situ Acer outplants'!D:D=B181,IF(VLOOKUP(B181,'in-situ Acer outplants'!D:T,17,FALSE)&lt;&gt;0,"TRUE", "FALSE")),"Completed",DATE(year(A181)+1, month(A181), day(A181)))</f>
        <v>Completed</v>
      </c>
      <c r="H181" s="1360"/>
      <c r="I181" s="1360"/>
      <c r="J181" s="1360"/>
      <c r="K181" s="1360"/>
      <c r="L181" s="1360"/>
      <c r="M181" s="1360"/>
      <c r="N181" s="1360"/>
      <c r="O181" s="1371"/>
      <c r="P181" s="1385"/>
      <c r="Q181" s="1360"/>
      <c r="R181" s="1360"/>
      <c r="S181" s="1370">
        <f t="shared" si="3"/>
        <v>693992</v>
      </c>
      <c r="T181" s="1366">
        <f t="shared" si="4"/>
        <v>365</v>
      </c>
      <c r="U181" s="1360" t="str">
        <f>IF(AND('ex-situ Apal outplants'!D:D=Q181,IF(VLOOKUP(Q181,'ex-situ Apal outplants'!D:M,10,FALSE)&lt;&gt;0,"TRUE", "FALSE")),"Completed",DATE(year(P181), month(P181)+1, day(P181)))</f>
        <v>#N/A</v>
      </c>
      <c r="V181" s="1360" t="str">
        <f>IF(AND('ex-situ Apal outplants'!D:D=Q181,IF(VLOOKUP(Q181,'ex-situ Apal outplants'!D:T,17,FALSE)&lt;&gt;0,"TRUE", "FALSE")),"Completed",DATE(year(P181)+1, month(P181), day(P181)))</f>
        <v>#N/A</v>
      </c>
      <c r="W181" s="1360"/>
      <c r="X181" s="1360"/>
      <c r="Y181" s="1360"/>
      <c r="Z181" s="1360"/>
      <c r="AA181" s="1360"/>
      <c r="AB181" s="1360"/>
      <c r="AC181" s="1360"/>
      <c r="AD181" s="1371"/>
      <c r="AE181" s="1360"/>
      <c r="AF181" s="1360"/>
      <c r="AG181" s="1360"/>
    </row>
    <row r="182">
      <c r="A182" s="1356">
        <v>44252.0</v>
      </c>
      <c r="B182" s="1357" t="s">
        <v>682</v>
      </c>
      <c r="C182" s="1358" t="s">
        <v>517</v>
      </c>
      <c r="D182" s="1366">
        <f t="shared" si="1"/>
        <v>44280</v>
      </c>
      <c r="E182" s="1366">
        <f t="shared" si="2"/>
        <v>44617</v>
      </c>
      <c r="F182" s="224" t="str">
        <f>IF(AND('in-situ Acer outplants'!D:D=B182,IF(VLOOKUP(B182,'in-situ Acer outplants'!D:M,10,FALSE)&lt;&gt;0,"TRUE", "FALSE")),"Completed",DATE(year(A182), month(A182)+1, day(A182)))</f>
        <v>Completed</v>
      </c>
      <c r="G182" s="1360" t="str">
        <f>IF(AND('in-situ Acer outplants'!D:D=B182,IF(VLOOKUP(B182,'in-situ Acer outplants'!D:T,17,FALSE)&lt;&gt;0,"TRUE", "FALSE")),"Completed",DATE(year(A182)+1, month(A182), day(A182)))</f>
        <v>Completed</v>
      </c>
      <c r="H182" s="1360"/>
      <c r="I182" s="1360"/>
      <c r="J182" s="1360"/>
      <c r="K182" s="1360"/>
      <c r="L182" s="1360"/>
      <c r="M182" s="1360"/>
      <c r="N182" s="1360"/>
      <c r="O182" s="1371"/>
      <c r="P182" s="1385"/>
      <c r="Q182" s="1360"/>
      <c r="R182" s="1360"/>
      <c r="S182" s="1370">
        <f t="shared" si="3"/>
        <v>693992</v>
      </c>
      <c r="T182" s="1366">
        <f t="shared" si="4"/>
        <v>365</v>
      </c>
      <c r="U182" s="1360" t="str">
        <f>IF(AND('ex-situ Apal outplants'!D:D=Q182,IF(VLOOKUP(Q182,'ex-situ Apal outplants'!D:M,10,FALSE)&lt;&gt;0,"TRUE", "FALSE")),"Completed",DATE(year(P182), month(P182)+1, day(P182)))</f>
        <v>#N/A</v>
      </c>
      <c r="V182" s="1360" t="str">
        <f>IF(AND('ex-situ Apal outplants'!D:D=Q182,IF(VLOOKUP(Q182,'ex-situ Apal outplants'!D:T,17,FALSE)&lt;&gt;0,"TRUE", "FALSE")),"Completed",DATE(year(P182)+1, month(P182), day(P182)))</f>
        <v>#N/A</v>
      </c>
      <c r="W182" s="1360"/>
      <c r="X182" s="1360"/>
      <c r="Y182" s="1360"/>
      <c r="Z182" s="1360"/>
      <c r="AA182" s="1360"/>
      <c r="AB182" s="1360"/>
      <c r="AC182" s="1360"/>
      <c r="AD182" s="1371"/>
      <c r="AE182" s="1360"/>
      <c r="AF182" s="1360"/>
      <c r="AG182" s="1360"/>
    </row>
    <row r="183">
      <c r="A183" s="1356">
        <v>44273.0</v>
      </c>
      <c r="B183" s="1357" t="s">
        <v>684</v>
      </c>
      <c r="C183" s="1358" t="s">
        <v>517</v>
      </c>
      <c r="D183" s="1366">
        <f t="shared" si="1"/>
        <v>44304</v>
      </c>
      <c r="E183" s="1366">
        <f t="shared" si="2"/>
        <v>44638</v>
      </c>
      <c r="F183" s="224" t="str">
        <f>IF(AND('in-situ Acer outplants'!D:D=B183,IF(VLOOKUP(B183,'in-situ Acer outplants'!D:M,10,FALSE)&lt;&gt;0,"TRUE", "FALSE")),"Completed",DATE(year(A183), month(A183)+1, day(A183)))</f>
        <v>Completed</v>
      </c>
      <c r="G183" s="1360" t="str">
        <f>IF(AND('in-situ Acer outplants'!D:D=B183,IF(VLOOKUP(B183,'in-situ Acer outplants'!D:T,17,FALSE)&lt;&gt;0,"TRUE", "FALSE")),"Completed",DATE(year(A183)+1, month(A183), day(A183)))</f>
        <v>Completed</v>
      </c>
      <c r="H183" s="1360"/>
      <c r="I183" s="1360"/>
      <c r="J183" s="1360"/>
      <c r="K183" s="1360"/>
      <c r="L183" s="1360"/>
      <c r="M183" s="1360"/>
      <c r="N183" s="1360"/>
      <c r="O183" s="1371"/>
      <c r="P183" s="1385"/>
      <c r="Q183" s="1360"/>
      <c r="R183" s="1360"/>
      <c r="S183" s="1370">
        <f t="shared" si="3"/>
        <v>693992</v>
      </c>
      <c r="T183" s="1366">
        <f t="shared" si="4"/>
        <v>365</v>
      </c>
      <c r="U183" s="1360" t="str">
        <f>IF(AND('ex-situ Apal outplants'!D:D=Q183,IF(VLOOKUP(Q183,'ex-situ Apal outplants'!D:M,10,FALSE)&lt;&gt;0,"TRUE", "FALSE")),"Completed",DATE(year(P183), month(P183)+1, day(P183)))</f>
        <v>#N/A</v>
      </c>
      <c r="V183" s="1360" t="str">
        <f>IF(AND('ex-situ Apal outplants'!D:D=Q183,IF(VLOOKUP(Q183,'ex-situ Apal outplants'!D:T,17,FALSE)&lt;&gt;0,"TRUE", "FALSE")),"Completed",DATE(year(P183)+1, month(P183), day(P183)))</f>
        <v>#N/A</v>
      </c>
      <c r="W183" s="1360"/>
      <c r="X183" s="1360"/>
      <c r="Y183" s="1360"/>
      <c r="Z183" s="1360"/>
      <c r="AA183" s="1360"/>
      <c r="AB183" s="1360"/>
      <c r="AC183" s="1360"/>
      <c r="AD183" s="1371"/>
      <c r="AE183" s="1360"/>
      <c r="AF183" s="1360"/>
      <c r="AG183" s="1360"/>
    </row>
    <row r="184">
      <c r="A184" s="1356">
        <v>44275.0</v>
      </c>
      <c r="B184" s="1357" t="s">
        <v>686</v>
      </c>
      <c r="C184" s="1358" t="s">
        <v>423</v>
      </c>
      <c r="D184" s="1366">
        <f t="shared" si="1"/>
        <v>44306</v>
      </c>
      <c r="E184" s="1366">
        <f t="shared" si="2"/>
        <v>44640</v>
      </c>
      <c r="F184" s="224" t="str">
        <f>IF(AND('in-situ Acer outplants'!D:D=B184,IF(VLOOKUP(B184,'in-situ Acer outplants'!D:M,10,FALSE)&lt;&gt;0,"TRUE", "FALSE")),"Completed",DATE(year(A184), month(A184)+1, day(A184)))</f>
        <v>Completed</v>
      </c>
      <c r="G184" s="1360" t="str">
        <f>IF(AND('in-situ Acer outplants'!D:D=B184,IF(VLOOKUP(B184,'in-situ Acer outplants'!D:T,17,FALSE)&lt;&gt;0,"TRUE", "FALSE")),"Completed",DATE(year(A184)+1, month(A184), day(A184)))</f>
        <v>Completed</v>
      </c>
      <c r="H184" s="1360"/>
      <c r="I184" s="1360"/>
      <c r="J184" s="1360"/>
      <c r="K184" s="1360"/>
      <c r="L184" s="1360"/>
      <c r="M184" s="1360"/>
      <c r="N184" s="1360"/>
      <c r="O184" s="1371"/>
      <c r="P184" s="1385"/>
      <c r="Q184" s="1360"/>
      <c r="R184" s="1360"/>
      <c r="S184" s="1370">
        <f t="shared" si="3"/>
        <v>693992</v>
      </c>
      <c r="T184" s="1366">
        <f t="shared" si="4"/>
        <v>365</v>
      </c>
      <c r="U184" s="1360" t="str">
        <f>IF(AND('ex-situ Apal outplants'!D:D=Q184,IF(VLOOKUP(Q184,'ex-situ Apal outplants'!D:M,10,FALSE)&lt;&gt;0,"TRUE", "FALSE")),"Completed",DATE(year(P184), month(P184)+1, day(P184)))</f>
        <v>#N/A</v>
      </c>
      <c r="V184" s="1360" t="str">
        <f>IF(AND('ex-situ Apal outplants'!D:D=Q184,IF(VLOOKUP(Q184,'ex-situ Apal outplants'!D:T,17,FALSE)&lt;&gt;0,"TRUE", "FALSE")),"Completed",DATE(year(P184)+1, month(P184), day(P184)))</f>
        <v>#N/A</v>
      </c>
      <c r="W184" s="1360"/>
      <c r="X184" s="1360"/>
      <c r="Y184" s="1360"/>
      <c r="Z184" s="1360"/>
      <c r="AA184" s="1360"/>
      <c r="AB184" s="1360"/>
      <c r="AC184" s="1360"/>
      <c r="AD184" s="1371"/>
      <c r="AE184" s="1360"/>
      <c r="AF184" s="1360"/>
      <c r="AG184" s="1360"/>
    </row>
    <row r="185">
      <c r="A185" s="1356">
        <v>44277.0</v>
      </c>
      <c r="B185" s="1357" t="s">
        <v>688</v>
      </c>
      <c r="C185" s="1358" t="s">
        <v>689</v>
      </c>
      <c r="D185" s="1366">
        <f t="shared" si="1"/>
        <v>44308</v>
      </c>
      <c r="E185" s="1366">
        <f t="shared" si="2"/>
        <v>44642</v>
      </c>
      <c r="F185" s="224" t="str">
        <f>IF(AND('in-situ Acer outplants'!D:D=B185,IF(VLOOKUP(B185,'in-situ Acer outplants'!D:M,10,FALSE)&lt;&gt;0,"TRUE", "FALSE")),"Completed",DATE(year(A185), month(A185)+1, day(A185)))</f>
        <v>Completed</v>
      </c>
      <c r="G185" s="1360" t="str">
        <f>IF(AND('in-situ Acer outplants'!D:D=B185,IF(VLOOKUP(B185,'in-situ Acer outplants'!D:T,17,FALSE)&lt;&gt;0,"TRUE", "FALSE")),"Completed",DATE(year(A185)+1, month(A185), day(A185)))</f>
        <v>Completed</v>
      </c>
      <c r="H185" s="1360"/>
      <c r="I185" s="1360"/>
      <c r="J185" s="1360"/>
      <c r="K185" s="1360"/>
      <c r="L185" s="1360"/>
      <c r="M185" s="1360"/>
      <c r="N185" s="1360"/>
      <c r="O185" s="1371"/>
      <c r="P185" s="1385"/>
      <c r="Q185" s="1360"/>
      <c r="R185" s="1360"/>
      <c r="S185" s="1370">
        <f t="shared" si="3"/>
        <v>693992</v>
      </c>
      <c r="T185" s="1366">
        <f t="shared" si="4"/>
        <v>365</v>
      </c>
      <c r="U185" s="1360" t="str">
        <f>IF(AND('ex-situ Apal outplants'!D:D=Q185,IF(VLOOKUP(Q185,'ex-situ Apal outplants'!D:M,10,FALSE)&lt;&gt;0,"TRUE", "FALSE")),"Completed",DATE(year(P185), month(P185)+1, day(P185)))</f>
        <v>#N/A</v>
      </c>
      <c r="V185" s="1360" t="str">
        <f>IF(AND('ex-situ Apal outplants'!D:D=Q185,IF(VLOOKUP(Q185,'ex-situ Apal outplants'!D:T,17,FALSE)&lt;&gt;0,"TRUE", "FALSE")),"Completed",DATE(year(P185)+1, month(P185), day(P185)))</f>
        <v>#N/A</v>
      </c>
      <c r="W185" s="1360"/>
      <c r="X185" s="1360"/>
      <c r="Y185" s="1360"/>
      <c r="Z185" s="1360"/>
      <c r="AA185" s="1360"/>
      <c r="AB185" s="1360"/>
      <c r="AC185" s="1360"/>
      <c r="AD185" s="1371"/>
      <c r="AE185" s="1360"/>
      <c r="AF185" s="1360"/>
      <c r="AG185" s="1360"/>
    </row>
    <row r="186">
      <c r="A186" s="1356">
        <v>44284.0</v>
      </c>
      <c r="B186" s="1357" t="s">
        <v>691</v>
      </c>
      <c r="C186" s="1358" t="s">
        <v>479</v>
      </c>
      <c r="D186" s="1366">
        <f t="shared" si="1"/>
        <v>44315</v>
      </c>
      <c r="E186" s="1366">
        <f t="shared" si="2"/>
        <v>44649</v>
      </c>
      <c r="F186" s="224" t="str">
        <f>IF(AND('in-situ Acer outplants'!D:D=B186,IF(VLOOKUP(B186,'in-situ Acer outplants'!D:M,10,FALSE)&lt;&gt;0,"TRUE", "FALSE")),"Completed",DATE(year(A186), month(A186)+1, day(A186)))</f>
        <v>Completed</v>
      </c>
      <c r="G186" s="1360" t="str">
        <f>IF(AND('in-situ Acer outplants'!D:D=B186,IF(VLOOKUP(B186,'in-situ Acer outplants'!D:T,17,FALSE)&lt;&gt;0,"TRUE", "FALSE")),"Completed",DATE(year(A186)+1, month(A186), day(A186)))</f>
        <v>Completed</v>
      </c>
      <c r="H186" s="1360"/>
      <c r="I186" s="1360"/>
      <c r="J186" s="1360"/>
      <c r="K186" s="1360"/>
      <c r="L186" s="1360"/>
      <c r="M186" s="1360"/>
      <c r="N186" s="1360"/>
      <c r="O186" s="1371"/>
      <c r="P186" s="1385"/>
      <c r="Q186" s="1360"/>
      <c r="R186" s="1360"/>
      <c r="S186" s="1370">
        <f t="shared" si="3"/>
        <v>693992</v>
      </c>
      <c r="T186" s="1366">
        <f t="shared" si="4"/>
        <v>365</v>
      </c>
      <c r="U186" s="1360" t="str">
        <f>IF(AND('ex-situ Apal outplants'!D:D=Q186,IF(VLOOKUP(Q186,'ex-situ Apal outplants'!D:M,10,FALSE)&lt;&gt;0,"TRUE", "FALSE")),"Completed",DATE(year(P186), month(P186)+1, day(P186)))</f>
        <v>#N/A</v>
      </c>
      <c r="V186" s="1360" t="str">
        <f>IF(AND('ex-situ Apal outplants'!D:D=Q186,IF(VLOOKUP(Q186,'ex-situ Apal outplants'!D:T,17,FALSE)&lt;&gt;0,"TRUE", "FALSE")),"Completed",DATE(year(P186)+1, month(P186), day(P186)))</f>
        <v>#N/A</v>
      </c>
      <c r="W186" s="1360"/>
      <c r="X186" s="1360"/>
      <c r="Y186" s="1360"/>
      <c r="Z186" s="1360"/>
      <c r="AA186" s="1360"/>
      <c r="AB186" s="1360"/>
      <c r="AC186" s="1360"/>
      <c r="AD186" s="1371"/>
      <c r="AE186" s="1360"/>
      <c r="AF186" s="1360"/>
      <c r="AG186" s="1360"/>
    </row>
    <row r="187">
      <c r="A187" s="1356">
        <v>44301.0</v>
      </c>
      <c r="B187" s="1357" t="s">
        <v>693</v>
      </c>
      <c r="C187" s="1358" t="s">
        <v>299</v>
      </c>
      <c r="D187" s="1366">
        <f t="shared" si="1"/>
        <v>44331</v>
      </c>
      <c r="E187" s="1366">
        <f t="shared" si="2"/>
        <v>44666</v>
      </c>
      <c r="F187" s="224" t="str">
        <f>IF(AND('in-situ Acer outplants'!D:D=B187,IF(VLOOKUP(B187,'in-situ Acer outplants'!D:M,10,FALSE)&lt;&gt;0,"TRUE", "FALSE")),"Completed",DATE(year(A187), month(A187)+1, day(A187)))</f>
        <v>Completed</v>
      </c>
      <c r="G187" s="1360" t="str">
        <f>IF(AND('in-situ Acer outplants'!D:D=B187,IF(VLOOKUP(B187,'in-situ Acer outplants'!D:T,17,FALSE)&lt;&gt;0,"TRUE", "FALSE")),"Completed",DATE(year(A187)+1, month(A187), day(A187)))</f>
        <v>Completed</v>
      </c>
      <c r="H187" s="1360"/>
      <c r="I187" s="1360"/>
      <c r="J187" s="1360"/>
      <c r="K187" s="1360"/>
      <c r="L187" s="1360"/>
      <c r="M187" s="1360"/>
      <c r="N187" s="1360"/>
      <c r="O187" s="1371"/>
      <c r="P187" s="1385"/>
      <c r="Q187" s="1360"/>
      <c r="R187" s="1360"/>
      <c r="S187" s="1370">
        <f t="shared" si="3"/>
        <v>693992</v>
      </c>
      <c r="T187" s="1366">
        <f t="shared" si="4"/>
        <v>365</v>
      </c>
      <c r="U187" s="1360" t="str">
        <f>IF(AND('ex-situ Apal outplants'!D:D=Q187,IF(VLOOKUP(Q187,'ex-situ Apal outplants'!D:M,10,FALSE)&lt;&gt;0,"TRUE", "FALSE")),"Completed",DATE(year(P187), month(P187)+1, day(P187)))</f>
        <v>#N/A</v>
      </c>
      <c r="V187" s="1360" t="str">
        <f>IF(AND('ex-situ Apal outplants'!D:D=Q187,IF(VLOOKUP(Q187,'ex-situ Apal outplants'!D:T,17,FALSE)&lt;&gt;0,"TRUE", "FALSE")),"Completed",DATE(year(P187)+1, month(P187), day(P187)))</f>
        <v>#N/A</v>
      </c>
      <c r="W187" s="1360"/>
      <c r="X187" s="1360"/>
      <c r="Y187" s="1360"/>
      <c r="Z187" s="1360"/>
      <c r="AA187" s="1360"/>
      <c r="AB187" s="1360"/>
      <c r="AC187" s="1360"/>
      <c r="AD187" s="1371"/>
      <c r="AE187" s="1360"/>
      <c r="AF187" s="1360"/>
      <c r="AG187" s="1360"/>
    </row>
    <row r="188">
      <c r="A188" s="1356">
        <v>44302.0</v>
      </c>
      <c r="B188" s="1357" t="s">
        <v>695</v>
      </c>
      <c r="C188" s="1358" t="s">
        <v>612</v>
      </c>
      <c r="D188" s="1366">
        <f t="shared" si="1"/>
        <v>44332</v>
      </c>
      <c r="E188" s="1366">
        <f t="shared" si="2"/>
        <v>44667</v>
      </c>
      <c r="F188" s="224" t="str">
        <f>IF(AND('in-situ Acer outplants'!D:D=B188,IF(VLOOKUP(B188,'in-situ Acer outplants'!D:M,10,FALSE)&lt;&gt;0,"TRUE", "FALSE")),"Completed",DATE(year(A188), month(A188)+1, day(A188)))</f>
        <v>Completed</v>
      </c>
      <c r="G188" s="1360" t="str">
        <f>IF(AND('in-situ Acer outplants'!D:D=B188,IF(VLOOKUP(B188,'in-situ Acer outplants'!D:T,17,FALSE)&lt;&gt;0,"TRUE", "FALSE")),"Completed",DATE(year(A188)+1, month(A188), day(A188)))</f>
        <v>Completed</v>
      </c>
      <c r="H188" s="1360"/>
      <c r="I188" s="1360"/>
      <c r="J188" s="1360"/>
      <c r="K188" s="1360"/>
      <c r="L188" s="1360"/>
      <c r="M188" s="1360"/>
      <c r="N188" s="1360"/>
      <c r="O188" s="1371"/>
      <c r="P188" s="1385"/>
      <c r="Q188" s="1360"/>
      <c r="R188" s="1360"/>
      <c r="S188" s="1370">
        <f t="shared" si="3"/>
        <v>693992</v>
      </c>
      <c r="T188" s="1366">
        <f t="shared" si="4"/>
        <v>365</v>
      </c>
      <c r="U188" s="1360" t="str">
        <f>IF(AND('ex-situ Apal outplants'!D:D=Q188,IF(VLOOKUP(Q188,'ex-situ Apal outplants'!D:M,10,FALSE)&lt;&gt;0,"TRUE", "FALSE")),"Completed",DATE(year(P188), month(P188)+1, day(P188)))</f>
        <v>#N/A</v>
      </c>
      <c r="V188" s="1360" t="str">
        <f>IF(AND('ex-situ Apal outplants'!D:D=Q188,IF(VLOOKUP(Q188,'ex-situ Apal outplants'!D:T,17,FALSE)&lt;&gt;0,"TRUE", "FALSE")),"Completed",DATE(year(P188)+1, month(P188), day(P188)))</f>
        <v>#N/A</v>
      </c>
      <c r="W188" s="1360"/>
      <c r="X188" s="1360"/>
      <c r="Y188" s="1360"/>
      <c r="Z188" s="1360"/>
      <c r="AA188" s="1360"/>
      <c r="AB188" s="1360"/>
      <c r="AC188" s="1360"/>
      <c r="AD188" s="1371"/>
      <c r="AE188" s="1360"/>
      <c r="AF188" s="1360"/>
      <c r="AG188" s="1360"/>
    </row>
    <row r="189">
      <c r="A189" s="1356">
        <v>44306.0</v>
      </c>
      <c r="B189" s="1357" t="s">
        <v>697</v>
      </c>
      <c r="C189" s="1358" t="s">
        <v>698</v>
      </c>
      <c r="D189" s="1366">
        <f t="shared" si="1"/>
        <v>44336</v>
      </c>
      <c r="E189" s="1366">
        <f t="shared" si="2"/>
        <v>44671</v>
      </c>
      <c r="F189" s="224" t="str">
        <f>IF(AND('in-situ Acer outplants'!D:D=B189,IF(VLOOKUP(B189,'in-situ Acer outplants'!D:M,10,FALSE)&lt;&gt;0,"TRUE", "FALSE")),"Completed",DATE(year(A189), month(A189)+1, day(A189)))</f>
        <v>Completed</v>
      </c>
      <c r="G189" s="1360" t="str">
        <f>IF(AND('in-situ Acer outplants'!D:D=B189,IF(VLOOKUP(B189,'in-situ Acer outplants'!D:T,17,FALSE)&lt;&gt;0,"TRUE", "FALSE")),"Completed",DATE(year(A189)+1, month(A189), day(A189)))</f>
        <v>Completed</v>
      </c>
      <c r="H189" s="1360"/>
      <c r="I189" s="1360"/>
      <c r="J189" s="1360"/>
      <c r="K189" s="1360"/>
      <c r="L189" s="1360"/>
      <c r="M189" s="1360"/>
      <c r="N189" s="1360"/>
      <c r="O189" s="1371"/>
      <c r="P189" s="1385"/>
      <c r="Q189" s="1360"/>
      <c r="R189" s="1360"/>
      <c r="S189" s="1370">
        <f t="shared" si="3"/>
        <v>693992</v>
      </c>
      <c r="T189" s="1366">
        <f t="shared" si="4"/>
        <v>365</v>
      </c>
      <c r="U189" s="1360" t="str">
        <f>IF(AND('ex-situ Apal outplants'!D:D=Q189,IF(VLOOKUP(Q189,'ex-situ Apal outplants'!D:M,10,FALSE)&lt;&gt;0,"TRUE", "FALSE")),"Completed",DATE(year(P189), month(P189)+1, day(P189)))</f>
        <v>#N/A</v>
      </c>
      <c r="V189" s="1360" t="str">
        <f>IF(AND('ex-situ Apal outplants'!D:D=Q189,IF(VLOOKUP(Q189,'ex-situ Apal outplants'!D:T,17,FALSE)&lt;&gt;0,"TRUE", "FALSE")),"Completed",DATE(year(P189)+1, month(P189), day(P189)))</f>
        <v>#N/A</v>
      </c>
      <c r="W189" s="1360"/>
      <c r="X189" s="1360"/>
      <c r="Y189" s="1360"/>
      <c r="Z189" s="1360"/>
      <c r="AA189" s="1360"/>
      <c r="AB189" s="1360"/>
      <c r="AC189" s="1360"/>
      <c r="AD189" s="1371"/>
      <c r="AE189" s="1360"/>
      <c r="AF189" s="1360"/>
      <c r="AG189" s="1360"/>
    </row>
    <row r="190">
      <c r="A190" s="1356">
        <v>44308.0</v>
      </c>
      <c r="B190" s="1357" t="s">
        <v>700</v>
      </c>
      <c r="C190" s="1358" t="s">
        <v>701</v>
      </c>
      <c r="D190" s="1366">
        <f t="shared" si="1"/>
        <v>44338</v>
      </c>
      <c r="E190" s="1366">
        <f t="shared" si="2"/>
        <v>44673</v>
      </c>
      <c r="F190" s="224" t="str">
        <f>IF(AND('in-situ Acer outplants'!D:D=B190,IF(VLOOKUP(B190,'in-situ Acer outplants'!D:M,10,FALSE)&lt;&gt;0,"TRUE", "FALSE")),"Completed",DATE(year(A190), month(A190)+1, day(A190)))</f>
        <v>Completed</v>
      </c>
      <c r="G190" s="1360" t="str">
        <f>IF(AND('in-situ Acer outplants'!D:D=B190,IF(VLOOKUP(B190,'in-situ Acer outplants'!D:T,17,FALSE)&lt;&gt;0,"TRUE", "FALSE")),"Completed",DATE(year(A190)+1, month(A190), day(A190)))</f>
        <v>Completed</v>
      </c>
      <c r="H190" s="1360"/>
      <c r="I190" s="1360"/>
      <c r="J190" s="1360"/>
      <c r="K190" s="1360"/>
      <c r="L190" s="1360"/>
      <c r="M190" s="1360"/>
      <c r="N190" s="1360"/>
      <c r="O190" s="1371"/>
      <c r="P190" s="1385"/>
      <c r="Q190" s="1360"/>
      <c r="R190" s="1360"/>
      <c r="S190" s="1370">
        <f t="shared" si="3"/>
        <v>693992</v>
      </c>
      <c r="T190" s="1366">
        <f t="shared" si="4"/>
        <v>365</v>
      </c>
      <c r="U190" s="1360" t="str">
        <f>IF(AND('ex-situ Apal outplants'!D:D=Q190,IF(VLOOKUP(Q190,'ex-situ Apal outplants'!D:M,10,FALSE)&lt;&gt;0,"TRUE", "FALSE")),"Completed",DATE(year(P190), month(P190)+1, day(P190)))</f>
        <v>#N/A</v>
      </c>
      <c r="V190" s="1360" t="str">
        <f>IF(AND('ex-situ Apal outplants'!D:D=Q190,IF(VLOOKUP(Q190,'ex-situ Apal outplants'!D:T,17,FALSE)&lt;&gt;0,"TRUE", "FALSE")),"Completed",DATE(year(P190)+1, month(P190), day(P190)))</f>
        <v>#N/A</v>
      </c>
      <c r="W190" s="1360"/>
      <c r="X190" s="1360"/>
      <c r="Y190" s="1360"/>
      <c r="Z190" s="1360"/>
      <c r="AA190" s="1360"/>
      <c r="AB190" s="1360"/>
      <c r="AC190" s="1360"/>
      <c r="AD190" s="1371"/>
      <c r="AE190" s="1360"/>
      <c r="AF190" s="1360"/>
      <c r="AG190" s="1360"/>
    </row>
    <row r="191">
      <c r="A191" s="1356">
        <v>44320.0</v>
      </c>
      <c r="B191" s="1357" t="s">
        <v>704</v>
      </c>
      <c r="C191" s="1358" t="s">
        <v>517</v>
      </c>
      <c r="D191" s="1366">
        <f t="shared" si="1"/>
        <v>44351</v>
      </c>
      <c r="E191" s="1366">
        <f t="shared" si="2"/>
        <v>44685</v>
      </c>
      <c r="F191" s="224" t="str">
        <f>IF(AND('in-situ Acer outplants'!D:D=B191,IF(VLOOKUP(B191,'in-situ Acer outplants'!D:M,10,FALSE)&lt;&gt;0,"TRUE", "FALSE")),"Completed",DATE(year(A191), month(A191)+1, day(A191)))</f>
        <v>Completed</v>
      </c>
      <c r="G191" s="1360" t="str">
        <f>IF(AND('in-situ Acer outplants'!D:D=B191,IF(VLOOKUP(B191,'in-situ Acer outplants'!D:T,17,FALSE)&lt;&gt;0,"TRUE", "FALSE")),"Completed",DATE(year(A191)+1, month(A191), day(A191)))</f>
        <v>Completed</v>
      </c>
      <c r="H191" s="1360"/>
      <c r="I191" s="1360"/>
      <c r="J191" s="1360"/>
      <c r="K191" s="1360"/>
      <c r="L191" s="1360"/>
      <c r="M191" s="1360"/>
      <c r="N191" s="1360"/>
      <c r="O191" s="1371"/>
      <c r="P191" s="1385"/>
      <c r="Q191" s="1360"/>
      <c r="R191" s="1360"/>
      <c r="S191" s="1370">
        <f t="shared" si="3"/>
        <v>693992</v>
      </c>
      <c r="T191" s="1366">
        <f t="shared" si="4"/>
        <v>365</v>
      </c>
      <c r="U191" s="1360" t="str">
        <f>IF(AND('ex-situ Apal outplants'!D:D=Q191,IF(VLOOKUP(Q191,'ex-situ Apal outplants'!D:M,10,FALSE)&lt;&gt;0,"TRUE", "FALSE")),"Completed",DATE(year(P191), month(P191)+1, day(P191)))</f>
        <v>#N/A</v>
      </c>
      <c r="V191" s="1360" t="str">
        <f>IF(AND('ex-situ Apal outplants'!D:D=Q191,IF(VLOOKUP(Q191,'ex-situ Apal outplants'!D:T,17,FALSE)&lt;&gt;0,"TRUE", "FALSE")),"Completed",DATE(year(P191)+1, month(P191), day(P191)))</f>
        <v>#N/A</v>
      </c>
      <c r="W191" s="1360"/>
      <c r="X191" s="1360"/>
      <c r="Y191" s="1360"/>
      <c r="Z191" s="1360"/>
      <c r="AA191" s="1360"/>
      <c r="AB191" s="1360"/>
      <c r="AC191" s="1360"/>
      <c r="AD191" s="1371"/>
      <c r="AE191" s="1360"/>
      <c r="AF191" s="1360"/>
      <c r="AG191" s="1360"/>
    </row>
    <row r="192">
      <c r="A192" s="1356">
        <v>44323.0</v>
      </c>
      <c r="B192" s="1357" t="s">
        <v>707</v>
      </c>
      <c r="C192" s="1358" t="s">
        <v>459</v>
      </c>
      <c r="D192" s="1366">
        <f t="shared" si="1"/>
        <v>44354</v>
      </c>
      <c r="E192" s="1366">
        <f t="shared" si="2"/>
        <v>44688</v>
      </c>
      <c r="F192" s="224" t="str">
        <f>IF(AND('in-situ Acer outplants'!D:D=B192,IF(VLOOKUP(B192,'in-situ Acer outplants'!D:M,10,FALSE)&lt;&gt;0,"TRUE", "FALSE")),"Completed",DATE(year(A192), month(A192)+1, day(A192)))</f>
        <v>Completed</v>
      </c>
      <c r="G192" s="1360" t="str">
        <f>IF(AND('in-situ Acer outplants'!D:D=B192,IF(VLOOKUP(B192,'in-situ Acer outplants'!D:T,17,FALSE)&lt;&gt;0,"TRUE", "FALSE")),"Completed",DATE(year(A192)+1, month(A192), day(A192)))</f>
        <v>Completed</v>
      </c>
      <c r="H192" s="1360"/>
      <c r="I192" s="1360"/>
      <c r="J192" s="1360"/>
      <c r="K192" s="1360"/>
      <c r="L192" s="1360"/>
      <c r="M192" s="1360"/>
      <c r="N192" s="1360"/>
      <c r="O192" s="1371"/>
      <c r="P192" s="1385"/>
      <c r="Q192" s="1360"/>
      <c r="R192" s="1360"/>
      <c r="S192" s="1370">
        <f t="shared" si="3"/>
        <v>693992</v>
      </c>
      <c r="T192" s="1366">
        <f t="shared" si="4"/>
        <v>365</v>
      </c>
      <c r="U192" s="1360" t="str">
        <f>IF(AND('ex-situ Apal outplants'!D:D=Q192,IF(VLOOKUP(Q192,'ex-situ Apal outplants'!D:M,10,FALSE)&lt;&gt;0,"TRUE", "FALSE")),"Completed",DATE(year(P192), month(P192)+1, day(P192)))</f>
        <v>#N/A</v>
      </c>
      <c r="V192" s="1360" t="str">
        <f>IF(AND('ex-situ Apal outplants'!D:D=Q192,IF(VLOOKUP(Q192,'ex-situ Apal outplants'!D:T,17,FALSE)&lt;&gt;0,"TRUE", "FALSE")),"Completed",DATE(year(P192)+1, month(P192), day(P192)))</f>
        <v>#N/A</v>
      </c>
      <c r="W192" s="1360"/>
      <c r="X192" s="1360"/>
      <c r="Y192" s="1360"/>
      <c r="Z192" s="1360"/>
      <c r="AA192" s="1360"/>
      <c r="AB192" s="1360"/>
      <c r="AC192" s="1360"/>
      <c r="AD192" s="1371"/>
      <c r="AE192" s="1360"/>
      <c r="AF192" s="1360"/>
      <c r="AG192" s="1360"/>
    </row>
    <row r="193">
      <c r="A193" s="1356">
        <v>44327.0</v>
      </c>
      <c r="B193" s="1357" t="s">
        <v>710</v>
      </c>
      <c r="C193" s="1358" t="s">
        <v>316</v>
      </c>
      <c r="D193" s="1366">
        <f t="shared" si="1"/>
        <v>44358</v>
      </c>
      <c r="E193" s="1366">
        <f t="shared" si="2"/>
        <v>44692</v>
      </c>
      <c r="F193" s="224" t="str">
        <f>IF(AND('in-situ Acer outplants'!D:D=B193,IF(VLOOKUP(B193,'in-situ Acer outplants'!D:M,10,FALSE)&lt;&gt;0,"TRUE", "FALSE")),"Completed",DATE(year(A193), month(A193)+1, day(A193)))</f>
        <v>Completed</v>
      </c>
      <c r="G193" s="1360" t="str">
        <f>IF(AND('in-situ Acer outplants'!D:D=B193,IF(VLOOKUP(B193,'in-situ Acer outplants'!D:T,17,FALSE)&lt;&gt;0,"TRUE", "FALSE")),"Completed",DATE(year(A193)+1, month(A193), day(A193)))</f>
        <v>Completed</v>
      </c>
      <c r="H193" s="1360"/>
      <c r="I193" s="1360"/>
      <c r="J193" s="1360"/>
      <c r="K193" s="1360"/>
      <c r="L193" s="1360"/>
      <c r="M193" s="1360"/>
      <c r="N193" s="1360"/>
      <c r="O193" s="1371"/>
      <c r="P193" s="1385"/>
      <c r="Q193" s="1360"/>
      <c r="R193" s="1360"/>
      <c r="S193" s="1370">
        <f t="shared" si="3"/>
        <v>693992</v>
      </c>
      <c r="T193" s="1366">
        <f t="shared" si="4"/>
        <v>365</v>
      </c>
      <c r="U193" s="1360" t="str">
        <f>IF(AND('ex-situ Apal outplants'!D:D=Q193,IF(VLOOKUP(Q193,'ex-situ Apal outplants'!D:M,10,FALSE)&lt;&gt;0,"TRUE", "FALSE")),"Completed",DATE(year(P193), month(P193)+1, day(P193)))</f>
        <v>#N/A</v>
      </c>
      <c r="V193" s="1360" t="str">
        <f>IF(AND('ex-situ Apal outplants'!D:D=Q193,IF(VLOOKUP(Q193,'ex-situ Apal outplants'!D:T,17,FALSE)&lt;&gt;0,"TRUE", "FALSE")),"Completed",DATE(year(P193)+1, month(P193), day(P193)))</f>
        <v>#N/A</v>
      </c>
      <c r="W193" s="1360"/>
      <c r="X193" s="1360"/>
      <c r="Y193" s="1360"/>
      <c r="Z193" s="1360"/>
      <c r="AA193" s="1360"/>
      <c r="AB193" s="1360"/>
      <c r="AC193" s="1360"/>
      <c r="AD193" s="1371"/>
      <c r="AE193" s="1360"/>
      <c r="AF193" s="1360"/>
      <c r="AG193" s="1360"/>
    </row>
    <row r="194">
      <c r="A194" s="1356">
        <v>44330.0</v>
      </c>
      <c r="B194" s="1357" t="s">
        <v>713</v>
      </c>
      <c r="C194" s="1358" t="s">
        <v>423</v>
      </c>
      <c r="D194" s="1366">
        <f t="shared" si="1"/>
        <v>44361</v>
      </c>
      <c r="E194" s="1366">
        <f t="shared" si="2"/>
        <v>44695</v>
      </c>
      <c r="F194" s="224" t="str">
        <f>IF(AND('in-situ Acer outplants'!D:D=B194,IF(VLOOKUP(B194,'in-situ Acer outplants'!D:M,10,FALSE)&lt;&gt;0,"TRUE", "FALSE")),"Completed",DATE(year(A194), month(A194)+1, day(A194)))</f>
        <v>Completed</v>
      </c>
      <c r="G194" s="1360" t="str">
        <f>IF(AND('in-situ Acer outplants'!D:D=B194,IF(VLOOKUP(B194,'in-situ Acer outplants'!D:T,17,FALSE)&lt;&gt;0,"TRUE", "FALSE")),"Completed",DATE(year(A194)+1, month(A194), day(A194)))</f>
        <v>Completed</v>
      </c>
      <c r="H194" s="1360"/>
      <c r="I194" s="1360"/>
      <c r="J194" s="1360"/>
      <c r="K194" s="1360"/>
      <c r="L194" s="1360"/>
      <c r="M194" s="1360"/>
      <c r="N194" s="1360"/>
      <c r="O194" s="1371"/>
      <c r="P194" s="1385"/>
      <c r="Q194" s="1360"/>
      <c r="R194" s="1360"/>
      <c r="S194" s="1370">
        <f t="shared" si="3"/>
        <v>693992</v>
      </c>
      <c r="T194" s="1366">
        <f t="shared" si="4"/>
        <v>365</v>
      </c>
      <c r="U194" s="1360" t="str">
        <f>IF(AND('ex-situ Apal outplants'!D:D=Q194,IF(VLOOKUP(Q194,'ex-situ Apal outplants'!D:M,10,FALSE)&lt;&gt;0,"TRUE", "FALSE")),"Completed",DATE(year(P194), month(P194)+1, day(P194)))</f>
        <v>#N/A</v>
      </c>
      <c r="V194" s="1360" t="str">
        <f>IF(AND('ex-situ Apal outplants'!D:D=Q194,IF(VLOOKUP(Q194,'ex-situ Apal outplants'!D:T,17,FALSE)&lt;&gt;0,"TRUE", "FALSE")),"Completed",DATE(year(P194)+1, month(P194), day(P194)))</f>
        <v>#N/A</v>
      </c>
      <c r="W194" s="1360"/>
      <c r="X194" s="1360"/>
      <c r="Y194" s="1360"/>
      <c r="Z194" s="1360"/>
      <c r="AA194" s="1360"/>
      <c r="AB194" s="1360"/>
      <c r="AC194" s="1360"/>
      <c r="AD194" s="1371"/>
      <c r="AE194" s="1360"/>
      <c r="AF194" s="1360"/>
      <c r="AG194" s="1360"/>
    </row>
    <row r="195">
      <c r="A195" s="1356">
        <v>44340.0</v>
      </c>
      <c r="B195" s="1357" t="s">
        <v>715</v>
      </c>
      <c r="C195" s="1358" t="s">
        <v>716</v>
      </c>
      <c r="D195" s="1366">
        <f t="shared" si="1"/>
        <v>44371</v>
      </c>
      <c r="E195" s="1366">
        <f t="shared" si="2"/>
        <v>44705</v>
      </c>
      <c r="F195" s="224" t="str">
        <f>IF(AND('in-situ Acer outplants'!D:D=B195,IF(VLOOKUP(B195,'in-situ Acer outplants'!D:M,10,FALSE)&lt;&gt;0,"TRUE", "FALSE")),"Completed",DATE(year(A195), month(A195)+1, day(A195)))</f>
        <v>Completed</v>
      </c>
      <c r="G195" s="1360" t="str">
        <f>IF(AND('in-situ Acer outplants'!D:D=B195,IF(VLOOKUP(B195,'in-situ Acer outplants'!D:T,17,FALSE)&lt;&gt;0,"TRUE", "FALSE")),"Completed",DATE(year(A195)+1, month(A195), day(A195)))</f>
        <v>Completed</v>
      </c>
      <c r="H195" s="1360"/>
      <c r="I195" s="1360"/>
      <c r="J195" s="1360"/>
      <c r="K195" s="1360"/>
      <c r="L195" s="1360"/>
      <c r="M195" s="1360"/>
      <c r="N195" s="1360"/>
      <c r="O195" s="1371"/>
      <c r="P195" s="1385"/>
      <c r="Q195" s="1360"/>
      <c r="R195" s="1360"/>
      <c r="S195" s="1370">
        <f t="shared" si="3"/>
        <v>693992</v>
      </c>
      <c r="T195" s="1366">
        <f t="shared" si="4"/>
        <v>365</v>
      </c>
      <c r="U195" s="1360" t="str">
        <f>IF(AND('ex-situ Apal outplants'!D:D=Q195,IF(VLOOKUP(Q195,'ex-situ Apal outplants'!D:M,10,FALSE)&lt;&gt;0,"TRUE", "FALSE")),"Completed",DATE(year(P195), month(P195)+1, day(P195)))</f>
        <v>#N/A</v>
      </c>
      <c r="V195" s="1360" t="str">
        <f>IF(AND('ex-situ Apal outplants'!D:D=Q195,IF(VLOOKUP(Q195,'ex-situ Apal outplants'!D:T,17,FALSE)&lt;&gt;0,"TRUE", "FALSE")),"Completed",DATE(year(P195)+1, month(P195), day(P195)))</f>
        <v>#N/A</v>
      </c>
      <c r="W195" s="1360"/>
      <c r="X195" s="1360"/>
      <c r="Y195" s="1360"/>
      <c r="Z195" s="1360"/>
      <c r="AA195" s="1360"/>
      <c r="AB195" s="1360"/>
      <c r="AC195" s="1360"/>
      <c r="AD195" s="1371"/>
      <c r="AE195" s="1360"/>
      <c r="AF195" s="1360"/>
      <c r="AG195" s="1360"/>
    </row>
    <row r="196">
      <c r="A196" s="1356">
        <v>44343.0</v>
      </c>
      <c r="B196" s="1357" t="s">
        <v>718</v>
      </c>
      <c r="C196" s="1358" t="s">
        <v>716</v>
      </c>
      <c r="D196" s="1366">
        <f t="shared" si="1"/>
        <v>44374</v>
      </c>
      <c r="E196" s="1366">
        <f t="shared" si="2"/>
        <v>44708</v>
      </c>
      <c r="F196" s="224" t="str">
        <f>IF(AND('in-situ Acer outplants'!D:D=B196,IF(VLOOKUP(B196,'in-situ Acer outplants'!D:M,10,FALSE)&lt;&gt;0,"TRUE", "FALSE")),"Completed",DATE(year(A196), month(A196)+1, day(A196)))</f>
        <v>Completed</v>
      </c>
      <c r="G196" s="1360" t="str">
        <f>IF(AND('in-situ Acer outplants'!D:D=B196,IF(VLOOKUP(B196,'in-situ Acer outplants'!D:T,17,FALSE)&lt;&gt;0,"TRUE", "FALSE")),"Completed",DATE(year(A196)+1, month(A196), day(A196)))</f>
        <v>Completed</v>
      </c>
      <c r="H196" s="1360"/>
      <c r="I196" s="1360"/>
      <c r="J196" s="1360"/>
      <c r="K196" s="1360"/>
      <c r="L196" s="1360"/>
      <c r="M196" s="1360"/>
      <c r="N196" s="1360"/>
      <c r="O196" s="1371"/>
      <c r="P196" s="1385"/>
      <c r="Q196" s="1360"/>
      <c r="R196" s="1360"/>
      <c r="S196" s="1370">
        <f t="shared" si="3"/>
        <v>693992</v>
      </c>
      <c r="T196" s="1366">
        <f t="shared" si="4"/>
        <v>365</v>
      </c>
      <c r="U196" s="1360" t="str">
        <f>IF(AND('ex-situ Apal outplants'!D:D=Q196,IF(VLOOKUP(Q196,'ex-situ Apal outplants'!D:M,10,FALSE)&lt;&gt;0,"TRUE", "FALSE")),"Completed",DATE(year(P196), month(P196)+1, day(P196)))</f>
        <v>#N/A</v>
      </c>
      <c r="V196" s="1360" t="str">
        <f>IF(AND('ex-situ Apal outplants'!D:D=Q196,IF(VLOOKUP(Q196,'ex-situ Apal outplants'!D:T,17,FALSE)&lt;&gt;0,"TRUE", "FALSE")),"Completed",DATE(year(P196)+1, month(P196), day(P196)))</f>
        <v>#N/A</v>
      </c>
      <c r="W196" s="1360"/>
      <c r="X196" s="1360"/>
      <c r="Y196" s="1360"/>
      <c r="Z196" s="1360"/>
      <c r="AA196" s="1360"/>
      <c r="AB196" s="1360"/>
      <c r="AC196" s="1360"/>
      <c r="AD196" s="1371"/>
      <c r="AE196" s="1360"/>
      <c r="AF196" s="1360"/>
      <c r="AG196" s="1360"/>
    </row>
    <row r="197">
      <c r="A197" s="1356">
        <v>44347.0</v>
      </c>
      <c r="B197" s="1357" t="s">
        <v>720</v>
      </c>
      <c r="C197" s="1358" t="s">
        <v>673</v>
      </c>
      <c r="D197" s="1366">
        <f t="shared" si="1"/>
        <v>44378</v>
      </c>
      <c r="E197" s="1366">
        <f t="shared" si="2"/>
        <v>44712</v>
      </c>
      <c r="F197" s="224" t="str">
        <f>IF(AND('in-situ Acer outplants'!D:D=B197,IF(VLOOKUP(B197,'in-situ Acer outplants'!D:M,10,FALSE)&lt;&gt;0,"TRUE", "FALSE")),"Completed",DATE(year(A197), month(A197)+1, day(A197)))</f>
        <v>Completed</v>
      </c>
      <c r="G197" s="1360" t="str">
        <f>IF(AND('in-situ Acer outplants'!D:D=B197,IF(VLOOKUP(B197,'in-situ Acer outplants'!D:T,17,FALSE)&lt;&gt;0,"TRUE", "FALSE")),"Completed",DATE(year(A197)+1, month(A197), day(A197)))</f>
        <v>Completed</v>
      </c>
      <c r="H197" s="1360"/>
      <c r="I197" s="1360"/>
      <c r="J197" s="1360"/>
      <c r="K197" s="1360"/>
      <c r="L197" s="1360"/>
      <c r="M197" s="1360"/>
      <c r="N197" s="1360"/>
      <c r="O197" s="1371"/>
      <c r="P197" s="1385"/>
      <c r="Q197" s="1360"/>
      <c r="R197" s="1360"/>
      <c r="S197" s="1370">
        <f t="shared" si="3"/>
        <v>693992</v>
      </c>
      <c r="T197" s="1366">
        <f t="shared" si="4"/>
        <v>365</v>
      </c>
      <c r="U197" s="1360" t="str">
        <f>IF(AND('ex-situ Apal outplants'!D:D=Q197,IF(VLOOKUP(Q197,'ex-situ Apal outplants'!D:M,10,FALSE)&lt;&gt;0,"TRUE", "FALSE")),"Completed",DATE(year(P197), month(P197)+1, day(P197)))</f>
        <v>#N/A</v>
      </c>
      <c r="V197" s="1360" t="str">
        <f>IF(AND('ex-situ Apal outplants'!D:D=Q197,IF(VLOOKUP(Q197,'ex-situ Apal outplants'!D:T,17,FALSE)&lt;&gt;0,"TRUE", "FALSE")),"Completed",DATE(year(P197)+1, month(P197), day(P197)))</f>
        <v>#N/A</v>
      </c>
      <c r="W197" s="1360"/>
      <c r="X197" s="1360"/>
      <c r="Y197" s="1360"/>
      <c r="Z197" s="1360"/>
      <c r="AA197" s="1360"/>
      <c r="AB197" s="1360"/>
      <c r="AC197" s="1360"/>
      <c r="AD197" s="1371"/>
      <c r="AE197" s="1360"/>
      <c r="AF197" s="1360"/>
      <c r="AG197" s="1360"/>
    </row>
    <row r="198">
      <c r="A198" s="1356">
        <v>44351.0</v>
      </c>
      <c r="B198" s="1357" t="s">
        <v>723</v>
      </c>
      <c r="C198" s="1358" t="s">
        <v>290</v>
      </c>
      <c r="D198" s="1366">
        <f t="shared" si="1"/>
        <v>44381</v>
      </c>
      <c r="E198" s="1366">
        <f t="shared" si="2"/>
        <v>44716</v>
      </c>
      <c r="F198" s="224" t="str">
        <f>IF(AND('in-situ Acer outplants'!D:D=B198,IF(VLOOKUP(B198,'in-situ Acer outplants'!D:M,10,FALSE)&lt;&gt;0,"TRUE", "FALSE")),"Completed",DATE(year(A198), month(A198)+1, day(A198)))</f>
        <v>Completed</v>
      </c>
      <c r="G198" s="1360" t="str">
        <f>IF(AND('in-situ Acer outplants'!D:D=B198,IF(VLOOKUP(B198,'in-situ Acer outplants'!D:T,17,FALSE)&lt;&gt;0,"TRUE", "FALSE")),"Completed",DATE(year(A198)+1, month(A198), day(A198)))</f>
        <v>Completed</v>
      </c>
      <c r="H198" s="1360"/>
      <c r="I198" s="1360"/>
      <c r="J198" s="1360"/>
      <c r="K198" s="1360"/>
      <c r="L198" s="1360"/>
      <c r="M198" s="1360"/>
      <c r="N198" s="1360"/>
      <c r="O198" s="1371"/>
      <c r="P198" s="1385"/>
      <c r="Q198" s="1360"/>
      <c r="R198" s="1360"/>
      <c r="S198" s="1370">
        <f t="shared" si="3"/>
        <v>693992</v>
      </c>
      <c r="T198" s="1366">
        <f t="shared" si="4"/>
        <v>365</v>
      </c>
      <c r="U198" s="1360" t="str">
        <f>IF(AND('ex-situ Apal outplants'!D:D=Q198,IF(VLOOKUP(Q198,'ex-situ Apal outplants'!D:M,10,FALSE)&lt;&gt;0,"TRUE", "FALSE")),"Completed",DATE(year(P198), month(P198)+1, day(P198)))</f>
        <v>#N/A</v>
      </c>
      <c r="V198" s="1360" t="str">
        <f>IF(AND('ex-situ Apal outplants'!D:D=Q198,IF(VLOOKUP(Q198,'ex-situ Apal outplants'!D:T,17,FALSE)&lt;&gt;0,"TRUE", "FALSE")),"Completed",DATE(year(P198)+1, month(P198), day(P198)))</f>
        <v>#N/A</v>
      </c>
      <c r="W198" s="1360"/>
      <c r="X198" s="1360"/>
      <c r="Y198" s="1360"/>
      <c r="Z198" s="1360"/>
      <c r="AA198" s="1360"/>
      <c r="AB198" s="1360"/>
      <c r="AC198" s="1360"/>
      <c r="AD198" s="1371"/>
      <c r="AE198" s="1360"/>
      <c r="AF198" s="1360"/>
      <c r="AG198" s="1360"/>
    </row>
    <row r="199">
      <c r="A199" s="1356">
        <v>44364.0</v>
      </c>
      <c r="B199" s="1357" t="s">
        <v>726</v>
      </c>
      <c r="C199" s="224" t="s">
        <v>423</v>
      </c>
      <c r="D199" s="1366">
        <f t="shared" si="1"/>
        <v>44394</v>
      </c>
      <c r="E199" s="1366">
        <f t="shared" si="2"/>
        <v>44729</v>
      </c>
      <c r="F199" s="224" t="str">
        <f>IF(AND('in-situ Acer outplants'!D:D=B199,IF(VLOOKUP(B199,'in-situ Acer outplants'!D:M,10,FALSE)&lt;&gt;0,"TRUE", "FALSE")),"Completed",DATE(year(A199), month(A199)+1, day(A199)))</f>
        <v>Completed</v>
      </c>
      <c r="G199" s="1360" t="str">
        <f>IF(AND('in-situ Acer outplants'!D:D=B199,IF(VLOOKUP(B199,'in-situ Acer outplants'!D:T,17,FALSE)&lt;&gt;0,"TRUE", "FALSE")),"Completed",DATE(year(A199)+1, month(A199), day(A199)))</f>
        <v>Completed</v>
      </c>
      <c r="H199" s="1360"/>
      <c r="I199" s="1360"/>
      <c r="J199" s="1360"/>
      <c r="K199" s="1360"/>
      <c r="L199" s="1360"/>
      <c r="M199" s="1360"/>
      <c r="N199" s="1360"/>
      <c r="O199" s="1371"/>
      <c r="P199" s="1385"/>
      <c r="Q199" s="1360"/>
      <c r="R199" s="1360"/>
      <c r="S199" s="1370">
        <f t="shared" si="3"/>
        <v>693992</v>
      </c>
      <c r="T199" s="1366">
        <f t="shared" si="4"/>
        <v>365</v>
      </c>
      <c r="U199" s="1360" t="str">
        <f>IF(AND('ex-situ Apal outplants'!D:D=Q199,IF(VLOOKUP(Q199,'ex-situ Apal outplants'!D:M,10,FALSE)&lt;&gt;0,"TRUE", "FALSE")),"Completed",DATE(year(P199), month(P199)+1, day(P199)))</f>
        <v>#N/A</v>
      </c>
      <c r="V199" s="1360" t="str">
        <f>IF(AND('ex-situ Apal outplants'!D:D=Q199,IF(VLOOKUP(Q199,'ex-situ Apal outplants'!D:T,17,FALSE)&lt;&gt;0,"TRUE", "FALSE")),"Completed",DATE(year(P199)+1, month(P199), day(P199)))</f>
        <v>#N/A</v>
      </c>
      <c r="W199" s="1360"/>
      <c r="X199" s="1360"/>
      <c r="Y199" s="1360"/>
      <c r="Z199" s="1360"/>
      <c r="AA199" s="1360"/>
      <c r="AB199" s="1360"/>
      <c r="AC199" s="1360"/>
      <c r="AD199" s="1371"/>
      <c r="AE199" s="1360"/>
      <c r="AF199" s="1360"/>
      <c r="AG199" s="1360"/>
    </row>
    <row r="200">
      <c r="A200" s="1356">
        <v>44365.0</v>
      </c>
      <c r="B200" s="1357" t="s">
        <v>728</v>
      </c>
      <c r="C200" s="224" t="s">
        <v>729</v>
      </c>
      <c r="D200" s="1366">
        <f t="shared" si="1"/>
        <v>44395</v>
      </c>
      <c r="E200" s="1366">
        <f t="shared" si="2"/>
        <v>44730</v>
      </c>
      <c r="F200" s="224" t="str">
        <f>IF(AND('in-situ Acer outplants'!D:D=B200,IF(VLOOKUP(B200,'in-situ Acer outplants'!D:M,10,FALSE)&lt;&gt;0,"TRUE", "FALSE")),"Completed",DATE(year(A200), month(A200)+1, day(A200)))</f>
        <v>Completed</v>
      </c>
      <c r="G200" s="1360" t="str">
        <f>IF(AND('in-situ Acer outplants'!D:D=B200,IF(VLOOKUP(B200,'in-situ Acer outplants'!D:T,17,FALSE)&lt;&gt;0,"TRUE", "FALSE")),"Completed",DATE(year(A200)+1, month(A200), day(A200)))</f>
        <v>Completed</v>
      </c>
      <c r="H200" s="1360"/>
      <c r="I200" s="1360"/>
      <c r="J200" s="1360"/>
      <c r="K200" s="1360"/>
      <c r="L200" s="1360"/>
      <c r="M200" s="1360"/>
      <c r="N200" s="1360"/>
      <c r="O200" s="1371"/>
      <c r="P200" s="1385"/>
      <c r="Q200" s="1360"/>
      <c r="R200" s="1360"/>
      <c r="S200" s="1370">
        <f t="shared" si="3"/>
        <v>693992</v>
      </c>
      <c r="T200" s="1366">
        <f t="shared" si="4"/>
        <v>365</v>
      </c>
      <c r="U200" s="1360" t="str">
        <f>IF(AND('ex-situ Apal outplants'!D:D=Q200,IF(VLOOKUP(Q200,'ex-situ Apal outplants'!D:M,10,FALSE)&lt;&gt;0,"TRUE", "FALSE")),"Completed",DATE(year(P200), month(P200)+1, day(P200)))</f>
        <v>#N/A</v>
      </c>
      <c r="V200" s="1360" t="str">
        <f>IF(AND('ex-situ Apal outplants'!D:D=Q200,IF(VLOOKUP(Q200,'ex-situ Apal outplants'!D:T,17,FALSE)&lt;&gt;0,"TRUE", "FALSE")),"Completed",DATE(year(P200)+1, month(P200), day(P200)))</f>
        <v>#N/A</v>
      </c>
      <c r="W200" s="1360"/>
      <c r="X200" s="1360"/>
      <c r="Y200" s="1360"/>
      <c r="Z200" s="1360"/>
      <c r="AA200" s="1360"/>
      <c r="AB200" s="1360"/>
      <c r="AC200" s="1360"/>
      <c r="AD200" s="1371"/>
      <c r="AE200" s="1360"/>
      <c r="AF200" s="1360"/>
      <c r="AG200" s="1360"/>
    </row>
    <row r="201">
      <c r="A201" s="1356">
        <v>44375.0</v>
      </c>
      <c r="B201" s="1357" t="s">
        <v>731</v>
      </c>
      <c r="C201" s="224" t="s">
        <v>273</v>
      </c>
      <c r="D201" s="1366">
        <f t="shared" si="1"/>
        <v>44405</v>
      </c>
      <c r="E201" s="1366">
        <f t="shared" si="2"/>
        <v>44740</v>
      </c>
      <c r="F201" s="224" t="str">
        <f>IF(AND('in-situ Acer outplants'!D:D=B201,IF(VLOOKUP(B201,'in-situ Acer outplants'!D:M,10,FALSE)&lt;&gt;0,"TRUE", "FALSE")),"Completed",DATE(year(A201), month(A201)+1, day(A201)))</f>
        <v>Completed</v>
      </c>
      <c r="G201" s="1360" t="str">
        <f>IF(AND('in-situ Acer outplants'!D:D=B201,IF(VLOOKUP(B201,'in-situ Acer outplants'!D:T,17,FALSE)&lt;&gt;0,"TRUE", "FALSE")),"Completed",DATE(year(A201)+1, month(A201), day(A201)))</f>
        <v>Completed</v>
      </c>
      <c r="H201" s="1360"/>
      <c r="I201" s="1360"/>
      <c r="J201" s="1360"/>
      <c r="K201" s="1360"/>
      <c r="L201" s="1360"/>
      <c r="M201" s="1360"/>
      <c r="N201" s="1360"/>
      <c r="O201" s="1371"/>
      <c r="P201" s="1385"/>
      <c r="Q201" s="1360"/>
      <c r="R201" s="1360"/>
      <c r="S201" s="1360"/>
      <c r="T201" s="1360"/>
      <c r="U201" s="1360"/>
      <c r="V201" s="1360"/>
      <c r="W201" s="1360"/>
      <c r="X201" s="1360"/>
      <c r="Y201" s="1360"/>
      <c r="Z201" s="1360"/>
      <c r="AA201" s="1360"/>
      <c r="AB201" s="1360"/>
      <c r="AC201" s="1360"/>
      <c r="AD201" s="1371"/>
      <c r="AE201" s="1360"/>
      <c r="AF201" s="1360"/>
      <c r="AG201" s="1360"/>
    </row>
    <row r="202">
      <c r="A202" s="1356">
        <v>44375.0</v>
      </c>
      <c r="B202" s="1357" t="s">
        <v>733</v>
      </c>
      <c r="C202" s="224" t="s">
        <v>273</v>
      </c>
      <c r="D202" s="1366">
        <f t="shared" si="1"/>
        <v>44405</v>
      </c>
      <c r="E202" s="1366">
        <f t="shared" si="2"/>
        <v>44740</v>
      </c>
      <c r="F202" s="224" t="str">
        <f>IF(AND('in-situ Acer outplants'!D:D=B202,IF(VLOOKUP(B202,'in-situ Acer outplants'!D:M,10,FALSE)&lt;&gt;0,"TRUE", "FALSE")),"Completed",DATE(year(A202), month(A202)+1, day(A202)))</f>
        <v>Completed</v>
      </c>
      <c r="G202" s="1360" t="str">
        <f>IF(AND('in-situ Acer outplants'!D:D=B202,IF(VLOOKUP(B202,'in-situ Acer outplants'!D:T,17,FALSE)&lt;&gt;0,"TRUE", "FALSE")),"Completed",DATE(year(A202)+1, month(A202), day(A202)))</f>
        <v>Completed</v>
      </c>
      <c r="H202" s="1360"/>
      <c r="I202" s="1360"/>
      <c r="J202" s="1360"/>
      <c r="K202" s="1360"/>
      <c r="L202" s="1360"/>
      <c r="M202" s="1360"/>
      <c r="N202" s="1360"/>
      <c r="O202" s="1371"/>
      <c r="P202" s="1385"/>
      <c r="Q202" s="1360"/>
      <c r="R202" s="1360"/>
      <c r="S202" s="1360"/>
      <c r="T202" s="1360"/>
      <c r="U202" s="1360"/>
      <c r="V202" s="1360"/>
      <c r="W202" s="1360"/>
      <c r="X202" s="1360"/>
      <c r="Y202" s="1360"/>
      <c r="Z202" s="1360"/>
      <c r="AA202" s="1360"/>
      <c r="AB202" s="1360"/>
      <c r="AC202" s="1360"/>
      <c r="AD202" s="1371"/>
      <c r="AE202" s="1360"/>
      <c r="AF202" s="1360"/>
      <c r="AG202" s="1360"/>
    </row>
    <row r="203">
      <c r="A203" s="1356">
        <v>44375.0</v>
      </c>
      <c r="B203" s="1357" t="s">
        <v>734</v>
      </c>
      <c r="C203" s="224" t="s">
        <v>273</v>
      </c>
      <c r="D203" s="1366">
        <f t="shared" si="1"/>
        <v>44405</v>
      </c>
      <c r="E203" s="1366">
        <f t="shared" si="2"/>
        <v>44740</v>
      </c>
      <c r="F203" s="224" t="str">
        <f>IF(AND('in-situ Acer outplants'!D:D=B203,IF(VLOOKUP(B203,'in-situ Acer outplants'!D:M,10,FALSE)&lt;&gt;0,"TRUE", "FALSE")),"Completed",DATE(year(A203), month(A203)+1, day(A203)))</f>
        <v>Completed</v>
      </c>
      <c r="G203" s="1360" t="str">
        <f>IF(AND('in-situ Acer outplants'!D:D=B203,IF(VLOOKUP(B203,'in-situ Acer outplants'!D:T,17,FALSE)&lt;&gt;0,"TRUE", "FALSE")),"Completed",DATE(year(A203)+1, month(A203), day(A203)))</f>
        <v>Completed</v>
      </c>
      <c r="H203" s="1360"/>
      <c r="I203" s="1360"/>
      <c r="J203" s="1360"/>
      <c r="K203" s="1360"/>
      <c r="L203" s="1360"/>
      <c r="M203" s="1360"/>
      <c r="N203" s="1360"/>
      <c r="O203" s="1371"/>
      <c r="P203" s="1385"/>
      <c r="Q203" s="1360"/>
      <c r="R203" s="1360"/>
      <c r="S203" s="1360"/>
      <c r="T203" s="1360"/>
      <c r="U203" s="1360"/>
      <c r="V203" s="1360"/>
      <c r="W203" s="1360"/>
      <c r="X203" s="1360"/>
      <c r="Y203" s="1360"/>
      <c r="Z203" s="1360"/>
      <c r="AA203" s="1360"/>
      <c r="AB203" s="1360"/>
      <c r="AC203" s="1360"/>
      <c r="AD203" s="1371"/>
      <c r="AE203" s="1360"/>
      <c r="AF203" s="1360"/>
      <c r="AG203" s="1360"/>
    </row>
    <row r="204">
      <c r="A204" s="1356">
        <v>44400.0</v>
      </c>
      <c r="B204" s="1357" t="s">
        <v>735</v>
      </c>
      <c r="C204" s="224" t="s">
        <v>299</v>
      </c>
      <c r="D204" s="1366">
        <f t="shared" si="1"/>
        <v>44431</v>
      </c>
      <c r="E204" s="1366">
        <f t="shared" si="2"/>
        <v>44765</v>
      </c>
      <c r="F204" s="224" t="str">
        <f>IF(AND('in-situ Acer outplants'!D:D=B204,IF(VLOOKUP(B204,'in-situ Acer outplants'!D:M,10,FALSE)&lt;&gt;0,"TRUE", "FALSE")),"Completed",DATE(year(A204), month(A204)+1, day(A204)))</f>
        <v>Completed</v>
      </c>
      <c r="G204" s="1360" t="str">
        <f>IF(AND('in-situ Acer outplants'!D:D=B204,IF(VLOOKUP(B204,'in-situ Acer outplants'!D:T,17,FALSE)&lt;&gt;0,"TRUE", "FALSE")),"Completed",DATE(year(A204)+1, month(A204), day(A204)))</f>
        <v>Completed</v>
      </c>
      <c r="H204" s="1360"/>
      <c r="I204" s="1360"/>
      <c r="J204" s="1360"/>
      <c r="K204" s="1360"/>
      <c r="L204" s="1360"/>
      <c r="M204" s="1360"/>
      <c r="N204" s="1360"/>
      <c r="O204" s="1371"/>
      <c r="P204" s="1385"/>
      <c r="Q204" s="1360"/>
      <c r="R204" s="1360"/>
      <c r="S204" s="1360"/>
      <c r="T204" s="1360"/>
      <c r="U204" s="1360"/>
      <c r="V204" s="1360"/>
      <c r="W204" s="1360"/>
      <c r="X204" s="1360"/>
      <c r="Y204" s="1360"/>
      <c r="Z204" s="1360"/>
      <c r="AA204" s="1360"/>
      <c r="AB204" s="1360"/>
      <c r="AC204" s="1360"/>
      <c r="AD204" s="1371"/>
      <c r="AE204" s="1360"/>
      <c r="AF204" s="1360"/>
      <c r="AG204" s="1360"/>
    </row>
    <row r="205">
      <c r="A205" s="1356">
        <v>44410.0</v>
      </c>
      <c r="B205" s="1357" t="s">
        <v>738</v>
      </c>
      <c r="C205" s="224" t="s">
        <v>739</v>
      </c>
      <c r="D205" s="1366">
        <f t="shared" si="1"/>
        <v>44441</v>
      </c>
      <c r="E205" s="1366">
        <f t="shared" si="2"/>
        <v>44775</v>
      </c>
      <c r="F205" s="224" t="str">
        <f>IF(AND('in-situ Acer outplants'!D:D=B205,IF(VLOOKUP(B205,'in-situ Acer outplants'!D:M,10,FALSE)&lt;&gt;0,"TRUE", "FALSE")),"Completed",DATE(year(A205), month(A205)+1, day(A205)))</f>
        <v>Completed</v>
      </c>
      <c r="G205" s="1360" t="str">
        <f>IF(AND('in-situ Acer outplants'!D:D=B205,IF(VLOOKUP(B205,'in-situ Acer outplants'!D:T,17,FALSE)&lt;&gt;0,"TRUE", "FALSE")),"Completed",DATE(year(A205)+1, month(A205), day(A205)))</f>
        <v>Completed</v>
      </c>
      <c r="H205" s="1360"/>
      <c r="I205" s="1360"/>
      <c r="J205" s="1360"/>
      <c r="K205" s="1360"/>
      <c r="L205" s="1360"/>
      <c r="M205" s="1360"/>
      <c r="N205" s="1360"/>
      <c r="O205" s="1371"/>
      <c r="P205" s="1385"/>
      <c r="Q205" s="1360"/>
      <c r="R205" s="1360"/>
      <c r="S205" s="1360"/>
      <c r="T205" s="1360"/>
      <c r="U205" s="1360"/>
      <c r="V205" s="1360"/>
      <c r="W205" s="1360"/>
      <c r="X205" s="1360"/>
      <c r="Y205" s="1360"/>
      <c r="Z205" s="1360"/>
      <c r="AA205" s="1360"/>
      <c r="AB205" s="1360"/>
      <c r="AC205" s="1360"/>
      <c r="AD205" s="1371"/>
      <c r="AE205" s="1360"/>
      <c r="AF205" s="1360"/>
      <c r="AG205" s="1360"/>
    </row>
    <row r="206">
      <c r="A206" s="1356">
        <v>44413.0</v>
      </c>
      <c r="B206" s="1357" t="s">
        <v>741</v>
      </c>
      <c r="C206" s="224" t="s">
        <v>742</v>
      </c>
      <c r="D206" s="1366">
        <f t="shared" si="1"/>
        <v>44444</v>
      </c>
      <c r="E206" s="1366">
        <f t="shared" si="2"/>
        <v>44778</v>
      </c>
      <c r="F206" s="224" t="str">
        <f>IF(AND('in-situ Acer outplants'!D:D=B206,IF(VLOOKUP(B206,'in-situ Acer outplants'!D:M,10,FALSE)&lt;&gt;0,"TRUE", "FALSE")),"Completed",DATE(year(A206), month(A206)+1, day(A206)))</f>
        <v>Completed</v>
      </c>
      <c r="G206" s="1360" t="str">
        <f>IF(AND('in-situ Acer outplants'!D:D=B206,IF(VLOOKUP(B206,'in-situ Acer outplants'!D:T,17,FALSE)&lt;&gt;0,"TRUE", "FALSE")),"Completed",DATE(year(A206)+1, month(A206), day(A206)))</f>
        <v>Completed</v>
      </c>
      <c r="H206" s="1360"/>
      <c r="I206" s="1360"/>
      <c r="J206" s="1360"/>
      <c r="K206" s="1360"/>
      <c r="L206" s="1360"/>
      <c r="M206" s="1360"/>
      <c r="N206" s="1360"/>
      <c r="O206" s="1371"/>
      <c r="P206" s="1385"/>
      <c r="Q206" s="1360"/>
      <c r="R206" s="1360"/>
      <c r="S206" s="1360"/>
      <c r="T206" s="1360"/>
      <c r="U206" s="1360"/>
      <c r="V206" s="1360"/>
      <c r="W206" s="1360"/>
      <c r="X206" s="1360"/>
      <c r="Y206" s="1360"/>
      <c r="Z206" s="1360"/>
      <c r="AA206" s="1360"/>
      <c r="AB206" s="1360"/>
      <c r="AC206" s="1360"/>
      <c r="AD206" s="1371"/>
      <c r="AE206" s="1360"/>
      <c r="AF206" s="1360"/>
      <c r="AG206" s="1360"/>
    </row>
    <row r="207">
      <c r="A207" s="1356">
        <v>44476.0</v>
      </c>
      <c r="B207" s="1357" t="s">
        <v>744</v>
      </c>
      <c r="C207" s="224" t="s">
        <v>745</v>
      </c>
      <c r="D207" s="1366">
        <f t="shared" si="1"/>
        <v>44507</v>
      </c>
      <c r="E207" s="1366">
        <f t="shared" si="2"/>
        <v>44841</v>
      </c>
      <c r="F207" s="224" t="str">
        <f>IF(AND('in-situ Acer outplants'!D:D=B207,IF(VLOOKUP(B207,'in-situ Acer outplants'!D:M,10,FALSE)&lt;&gt;0,"TRUE", "FALSE")),"Completed",DATE(year(A207), month(A207)+1, day(A207)))</f>
        <v>Completed</v>
      </c>
      <c r="G207" s="1360" t="str">
        <f>IF(AND('in-situ Acer outplants'!D:D=B207,IF(VLOOKUP(B207,'in-situ Acer outplants'!D:T,17,FALSE)&lt;&gt;0,"TRUE", "FALSE")),"Completed",DATE(year(A207)+1, month(A207), day(A207)))</f>
        <v>Completed</v>
      </c>
      <c r="H207" s="1360"/>
      <c r="I207" s="1360"/>
      <c r="J207" s="1360"/>
      <c r="K207" s="1360"/>
      <c r="L207" s="1360"/>
      <c r="M207" s="1360"/>
      <c r="N207" s="1360"/>
      <c r="O207" s="1371"/>
      <c r="P207" s="1385"/>
      <c r="Q207" s="1360"/>
      <c r="R207" s="1360"/>
      <c r="S207" s="1360"/>
      <c r="T207" s="1360"/>
      <c r="U207" s="1360"/>
      <c r="V207" s="1360"/>
      <c r="W207" s="1360"/>
      <c r="X207" s="1360"/>
      <c r="Y207" s="1360"/>
      <c r="Z207" s="1360"/>
      <c r="AA207" s="1360"/>
      <c r="AB207" s="1360"/>
      <c r="AC207" s="1360"/>
      <c r="AD207" s="1371"/>
      <c r="AE207" s="1360"/>
      <c r="AF207" s="1360"/>
      <c r="AG207" s="1360"/>
    </row>
    <row r="208">
      <c r="A208" s="1356">
        <v>44484.0</v>
      </c>
      <c r="B208" s="1357" t="s">
        <v>748</v>
      </c>
      <c r="C208" s="224" t="s">
        <v>749</v>
      </c>
      <c r="D208" s="1366">
        <f t="shared" si="1"/>
        <v>44515</v>
      </c>
      <c r="E208" s="1366">
        <f t="shared" si="2"/>
        <v>44849</v>
      </c>
      <c r="F208" s="224" t="str">
        <f>IF(AND('in-situ Acer outplants'!D:D=B208,IF(VLOOKUP(B208,'in-situ Acer outplants'!D:M,10,FALSE)&lt;&gt;0,"TRUE", "FALSE")),"Completed",DATE(year(A208), month(A208)+1, day(A208)))</f>
        <v>Completed</v>
      </c>
      <c r="G208" s="1360" t="str">
        <f>IF(AND('in-situ Acer outplants'!D:D=B208,IF(VLOOKUP(B208,'in-situ Acer outplants'!D:T,17,FALSE)&lt;&gt;0,"TRUE", "FALSE")),"Completed",DATE(year(A208)+1, month(A208), day(A208)))</f>
        <v>Completed</v>
      </c>
      <c r="H208" s="1360"/>
      <c r="I208" s="1360"/>
      <c r="J208" s="1360"/>
      <c r="K208" s="1360"/>
      <c r="L208" s="1360"/>
      <c r="M208" s="1360"/>
      <c r="N208" s="1360"/>
      <c r="O208" s="1371"/>
      <c r="P208" s="1385"/>
      <c r="Q208" s="1360"/>
      <c r="R208" s="1360"/>
      <c r="S208" s="1360"/>
      <c r="T208" s="1360"/>
      <c r="U208" s="1360"/>
      <c r="V208" s="1360"/>
      <c r="W208" s="1360"/>
      <c r="X208" s="1360"/>
      <c r="Y208" s="1360"/>
      <c r="Z208" s="1360"/>
      <c r="AA208" s="1360"/>
      <c r="AB208" s="1360"/>
      <c r="AC208" s="1360"/>
      <c r="AD208" s="1371"/>
      <c r="AE208" s="1360"/>
      <c r="AF208" s="1360"/>
      <c r="AG208" s="1360"/>
    </row>
    <row r="209">
      <c r="A209" s="1356">
        <v>44494.0</v>
      </c>
      <c r="B209" s="1357" t="s">
        <v>752</v>
      </c>
      <c r="C209" s="224" t="s">
        <v>494</v>
      </c>
      <c r="D209" s="1366">
        <f t="shared" si="1"/>
        <v>44525</v>
      </c>
      <c r="E209" s="1366">
        <f t="shared" si="2"/>
        <v>44859</v>
      </c>
      <c r="F209" s="224" t="str">
        <f>IF(AND('in-situ Acer outplants'!D:D=B209,IF(VLOOKUP(B209,'in-situ Acer outplants'!D:M,10,FALSE)&lt;&gt;0,"TRUE", "FALSE")),"Completed",DATE(year(A209), month(A209)+1, day(A209)))</f>
        <v>Completed</v>
      </c>
      <c r="G209" s="1360" t="str">
        <f>IF(AND('in-situ Acer outplants'!D:D=B209,IF(VLOOKUP(B209,'in-situ Acer outplants'!D:T,17,FALSE)&lt;&gt;0,"TRUE", "FALSE")),"Completed",DATE(year(A209)+1, month(A209), day(A209)))</f>
        <v>Completed</v>
      </c>
      <c r="H209" s="1360"/>
      <c r="I209" s="1360"/>
      <c r="J209" s="1360"/>
      <c r="K209" s="1360"/>
      <c r="L209" s="1360"/>
      <c r="M209" s="1360"/>
      <c r="N209" s="1360"/>
      <c r="O209" s="1371"/>
      <c r="P209" s="1385"/>
      <c r="Q209" s="1360"/>
      <c r="R209" s="1360"/>
      <c r="S209" s="1360"/>
      <c r="T209" s="1360"/>
      <c r="U209" s="1360"/>
      <c r="V209" s="1360"/>
      <c r="W209" s="1360"/>
      <c r="X209" s="1360"/>
      <c r="Y209" s="1360"/>
      <c r="Z209" s="1360"/>
      <c r="AA209" s="1360"/>
      <c r="AB209" s="1360"/>
      <c r="AC209" s="1360"/>
      <c r="AD209" s="1371"/>
      <c r="AE209" s="1360"/>
      <c r="AF209" s="1360"/>
      <c r="AG209" s="1360"/>
    </row>
    <row r="210">
      <c r="A210" s="1356">
        <v>44504.0</v>
      </c>
      <c r="B210" s="1357" t="s">
        <v>754</v>
      </c>
      <c r="C210" s="224" t="s">
        <v>755</v>
      </c>
      <c r="D210" s="1366">
        <f t="shared" si="1"/>
        <v>44534</v>
      </c>
      <c r="E210" s="1366">
        <f t="shared" si="2"/>
        <v>44869</v>
      </c>
      <c r="F210" s="224" t="str">
        <f>IF(AND('in-situ Acer outplants'!D:D=B210,IF(VLOOKUP(B210,'in-situ Acer outplants'!D:M,10,FALSE)&lt;&gt;0,"TRUE", "FALSE")),"Completed",DATE(year(A210), month(A210)+1, day(A210)))</f>
        <v>Completed</v>
      </c>
      <c r="G210" s="1360" t="str">
        <f>IF(AND('in-situ Acer outplants'!D:D=B210,IF(VLOOKUP(B210,'in-situ Acer outplants'!D:T,17,FALSE)&lt;&gt;0,"TRUE", "FALSE")),"Completed",DATE(year(A210)+1, month(A210), day(A210)))</f>
        <v>Completed</v>
      </c>
      <c r="H210" s="1360"/>
      <c r="I210" s="1360"/>
      <c r="J210" s="1360"/>
      <c r="K210" s="1360"/>
      <c r="L210" s="1360"/>
      <c r="M210" s="1360"/>
      <c r="N210" s="1360"/>
      <c r="O210" s="1371"/>
      <c r="P210" s="1385"/>
      <c r="Q210" s="1360"/>
      <c r="R210" s="1360"/>
      <c r="S210" s="1360"/>
      <c r="T210" s="1360"/>
      <c r="U210" s="1360"/>
      <c r="V210" s="1360"/>
      <c r="W210" s="1360"/>
      <c r="X210" s="1360"/>
      <c r="Y210" s="1360"/>
      <c r="Z210" s="1360"/>
      <c r="AA210" s="1360"/>
      <c r="AB210" s="1360"/>
      <c r="AC210" s="1360"/>
      <c r="AD210" s="1371"/>
      <c r="AE210" s="1360"/>
      <c r="AF210" s="1360"/>
      <c r="AG210" s="1360"/>
    </row>
    <row r="211">
      <c r="A211" s="1356">
        <v>44509.0</v>
      </c>
      <c r="B211" s="1357" t="s">
        <v>757</v>
      </c>
      <c r="C211" s="224" t="s">
        <v>568</v>
      </c>
      <c r="D211" s="1366">
        <f t="shared" si="1"/>
        <v>44539</v>
      </c>
      <c r="E211" s="1366">
        <f t="shared" si="2"/>
        <v>44874</v>
      </c>
      <c r="F211" s="224" t="str">
        <f>IF(AND('in-situ Acer outplants'!D:D=B211,IF(VLOOKUP(B211,'in-situ Acer outplants'!D:M,10,FALSE)&lt;&gt;0,"TRUE", "FALSE")),"Completed",DATE(year(A211), month(A211)+1, day(A211)))</f>
        <v>Completed</v>
      </c>
      <c r="G211" s="1360" t="str">
        <f>IF(AND('in-situ Acer outplants'!D:D=B211,IF(VLOOKUP(B211,'in-situ Acer outplants'!D:T,17,FALSE)&lt;&gt;0,"TRUE", "FALSE")),"Completed",DATE(year(A211)+1, month(A211), day(A211)))</f>
        <v>Completed</v>
      </c>
      <c r="H211" s="1360"/>
      <c r="I211" s="1360"/>
      <c r="J211" s="1360"/>
      <c r="K211" s="1360"/>
      <c r="L211" s="1360"/>
      <c r="M211" s="1360"/>
      <c r="N211" s="1360"/>
      <c r="O211" s="1371"/>
      <c r="P211" s="1385"/>
      <c r="Q211" s="1360"/>
      <c r="R211" s="1360"/>
      <c r="S211" s="1360"/>
      <c r="T211" s="1360"/>
      <c r="U211" s="1360"/>
      <c r="V211" s="1360"/>
      <c r="W211" s="1360"/>
      <c r="X211" s="1360"/>
      <c r="Y211" s="1360"/>
      <c r="Z211" s="1360"/>
      <c r="AA211" s="1360"/>
      <c r="AB211" s="1360"/>
      <c r="AC211" s="1360"/>
      <c r="AD211" s="1371"/>
      <c r="AE211" s="1360"/>
      <c r="AF211" s="1360"/>
      <c r="AG211" s="1360"/>
    </row>
    <row r="212">
      <c r="A212" s="1356">
        <v>44512.0</v>
      </c>
      <c r="B212" s="1357" t="s">
        <v>760</v>
      </c>
      <c r="C212" s="224" t="s">
        <v>689</v>
      </c>
      <c r="D212" s="1366">
        <f t="shared" si="1"/>
        <v>44542</v>
      </c>
      <c r="E212" s="1366">
        <f t="shared" si="2"/>
        <v>44877</v>
      </c>
      <c r="F212" s="224" t="str">
        <f>IF(AND('in-situ Acer outplants'!D:D=B212,IF(VLOOKUP(B212,'in-situ Acer outplants'!D:M,10,FALSE)&lt;&gt;0,"TRUE", "FALSE")),"Completed",DATE(year(A212), month(A212)+1, day(A212)))</f>
        <v>Completed</v>
      </c>
      <c r="G212" s="1360" t="str">
        <f>IF(AND('in-situ Acer outplants'!D:D=B212,IF(VLOOKUP(B212,'in-situ Acer outplants'!D:T,17,FALSE)&lt;&gt;0,"TRUE", "FALSE")),"Completed",DATE(year(A212)+1, month(A212), day(A212)))</f>
        <v>Completed</v>
      </c>
      <c r="H212" s="1360"/>
      <c r="I212" s="1360"/>
      <c r="J212" s="1360"/>
      <c r="K212" s="1360"/>
      <c r="L212" s="1360"/>
      <c r="M212" s="1360"/>
      <c r="N212" s="1360"/>
      <c r="O212" s="1371"/>
      <c r="P212" s="1385"/>
      <c r="Q212" s="1360"/>
      <c r="R212" s="1360"/>
      <c r="S212" s="1360"/>
      <c r="T212" s="1360"/>
      <c r="U212" s="1360"/>
      <c r="V212" s="1360"/>
      <c r="W212" s="1360"/>
      <c r="X212" s="1360"/>
      <c r="Y212" s="1360"/>
      <c r="Z212" s="1360"/>
      <c r="AA212" s="1360"/>
      <c r="AB212" s="1360"/>
      <c r="AC212" s="1360"/>
      <c r="AD212" s="1371"/>
      <c r="AE212" s="1360"/>
      <c r="AF212" s="1360"/>
      <c r="AG212" s="1360"/>
    </row>
    <row r="213">
      <c r="A213" s="1356">
        <v>44531.0</v>
      </c>
      <c r="B213" s="1357" t="s">
        <v>762</v>
      </c>
      <c r="C213" s="224" t="s">
        <v>459</v>
      </c>
      <c r="D213" s="1366">
        <f t="shared" si="1"/>
        <v>44562</v>
      </c>
      <c r="E213" s="1366">
        <f t="shared" si="2"/>
        <v>44896</v>
      </c>
      <c r="F213" s="224" t="str">
        <f>IF(AND('in-situ Acer outplants'!D:D=B213,IF(VLOOKUP(B213,'in-situ Acer outplants'!D:M,10,FALSE)&lt;&gt;0,"TRUE", "FALSE")),"Completed",DATE(year(A213), month(A213)+1, day(A213)))</f>
        <v>Completed</v>
      </c>
      <c r="G213" s="1360" t="str">
        <f>IF(AND('in-situ Acer outplants'!D:D=B213,IF(VLOOKUP(B213,'in-situ Acer outplants'!D:T,17,FALSE)&lt;&gt;0,"TRUE", "FALSE")),"Completed",DATE(year(A213)+1, month(A213), day(A213)))</f>
        <v>Completed</v>
      </c>
      <c r="H213" s="1360"/>
      <c r="I213" s="1360"/>
      <c r="J213" s="1360"/>
      <c r="K213" s="1360"/>
      <c r="L213" s="1360"/>
      <c r="M213" s="1360"/>
      <c r="N213" s="1360"/>
      <c r="O213" s="1371"/>
      <c r="P213" s="1385"/>
      <c r="Q213" s="1360"/>
      <c r="R213" s="1360"/>
      <c r="S213" s="1360"/>
      <c r="T213" s="1360"/>
      <c r="U213" s="1360"/>
      <c r="V213" s="1360"/>
      <c r="W213" s="1360"/>
      <c r="X213" s="1360"/>
      <c r="Y213" s="1360"/>
      <c r="Z213" s="1360"/>
      <c r="AA213" s="1360"/>
      <c r="AB213" s="1360"/>
      <c r="AC213" s="1360"/>
      <c r="AD213" s="1371"/>
      <c r="AE213" s="1360"/>
      <c r="AF213" s="1360"/>
      <c r="AG213" s="1360"/>
    </row>
    <row r="214">
      <c r="A214" s="1356">
        <v>44538.0</v>
      </c>
      <c r="B214" s="1357" t="s">
        <v>764</v>
      </c>
      <c r="C214" s="224" t="s">
        <v>765</v>
      </c>
      <c r="D214" s="1366">
        <f t="shared" si="1"/>
        <v>44569</v>
      </c>
      <c r="E214" s="1366">
        <f t="shared" si="2"/>
        <v>44903</v>
      </c>
      <c r="F214" s="224" t="str">
        <f>IF(AND('in-situ Acer outplants'!D:D=B214,IF(VLOOKUP(B214,'in-situ Acer outplants'!D:M,10,FALSE)&lt;&gt;0,"TRUE", "FALSE")),"Completed",DATE(year(A214), month(A214)+1, day(A214)))</f>
        <v>Completed</v>
      </c>
      <c r="G214" s="1360" t="str">
        <f>IF(AND('in-situ Acer outplants'!D:D=B214,IF(VLOOKUP(B214,'in-situ Acer outplants'!D:T,17,FALSE)&lt;&gt;0,"TRUE", "FALSE")),"Completed",DATE(year(A214)+1, month(A214), day(A214)))</f>
        <v>Completed</v>
      </c>
      <c r="H214" s="1360"/>
      <c r="I214" s="1360"/>
      <c r="J214" s="1360"/>
      <c r="K214" s="1360"/>
      <c r="L214" s="1360"/>
      <c r="M214" s="1360"/>
      <c r="N214" s="1360"/>
      <c r="O214" s="1371"/>
      <c r="P214" s="1385"/>
      <c r="Q214" s="1360"/>
      <c r="R214" s="1360"/>
      <c r="S214" s="1360"/>
      <c r="T214" s="1360"/>
      <c r="U214" s="1360"/>
      <c r="V214" s="1360"/>
      <c r="W214" s="1360"/>
      <c r="X214" s="1360"/>
      <c r="Y214" s="1360"/>
      <c r="Z214" s="1360"/>
      <c r="AA214" s="1360"/>
      <c r="AB214" s="1360"/>
      <c r="AC214" s="1360"/>
      <c r="AD214" s="1371"/>
      <c r="AE214" s="1360"/>
      <c r="AF214" s="1360"/>
      <c r="AG214" s="1360"/>
    </row>
    <row r="215">
      <c r="A215" s="1356">
        <v>44539.0</v>
      </c>
      <c r="B215" s="1357" t="s">
        <v>768</v>
      </c>
      <c r="C215" s="224" t="s">
        <v>290</v>
      </c>
      <c r="D215" s="1366">
        <f t="shared" si="1"/>
        <v>44570</v>
      </c>
      <c r="E215" s="1366">
        <f t="shared" si="2"/>
        <v>44904</v>
      </c>
      <c r="F215" s="224" t="str">
        <f>IF(AND('in-situ Acer outplants'!D:D=B215,IF(VLOOKUP(B215,'in-situ Acer outplants'!D:M,10,FALSE)&lt;&gt;0,"TRUE", "FALSE")),"Completed",DATE(year(A215), month(A215)+1, day(A215)))</f>
        <v>Completed</v>
      </c>
      <c r="G215" s="1360" t="str">
        <f>IF(AND('in-situ Acer outplants'!D:D=B215,IF(VLOOKUP(B215,'in-situ Acer outplants'!D:T,17,FALSE)&lt;&gt;0,"TRUE", "FALSE")),"Completed",DATE(year(A215)+1, month(A215), day(A215)))</f>
        <v>Completed</v>
      </c>
      <c r="H215" s="1360"/>
      <c r="I215" s="1360"/>
      <c r="J215" s="1360"/>
      <c r="K215" s="1360"/>
      <c r="L215" s="1360"/>
      <c r="M215" s="1360"/>
      <c r="N215" s="1360"/>
      <c r="O215" s="1371"/>
      <c r="P215" s="1385"/>
      <c r="Q215" s="1360"/>
      <c r="R215" s="1360"/>
      <c r="S215" s="1360"/>
      <c r="T215" s="1360"/>
      <c r="U215" s="1360"/>
      <c r="V215" s="1360"/>
      <c r="W215" s="1360"/>
      <c r="X215" s="1360"/>
      <c r="Y215" s="1360"/>
      <c r="Z215" s="1360"/>
      <c r="AA215" s="1360"/>
      <c r="AB215" s="1360"/>
      <c r="AC215" s="1360"/>
      <c r="AD215" s="1371"/>
      <c r="AE215" s="1360"/>
      <c r="AF215" s="1360"/>
      <c r="AG215" s="1360"/>
    </row>
    <row r="216">
      <c r="A216" s="1356">
        <v>44550.0</v>
      </c>
      <c r="B216" s="1357" t="s">
        <v>770</v>
      </c>
      <c r="C216" s="224" t="s">
        <v>673</v>
      </c>
      <c r="D216" s="1366">
        <f t="shared" si="1"/>
        <v>44581</v>
      </c>
      <c r="E216" s="1366">
        <f t="shared" si="2"/>
        <v>44915</v>
      </c>
      <c r="F216" s="224" t="str">
        <f>IF(AND('in-situ Acer outplants'!D:D=B216,IF(VLOOKUP(B216,'in-situ Acer outplants'!D:M,10,FALSE)&lt;&gt;0,"TRUE", "FALSE")),"Completed",DATE(year(A216), month(A216)+1, day(A216)))</f>
        <v>Completed</v>
      </c>
      <c r="G216" s="1360" t="str">
        <f>IF(AND('in-situ Acer outplants'!D:D=B216,IF(VLOOKUP(B216,'in-situ Acer outplants'!D:T,17,FALSE)&lt;&gt;0,"TRUE", "FALSE")),"Completed",DATE(year(A216)+1, month(A216), day(A216)))</f>
        <v>Completed</v>
      </c>
      <c r="H216" s="1360"/>
      <c r="I216" s="1360"/>
      <c r="J216" s="1360"/>
      <c r="K216" s="1360"/>
      <c r="L216" s="1360"/>
      <c r="M216" s="1360"/>
      <c r="N216" s="1360"/>
      <c r="O216" s="1371"/>
      <c r="P216" s="1385"/>
      <c r="Q216" s="1360"/>
      <c r="R216" s="1360"/>
      <c r="S216" s="1360"/>
      <c r="T216" s="1360"/>
      <c r="U216" s="1360"/>
      <c r="V216" s="1360"/>
      <c r="W216" s="1360"/>
      <c r="X216" s="1360"/>
      <c r="Y216" s="1360"/>
      <c r="Z216" s="1360"/>
      <c r="AA216" s="1360"/>
      <c r="AB216" s="1360"/>
      <c r="AC216" s="1360"/>
      <c r="AD216" s="1371"/>
      <c r="AE216" s="1360"/>
      <c r="AF216" s="1360"/>
      <c r="AG216" s="1360"/>
    </row>
    <row r="217">
      <c r="A217" s="1356">
        <v>44560.0</v>
      </c>
      <c r="B217" s="1357" t="s">
        <v>772</v>
      </c>
      <c r="C217" s="224" t="s">
        <v>773</v>
      </c>
      <c r="D217" s="1366">
        <f t="shared" si="1"/>
        <v>44591</v>
      </c>
      <c r="E217" s="1366">
        <f t="shared" si="2"/>
        <v>44925</v>
      </c>
      <c r="F217" s="224" t="str">
        <f>IF(AND('in-situ Acer outplants'!D:D=B217,IF(VLOOKUP(B217,'in-situ Acer outplants'!D:M,10,FALSE)&lt;&gt;0,"TRUE", "FALSE")),"Completed",DATE(year(A217), month(A217)+1, day(A217)))</f>
        <v>Completed</v>
      </c>
      <c r="G217" s="1360" t="str">
        <f>IF(AND('in-situ Acer outplants'!D:D=B217,IF(VLOOKUP(B217,'in-situ Acer outplants'!D:T,17,FALSE)&lt;&gt;0,"TRUE", "FALSE")),"Completed",DATE(year(A217)+1, month(A217), day(A217)))</f>
        <v>Completed</v>
      </c>
      <c r="H217" s="1360"/>
      <c r="I217" s="1360"/>
      <c r="J217" s="1360"/>
      <c r="K217" s="1360"/>
      <c r="L217" s="1360"/>
      <c r="M217" s="1360"/>
      <c r="N217" s="1360"/>
      <c r="O217" s="1371"/>
      <c r="P217" s="1385"/>
      <c r="Q217" s="1360"/>
      <c r="R217" s="1360"/>
      <c r="S217" s="1360"/>
      <c r="T217" s="1360"/>
      <c r="U217" s="1360"/>
      <c r="V217" s="1360"/>
      <c r="W217" s="1360"/>
      <c r="X217" s="1360"/>
      <c r="Y217" s="1360"/>
      <c r="Z217" s="1360"/>
      <c r="AA217" s="1360"/>
      <c r="AB217" s="1360"/>
      <c r="AC217" s="1360"/>
      <c r="AD217" s="1371"/>
      <c r="AE217" s="1360"/>
      <c r="AF217" s="1360"/>
      <c r="AG217" s="1360"/>
    </row>
    <row r="218">
      <c r="A218" s="1356">
        <v>44571.0</v>
      </c>
      <c r="B218" s="1357" t="s">
        <v>776</v>
      </c>
      <c r="C218" s="224" t="s">
        <v>290</v>
      </c>
      <c r="D218" s="1366">
        <f t="shared" si="1"/>
        <v>44602</v>
      </c>
      <c r="E218" s="1366">
        <f t="shared" si="2"/>
        <v>44936</v>
      </c>
      <c r="F218" s="224" t="str">
        <f>IF(AND('in-situ Acer outplants'!D:D=B218,IF(VLOOKUP(B218,'in-situ Acer outplants'!D:M,10,FALSE)&lt;&gt;0,"TRUE", "FALSE")),"Completed",DATE(year(A218), month(A218)+1, day(A218)))</f>
        <v>Completed</v>
      </c>
      <c r="G218" s="1360" t="str">
        <f>IF(AND('in-situ Acer outplants'!D:D=B218,IF(VLOOKUP(B218,'in-situ Acer outplants'!D:T,17,FALSE)&lt;&gt;0,"TRUE", "FALSE")),"Completed",DATE(year(A218)+1, month(A218), day(A218)))</f>
        <v>Completed</v>
      </c>
      <c r="H218" s="1360"/>
      <c r="I218" s="1360"/>
      <c r="J218" s="1360"/>
      <c r="K218" s="1360"/>
      <c r="L218" s="1360"/>
      <c r="M218" s="1360"/>
      <c r="N218" s="1360"/>
      <c r="O218" s="1371"/>
      <c r="P218" s="1385"/>
      <c r="Q218" s="1360"/>
      <c r="R218" s="1360"/>
      <c r="S218" s="1360"/>
      <c r="T218" s="1360"/>
      <c r="U218" s="1360"/>
      <c r="V218" s="1360"/>
      <c r="W218" s="1360"/>
      <c r="X218" s="1360"/>
      <c r="Y218" s="1360"/>
      <c r="Z218" s="1360"/>
      <c r="AA218" s="1360"/>
      <c r="AB218" s="1360"/>
      <c r="AC218" s="1360"/>
      <c r="AD218" s="1371"/>
      <c r="AE218" s="1360"/>
      <c r="AF218" s="1360"/>
      <c r="AG218" s="1360"/>
    </row>
    <row r="219">
      <c r="A219" s="1356">
        <v>44581.0</v>
      </c>
      <c r="B219" s="1357" t="s">
        <v>779</v>
      </c>
      <c r="C219" s="224" t="s">
        <v>780</v>
      </c>
      <c r="D219" s="1366">
        <f t="shared" si="1"/>
        <v>44612</v>
      </c>
      <c r="E219" s="1366">
        <f t="shared" si="2"/>
        <v>44946</v>
      </c>
      <c r="F219" s="224" t="str">
        <f>IF(AND('in-situ Acer outplants'!D:D=B219,IF(VLOOKUP(B219,'in-situ Acer outplants'!D:M,10,FALSE)&lt;&gt;0,"TRUE", "FALSE")),"Completed",DATE(year(A219), month(A219)+1, day(A219)))</f>
        <v>Completed</v>
      </c>
      <c r="G219" s="1360" t="str">
        <f>IF(AND('in-situ Acer outplants'!D:D=B219,IF(VLOOKUP(B219,'in-situ Acer outplants'!D:T,17,FALSE)&lt;&gt;0,"TRUE", "FALSE")),"Completed",DATE(year(A219)+1, month(A219), day(A219)))</f>
        <v>Completed</v>
      </c>
      <c r="H219" s="1360"/>
      <c r="I219" s="1360"/>
      <c r="J219" s="1360"/>
      <c r="K219" s="1360"/>
      <c r="L219" s="1360"/>
      <c r="M219" s="1360"/>
      <c r="N219" s="1360"/>
      <c r="O219" s="1371"/>
      <c r="P219" s="1385"/>
      <c r="Q219" s="1360"/>
      <c r="R219" s="1360"/>
      <c r="S219" s="1360"/>
      <c r="T219" s="1360"/>
      <c r="U219" s="1360"/>
      <c r="V219" s="1360"/>
      <c r="W219" s="1360"/>
      <c r="X219" s="1360"/>
      <c r="Y219" s="1360"/>
      <c r="Z219" s="1360"/>
      <c r="AA219" s="1360"/>
      <c r="AB219" s="1360"/>
      <c r="AC219" s="1360"/>
      <c r="AD219" s="1371"/>
      <c r="AE219" s="1360"/>
      <c r="AF219" s="1360"/>
      <c r="AG219" s="1360"/>
    </row>
    <row r="220">
      <c r="A220" s="1356">
        <v>44581.0</v>
      </c>
      <c r="B220" s="1357" t="s">
        <v>782</v>
      </c>
      <c r="C220" s="224" t="s">
        <v>783</v>
      </c>
      <c r="D220" s="1366">
        <f t="shared" si="1"/>
        <v>44612</v>
      </c>
      <c r="E220" s="1366">
        <f t="shared" si="2"/>
        <v>44946</v>
      </c>
      <c r="F220" s="224" t="str">
        <f>IF(AND('in-situ Acer outplants'!D:D=B220,IF(VLOOKUP(B220,'in-situ Acer outplants'!D:M,10,FALSE)&lt;&gt;0,"TRUE", "FALSE")),"Completed",DATE(year(A220), month(A220)+1, day(A220)))</f>
        <v>Completed</v>
      </c>
      <c r="G220" s="1360" t="str">
        <f>IF(AND('in-situ Acer outplants'!D:D=B220,IF(VLOOKUP(B220,'in-situ Acer outplants'!D:T,17,FALSE)&lt;&gt;0,"TRUE", "FALSE")),"Completed",DATE(year(A220)+1, month(A220), day(A220)))</f>
        <v>Completed</v>
      </c>
      <c r="H220" s="1360"/>
      <c r="I220" s="1360"/>
      <c r="J220" s="1360"/>
      <c r="K220" s="1360"/>
      <c r="L220" s="1360"/>
      <c r="M220" s="1360"/>
      <c r="N220" s="1360"/>
      <c r="O220" s="1371"/>
      <c r="P220" s="1385"/>
      <c r="Q220" s="1360"/>
      <c r="R220" s="1360"/>
      <c r="S220" s="1360"/>
      <c r="T220" s="1360"/>
      <c r="U220" s="1360"/>
      <c r="V220" s="1360"/>
      <c r="W220" s="1360"/>
      <c r="X220" s="1360"/>
      <c r="Y220" s="1360"/>
      <c r="Z220" s="1360"/>
      <c r="AA220" s="1360"/>
      <c r="AB220" s="1360"/>
      <c r="AC220" s="1360"/>
      <c r="AD220" s="1371"/>
      <c r="AE220" s="1360"/>
      <c r="AF220" s="1360"/>
      <c r="AG220" s="1360"/>
    </row>
    <row r="221">
      <c r="A221" s="1356">
        <v>44602.0</v>
      </c>
      <c r="B221" s="1357" t="s">
        <v>786</v>
      </c>
      <c r="C221" s="224" t="s">
        <v>517</v>
      </c>
      <c r="D221" s="1366">
        <f t="shared" si="1"/>
        <v>44630</v>
      </c>
      <c r="E221" s="1366">
        <f t="shared" si="2"/>
        <v>44967</v>
      </c>
      <c r="F221" s="224" t="str">
        <f>IF(AND('in-situ Acer outplants'!D:D=B221,IF(VLOOKUP(B221,'in-situ Acer outplants'!D:M,10,FALSE)&lt;&gt;0,"TRUE", "FALSE")),"Completed",DATE(year(A221), month(A221)+1, day(A221)))</f>
        <v>Completed</v>
      </c>
      <c r="G221" s="1360" t="str">
        <f>IF(AND('in-situ Acer outplants'!D:D=B221,IF(VLOOKUP(B221,'in-situ Acer outplants'!D:T,17,FALSE)&lt;&gt;0,"TRUE", "FALSE")),"Completed",DATE(year(A221)+1, month(A221), day(A221)))</f>
        <v>Completed</v>
      </c>
      <c r="H221" s="1360"/>
      <c r="I221" s="1360"/>
      <c r="J221" s="1360"/>
      <c r="K221" s="1360"/>
      <c r="L221" s="1360"/>
      <c r="M221" s="1360"/>
      <c r="N221" s="1360"/>
      <c r="O221" s="1371"/>
      <c r="P221" s="1385"/>
      <c r="Q221" s="1360"/>
      <c r="R221" s="1360"/>
      <c r="S221" s="1360"/>
      <c r="T221" s="1360"/>
      <c r="U221" s="1360"/>
      <c r="V221" s="1360"/>
      <c r="W221" s="1360"/>
      <c r="X221" s="1360"/>
      <c r="Y221" s="1360"/>
      <c r="Z221" s="1360"/>
      <c r="AA221" s="1360"/>
      <c r="AB221" s="1360"/>
      <c r="AC221" s="1360"/>
      <c r="AD221" s="1371"/>
      <c r="AE221" s="1360"/>
      <c r="AF221" s="1360"/>
      <c r="AG221" s="1360"/>
    </row>
    <row r="222">
      <c r="A222" s="1356">
        <v>44603.0</v>
      </c>
      <c r="B222" s="1357" t="s">
        <v>788</v>
      </c>
      <c r="C222" s="224" t="s">
        <v>789</v>
      </c>
      <c r="D222" s="1366">
        <f t="shared" si="1"/>
        <v>44631</v>
      </c>
      <c r="E222" s="1366">
        <f t="shared" si="2"/>
        <v>44968</v>
      </c>
      <c r="F222" s="224" t="str">
        <f>IF(AND('in-situ Acer outplants'!D:D=B222,IF(VLOOKUP(B222,'in-situ Acer outplants'!D:M,10,FALSE)&lt;&gt;0,"TRUE", "FALSE")),"Completed",DATE(year(A222), month(A222)+1, day(A222)))</f>
        <v>Completed</v>
      </c>
      <c r="G222" s="1360" t="str">
        <f>IF(AND('in-situ Acer outplants'!D:D=B222,IF(VLOOKUP(B222,'in-situ Acer outplants'!D:T,17,FALSE)&lt;&gt;0,"TRUE", "FALSE")),"Completed",DATE(year(A222)+1, month(A222), day(A222)))</f>
        <v>Completed</v>
      </c>
      <c r="H222" s="1360"/>
      <c r="I222" s="1360"/>
      <c r="J222" s="1360"/>
      <c r="K222" s="1360"/>
      <c r="L222" s="1360"/>
      <c r="M222" s="1360"/>
      <c r="N222" s="1360"/>
      <c r="O222" s="1371"/>
      <c r="P222" s="1385"/>
      <c r="Q222" s="1360"/>
      <c r="R222" s="1360"/>
      <c r="S222" s="1360"/>
      <c r="T222" s="1360"/>
      <c r="U222" s="1360"/>
      <c r="V222" s="1360"/>
      <c r="W222" s="1360"/>
      <c r="X222" s="1360"/>
      <c r="Y222" s="1360"/>
      <c r="Z222" s="1360"/>
      <c r="AA222" s="1360"/>
      <c r="AB222" s="1360"/>
      <c r="AC222" s="1360"/>
      <c r="AD222" s="1371"/>
      <c r="AE222" s="1360"/>
      <c r="AF222" s="1360"/>
      <c r="AG222" s="1360"/>
    </row>
    <row r="223">
      <c r="A223" s="1356">
        <v>44620.0</v>
      </c>
      <c r="B223" s="1357" t="s">
        <v>791</v>
      </c>
      <c r="C223" s="224" t="s">
        <v>568</v>
      </c>
      <c r="D223" s="1366">
        <f t="shared" si="1"/>
        <v>44648</v>
      </c>
      <c r="E223" s="1366">
        <f t="shared" si="2"/>
        <v>44985</v>
      </c>
      <c r="F223" s="224" t="str">
        <f>IF(AND('in-situ Acer outplants'!D:D=B223,IF(VLOOKUP(B223,'in-situ Acer outplants'!D:M,10,FALSE)&lt;&gt;0,"TRUE", "FALSE")),"Completed",DATE(year(A223), month(A223)+1, day(A223)))</f>
        <v>Completed</v>
      </c>
      <c r="G223" s="1360" t="str">
        <f>IF(AND('in-situ Acer outplants'!D:D=B223,IF(VLOOKUP(B223,'in-situ Acer outplants'!D:T,17,FALSE)&lt;&gt;0,"TRUE", "FALSE")),"Completed",DATE(year(A223)+1, month(A223), day(A223)))</f>
        <v>Completed</v>
      </c>
      <c r="H223" s="1360"/>
      <c r="I223" s="1360"/>
      <c r="J223" s="1360"/>
      <c r="K223" s="1360"/>
      <c r="L223" s="1360"/>
      <c r="M223" s="1360"/>
      <c r="N223" s="1360"/>
      <c r="O223" s="1371"/>
      <c r="P223" s="1385"/>
      <c r="Q223" s="1360"/>
      <c r="R223" s="1360"/>
      <c r="S223" s="1360"/>
      <c r="T223" s="1360"/>
      <c r="U223" s="1360"/>
      <c r="V223" s="1360"/>
      <c r="W223" s="1360"/>
      <c r="X223" s="1360"/>
      <c r="Y223" s="1360"/>
      <c r="Z223" s="1360"/>
      <c r="AA223" s="1360"/>
      <c r="AB223" s="1360"/>
      <c r="AC223" s="1360"/>
      <c r="AD223" s="1371"/>
      <c r="AE223" s="1360"/>
      <c r="AF223" s="1360"/>
      <c r="AG223" s="1360"/>
    </row>
    <row r="224">
      <c r="A224" s="1356">
        <v>44636.0</v>
      </c>
      <c r="B224" s="1357" t="s">
        <v>793</v>
      </c>
      <c r="C224" s="224" t="s">
        <v>423</v>
      </c>
      <c r="D224" s="1366">
        <f t="shared" si="1"/>
        <v>44667</v>
      </c>
      <c r="E224" s="1366">
        <f t="shared" si="2"/>
        <v>45001</v>
      </c>
      <c r="F224" s="224" t="str">
        <f>IF(AND('in-situ Acer outplants'!D:D=B224,IF(VLOOKUP(B224,'in-situ Acer outplants'!D:M,10,FALSE)&lt;&gt;0,"TRUE", "FALSE")),"Completed",DATE(year(A224), month(A224)+1, day(A224)))</f>
        <v>Completed</v>
      </c>
      <c r="G224" s="1360" t="str">
        <f>IF(AND('in-situ Acer outplants'!D:D=B224,IF(VLOOKUP(B224,'in-situ Acer outplants'!D:T,17,FALSE)&lt;&gt;0,"TRUE", "FALSE")),"Completed",DATE(year(A224)+1, month(A224), day(A224)))</f>
        <v>Completed</v>
      </c>
      <c r="H224" s="1360"/>
      <c r="I224" s="1360"/>
      <c r="J224" s="1360"/>
      <c r="K224" s="1360"/>
      <c r="L224" s="1360"/>
      <c r="M224" s="1360"/>
      <c r="N224" s="1360"/>
      <c r="O224" s="1371"/>
      <c r="P224" s="1385"/>
      <c r="Q224" s="1360"/>
      <c r="R224" s="1360"/>
      <c r="S224" s="1360"/>
      <c r="T224" s="1360"/>
      <c r="U224" s="1360"/>
      <c r="V224" s="1360"/>
      <c r="W224" s="1360"/>
      <c r="X224" s="1360"/>
      <c r="Y224" s="1360"/>
      <c r="Z224" s="1360"/>
      <c r="AA224" s="1360"/>
      <c r="AB224" s="1360"/>
      <c r="AC224" s="1360"/>
      <c r="AD224" s="1371"/>
      <c r="AE224" s="1360"/>
      <c r="AF224" s="1360"/>
      <c r="AG224" s="1360"/>
    </row>
    <row r="225">
      <c r="A225" s="1356">
        <v>44648.0</v>
      </c>
      <c r="B225" s="1357" t="s">
        <v>795</v>
      </c>
      <c r="C225" s="224" t="s">
        <v>316</v>
      </c>
      <c r="D225" s="1366">
        <f t="shared" si="1"/>
        <v>44679</v>
      </c>
      <c r="E225" s="1366">
        <f t="shared" si="2"/>
        <v>45013</v>
      </c>
      <c r="F225" s="224" t="str">
        <f>IF(AND('in-situ Acer outplants'!D:D=B225,IF(VLOOKUP(B225,'in-situ Acer outplants'!D:M,10,FALSE)&lt;&gt;0,"TRUE", "FALSE")),"Completed",DATE(year(A225), month(A225)+1, day(A225)))</f>
        <v>Completed</v>
      </c>
      <c r="G225" s="1360" t="str">
        <f>IF(AND('in-situ Acer outplants'!D:D=B225,IF(VLOOKUP(B225,'in-situ Acer outplants'!D:T,17,FALSE)&lt;&gt;0,"TRUE", "FALSE")),"Completed",DATE(year(A225)+1, month(A225), day(A225)))</f>
        <v>Completed</v>
      </c>
      <c r="H225" s="1360"/>
      <c r="I225" s="1360"/>
      <c r="J225" s="1360"/>
      <c r="K225" s="1360"/>
      <c r="L225" s="1360"/>
      <c r="M225" s="1360"/>
      <c r="N225" s="1360"/>
      <c r="O225" s="1371"/>
      <c r="P225" s="1385"/>
      <c r="Q225" s="1360"/>
      <c r="R225" s="1360"/>
      <c r="S225" s="1360"/>
      <c r="T225" s="1360"/>
      <c r="U225" s="1360"/>
      <c r="V225" s="1360"/>
      <c r="W225" s="1360"/>
      <c r="X225" s="1360"/>
      <c r="Y225" s="1360"/>
      <c r="Z225" s="1360"/>
      <c r="AA225" s="1360"/>
      <c r="AB225" s="1360"/>
      <c r="AC225" s="1360"/>
      <c r="AD225" s="1371"/>
      <c r="AE225" s="1360"/>
      <c r="AF225" s="1360"/>
      <c r="AG225" s="1360"/>
    </row>
    <row r="226">
      <c r="A226" s="1356">
        <v>44655.0</v>
      </c>
      <c r="B226" s="1357" t="s">
        <v>798</v>
      </c>
      <c r="C226" s="224" t="s">
        <v>557</v>
      </c>
      <c r="D226" s="1366">
        <f t="shared" si="1"/>
        <v>44685</v>
      </c>
      <c r="E226" s="1366">
        <f t="shared" si="2"/>
        <v>45020</v>
      </c>
      <c r="F226" s="224" t="str">
        <f>IF(AND('in-situ Acer outplants'!D:D=B226,IF(VLOOKUP(B226,'in-situ Acer outplants'!D:M,10,FALSE)&lt;&gt;0,"TRUE", "FALSE")),"Completed",DATE(year(A226), month(A226)+1, day(A226)))</f>
        <v>Completed</v>
      </c>
      <c r="G226" s="1360" t="str">
        <f>IF(AND('in-situ Acer outplants'!D:D=B226,IF(VLOOKUP(B226,'in-situ Acer outplants'!D:T,17,FALSE)&lt;&gt;0,"TRUE", "FALSE")),"Completed",DATE(year(A226)+1, month(A226), day(A226)))</f>
        <v>Completed</v>
      </c>
      <c r="H226" s="1360"/>
      <c r="I226" s="1360"/>
      <c r="J226" s="1360"/>
      <c r="K226" s="1360"/>
      <c r="L226" s="1360"/>
      <c r="M226" s="1360"/>
      <c r="N226" s="1360"/>
      <c r="O226" s="1371"/>
      <c r="P226" s="1385"/>
      <c r="Q226" s="1360"/>
      <c r="R226" s="1360"/>
      <c r="S226" s="1360"/>
      <c r="T226" s="1360"/>
      <c r="U226" s="1360"/>
      <c r="V226" s="1360"/>
      <c r="W226" s="1360"/>
      <c r="X226" s="1360"/>
      <c r="Y226" s="1360"/>
      <c r="Z226" s="1360"/>
      <c r="AA226" s="1360"/>
      <c r="AB226" s="1360"/>
      <c r="AC226" s="1360"/>
      <c r="AD226" s="1371"/>
      <c r="AE226" s="1360"/>
      <c r="AF226" s="1360"/>
      <c r="AG226" s="1360"/>
    </row>
    <row r="227">
      <c r="A227" s="1356">
        <v>44658.0</v>
      </c>
      <c r="B227" s="1357" t="s">
        <v>801</v>
      </c>
      <c r="C227" s="224" t="s">
        <v>290</v>
      </c>
      <c r="D227" s="1366">
        <f t="shared" si="1"/>
        <v>44688</v>
      </c>
      <c r="E227" s="1366">
        <f t="shared" si="2"/>
        <v>45023</v>
      </c>
      <c r="F227" s="224" t="str">
        <f>IF(AND('in-situ Acer outplants'!D:D=B227,IF(VLOOKUP(B227,'in-situ Acer outplants'!D:M,10,FALSE)&lt;&gt;0,"TRUE", "FALSE")),"Completed",DATE(year(A227), month(A227)+1, day(A227)))</f>
        <v>Completed</v>
      </c>
      <c r="G227" s="1360" t="str">
        <f>IF(AND('in-situ Acer outplants'!D:D=B227,IF(VLOOKUP(B227,'in-situ Acer outplants'!D:T,17,FALSE)&lt;&gt;0,"TRUE", "FALSE")),"Completed",DATE(year(A227)+1, month(A227), day(A227)))</f>
        <v>Completed</v>
      </c>
      <c r="H227" s="1360"/>
      <c r="I227" s="1360"/>
      <c r="J227" s="1360"/>
      <c r="K227" s="1360"/>
      <c r="L227" s="1360"/>
      <c r="M227" s="1360"/>
      <c r="N227" s="1360"/>
      <c r="O227" s="1371"/>
      <c r="P227" s="1385"/>
      <c r="Q227" s="1360"/>
      <c r="R227" s="1360"/>
      <c r="S227" s="1360"/>
      <c r="T227" s="1360"/>
      <c r="U227" s="1360"/>
      <c r="V227" s="1360"/>
      <c r="W227" s="1360"/>
      <c r="X227" s="1360"/>
      <c r="Y227" s="1360"/>
      <c r="Z227" s="1360"/>
      <c r="AA227" s="1360"/>
      <c r="AB227" s="1360"/>
      <c r="AC227" s="1360"/>
      <c r="AD227" s="1371"/>
      <c r="AE227" s="1360"/>
      <c r="AF227" s="1360"/>
      <c r="AG227" s="1360"/>
    </row>
    <row r="228">
      <c r="A228" s="1356">
        <v>44669.0</v>
      </c>
      <c r="B228" s="1357" t="s">
        <v>803</v>
      </c>
      <c r="C228" s="224" t="s">
        <v>804</v>
      </c>
      <c r="D228" s="1366">
        <f t="shared" si="1"/>
        <v>44699</v>
      </c>
      <c r="E228" s="1366">
        <f t="shared" si="2"/>
        <v>45034</v>
      </c>
      <c r="F228" s="224" t="str">
        <f>IF(AND('in-situ Acer outplants'!D:D=B228,IF(VLOOKUP(B228,'in-situ Acer outplants'!D:M,10,FALSE)&lt;&gt;0,"TRUE", "FALSE")),"Completed",DATE(year(A228), month(A228)+1, day(A228)))</f>
        <v>Completed</v>
      </c>
      <c r="G228" s="1360" t="str">
        <f>IF(AND('in-situ Acer outplants'!D:D=B228,IF(VLOOKUP(B228,'in-situ Acer outplants'!D:T,17,FALSE)&lt;&gt;0,"TRUE", "FALSE")),"Completed",DATE(year(A228)+1, month(A228), day(A228)))</f>
        <v>Completed</v>
      </c>
      <c r="H228" s="1360"/>
      <c r="I228" s="1360"/>
      <c r="J228" s="1360"/>
      <c r="K228" s="1360"/>
      <c r="L228" s="1360"/>
      <c r="M228" s="1360"/>
      <c r="N228" s="1360"/>
      <c r="O228" s="1371"/>
      <c r="P228" s="1385"/>
      <c r="Q228" s="1360"/>
      <c r="R228" s="1360"/>
      <c r="S228" s="1360"/>
      <c r="T228" s="1360"/>
      <c r="U228" s="1360"/>
      <c r="V228" s="1360"/>
      <c r="W228" s="1360"/>
      <c r="X228" s="1360"/>
      <c r="Y228" s="1360"/>
      <c r="Z228" s="1360"/>
      <c r="AA228" s="1360"/>
      <c r="AB228" s="1360"/>
      <c r="AC228" s="1360"/>
      <c r="AD228" s="1371"/>
      <c r="AE228" s="1360"/>
      <c r="AF228" s="1360"/>
      <c r="AG228" s="1360"/>
    </row>
    <row r="229">
      <c r="A229" s="1356">
        <v>44685.0</v>
      </c>
      <c r="B229" s="1357" t="s">
        <v>806</v>
      </c>
      <c r="C229" s="224" t="s">
        <v>652</v>
      </c>
      <c r="D229" s="1366">
        <f t="shared" si="1"/>
        <v>44716</v>
      </c>
      <c r="E229" s="1366">
        <f t="shared" si="2"/>
        <v>45050</v>
      </c>
      <c r="F229" s="224" t="str">
        <f>IF(AND('in-situ Acer outplants'!D:D=B229,IF(VLOOKUP(B229,'in-situ Acer outplants'!D:M,10,FALSE)&lt;&gt;0,"TRUE", "FALSE")),"Completed",DATE(year(A229), month(A229)+1, day(A229)))</f>
        <v>Completed</v>
      </c>
      <c r="G229" s="1360" t="str">
        <f>IF(AND('in-situ Acer outplants'!D:D=B229,IF(VLOOKUP(B229,'in-situ Acer outplants'!D:T,17,FALSE)&lt;&gt;0,"TRUE", "FALSE")),"Completed",DATE(year(A229)+1, month(A229), day(A229)))</f>
        <v>Completed</v>
      </c>
      <c r="H229" s="1360"/>
      <c r="I229" s="1360"/>
      <c r="J229" s="1360"/>
      <c r="K229" s="1360"/>
      <c r="L229" s="1360"/>
      <c r="M229" s="1360"/>
      <c r="N229" s="1360"/>
      <c r="O229" s="1371"/>
      <c r="P229" s="1385"/>
      <c r="Q229" s="1360"/>
      <c r="R229" s="1360"/>
      <c r="S229" s="1360"/>
      <c r="T229" s="1360"/>
      <c r="U229" s="1360"/>
      <c r="V229" s="1360"/>
      <c r="W229" s="1360"/>
      <c r="X229" s="1360"/>
      <c r="Y229" s="1360"/>
      <c r="Z229" s="1360"/>
      <c r="AA229" s="1360"/>
      <c r="AB229" s="1360"/>
      <c r="AC229" s="1360"/>
      <c r="AD229" s="1371"/>
      <c r="AE229" s="1360"/>
      <c r="AF229" s="1360"/>
      <c r="AG229" s="1360"/>
    </row>
    <row r="230">
      <c r="A230" s="1356">
        <v>44686.0</v>
      </c>
      <c r="B230" s="1357" t="s">
        <v>810</v>
      </c>
      <c r="C230" s="224" t="s">
        <v>517</v>
      </c>
      <c r="D230" s="1366">
        <f t="shared" si="1"/>
        <v>44717</v>
      </c>
      <c r="E230" s="1366">
        <f t="shared" si="2"/>
        <v>45051</v>
      </c>
      <c r="F230" s="224" t="str">
        <f>IF(AND('in-situ Acer outplants'!D:D=B230,IF(VLOOKUP(B230,'in-situ Acer outplants'!D:M,10,FALSE)&lt;&gt;0,"TRUE", "FALSE")),"Completed",DATE(year(A230), month(A230)+1, day(A230)))</f>
        <v>Completed</v>
      </c>
      <c r="G230" s="1360" t="str">
        <f>IF(AND('in-situ Acer outplants'!D:D=B230,IF(VLOOKUP(B230,'in-situ Acer outplants'!D:T,17,FALSE)&lt;&gt;0,"TRUE", "FALSE")),"Completed",DATE(year(A230)+1, month(A230), day(A230)))</f>
        <v>Completed</v>
      </c>
      <c r="H230" s="1360"/>
      <c r="I230" s="1360"/>
      <c r="J230" s="1360"/>
      <c r="K230" s="1360"/>
      <c r="L230" s="1360"/>
      <c r="M230" s="1360"/>
      <c r="N230" s="1360"/>
      <c r="O230" s="1371"/>
      <c r="P230" s="1385"/>
      <c r="Q230" s="1360"/>
      <c r="R230" s="1360"/>
      <c r="S230" s="1360"/>
      <c r="T230" s="1360"/>
      <c r="U230" s="1360"/>
      <c r="V230" s="1360"/>
      <c r="W230" s="1360"/>
      <c r="X230" s="1360"/>
      <c r="Y230" s="1360"/>
      <c r="Z230" s="1360"/>
      <c r="AA230" s="1360"/>
      <c r="AB230" s="1360"/>
      <c r="AC230" s="1360"/>
      <c r="AD230" s="1371"/>
      <c r="AE230" s="1360"/>
      <c r="AF230" s="1360"/>
      <c r="AG230" s="1360"/>
    </row>
    <row r="231">
      <c r="A231" s="1356">
        <v>44687.0</v>
      </c>
      <c r="B231" s="1357" t="s">
        <v>812</v>
      </c>
      <c r="C231" s="224" t="s">
        <v>316</v>
      </c>
      <c r="D231" s="1366">
        <f t="shared" si="1"/>
        <v>44718</v>
      </c>
      <c r="E231" s="1366">
        <f t="shared" si="2"/>
        <v>45052</v>
      </c>
      <c r="F231" s="224" t="str">
        <f>IF(AND('in-situ Acer outplants'!D:D=B231,IF(VLOOKUP(B231,'in-situ Acer outplants'!D:M,10,FALSE)&lt;&gt;0,"TRUE", "FALSE")),"Completed",DATE(year(A231), month(A231)+1, day(A231)))</f>
        <v>Completed</v>
      </c>
      <c r="G231" s="1360" t="str">
        <f>IF(AND('in-situ Acer outplants'!D:D=B231,IF(VLOOKUP(B231,'in-situ Acer outplants'!D:T,17,FALSE)&lt;&gt;0,"TRUE", "FALSE")),"Completed",DATE(year(A231)+1, month(A231), day(A231)))</f>
        <v>Completed</v>
      </c>
      <c r="H231" s="1360"/>
      <c r="I231" s="1360"/>
      <c r="J231" s="1360"/>
      <c r="K231" s="1360"/>
      <c r="L231" s="1360"/>
      <c r="M231" s="1360"/>
      <c r="N231" s="1360"/>
      <c r="O231" s="1371"/>
      <c r="P231" s="1385"/>
      <c r="Q231" s="1360"/>
      <c r="R231" s="1360"/>
      <c r="S231" s="1360"/>
      <c r="T231" s="1360"/>
      <c r="U231" s="1360"/>
      <c r="V231" s="1360"/>
      <c r="W231" s="1360"/>
      <c r="X231" s="1360"/>
      <c r="Y231" s="1360"/>
      <c r="Z231" s="1360"/>
      <c r="AA231" s="1360"/>
      <c r="AB231" s="1360"/>
      <c r="AC231" s="1360"/>
      <c r="AD231" s="1371"/>
      <c r="AE231" s="1360"/>
      <c r="AF231" s="1360"/>
      <c r="AG231" s="1360"/>
    </row>
    <row r="232">
      <c r="A232" s="1356">
        <v>44686.0</v>
      </c>
      <c r="B232" s="1357" t="s">
        <v>815</v>
      </c>
      <c r="C232" s="224" t="s">
        <v>816</v>
      </c>
      <c r="D232" s="1366">
        <f t="shared" si="1"/>
        <v>44717</v>
      </c>
      <c r="E232" s="1366">
        <f t="shared" si="2"/>
        <v>45051</v>
      </c>
      <c r="F232" s="224" t="str">
        <f>IF(AND('in-situ Acer outplants'!D:D=B232,IF(VLOOKUP(B232,'in-situ Acer outplants'!D:M,10,FALSE)&lt;&gt;0,"TRUE", "FALSE")),"Completed",DATE(year(A232), month(A232)+1, day(A232)))</f>
        <v>Completed</v>
      </c>
      <c r="G232" s="1360" t="str">
        <f>IF(AND('in-situ Acer outplants'!D:D=B232,IF(VLOOKUP(B232,'in-situ Acer outplants'!D:T,17,FALSE)&lt;&gt;0,"TRUE", "FALSE")),"Completed",DATE(year(A232)+1, month(A232), day(A232)))</f>
        <v>Completed</v>
      </c>
      <c r="H232" s="1360"/>
      <c r="I232" s="1360"/>
      <c r="J232" s="1360"/>
      <c r="K232" s="1360"/>
      <c r="L232" s="1360"/>
      <c r="M232" s="1360"/>
      <c r="N232" s="1360"/>
      <c r="O232" s="1371"/>
      <c r="P232" s="1385"/>
      <c r="Q232" s="1360"/>
      <c r="R232" s="1360"/>
      <c r="S232" s="1360"/>
      <c r="T232" s="1360"/>
      <c r="U232" s="1360"/>
      <c r="V232" s="1360"/>
      <c r="W232" s="1360"/>
      <c r="X232" s="1360"/>
      <c r="Y232" s="1360"/>
      <c r="Z232" s="1360"/>
      <c r="AA232" s="1360"/>
      <c r="AB232" s="1360"/>
      <c r="AC232" s="1360"/>
      <c r="AD232" s="1371"/>
      <c r="AE232" s="1360"/>
      <c r="AF232" s="1360"/>
      <c r="AG232" s="1360"/>
    </row>
    <row r="233">
      <c r="A233" s="1356">
        <v>44688.0</v>
      </c>
      <c r="B233" s="1357" t="s">
        <v>820</v>
      </c>
      <c r="C233" s="224" t="s">
        <v>821</v>
      </c>
      <c r="D233" s="1366">
        <f t="shared" si="1"/>
        <v>44719</v>
      </c>
      <c r="E233" s="1366">
        <f t="shared" si="2"/>
        <v>45053</v>
      </c>
      <c r="F233" s="224" t="str">
        <f>IF(AND('in-situ Acer outplants'!D:D=B233,IF(VLOOKUP(B233,'in-situ Acer outplants'!D:M,10,FALSE)&lt;&gt;0,"TRUE", "FALSE")),"Completed",DATE(year(A233), month(A233)+1, day(A233)))</f>
        <v>Completed</v>
      </c>
      <c r="G233" s="1360" t="str">
        <f>IF(AND('in-situ Acer outplants'!D:D=B233,IF(VLOOKUP(B233,'in-situ Acer outplants'!D:T,17,FALSE)&lt;&gt;0,"TRUE", "FALSE")),"Completed",DATE(year(A233)+1, month(A233), day(A233)))</f>
        <v>Completed</v>
      </c>
      <c r="H233" s="1360"/>
      <c r="I233" s="1360"/>
      <c r="J233" s="1360"/>
      <c r="K233" s="1360"/>
      <c r="L233" s="1360"/>
      <c r="M233" s="1360"/>
      <c r="N233" s="1360"/>
      <c r="O233" s="1371"/>
      <c r="P233" s="1385"/>
      <c r="Q233" s="1360"/>
      <c r="R233" s="1360"/>
      <c r="S233" s="1360"/>
      <c r="T233" s="1360"/>
      <c r="U233" s="1360"/>
      <c r="V233" s="1360"/>
      <c r="W233" s="1360"/>
      <c r="X233" s="1360"/>
      <c r="Y233" s="1360"/>
      <c r="Z233" s="1360"/>
      <c r="AA233" s="1360"/>
      <c r="AB233" s="1360"/>
      <c r="AC233" s="1360"/>
      <c r="AD233" s="1371"/>
      <c r="AE233" s="1360"/>
      <c r="AF233" s="1360"/>
      <c r="AG233" s="1360"/>
    </row>
    <row r="234">
      <c r="A234" s="1356">
        <v>44693.0</v>
      </c>
      <c r="B234" s="1357" t="s">
        <v>822</v>
      </c>
      <c r="C234" s="224" t="s">
        <v>299</v>
      </c>
      <c r="D234" s="1366">
        <f t="shared" si="1"/>
        <v>44724</v>
      </c>
      <c r="E234" s="1366">
        <f t="shared" si="2"/>
        <v>45058</v>
      </c>
      <c r="F234" s="224" t="str">
        <f>IF(AND('in-situ Acer outplants'!D:D=B234,IF(VLOOKUP(B234,'in-situ Acer outplants'!D:M,10,FALSE)&lt;&gt;0,"TRUE", "FALSE")),"Completed",DATE(year(A234), month(A234)+1, day(A234)))</f>
        <v>Completed</v>
      </c>
      <c r="G234" s="1360" t="str">
        <f>IF(AND('in-situ Acer outplants'!D:D=B234,IF(VLOOKUP(B234,'in-situ Acer outplants'!D:T,17,FALSE)&lt;&gt;0,"TRUE", "FALSE")),"Completed",DATE(year(A234)+1, month(A234), day(A234)))</f>
        <v>Completed</v>
      </c>
      <c r="H234" s="1360"/>
      <c r="I234" s="1360"/>
      <c r="J234" s="1360"/>
      <c r="K234" s="1360"/>
      <c r="L234" s="1360"/>
      <c r="M234" s="1360"/>
      <c r="N234" s="1360"/>
      <c r="O234" s="1371"/>
      <c r="P234" s="1385"/>
      <c r="Q234" s="1360"/>
      <c r="R234" s="1360"/>
      <c r="S234" s="1360"/>
      <c r="T234" s="1360"/>
      <c r="U234" s="1360"/>
      <c r="V234" s="1360"/>
      <c r="W234" s="1360"/>
      <c r="X234" s="1360"/>
      <c r="Y234" s="1360"/>
      <c r="Z234" s="1360"/>
      <c r="AA234" s="1360"/>
      <c r="AB234" s="1360"/>
      <c r="AC234" s="1360"/>
      <c r="AD234" s="1371"/>
      <c r="AE234" s="1360"/>
      <c r="AF234" s="1360"/>
      <c r="AG234" s="1360"/>
    </row>
    <row r="235">
      <c r="A235" s="1356">
        <v>44694.0</v>
      </c>
      <c r="B235" s="1357" t="s">
        <v>825</v>
      </c>
      <c r="C235" s="224" t="s">
        <v>517</v>
      </c>
      <c r="D235" s="1366">
        <f t="shared" si="1"/>
        <v>44725</v>
      </c>
      <c r="E235" s="1366">
        <f t="shared" si="2"/>
        <v>45059</v>
      </c>
      <c r="F235" s="224" t="str">
        <f>IF(AND('in-situ Acer outplants'!D:D=B235,IF(VLOOKUP(B235,'in-situ Acer outplants'!D:M,10,FALSE)&lt;&gt;0,"TRUE", "FALSE")),"Completed",DATE(year(A235), month(A235)+1, day(A235)))</f>
        <v>Completed</v>
      </c>
      <c r="G235" s="1360" t="str">
        <f>IF(AND('in-situ Acer outplants'!D:D=B235,IF(VLOOKUP(B235,'in-situ Acer outplants'!D:T,17,FALSE)&lt;&gt;0,"TRUE", "FALSE")),"Completed",DATE(year(A235)+1, month(A235), day(A235)))</f>
        <v>Completed</v>
      </c>
      <c r="H235" s="1360"/>
      <c r="I235" s="1360"/>
      <c r="J235" s="1360"/>
      <c r="K235" s="1360"/>
      <c r="L235" s="1360"/>
      <c r="M235" s="1360"/>
      <c r="N235" s="1360"/>
      <c r="O235" s="1371"/>
      <c r="P235" s="1385"/>
      <c r="Q235" s="1360"/>
      <c r="R235" s="1360"/>
      <c r="S235" s="1360"/>
      <c r="T235" s="1360"/>
      <c r="U235" s="1360"/>
      <c r="V235" s="1360"/>
      <c r="W235" s="1360"/>
      <c r="X235" s="1360"/>
      <c r="Y235" s="1360"/>
      <c r="Z235" s="1360"/>
      <c r="AA235" s="1360"/>
      <c r="AB235" s="1360"/>
      <c r="AC235" s="1360"/>
      <c r="AD235" s="1371"/>
      <c r="AE235" s="1360"/>
      <c r="AF235" s="1360"/>
      <c r="AG235" s="1360"/>
    </row>
    <row r="236">
      <c r="A236" s="1356">
        <v>44699.0</v>
      </c>
      <c r="B236" s="1357" t="s">
        <v>827</v>
      </c>
      <c r="C236" s="224" t="s">
        <v>423</v>
      </c>
      <c r="D236" s="1366">
        <f t="shared" si="1"/>
        <v>44730</v>
      </c>
      <c r="E236" s="1366">
        <f t="shared" si="2"/>
        <v>45064</v>
      </c>
      <c r="F236" s="224" t="str">
        <f>IF(AND('in-situ Acer outplants'!D:D=B236,IF(VLOOKUP(B236,'in-situ Acer outplants'!D:M,10,FALSE)&lt;&gt;0,"TRUE", "FALSE")),"Completed",DATE(year(A236), month(A236)+1, day(A236)))</f>
        <v>Completed</v>
      </c>
      <c r="G236" s="1360" t="str">
        <f>IF(AND('in-situ Acer outplants'!D:D=B236,IF(VLOOKUP(B236,'in-situ Acer outplants'!D:T,17,FALSE)&lt;&gt;0,"TRUE", "FALSE")),"Completed",DATE(year(A236)+1, month(A236), day(A236)))</f>
        <v>Completed</v>
      </c>
      <c r="H236" s="1360"/>
      <c r="I236" s="1360"/>
      <c r="J236" s="1360"/>
      <c r="K236" s="1360"/>
      <c r="L236" s="1360"/>
      <c r="M236" s="1360"/>
      <c r="N236" s="1360"/>
      <c r="O236" s="1371"/>
      <c r="P236" s="1385"/>
      <c r="Q236" s="1360"/>
      <c r="R236" s="1360"/>
      <c r="S236" s="1360"/>
      <c r="T236" s="1360"/>
      <c r="U236" s="1360"/>
      <c r="V236" s="1360"/>
      <c r="W236" s="1360"/>
      <c r="X236" s="1360"/>
      <c r="Y236" s="1360"/>
      <c r="Z236" s="1360"/>
      <c r="AA236" s="1360"/>
      <c r="AB236" s="1360"/>
      <c r="AC236" s="1360"/>
      <c r="AD236" s="1371"/>
      <c r="AE236" s="1360"/>
      <c r="AF236" s="1360"/>
      <c r="AG236" s="1360"/>
    </row>
    <row r="237">
      <c r="A237" s="1356">
        <v>44700.0</v>
      </c>
      <c r="B237" s="1357" t="s">
        <v>830</v>
      </c>
      <c r="C237" s="224" t="s">
        <v>755</v>
      </c>
      <c r="D237" s="1366">
        <f t="shared" si="1"/>
        <v>44731</v>
      </c>
      <c r="E237" s="1366">
        <f t="shared" si="2"/>
        <v>45065</v>
      </c>
      <c r="F237" s="224" t="str">
        <f>IF(AND('in-situ Acer outplants'!D:D=B237,IF(VLOOKUP(B237,'in-situ Acer outplants'!D:M,10,FALSE)&lt;&gt;0,"TRUE", "FALSE")),"Completed",DATE(year(A237), month(A237)+1, day(A237)))</f>
        <v>Completed</v>
      </c>
      <c r="G237" s="1360" t="str">
        <f>IF(AND('in-situ Acer outplants'!D:D=B237,IF(VLOOKUP(B237,'in-situ Acer outplants'!D:T,17,FALSE)&lt;&gt;0,"TRUE", "FALSE")),"Completed",DATE(year(A237)+1, month(A237), day(A237)))</f>
        <v>Completed</v>
      </c>
      <c r="H237" s="1360"/>
      <c r="I237" s="1360"/>
      <c r="J237" s="1360"/>
      <c r="K237" s="1360"/>
      <c r="L237" s="1360"/>
      <c r="M237" s="1360"/>
      <c r="N237" s="1360"/>
      <c r="O237" s="1371"/>
      <c r="P237" s="1385"/>
      <c r="Q237" s="1360"/>
      <c r="R237" s="1360"/>
      <c r="S237" s="1360"/>
      <c r="T237" s="1360"/>
      <c r="U237" s="1360"/>
      <c r="V237" s="1360"/>
      <c r="W237" s="1360"/>
      <c r="X237" s="1360"/>
      <c r="Y237" s="1360"/>
      <c r="Z237" s="1360"/>
      <c r="AA237" s="1360"/>
      <c r="AB237" s="1360"/>
      <c r="AC237" s="1360"/>
      <c r="AD237" s="1371"/>
      <c r="AE237" s="1360"/>
      <c r="AF237" s="1360"/>
      <c r="AG237" s="1360"/>
    </row>
    <row r="238">
      <c r="A238" s="1356">
        <v>44712.0</v>
      </c>
      <c r="B238" s="1357" t="s">
        <v>832</v>
      </c>
      <c r="C238" s="224" t="s">
        <v>299</v>
      </c>
      <c r="D238" s="1366">
        <f t="shared" si="1"/>
        <v>44743</v>
      </c>
      <c r="E238" s="1366">
        <f t="shared" si="2"/>
        <v>45077</v>
      </c>
      <c r="F238" s="224" t="str">
        <f>IF(AND('in-situ Acer outplants'!D:D=B238,IF(VLOOKUP(B238,'in-situ Acer outplants'!D:M,10,FALSE)&lt;&gt;0,"TRUE", "FALSE")),"Completed",DATE(year(A238), month(A238)+1, day(A238)))</f>
        <v>Completed</v>
      </c>
      <c r="G238" s="1360" t="str">
        <f>IF(AND('in-situ Acer outplants'!D:D=B238,IF(VLOOKUP(B238,'in-situ Acer outplants'!D:T,17,FALSE)&lt;&gt;0,"TRUE", "FALSE")),"Completed",DATE(year(A238)+1, month(A238), day(A238)))</f>
        <v>Completed</v>
      </c>
      <c r="H238" s="1360"/>
      <c r="I238" s="1360"/>
      <c r="J238" s="1360"/>
      <c r="K238" s="1360"/>
      <c r="L238" s="1360"/>
      <c r="M238" s="1360"/>
      <c r="N238" s="1360"/>
      <c r="O238" s="1371"/>
      <c r="P238" s="1385"/>
      <c r="Q238" s="1360"/>
      <c r="R238" s="1360"/>
      <c r="S238" s="1360"/>
      <c r="T238" s="1360"/>
      <c r="U238" s="1360"/>
      <c r="V238" s="1360"/>
      <c r="W238" s="1360"/>
      <c r="X238" s="1360"/>
      <c r="Y238" s="1360"/>
      <c r="Z238" s="1360"/>
      <c r="AA238" s="1360"/>
      <c r="AB238" s="1360"/>
      <c r="AC238" s="1360"/>
      <c r="AD238" s="1371"/>
      <c r="AE238" s="1360"/>
      <c r="AF238" s="1360"/>
      <c r="AG238" s="1360"/>
    </row>
    <row r="239">
      <c r="A239" s="1356">
        <v>44713.0</v>
      </c>
      <c r="B239" s="1357" t="s">
        <v>834</v>
      </c>
      <c r="C239" s="224" t="s">
        <v>835</v>
      </c>
      <c r="D239" s="1366">
        <f t="shared" si="1"/>
        <v>44743</v>
      </c>
      <c r="E239" s="1366">
        <f t="shared" si="2"/>
        <v>45078</v>
      </c>
      <c r="F239" s="224" t="str">
        <f>IF(AND('in-situ Acer outplants'!D:D=B239,IF(VLOOKUP(B239,'in-situ Acer outplants'!D:M,10,FALSE)&lt;&gt;0,"TRUE", "FALSE")),"Completed",DATE(year(A239), month(A239)+1, day(A239)))</f>
        <v>Completed</v>
      </c>
      <c r="G239" s="1360" t="str">
        <f>IF(AND('in-situ Acer outplants'!D:D=B239,IF(VLOOKUP(B239,'in-situ Acer outplants'!D:T,17,FALSE)&lt;&gt;0,"TRUE", "FALSE")),"Completed",DATE(year(A239)+1, month(A239), day(A239)))</f>
        <v>Completed</v>
      </c>
      <c r="H239" s="1360"/>
      <c r="I239" s="1360"/>
      <c r="J239" s="1360"/>
      <c r="K239" s="1360"/>
      <c r="L239" s="1360"/>
      <c r="M239" s="1360"/>
      <c r="N239" s="1360"/>
      <c r="O239" s="1371"/>
      <c r="P239" s="1385"/>
      <c r="Q239" s="1360"/>
      <c r="R239" s="1360"/>
      <c r="S239" s="1360"/>
      <c r="T239" s="1360"/>
      <c r="U239" s="1360"/>
      <c r="V239" s="1360"/>
      <c r="W239" s="1360"/>
      <c r="X239" s="1360"/>
      <c r="Y239" s="1360"/>
      <c r="Z239" s="1360"/>
      <c r="AA239" s="1360"/>
      <c r="AB239" s="1360"/>
      <c r="AC239" s="1360"/>
      <c r="AD239" s="1371"/>
      <c r="AE239" s="1360"/>
      <c r="AF239" s="1360"/>
      <c r="AG239" s="1360"/>
    </row>
    <row r="240">
      <c r="A240" s="1356">
        <v>44722.0</v>
      </c>
      <c r="B240" s="1357" t="s">
        <v>838</v>
      </c>
      <c r="C240" s="224" t="s">
        <v>581</v>
      </c>
      <c r="D240" s="1366">
        <f t="shared" si="1"/>
        <v>44752</v>
      </c>
      <c r="E240" s="1366">
        <f t="shared" si="2"/>
        <v>45087</v>
      </c>
      <c r="F240" s="224" t="str">
        <f>IF(AND('in-situ Acer outplants'!D:D=B240,IF(VLOOKUP(B240,'in-situ Acer outplants'!D:M,10,FALSE)&lt;&gt;0,"TRUE", "FALSE")),"Completed",DATE(year(A240), month(A240)+1, day(A240)))</f>
        <v>Completed</v>
      </c>
      <c r="G240" s="1360" t="str">
        <f>IF(AND('in-situ Acer outplants'!D:D=B240,IF(VLOOKUP(B240,'in-situ Acer outplants'!D:T,17,FALSE)&lt;&gt;0,"TRUE", "FALSE")),"Completed",DATE(year(A240)+1, month(A240), day(A240)))</f>
        <v>Completed</v>
      </c>
      <c r="H240" s="1360"/>
      <c r="I240" s="1360"/>
      <c r="J240" s="1360"/>
      <c r="K240" s="1360"/>
      <c r="L240" s="1360"/>
      <c r="M240" s="1360"/>
      <c r="N240" s="1360"/>
      <c r="O240" s="1371"/>
      <c r="P240" s="1385"/>
      <c r="Q240" s="1360"/>
      <c r="R240" s="1360"/>
      <c r="S240" s="1360"/>
      <c r="T240" s="1360"/>
      <c r="U240" s="1360"/>
      <c r="V240" s="1360"/>
      <c r="W240" s="1360"/>
      <c r="X240" s="1360"/>
      <c r="Y240" s="1360"/>
      <c r="Z240" s="1360"/>
      <c r="AA240" s="1360"/>
      <c r="AB240" s="1360"/>
      <c r="AC240" s="1360"/>
      <c r="AD240" s="1371"/>
      <c r="AE240" s="1360"/>
      <c r="AF240" s="1360"/>
      <c r="AG240" s="1360"/>
    </row>
    <row r="241">
      <c r="A241" s="1356">
        <v>44725.0</v>
      </c>
      <c r="B241" s="1357" t="s">
        <v>840</v>
      </c>
      <c r="C241" s="224" t="s">
        <v>841</v>
      </c>
      <c r="D241" s="1366">
        <f t="shared" si="1"/>
        <v>44755</v>
      </c>
      <c r="E241" s="1366">
        <f t="shared" si="2"/>
        <v>45090</v>
      </c>
      <c r="F241" s="224" t="str">
        <f>IF(AND('in-situ Acer outplants'!D:D=B241,IF(VLOOKUP(B241,'in-situ Acer outplants'!D:M,10,FALSE)&lt;&gt;0,"TRUE", "FALSE")),"Completed",DATE(year(A241), month(A241)+1, day(A241)))</f>
        <v>Completed</v>
      </c>
      <c r="G241" s="1360" t="str">
        <f>IF(AND('in-situ Acer outplants'!D:D=B241,IF(VLOOKUP(B241,'in-situ Acer outplants'!D:T,17,FALSE)&lt;&gt;0,"TRUE", "FALSE")),"Completed",DATE(year(A241)+1, month(A241), day(A241)))</f>
        <v>Completed</v>
      </c>
      <c r="H241" s="1360"/>
      <c r="I241" s="1360"/>
      <c r="J241" s="1360"/>
      <c r="K241" s="1360"/>
      <c r="L241" s="1360"/>
      <c r="M241" s="1360"/>
      <c r="N241" s="1360"/>
      <c r="O241" s="1371"/>
      <c r="P241" s="1385"/>
      <c r="Q241" s="1360"/>
      <c r="R241" s="1360"/>
      <c r="S241" s="1360"/>
      <c r="T241" s="1360"/>
      <c r="U241" s="1360"/>
      <c r="V241" s="1360"/>
      <c r="W241" s="1360"/>
      <c r="X241" s="1360"/>
      <c r="Y241" s="1360"/>
      <c r="Z241" s="1360"/>
      <c r="AA241" s="1360"/>
      <c r="AB241" s="1360"/>
      <c r="AC241" s="1360"/>
      <c r="AD241" s="1371"/>
      <c r="AE241" s="1360"/>
      <c r="AF241" s="1360"/>
      <c r="AG241" s="1360"/>
    </row>
    <row r="242">
      <c r="A242" s="1356">
        <v>44726.0</v>
      </c>
      <c r="B242" s="1357" t="s">
        <v>844</v>
      </c>
      <c r="C242" s="224" t="s">
        <v>517</v>
      </c>
      <c r="D242" s="1366">
        <f t="shared" si="1"/>
        <v>44756</v>
      </c>
      <c r="E242" s="1366">
        <f t="shared" si="2"/>
        <v>45091</v>
      </c>
      <c r="F242" s="224" t="str">
        <f>IF(AND('in-situ Acer outplants'!D:D=B242,IF(VLOOKUP(B242,'in-situ Acer outplants'!D:M,10,FALSE)&lt;&gt;0,"TRUE", "FALSE")),"Completed",DATE(year(A242), month(A242)+1, day(A242)))</f>
        <v>Completed</v>
      </c>
      <c r="G242" s="1360" t="str">
        <f>IF(AND('in-situ Acer outplants'!D:D=B242,IF(VLOOKUP(B242,'in-situ Acer outplants'!D:T,17,FALSE)&lt;&gt;0,"TRUE", "FALSE")),"Completed",DATE(year(A242)+1, month(A242), day(A242)))</f>
        <v>Completed</v>
      </c>
      <c r="H242" s="1360"/>
      <c r="I242" s="1360"/>
      <c r="J242" s="1360"/>
      <c r="K242" s="1360"/>
      <c r="L242" s="1360"/>
      <c r="M242" s="1360"/>
      <c r="N242" s="1360"/>
      <c r="O242" s="1371"/>
      <c r="P242" s="1385"/>
      <c r="Q242" s="1360"/>
      <c r="R242" s="1360"/>
      <c r="S242" s="1360"/>
      <c r="T242" s="1360"/>
      <c r="U242" s="1360"/>
      <c r="V242" s="1360"/>
      <c r="W242" s="1360"/>
      <c r="X242" s="1360"/>
      <c r="Y242" s="1360"/>
      <c r="Z242" s="1360"/>
      <c r="AA242" s="1360"/>
      <c r="AB242" s="1360"/>
      <c r="AC242" s="1360"/>
      <c r="AD242" s="1371"/>
      <c r="AE242" s="1360"/>
      <c r="AF242" s="1360"/>
      <c r="AG242" s="1360"/>
    </row>
    <row r="243">
      <c r="A243" s="1356">
        <v>44732.0</v>
      </c>
      <c r="B243" s="1357" t="s">
        <v>846</v>
      </c>
      <c r="C243" s="224" t="s">
        <v>459</v>
      </c>
      <c r="D243" s="1366">
        <f t="shared" si="1"/>
        <v>44762</v>
      </c>
      <c r="E243" s="1366">
        <f t="shared" si="2"/>
        <v>45097</v>
      </c>
      <c r="F243" s="224" t="str">
        <f>IF(AND('in-situ Acer outplants'!D:D=B243,IF(VLOOKUP(B243,'in-situ Acer outplants'!D:M,10,FALSE)&lt;&gt;0,"TRUE", "FALSE")),"Completed",DATE(year(A243), month(A243)+1, day(A243)))</f>
        <v>Completed</v>
      </c>
      <c r="G243" s="1360" t="str">
        <f>IF(AND('in-situ Acer outplants'!D:D=B243,IF(VLOOKUP(B243,'in-situ Acer outplants'!D:T,17,FALSE)&lt;&gt;0,"TRUE", "FALSE")),"Completed",DATE(year(A243)+1, month(A243), day(A243)))</f>
        <v>Completed</v>
      </c>
      <c r="H243" s="1360"/>
      <c r="I243" s="1360"/>
      <c r="J243" s="1360"/>
      <c r="K243" s="1360"/>
      <c r="L243" s="1360"/>
      <c r="M243" s="1360"/>
      <c r="N243" s="1360"/>
      <c r="O243" s="1371"/>
      <c r="P243" s="1385"/>
      <c r="Q243" s="1360"/>
      <c r="R243" s="1360"/>
      <c r="S243" s="1360"/>
      <c r="T243" s="1360"/>
      <c r="U243" s="1360"/>
      <c r="V243" s="1360"/>
      <c r="W243" s="1360"/>
      <c r="X243" s="1360"/>
      <c r="Y243" s="1360"/>
      <c r="Z243" s="1360"/>
      <c r="AA243" s="1360"/>
      <c r="AB243" s="1360"/>
      <c r="AC243" s="1360"/>
      <c r="AD243" s="1371"/>
      <c r="AE243" s="1360"/>
      <c r="AF243" s="1360"/>
      <c r="AG243" s="1360"/>
    </row>
    <row r="244">
      <c r="A244" s="1356">
        <v>44735.0</v>
      </c>
      <c r="B244" s="1357" t="s">
        <v>848</v>
      </c>
      <c r="C244" s="224" t="s">
        <v>849</v>
      </c>
      <c r="D244" s="1366">
        <f t="shared" si="1"/>
        <v>44765</v>
      </c>
      <c r="E244" s="1366">
        <f t="shared" si="2"/>
        <v>45100</v>
      </c>
      <c r="F244" s="224" t="str">
        <f>IF(AND('in-situ Acer outplants'!D:D=B244,IF(VLOOKUP(B244,'in-situ Acer outplants'!D:M,10,FALSE)&lt;&gt;0,"TRUE", "FALSE")),"Completed",DATE(year(A244), month(A244)+1, day(A244)))</f>
        <v>Completed</v>
      </c>
      <c r="G244" s="1360" t="str">
        <f>IF(AND('in-situ Acer outplants'!D:D=B244,IF(VLOOKUP(B244,'in-situ Acer outplants'!D:T,17,FALSE)&lt;&gt;0,"TRUE", "FALSE")),"Completed",DATE(year(A244)+1, month(A244), day(A244)))</f>
        <v>Completed</v>
      </c>
      <c r="H244" s="1360"/>
      <c r="I244" s="1360"/>
      <c r="J244" s="1360"/>
      <c r="K244" s="1360"/>
      <c r="L244" s="1360"/>
      <c r="M244" s="1360"/>
      <c r="N244" s="1360"/>
      <c r="O244" s="1371"/>
      <c r="P244" s="1385"/>
      <c r="Q244" s="1360"/>
      <c r="R244" s="1360"/>
      <c r="S244" s="1360"/>
      <c r="T244" s="1360"/>
      <c r="U244" s="1360"/>
      <c r="V244" s="1360"/>
      <c r="W244" s="1360"/>
      <c r="X244" s="1360"/>
      <c r="Y244" s="1360"/>
      <c r="Z244" s="1360"/>
      <c r="AA244" s="1360"/>
      <c r="AB244" s="1360"/>
      <c r="AC244" s="1360"/>
      <c r="AD244" s="1371"/>
      <c r="AE244" s="1360"/>
      <c r="AF244" s="1360"/>
      <c r="AG244" s="1360"/>
    </row>
    <row r="245">
      <c r="A245" s="1356">
        <v>44739.0</v>
      </c>
      <c r="B245" s="1357" t="s">
        <v>852</v>
      </c>
      <c r="C245" s="224" t="s">
        <v>517</v>
      </c>
      <c r="D245" s="1366">
        <f t="shared" si="1"/>
        <v>44769</v>
      </c>
      <c r="E245" s="1366">
        <f t="shared" si="2"/>
        <v>45104</v>
      </c>
      <c r="F245" s="224" t="str">
        <f>IF(AND('in-situ Acer outplants'!D:D=B245,IF(VLOOKUP(B245,'in-situ Acer outplants'!D:M,10,FALSE)&lt;&gt;0,"TRUE", "FALSE")),"Completed",DATE(year(A245), month(A245)+1, day(A245)))</f>
        <v>Completed</v>
      </c>
      <c r="G245" s="1360" t="str">
        <f>IF(AND('in-situ Acer outplants'!D:D=B245,IF(VLOOKUP(B245,'in-situ Acer outplants'!D:T,17,FALSE)&lt;&gt;0,"TRUE", "FALSE")),"Completed",DATE(year(A245)+1, month(A245), day(A245)))</f>
        <v>Completed</v>
      </c>
      <c r="H245" s="1360"/>
      <c r="I245" s="1360"/>
      <c r="J245" s="1360"/>
      <c r="K245" s="1360"/>
      <c r="L245" s="1360"/>
      <c r="M245" s="1360"/>
      <c r="N245" s="1360"/>
      <c r="O245" s="1371"/>
      <c r="P245" s="1385"/>
      <c r="Q245" s="1360"/>
      <c r="R245" s="1360"/>
      <c r="S245" s="1360"/>
      <c r="T245" s="1360"/>
      <c r="U245" s="1360"/>
      <c r="V245" s="1360"/>
      <c r="W245" s="1360"/>
      <c r="X245" s="1360"/>
      <c r="Y245" s="1360"/>
      <c r="Z245" s="1360"/>
      <c r="AA245" s="1360"/>
      <c r="AB245" s="1360"/>
      <c r="AC245" s="1360"/>
      <c r="AD245" s="1371"/>
      <c r="AE245" s="1360"/>
      <c r="AF245" s="1360"/>
      <c r="AG245" s="1360"/>
    </row>
    <row r="246">
      <c r="A246" s="1356">
        <v>44761.0</v>
      </c>
      <c r="B246" s="1357" t="s">
        <v>854</v>
      </c>
      <c r="C246" s="224" t="s">
        <v>652</v>
      </c>
      <c r="D246" s="1366">
        <f t="shared" si="1"/>
        <v>44792</v>
      </c>
      <c r="E246" s="1366">
        <f t="shared" si="2"/>
        <v>45126</v>
      </c>
      <c r="F246" s="224" t="str">
        <f>IF(AND('in-situ Acer outplants'!D:D=B246,IF(VLOOKUP(B246,'in-situ Acer outplants'!D:M,10,FALSE)&lt;&gt;0,"TRUE", "FALSE")),"Completed",DATE(year(A246), month(A246)+1, day(A246)))</f>
        <v>Completed</v>
      </c>
      <c r="G246" s="1360" t="str">
        <f>IF(AND('in-situ Acer outplants'!D:D=B246,IF(VLOOKUP(B246,'in-situ Acer outplants'!D:T,17,FALSE)&lt;&gt;0,"TRUE", "FALSE")),"Completed",DATE(year(A246)+1, month(A246), day(A246)))</f>
        <v>Completed</v>
      </c>
      <c r="H246" s="1360"/>
      <c r="I246" s="1360"/>
      <c r="J246" s="1360"/>
      <c r="K246" s="1360"/>
      <c r="L246" s="1360"/>
      <c r="M246" s="1360"/>
      <c r="N246" s="1360"/>
      <c r="O246" s="1371"/>
      <c r="P246" s="1385"/>
      <c r="Q246" s="1360"/>
      <c r="R246" s="1360"/>
      <c r="S246" s="1360"/>
      <c r="T246" s="1360"/>
      <c r="U246" s="1360"/>
      <c r="V246" s="1360"/>
      <c r="W246" s="1360"/>
      <c r="X246" s="1360"/>
      <c r="Y246" s="1360"/>
      <c r="Z246" s="1360"/>
      <c r="AA246" s="1360"/>
      <c r="AB246" s="1360"/>
      <c r="AC246" s="1360"/>
      <c r="AD246" s="1371"/>
      <c r="AE246" s="1360"/>
      <c r="AF246" s="1360"/>
      <c r="AG246" s="1360"/>
    </row>
    <row r="247">
      <c r="A247" s="1356">
        <v>44775.0</v>
      </c>
      <c r="B247" s="1357" t="s">
        <v>856</v>
      </c>
      <c r="C247" s="224" t="s">
        <v>857</v>
      </c>
      <c r="D247" s="1366">
        <f t="shared" si="1"/>
        <v>44806</v>
      </c>
      <c r="E247" s="1366">
        <f t="shared" si="2"/>
        <v>45140</v>
      </c>
      <c r="F247" s="224" t="str">
        <f>IF(AND('in-situ Acer outplants'!D:D=B247,IF(VLOOKUP(B247,'in-situ Acer outplants'!D:M,10,FALSE)&lt;&gt;0,"TRUE", "FALSE")),"Completed",DATE(year(A247), month(A247)+1, day(A247)))</f>
        <v>Completed</v>
      </c>
      <c r="G247" s="1360" t="str">
        <f>IF(AND('in-situ Acer outplants'!D:D=B247,IF(VLOOKUP(B247,'in-situ Acer outplants'!D:T,17,FALSE)&lt;&gt;0,"TRUE", "FALSE")),"Completed",DATE(year(A247)+1, month(A247), day(A247)))</f>
        <v>Completed</v>
      </c>
      <c r="H247" s="1360"/>
      <c r="I247" s="1360"/>
      <c r="J247" s="1360"/>
      <c r="K247" s="1360"/>
      <c r="L247" s="1360"/>
      <c r="M247" s="1360"/>
      <c r="N247" s="1360"/>
      <c r="O247" s="1371"/>
      <c r="P247" s="1385"/>
      <c r="Q247" s="1360"/>
      <c r="R247" s="1360"/>
      <c r="S247" s="1360"/>
      <c r="T247" s="1360"/>
      <c r="U247" s="1360"/>
      <c r="V247" s="1360"/>
      <c r="W247" s="1360"/>
      <c r="X247" s="1360"/>
      <c r="Y247" s="1360"/>
      <c r="Z247" s="1360"/>
      <c r="AA247" s="1360"/>
      <c r="AB247" s="1360"/>
      <c r="AC247" s="1360"/>
      <c r="AD247" s="1371"/>
      <c r="AE247" s="1360"/>
      <c r="AF247" s="1360"/>
      <c r="AG247" s="1360"/>
    </row>
    <row r="248">
      <c r="A248" s="1356">
        <v>44775.0</v>
      </c>
      <c r="B248" s="1357" t="s">
        <v>859</v>
      </c>
      <c r="C248" s="224" t="s">
        <v>860</v>
      </c>
      <c r="D248" s="1366">
        <f t="shared" si="1"/>
        <v>44806</v>
      </c>
      <c r="E248" s="1366">
        <f t="shared" si="2"/>
        <v>45140</v>
      </c>
      <c r="F248" s="224" t="str">
        <f>IF(AND('in-situ Acer outplants'!D:D=B248,IF(VLOOKUP(B248,'in-situ Acer outplants'!D:M,10,FALSE)&lt;&gt;0,"TRUE", "FALSE")),"Completed",DATE(year(A248), month(A248)+1, day(A248)))</f>
        <v>Completed</v>
      </c>
      <c r="G248" s="1360" t="str">
        <f>IF(AND('in-situ Acer outplants'!D:D=B248,IF(VLOOKUP(B248,'in-situ Acer outplants'!D:T,17,FALSE)&lt;&gt;0,"TRUE", "FALSE")),"Completed",DATE(year(A248)+1, month(A248), day(A248)))</f>
        <v>Completed</v>
      </c>
      <c r="H248" s="1360"/>
      <c r="I248" s="1360"/>
      <c r="J248" s="1360"/>
      <c r="K248" s="1360"/>
      <c r="L248" s="1360"/>
      <c r="M248" s="1360"/>
      <c r="N248" s="1360"/>
      <c r="O248" s="1371"/>
      <c r="P248" s="1385"/>
      <c r="Q248" s="1360"/>
      <c r="R248" s="1360"/>
      <c r="S248" s="1360"/>
      <c r="T248" s="1360"/>
      <c r="U248" s="1360"/>
      <c r="V248" s="1360"/>
      <c r="W248" s="1360"/>
      <c r="X248" s="1360"/>
      <c r="Y248" s="1360"/>
      <c r="Z248" s="1360"/>
      <c r="AA248" s="1360"/>
      <c r="AB248" s="1360"/>
      <c r="AC248" s="1360"/>
      <c r="AD248" s="1371"/>
      <c r="AE248" s="1360"/>
      <c r="AF248" s="1360"/>
      <c r="AG248" s="1360"/>
    </row>
    <row r="249">
      <c r="A249" s="1356">
        <v>44778.0</v>
      </c>
      <c r="B249" s="1357" t="s">
        <v>862</v>
      </c>
      <c r="C249" s="224" t="s">
        <v>755</v>
      </c>
      <c r="D249" s="1366">
        <f t="shared" si="1"/>
        <v>44809</v>
      </c>
      <c r="E249" s="1366">
        <f t="shared" si="2"/>
        <v>45143</v>
      </c>
      <c r="F249" s="224" t="str">
        <f>IF(AND('in-situ Acer outplants'!D:D=B249,IF(VLOOKUP(B249,'in-situ Acer outplants'!D:M,10,FALSE)&lt;&gt;0,"TRUE", "FALSE")),"Completed",DATE(year(A249), month(A249)+1, day(A249)))</f>
        <v>Completed</v>
      </c>
      <c r="G249" s="1360" t="str">
        <f>IF(AND('in-situ Acer outplants'!D:D=B249,IF(VLOOKUP(B249,'in-situ Acer outplants'!D:T,17,FALSE)&lt;&gt;0,"TRUE", "FALSE")),"Completed",DATE(year(A249)+1, month(A249), day(A249)))</f>
        <v>Completed</v>
      </c>
      <c r="H249" s="1360"/>
      <c r="I249" s="1360"/>
      <c r="J249" s="1360"/>
      <c r="K249" s="1360"/>
      <c r="L249" s="1360"/>
      <c r="M249" s="1360"/>
      <c r="N249" s="1360"/>
      <c r="O249" s="1371"/>
      <c r="P249" s="1385"/>
      <c r="Q249" s="1360"/>
      <c r="R249" s="1360"/>
      <c r="S249" s="1360"/>
      <c r="T249" s="1360"/>
      <c r="U249" s="1360"/>
      <c r="V249" s="1360"/>
      <c r="W249" s="1360"/>
      <c r="X249" s="1360"/>
      <c r="Y249" s="1360"/>
      <c r="Z249" s="1360"/>
      <c r="AA249" s="1360"/>
      <c r="AB249" s="1360"/>
      <c r="AC249" s="1360"/>
      <c r="AD249" s="1371"/>
      <c r="AE249" s="1360"/>
      <c r="AF249" s="1360"/>
      <c r="AG249" s="1360"/>
    </row>
    <row r="250">
      <c r="A250" s="1356">
        <v>44788.0</v>
      </c>
      <c r="B250" s="1357" t="s">
        <v>864</v>
      </c>
      <c r="C250" s="224" t="s">
        <v>290</v>
      </c>
      <c r="D250" s="1366">
        <f t="shared" si="1"/>
        <v>44819</v>
      </c>
      <c r="E250" s="1366">
        <f t="shared" si="2"/>
        <v>45153</v>
      </c>
      <c r="F250" s="224" t="str">
        <f>IF(AND('in-situ Acer outplants'!D:D=B250,IF(VLOOKUP(B250,'in-situ Acer outplants'!D:M,10,FALSE)&lt;&gt;0,"TRUE", "FALSE")),"Completed",DATE(year(A250), month(A250)+1, day(A250)))</f>
        <v>Completed</v>
      </c>
      <c r="G250" s="1360" t="str">
        <f>IF(AND('in-situ Acer outplants'!D:D=B250,IF(VLOOKUP(B250,'in-situ Acer outplants'!D:T,17,FALSE)&lt;&gt;0,"TRUE", "FALSE")),"Completed",DATE(year(A250)+1, month(A250), day(A250)))</f>
        <v>Completed</v>
      </c>
      <c r="H250" s="1360"/>
      <c r="I250" s="1360"/>
      <c r="J250" s="1360"/>
      <c r="K250" s="1360"/>
      <c r="L250" s="1360"/>
      <c r="M250" s="1360"/>
      <c r="N250" s="1360"/>
      <c r="O250" s="1371"/>
      <c r="P250" s="1385"/>
      <c r="Q250" s="1360"/>
      <c r="R250" s="1360"/>
      <c r="S250" s="1360"/>
      <c r="T250" s="1360"/>
      <c r="U250" s="1360"/>
      <c r="V250" s="1360"/>
      <c r="W250" s="1360"/>
      <c r="X250" s="1360"/>
      <c r="Y250" s="1360"/>
      <c r="Z250" s="1360"/>
      <c r="AA250" s="1360"/>
      <c r="AB250" s="1360"/>
      <c r="AC250" s="1360"/>
      <c r="AD250" s="1371"/>
      <c r="AE250" s="1360"/>
      <c r="AF250" s="1360"/>
      <c r="AG250" s="1360"/>
    </row>
    <row r="251">
      <c r="A251" s="1356">
        <v>44791.0</v>
      </c>
      <c r="B251" s="1357" t="s">
        <v>867</v>
      </c>
      <c r="C251" s="224" t="s">
        <v>868</v>
      </c>
      <c r="D251" s="1366">
        <f t="shared" si="1"/>
        <v>44822</v>
      </c>
      <c r="E251" s="1366">
        <f t="shared" si="2"/>
        <v>45156</v>
      </c>
      <c r="F251" s="224" t="str">
        <f>IF(AND('in-situ Acer outplants'!D:D=B251,IF(VLOOKUP(B251,'in-situ Acer outplants'!D:M,10,FALSE)&lt;&gt;0,"TRUE", "FALSE")),"Completed",DATE(year(A251), month(A251)+1, day(A251)))</f>
        <v>Completed</v>
      </c>
      <c r="G251" s="1360" t="str">
        <f>IF(AND('in-situ Acer outplants'!D:D=B251,IF(VLOOKUP(B251,'in-situ Acer outplants'!D:T,17,FALSE)&lt;&gt;0,"TRUE", "FALSE")),"Completed",DATE(year(A251)+1, month(A251), day(A251)))</f>
        <v>Completed</v>
      </c>
      <c r="H251" s="1360"/>
      <c r="I251" s="1360"/>
      <c r="J251" s="1360"/>
      <c r="K251" s="1360"/>
      <c r="L251" s="1360"/>
      <c r="M251" s="1360"/>
      <c r="N251" s="1360"/>
      <c r="O251" s="1371"/>
      <c r="P251" s="1385"/>
      <c r="Q251" s="1360"/>
      <c r="R251" s="1360"/>
      <c r="S251" s="1360"/>
      <c r="T251" s="1360"/>
      <c r="U251" s="1360"/>
      <c r="V251" s="1360"/>
      <c r="W251" s="1360"/>
      <c r="X251" s="1360"/>
      <c r="Y251" s="1360"/>
      <c r="Z251" s="1360"/>
      <c r="AA251" s="1360"/>
      <c r="AB251" s="1360"/>
      <c r="AC251" s="1360"/>
      <c r="AD251" s="1371"/>
      <c r="AE251" s="1360"/>
      <c r="AF251" s="1360"/>
      <c r="AG251" s="1360"/>
    </row>
    <row r="252">
      <c r="A252" s="1356">
        <v>44848.0</v>
      </c>
      <c r="B252" s="1357" t="s">
        <v>870</v>
      </c>
      <c r="C252" s="224" t="s">
        <v>871</v>
      </c>
      <c r="D252" s="1366">
        <f t="shared" si="1"/>
        <v>44879</v>
      </c>
      <c r="E252" s="1366">
        <f t="shared" si="2"/>
        <v>45213</v>
      </c>
      <c r="F252" s="224" t="str">
        <f>IF(AND('in-situ Acer outplants'!D:D=B252,IF(VLOOKUP(B252,'in-situ Acer outplants'!D:M,10,FALSE)&lt;&gt;0,"TRUE", "FALSE")),"Completed",DATE(year(A252), month(A252)+1, day(A252)))</f>
        <v>Completed</v>
      </c>
      <c r="G252" s="1360" t="str">
        <f>IF(AND('in-situ Acer outplants'!D:D=B252,IF(VLOOKUP(B252,'in-situ Acer outplants'!D:T,17,FALSE)&lt;&gt;0,"TRUE", "FALSE")),"Completed",DATE(year(A252)+1, month(A252), day(A252)))</f>
        <v>Completed</v>
      </c>
      <c r="H252" s="1360"/>
      <c r="I252" s="1360"/>
      <c r="J252" s="1360"/>
      <c r="K252" s="1360"/>
      <c r="L252" s="1360"/>
      <c r="M252" s="1360"/>
      <c r="N252" s="1360"/>
      <c r="O252" s="1371"/>
      <c r="P252" s="1385"/>
      <c r="Q252" s="1360"/>
      <c r="R252" s="1360"/>
      <c r="S252" s="1360"/>
      <c r="T252" s="1360"/>
      <c r="U252" s="1360"/>
      <c r="V252" s="1360"/>
      <c r="W252" s="1360"/>
      <c r="X252" s="1360"/>
      <c r="Y252" s="1360"/>
      <c r="Z252" s="1360"/>
      <c r="AA252" s="1360"/>
      <c r="AB252" s="1360"/>
      <c r="AC252" s="1360"/>
      <c r="AD252" s="1371"/>
      <c r="AE252" s="1360"/>
      <c r="AF252" s="1360"/>
      <c r="AG252" s="1360"/>
    </row>
    <row r="253">
      <c r="A253" s="1356">
        <v>44849.0</v>
      </c>
      <c r="B253" s="1357" t="s">
        <v>874</v>
      </c>
      <c r="C253" s="224" t="s">
        <v>875</v>
      </c>
      <c r="D253" s="1366">
        <f t="shared" si="1"/>
        <v>44880</v>
      </c>
      <c r="E253" s="1366">
        <f t="shared" si="2"/>
        <v>45214</v>
      </c>
      <c r="F253" s="224" t="str">
        <f>IF(AND('in-situ Acer outplants'!D:D=B253,IF(VLOOKUP(B253,'in-situ Acer outplants'!D:M,10,FALSE)&lt;&gt;0,"TRUE", "FALSE")),"Completed",DATE(year(A253), month(A253)+1, day(A253)))</f>
        <v>Completed</v>
      </c>
      <c r="G253" s="1360" t="str">
        <f>IF(AND('in-situ Acer outplants'!D:D=B253,IF(VLOOKUP(B253,'in-situ Acer outplants'!D:T,17,FALSE)&lt;&gt;0,"TRUE", "FALSE")),"Completed",DATE(year(A253)+1, month(A253), day(A253)))</f>
        <v>Completed</v>
      </c>
      <c r="H253" s="1360"/>
      <c r="I253" s="1360"/>
      <c r="J253" s="1360"/>
      <c r="K253" s="1360"/>
      <c r="L253" s="1360"/>
      <c r="M253" s="1360"/>
      <c r="N253" s="1360"/>
      <c r="O253" s="1371"/>
      <c r="P253" s="1385"/>
      <c r="Q253" s="1360"/>
      <c r="R253" s="1360"/>
      <c r="S253" s="1360"/>
      <c r="T253" s="1360"/>
      <c r="U253" s="1360"/>
      <c r="V253" s="1360"/>
      <c r="W253" s="1360"/>
      <c r="X253" s="1360"/>
      <c r="Y253" s="1360"/>
      <c r="Z253" s="1360"/>
      <c r="AA253" s="1360"/>
      <c r="AB253" s="1360"/>
      <c r="AC253" s="1360"/>
      <c r="AD253" s="1371"/>
      <c r="AE253" s="1360"/>
      <c r="AF253" s="1360"/>
      <c r="AG253" s="1360"/>
    </row>
    <row r="254">
      <c r="A254" s="1356">
        <v>44858.0</v>
      </c>
      <c r="B254" s="1357" t="s">
        <v>877</v>
      </c>
      <c r="C254" s="224" t="s">
        <v>878</v>
      </c>
      <c r="D254" s="1366">
        <f t="shared" si="1"/>
        <v>44889</v>
      </c>
      <c r="E254" s="1366">
        <f t="shared" si="2"/>
        <v>45223</v>
      </c>
      <c r="F254" s="224" t="str">
        <f>IF(AND('in-situ Acer outplants'!D:D=B254,IF(VLOOKUP(B254,'in-situ Acer outplants'!D:M,10,FALSE)&lt;&gt;0,"TRUE", "FALSE")),"Completed",DATE(year(A254), month(A254)+1, day(A254)))</f>
        <v>Completed</v>
      </c>
      <c r="G254" s="1360" t="str">
        <f>IF(AND('in-situ Acer outplants'!D:D=B254,IF(VLOOKUP(B254,'in-situ Acer outplants'!D:T,17,FALSE)&lt;&gt;0,"TRUE", "FALSE")),"Completed",DATE(year(A254)+1, month(A254), day(A254)))</f>
        <v>Completed</v>
      </c>
      <c r="H254" s="1360"/>
      <c r="I254" s="1360"/>
      <c r="J254" s="1360"/>
      <c r="K254" s="1360"/>
      <c r="L254" s="1360"/>
      <c r="M254" s="1360"/>
      <c r="N254" s="1360"/>
      <c r="O254" s="1371"/>
      <c r="P254" s="1385"/>
      <c r="Q254" s="1360"/>
      <c r="R254" s="1360"/>
      <c r="S254" s="1360"/>
      <c r="T254" s="1360"/>
      <c r="U254" s="1360"/>
      <c r="V254" s="1360"/>
      <c r="W254" s="1360"/>
      <c r="X254" s="1360"/>
      <c r="Y254" s="1360"/>
      <c r="Z254" s="1360"/>
      <c r="AA254" s="1360"/>
      <c r="AB254" s="1360"/>
      <c r="AC254" s="1360"/>
      <c r="AD254" s="1371"/>
      <c r="AE254" s="1360"/>
      <c r="AF254" s="1360"/>
      <c r="AG254" s="1360"/>
    </row>
    <row r="255">
      <c r="A255" s="1356">
        <v>44860.0</v>
      </c>
      <c r="B255" s="1357" t="s">
        <v>880</v>
      </c>
      <c r="C255" s="224" t="s">
        <v>881</v>
      </c>
      <c r="D255" s="1366">
        <f t="shared" si="1"/>
        <v>44891</v>
      </c>
      <c r="E255" s="1366">
        <f t="shared" si="2"/>
        <v>45225</v>
      </c>
      <c r="F255" s="224" t="str">
        <f>IF(AND('in-situ Acer outplants'!D:D=B255,IF(VLOOKUP(B255,'in-situ Acer outplants'!D:M,10,FALSE)&lt;&gt;0,"TRUE", "FALSE")),"Completed",DATE(year(A255), month(A255)+1, day(A255)))</f>
        <v>Completed</v>
      </c>
      <c r="G255" s="1360" t="str">
        <f>IF(AND('in-situ Acer outplants'!D:D=B255,IF(VLOOKUP(B255,'in-situ Acer outplants'!D:T,17,FALSE)&lt;&gt;0,"TRUE", "FALSE")),"Completed",DATE(year(A255)+1, month(A255), day(A255)))</f>
        <v>Completed</v>
      </c>
      <c r="H255" s="1360"/>
      <c r="I255" s="1360"/>
      <c r="J255" s="1360"/>
      <c r="K255" s="1360"/>
      <c r="L255" s="1360"/>
      <c r="M255" s="1360"/>
      <c r="N255" s="1360"/>
      <c r="O255" s="1371"/>
      <c r="P255" s="1385"/>
      <c r="Q255" s="1360"/>
      <c r="R255" s="1360"/>
      <c r="S255" s="1360"/>
      <c r="T255" s="1360"/>
      <c r="U255" s="1360"/>
      <c r="V255" s="1360"/>
      <c r="W255" s="1360"/>
      <c r="X255" s="1360"/>
      <c r="Y255" s="1360"/>
      <c r="Z255" s="1360"/>
      <c r="AA255" s="1360"/>
      <c r="AB255" s="1360"/>
      <c r="AC255" s="1360"/>
      <c r="AD255" s="1371"/>
      <c r="AE255" s="1360"/>
      <c r="AF255" s="1360"/>
      <c r="AG255" s="1360"/>
    </row>
    <row r="256">
      <c r="A256" s="1356">
        <v>44862.0</v>
      </c>
      <c r="B256" s="1357" t="s">
        <v>883</v>
      </c>
      <c r="C256" s="224" t="s">
        <v>884</v>
      </c>
      <c r="D256" s="1366">
        <f t="shared" si="1"/>
        <v>44893</v>
      </c>
      <c r="E256" s="1366">
        <f t="shared" si="2"/>
        <v>45227</v>
      </c>
      <c r="F256" s="224" t="str">
        <f>IF(AND('in-situ Acer outplants'!D:D=B256,IF(VLOOKUP(B256,'in-situ Acer outplants'!D:M,10,FALSE)&lt;&gt;0,"TRUE", "FALSE")),"Completed",DATE(year(A256), month(A256)+1, day(A256)))</f>
        <v>Completed</v>
      </c>
      <c r="G256" s="1360" t="str">
        <f>IF(AND('in-situ Acer outplants'!D:D=B256,IF(VLOOKUP(B256,'in-situ Acer outplants'!D:T,17,FALSE)&lt;&gt;0,"TRUE", "FALSE")),"Completed",DATE(year(A256)+1, month(A256), day(A256)))</f>
        <v>Completed</v>
      </c>
      <c r="H256" s="1360"/>
      <c r="I256" s="1360"/>
      <c r="J256" s="1360"/>
      <c r="K256" s="1360"/>
      <c r="L256" s="1360"/>
      <c r="M256" s="1360"/>
      <c r="N256" s="1360"/>
      <c r="O256" s="1371"/>
      <c r="P256" s="1385"/>
      <c r="Q256" s="1360"/>
      <c r="R256" s="1360"/>
      <c r="S256" s="1360"/>
      <c r="T256" s="1360"/>
      <c r="U256" s="1360"/>
      <c r="V256" s="1360"/>
      <c r="W256" s="1360"/>
      <c r="X256" s="1360"/>
      <c r="Y256" s="1360"/>
      <c r="Z256" s="1360"/>
      <c r="AA256" s="1360"/>
      <c r="AB256" s="1360"/>
      <c r="AC256" s="1360"/>
      <c r="AD256" s="1371"/>
      <c r="AE256" s="1360"/>
      <c r="AF256" s="1360"/>
      <c r="AG256" s="1360"/>
    </row>
    <row r="257">
      <c r="A257" s="1356">
        <v>44866.0</v>
      </c>
      <c r="B257" s="1357" t="s">
        <v>886</v>
      </c>
      <c r="C257" s="224" t="s">
        <v>299</v>
      </c>
      <c r="D257" s="1366">
        <f t="shared" si="1"/>
        <v>44896</v>
      </c>
      <c r="E257" s="1366">
        <f t="shared" si="2"/>
        <v>45231</v>
      </c>
      <c r="F257" s="224" t="str">
        <f>IF(AND('in-situ Acer outplants'!D:D=B257,IF(VLOOKUP(B257,'in-situ Acer outplants'!D:M,10,FALSE)&lt;&gt;0,"TRUE", "FALSE")),"Completed",DATE(year(A257), month(A257)+1, day(A257)))</f>
        <v>Completed</v>
      </c>
      <c r="G257" s="1360" t="str">
        <f>IF(AND('in-situ Acer outplants'!D:D=B257,IF(VLOOKUP(B257,'in-situ Acer outplants'!D:T,17,FALSE)&lt;&gt;0,"TRUE", "FALSE")),"Completed",DATE(year(A257)+1, month(A257), day(A257)))</f>
        <v>Completed</v>
      </c>
      <c r="H257" s="1360"/>
      <c r="I257" s="1360"/>
      <c r="J257" s="1360"/>
      <c r="K257" s="1360"/>
      <c r="L257" s="1360"/>
      <c r="M257" s="1360"/>
      <c r="N257" s="1360"/>
      <c r="O257" s="1371"/>
      <c r="P257" s="1385"/>
      <c r="Q257" s="1360"/>
      <c r="R257" s="1360"/>
      <c r="S257" s="1360"/>
      <c r="T257" s="1360"/>
      <c r="U257" s="1360"/>
      <c r="V257" s="1360"/>
      <c r="W257" s="1360"/>
      <c r="X257" s="1360"/>
      <c r="Y257" s="1360"/>
      <c r="Z257" s="1360"/>
      <c r="AA257" s="1360"/>
      <c r="AB257" s="1360"/>
      <c r="AC257" s="1360"/>
      <c r="AD257" s="1371"/>
      <c r="AE257" s="1360"/>
      <c r="AF257" s="1360"/>
      <c r="AG257" s="1360"/>
    </row>
    <row r="258">
      <c r="A258" s="1356">
        <v>44868.0</v>
      </c>
      <c r="B258" s="1357" t="s">
        <v>888</v>
      </c>
      <c r="C258" s="224" t="s">
        <v>742</v>
      </c>
      <c r="D258" s="1366">
        <f t="shared" si="1"/>
        <v>44898</v>
      </c>
      <c r="E258" s="1366">
        <f t="shared" si="2"/>
        <v>45233</v>
      </c>
      <c r="F258" s="224" t="str">
        <f>IF(AND('in-situ Acer outplants'!D:D=B258,IF(VLOOKUP(B258,'in-situ Acer outplants'!D:M,10,FALSE)&lt;&gt;0,"TRUE", "FALSE")),"Completed",DATE(year(A258), month(A258)+1, day(A258)))</f>
        <v>Completed</v>
      </c>
      <c r="G258" s="1360" t="str">
        <f>IF(AND('in-situ Acer outplants'!D:D=B258,IF(VLOOKUP(B258,'in-situ Acer outplants'!D:T,17,FALSE)&lt;&gt;0,"TRUE", "FALSE")),"Completed",DATE(year(A258)+1, month(A258), day(A258)))</f>
        <v>Completed</v>
      </c>
      <c r="H258" s="1360"/>
      <c r="I258" s="1360"/>
      <c r="J258" s="1360"/>
      <c r="K258" s="1360"/>
      <c r="L258" s="1360"/>
      <c r="M258" s="1360"/>
      <c r="N258" s="1360"/>
      <c r="O258" s="1371"/>
      <c r="P258" s="1385"/>
      <c r="Q258" s="1360"/>
      <c r="R258" s="1360"/>
      <c r="S258" s="1360"/>
      <c r="T258" s="1360"/>
      <c r="U258" s="1360"/>
      <c r="V258" s="1360"/>
      <c r="W258" s="1360"/>
      <c r="X258" s="1360"/>
      <c r="Y258" s="1360"/>
      <c r="Z258" s="1360"/>
      <c r="AA258" s="1360"/>
      <c r="AB258" s="1360"/>
      <c r="AC258" s="1360"/>
      <c r="AD258" s="1371"/>
      <c r="AE258" s="1360"/>
      <c r="AF258" s="1360"/>
      <c r="AG258" s="1360"/>
    </row>
    <row r="259">
      <c r="A259" s="1356">
        <v>44880.0</v>
      </c>
      <c r="B259" s="1357" t="s">
        <v>890</v>
      </c>
      <c r="C259" s="224" t="s">
        <v>568</v>
      </c>
      <c r="D259" s="1366">
        <f t="shared" si="1"/>
        <v>44910</v>
      </c>
      <c r="E259" s="1366">
        <f t="shared" si="2"/>
        <v>45245</v>
      </c>
      <c r="F259" s="224" t="str">
        <f>IF(AND('in-situ Acer outplants'!D:D=B259,IF(VLOOKUP(B259,'in-situ Acer outplants'!D:M,10,FALSE)&lt;&gt;0,"TRUE", "FALSE")),"Completed",DATE(year(A259), month(A259)+1, day(A259)))</f>
        <v>Completed</v>
      </c>
      <c r="G259" s="1360" t="str">
        <f>IF(AND('in-situ Acer outplants'!D:D=B259,IF(VLOOKUP(B259,'in-situ Acer outplants'!D:T,17,FALSE)&lt;&gt;0,"TRUE", "FALSE")),"Completed",DATE(year(A259)+1, month(A259), day(A259)))</f>
        <v>Completed</v>
      </c>
      <c r="H259" s="1360"/>
      <c r="I259" s="1360"/>
      <c r="J259" s="1360"/>
      <c r="K259" s="1360"/>
      <c r="L259" s="1360"/>
      <c r="M259" s="1360"/>
      <c r="N259" s="1360"/>
      <c r="O259" s="1371"/>
      <c r="P259" s="1385"/>
      <c r="Q259" s="1360"/>
      <c r="R259" s="1360"/>
      <c r="S259" s="1360"/>
      <c r="T259" s="1360"/>
      <c r="U259" s="1360"/>
      <c r="V259" s="1360"/>
      <c r="W259" s="1360"/>
      <c r="X259" s="1360"/>
      <c r="Y259" s="1360"/>
      <c r="Z259" s="1360"/>
      <c r="AA259" s="1360"/>
      <c r="AB259" s="1360"/>
      <c r="AC259" s="1360"/>
      <c r="AD259" s="1371"/>
      <c r="AE259" s="1360"/>
      <c r="AF259" s="1360"/>
      <c r="AG259" s="1360"/>
    </row>
    <row r="260">
      <c r="A260" s="1356">
        <v>44881.0</v>
      </c>
      <c r="B260" s="1357" t="s">
        <v>892</v>
      </c>
      <c r="C260" s="224" t="s">
        <v>612</v>
      </c>
      <c r="D260" s="1366">
        <f t="shared" si="1"/>
        <v>44911</v>
      </c>
      <c r="E260" s="1366">
        <f t="shared" si="2"/>
        <v>45246</v>
      </c>
      <c r="F260" s="224" t="str">
        <f>IF(AND('in-situ Acer outplants'!D:D=B260,IF(VLOOKUP(B260,'in-situ Acer outplants'!D:M,10,FALSE)&lt;&gt;0,"TRUE", "FALSE")),"Completed",DATE(year(A260), month(A260)+1, day(A260)))</f>
        <v>Completed</v>
      </c>
      <c r="G260" s="1360" t="str">
        <f>IF(AND('in-situ Acer outplants'!D:D=B260,IF(VLOOKUP(B260,'in-situ Acer outplants'!D:T,17,FALSE)&lt;&gt;0,"TRUE", "FALSE")),"Completed",DATE(year(A260)+1, month(A260), day(A260)))</f>
        <v>Completed</v>
      </c>
      <c r="H260" s="1360"/>
      <c r="I260" s="1360"/>
      <c r="J260" s="1360"/>
      <c r="K260" s="1360"/>
      <c r="L260" s="1360"/>
      <c r="M260" s="1360"/>
      <c r="N260" s="1360"/>
      <c r="O260" s="1371"/>
      <c r="P260" s="1385"/>
      <c r="Q260" s="1360"/>
      <c r="R260" s="1360"/>
      <c r="S260" s="1360"/>
      <c r="T260" s="1360"/>
      <c r="U260" s="1360"/>
      <c r="V260" s="1360"/>
      <c r="W260" s="1360"/>
      <c r="X260" s="1360"/>
      <c r="Y260" s="1360"/>
      <c r="Z260" s="1360"/>
      <c r="AA260" s="1360"/>
      <c r="AB260" s="1360"/>
      <c r="AC260" s="1360"/>
      <c r="AD260" s="1371"/>
      <c r="AE260" s="1360"/>
      <c r="AF260" s="1360"/>
      <c r="AG260" s="1360"/>
    </row>
    <row r="261">
      <c r="A261" s="1356">
        <v>44888.0</v>
      </c>
      <c r="B261" s="1357" t="s">
        <v>895</v>
      </c>
      <c r="C261" s="224" t="s">
        <v>517</v>
      </c>
      <c r="D261" s="1366">
        <f t="shared" si="1"/>
        <v>44918</v>
      </c>
      <c r="E261" s="1366">
        <f t="shared" si="2"/>
        <v>45253</v>
      </c>
      <c r="F261" s="224" t="str">
        <f>IF(AND('in-situ Acer outplants'!D:D=B261,IF(VLOOKUP(B261,'in-situ Acer outplants'!D:M,10,FALSE)&lt;&gt;0,"TRUE", "FALSE")),"Completed",DATE(year(A261), month(A261)+1, day(A261)))</f>
        <v>Completed</v>
      </c>
      <c r="G261" s="1360" t="str">
        <f>IF(AND('in-situ Acer outplants'!D:D=B261,IF(VLOOKUP(B261,'in-situ Acer outplants'!D:T,17,FALSE)&lt;&gt;0,"TRUE", "FALSE")),"Completed",DATE(year(A261)+1, month(A261), day(A261)))</f>
        <v>Completed</v>
      </c>
      <c r="H261" s="1360"/>
      <c r="I261" s="1360"/>
      <c r="J261" s="1360"/>
      <c r="K261" s="1360"/>
      <c r="L261" s="1360"/>
      <c r="M261" s="1360"/>
      <c r="N261" s="1360"/>
      <c r="O261" s="1371"/>
      <c r="P261" s="1385"/>
      <c r="Q261" s="1360"/>
      <c r="R261" s="1360"/>
      <c r="S261" s="1360"/>
      <c r="T261" s="1360"/>
      <c r="U261" s="1360"/>
      <c r="V261" s="1360"/>
      <c r="W261" s="1360"/>
      <c r="X261" s="1360"/>
      <c r="Y261" s="1360"/>
      <c r="Z261" s="1360"/>
      <c r="AA261" s="1360"/>
      <c r="AB261" s="1360"/>
      <c r="AC261" s="1360"/>
      <c r="AD261" s="1371"/>
      <c r="AE261" s="1360"/>
      <c r="AF261" s="1360"/>
      <c r="AG261" s="1360"/>
    </row>
    <row r="262">
      <c r="A262" s="1356">
        <v>44893.0</v>
      </c>
      <c r="B262" s="1357" t="s">
        <v>898</v>
      </c>
      <c r="C262" s="224" t="s">
        <v>899</v>
      </c>
      <c r="D262" s="1366">
        <f t="shared" si="1"/>
        <v>44923</v>
      </c>
      <c r="E262" s="1366">
        <f t="shared" si="2"/>
        <v>45258</v>
      </c>
      <c r="F262" s="224" t="str">
        <f>IF(AND('in-situ Acer outplants'!D:D=B262,IF(VLOOKUP(B262,'in-situ Acer outplants'!D:M,10,FALSE)&lt;&gt;0,"TRUE", "FALSE")),"Completed",DATE(year(A262), month(A262)+1, day(A262)))</f>
        <v>Completed</v>
      </c>
      <c r="G262" s="1360" t="str">
        <f>IF(AND('in-situ Acer outplants'!D:D=B262,IF(VLOOKUP(B262,'in-situ Acer outplants'!D:T,17,FALSE)&lt;&gt;0,"TRUE", "FALSE")),"Completed",DATE(year(A262)+1, month(A262), day(A262)))</f>
        <v>Completed</v>
      </c>
      <c r="H262" s="1360"/>
      <c r="I262" s="1360"/>
      <c r="J262" s="1360"/>
      <c r="K262" s="1360"/>
      <c r="L262" s="1360"/>
      <c r="M262" s="1360"/>
      <c r="N262" s="1360"/>
      <c r="O262" s="1371"/>
      <c r="P262" s="1385"/>
      <c r="Q262" s="1360"/>
      <c r="R262" s="1360"/>
      <c r="S262" s="1360"/>
      <c r="T262" s="1360"/>
      <c r="U262" s="1360"/>
      <c r="V262" s="1360"/>
      <c r="W262" s="1360"/>
      <c r="X262" s="1360"/>
      <c r="Y262" s="1360"/>
      <c r="Z262" s="1360"/>
      <c r="AA262" s="1360"/>
      <c r="AB262" s="1360"/>
      <c r="AC262" s="1360"/>
      <c r="AD262" s="1371"/>
      <c r="AE262" s="1360"/>
      <c r="AF262" s="1360"/>
      <c r="AG262" s="1360"/>
    </row>
    <row r="263">
      <c r="A263" s="1356">
        <v>44900.0</v>
      </c>
      <c r="B263" s="1357" t="s">
        <v>901</v>
      </c>
      <c r="C263" s="224" t="s">
        <v>755</v>
      </c>
      <c r="D263" s="1366">
        <f t="shared" si="1"/>
        <v>44931</v>
      </c>
      <c r="E263" s="1366">
        <f t="shared" si="2"/>
        <v>45265</v>
      </c>
      <c r="F263" s="224" t="str">
        <f>IF(AND('in-situ Acer outplants'!D:D=B263,IF(VLOOKUP(B263,'in-situ Acer outplants'!D:M,10,FALSE)&lt;&gt;0,"TRUE", "FALSE")),"Completed",DATE(year(A263), month(A263)+1, day(A263)))</f>
        <v>Completed</v>
      </c>
      <c r="G263" s="1360" t="str">
        <f>IF(AND('in-situ Acer outplants'!D:D=B263,IF(VLOOKUP(B263,'in-situ Acer outplants'!D:T,17,FALSE)&lt;&gt;0,"TRUE", "FALSE")),"Completed",DATE(year(A263)+1, month(A263), day(A263)))</f>
        <v>Completed</v>
      </c>
      <c r="H263" s="1360"/>
      <c r="I263" s="1360"/>
      <c r="J263" s="1360"/>
      <c r="K263" s="1360"/>
      <c r="L263" s="1360"/>
      <c r="M263" s="1360"/>
      <c r="N263" s="1360"/>
      <c r="O263" s="1371"/>
      <c r="P263" s="1385"/>
      <c r="Q263" s="1360"/>
      <c r="R263" s="1360"/>
      <c r="S263" s="1360"/>
      <c r="T263" s="1360"/>
      <c r="U263" s="1360"/>
      <c r="V263" s="1360"/>
      <c r="W263" s="1360"/>
      <c r="X263" s="1360"/>
      <c r="Y263" s="1360"/>
      <c r="Z263" s="1360"/>
      <c r="AA263" s="1360"/>
      <c r="AB263" s="1360"/>
      <c r="AC263" s="1360"/>
      <c r="AD263" s="1371"/>
      <c r="AE263" s="1360"/>
      <c r="AF263" s="1360"/>
      <c r="AG263" s="1360"/>
    </row>
    <row r="264">
      <c r="A264" s="1356">
        <v>44900.0</v>
      </c>
      <c r="B264" s="1357" t="s">
        <v>903</v>
      </c>
      <c r="C264" s="224" t="s">
        <v>149</v>
      </c>
      <c r="D264" s="1366">
        <f t="shared" si="1"/>
        <v>44931</v>
      </c>
      <c r="E264" s="1366">
        <f t="shared" si="2"/>
        <v>45265</v>
      </c>
      <c r="F264" s="224" t="str">
        <f>IF(AND('in-situ Acer outplants'!D:D=B264,IF(VLOOKUP(B264,'in-situ Acer outplants'!D:M,10,FALSE)&lt;&gt;0,"TRUE", "FALSE")),"Completed",DATE(year(A264), month(A264)+1, day(A264)))</f>
        <v>Completed</v>
      </c>
      <c r="G264" s="1360" t="str">
        <f>IF(AND('in-situ Acer outplants'!D:D=B264,IF(VLOOKUP(B264,'in-situ Acer outplants'!D:T,17,FALSE)&lt;&gt;0,"TRUE", "FALSE")),"Completed",DATE(year(A264)+1, month(A264), day(A264)))</f>
        <v>Completed</v>
      </c>
      <c r="H264" s="1360"/>
      <c r="I264" s="1360"/>
      <c r="J264" s="1360"/>
      <c r="K264" s="1360"/>
      <c r="L264" s="1360"/>
      <c r="M264" s="1360"/>
      <c r="N264" s="1360"/>
      <c r="O264" s="1371"/>
      <c r="P264" s="1385"/>
      <c r="Q264" s="1360"/>
      <c r="R264" s="1360"/>
      <c r="S264" s="1360"/>
      <c r="T264" s="1360"/>
      <c r="U264" s="1360"/>
      <c r="V264" s="1360"/>
      <c r="W264" s="1360"/>
      <c r="X264" s="1360"/>
      <c r="Y264" s="1360"/>
      <c r="Z264" s="1360"/>
      <c r="AA264" s="1360"/>
      <c r="AB264" s="1360"/>
      <c r="AC264" s="1360"/>
      <c r="AD264" s="1371"/>
      <c r="AE264" s="1360"/>
      <c r="AF264" s="1360"/>
      <c r="AG264" s="1360"/>
    </row>
    <row r="265">
      <c r="A265" s="1356">
        <v>44900.0</v>
      </c>
      <c r="B265" s="1357" t="s">
        <v>906</v>
      </c>
      <c r="C265" s="224" t="s">
        <v>149</v>
      </c>
      <c r="D265" s="1366">
        <f t="shared" si="1"/>
        <v>44931</v>
      </c>
      <c r="E265" s="1366">
        <f t="shared" si="2"/>
        <v>45265</v>
      </c>
      <c r="F265" s="224" t="str">
        <f>IF(AND('in-situ Acer outplants'!D:D=B265,IF(VLOOKUP(B265,'in-situ Acer outplants'!D:M,10,FALSE)&lt;&gt;0,"TRUE", "FALSE")),"Completed",DATE(year(A265), month(A265)+1, day(A265)))</f>
        <v>Completed</v>
      </c>
      <c r="G265" s="1360" t="str">
        <f>IF(AND('in-situ Acer outplants'!D:D=B265,IF(VLOOKUP(B265,'in-situ Acer outplants'!D:T,17,FALSE)&lt;&gt;0,"TRUE", "FALSE")),"Completed",DATE(year(A265)+1, month(A265), day(A265)))</f>
        <v>Completed</v>
      </c>
      <c r="H265" s="1360"/>
      <c r="I265" s="1360"/>
      <c r="J265" s="1360"/>
      <c r="K265" s="1360"/>
      <c r="L265" s="1360"/>
      <c r="M265" s="1360"/>
      <c r="N265" s="1360"/>
      <c r="O265" s="1371"/>
      <c r="P265" s="1385"/>
      <c r="Q265" s="1360"/>
      <c r="R265" s="1360"/>
      <c r="S265" s="1360"/>
      <c r="T265" s="1360"/>
      <c r="U265" s="1360"/>
      <c r="V265" s="1360"/>
      <c r="W265" s="1360"/>
      <c r="X265" s="1360"/>
      <c r="Y265" s="1360"/>
      <c r="Z265" s="1360"/>
      <c r="AA265" s="1360"/>
      <c r="AB265" s="1360"/>
      <c r="AC265" s="1360"/>
      <c r="AD265" s="1371"/>
      <c r="AE265" s="1360"/>
      <c r="AF265" s="1360"/>
      <c r="AG265" s="1360"/>
    </row>
    <row r="266">
      <c r="A266" s="1356">
        <v>44900.0</v>
      </c>
      <c r="B266" s="1357" t="s">
        <v>907</v>
      </c>
      <c r="C266" s="224" t="s">
        <v>149</v>
      </c>
      <c r="D266" s="1366">
        <f t="shared" si="1"/>
        <v>44931</v>
      </c>
      <c r="E266" s="1366">
        <f t="shared" si="2"/>
        <v>45265</v>
      </c>
      <c r="F266" s="224" t="str">
        <f>IF(AND('in-situ Acer outplants'!D:D=B266,IF(VLOOKUP(B266,'in-situ Acer outplants'!D:M,10,FALSE)&lt;&gt;0,"TRUE", "FALSE")),"Completed",DATE(year(A266), month(A266)+1, day(A266)))</f>
        <v>Completed</v>
      </c>
      <c r="G266" s="1388">
        <f>IF(AND('in-situ Acer outplants'!D:D=B266,IF(VLOOKUP(B266,'in-situ Acer outplants'!D:T,17,FALSE)&lt;&gt;0,"TRUE", "FALSE")),"Completed",DATE(year(A266)+1, month(A266), day(A266)))</f>
        <v>45265</v>
      </c>
      <c r="H266" s="1360"/>
      <c r="I266" s="1360"/>
      <c r="J266" s="1360"/>
      <c r="K266" s="1360"/>
      <c r="L266" s="1360"/>
      <c r="M266" s="1360"/>
      <c r="N266" s="1360"/>
      <c r="O266" s="1371"/>
      <c r="P266" s="1385"/>
      <c r="Q266" s="1360"/>
      <c r="R266" s="1360"/>
      <c r="S266" s="1360"/>
      <c r="T266" s="1360"/>
      <c r="U266" s="1360"/>
      <c r="V266" s="1360"/>
      <c r="W266" s="1360"/>
      <c r="X266" s="1360"/>
      <c r="Y266" s="1360"/>
      <c r="Z266" s="1360"/>
      <c r="AA266" s="1360"/>
      <c r="AB266" s="1360"/>
      <c r="AC266" s="1360"/>
      <c r="AD266" s="1371"/>
      <c r="AE266" s="1360"/>
      <c r="AF266" s="1360"/>
      <c r="AG266" s="1360"/>
    </row>
    <row r="267">
      <c r="A267" s="1356">
        <v>44900.0</v>
      </c>
      <c r="B267" s="1357" t="s">
        <v>909</v>
      </c>
      <c r="C267" s="224" t="s">
        <v>149</v>
      </c>
      <c r="D267" s="1366">
        <f t="shared" si="1"/>
        <v>44931</v>
      </c>
      <c r="E267" s="1366">
        <f t="shared" si="2"/>
        <v>45265</v>
      </c>
      <c r="F267" s="224" t="str">
        <f>IF(AND('in-situ Acer outplants'!D:D=B267,IF(VLOOKUP(B267,'in-situ Acer outplants'!D:M,10,FALSE)&lt;&gt;0,"TRUE", "FALSE")),"Completed",DATE(year(A267), month(A267)+1, day(A267)))</f>
        <v>Completed</v>
      </c>
      <c r="G267" s="1388">
        <f>IF(AND('in-situ Acer outplants'!D:D=B267,IF(VLOOKUP(B267,'in-situ Acer outplants'!D:T,17,FALSE)&lt;&gt;0,"TRUE", "FALSE")),"Completed",DATE(year(A267)+1, month(A267), day(A267)))</f>
        <v>45265</v>
      </c>
      <c r="H267" s="1360"/>
      <c r="I267" s="1360"/>
      <c r="J267" s="1360"/>
      <c r="K267" s="1360"/>
      <c r="L267" s="1360"/>
      <c r="M267" s="1360"/>
      <c r="N267" s="1360"/>
      <c r="O267" s="1371"/>
      <c r="P267" s="1385"/>
      <c r="Q267" s="1360"/>
      <c r="R267" s="1360"/>
      <c r="S267" s="1360"/>
      <c r="T267" s="1360"/>
      <c r="U267" s="1360"/>
      <c r="V267" s="1360"/>
      <c r="W267" s="1360"/>
      <c r="X267" s="1360"/>
      <c r="Y267" s="1360"/>
      <c r="Z267" s="1360"/>
      <c r="AA267" s="1360"/>
      <c r="AB267" s="1360"/>
      <c r="AC267" s="1360"/>
      <c r="AD267" s="1371"/>
      <c r="AE267" s="1360"/>
      <c r="AF267" s="1360"/>
      <c r="AG267" s="1360"/>
    </row>
    <row r="268">
      <c r="A268" s="1356">
        <v>44900.0</v>
      </c>
      <c r="B268" s="1357" t="s">
        <v>910</v>
      </c>
      <c r="C268" s="224" t="s">
        <v>149</v>
      </c>
      <c r="D268" s="1366">
        <f t="shared" si="1"/>
        <v>44931</v>
      </c>
      <c r="E268" s="1366">
        <f t="shared" si="2"/>
        <v>45265</v>
      </c>
      <c r="F268" s="224" t="str">
        <f>IF(AND('in-situ Acer outplants'!D:D=B268,IF(VLOOKUP(B268,'in-situ Acer outplants'!D:M,10,FALSE)&lt;&gt;0,"TRUE", "FALSE")),"Completed",DATE(year(A268), month(A268)+1, day(A268)))</f>
        <v>Completed</v>
      </c>
      <c r="G268" s="1360" t="str">
        <f>IF(AND('in-situ Acer outplants'!D:D=B268,IF(VLOOKUP(B268,'in-situ Acer outplants'!D:T,17,FALSE)&lt;&gt;0,"TRUE", "FALSE")),"Completed",DATE(year(A268)+1, month(A268), day(A268)))</f>
        <v>Completed</v>
      </c>
      <c r="H268" s="1360"/>
      <c r="I268" s="1360"/>
      <c r="J268" s="1360"/>
      <c r="K268" s="1360"/>
      <c r="L268" s="1360"/>
      <c r="M268" s="1360"/>
      <c r="N268" s="1360"/>
      <c r="O268" s="1371"/>
      <c r="P268" s="1385"/>
      <c r="Q268" s="1360"/>
      <c r="R268" s="1360"/>
      <c r="S268" s="1360"/>
      <c r="T268" s="1360"/>
      <c r="U268" s="1360"/>
      <c r="V268" s="1360"/>
      <c r="W268" s="1360"/>
      <c r="X268" s="1360"/>
      <c r="Y268" s="1360"/>
      <c r="Z268" s="1360"/>
      <c r="AA268" s="1360"/>
      <c r="AB268" s="1360"/>
      <c r="AC268" s="1360"/>
      <c r="AD268" s="1371"/>
      <c r="AE268" s="1360"/>
      <c r="AF268" s="1360"/>
      <c r="AG268" s="1360"/>
    </row>
    <row r="269">
      <c r="A269" s="1356">
        <v>44900.0</v>
      </c>
      <c r="B269" s="1357" t="s">
        <v>912</v>
      </c>
      <c r="C269" s="224" t="s">
        <v>149</v>
      </c>
      <c r="D269" s="1366">
        <f t="shared" si="1"/>
        <v>44931</v>
      </c>
      <c r="E269" s="1366">
        <f t="shared" si="2"/>
        <v>45265</v>
      </c>
      <c r="F269" s="224" t="str">
        <f>IF(AND('in-situ Acer outplants'!D:D=B269,IF(VLOOKUP(B269,'in-situ Acer outplants'!D:M,10,FALSE)&lt;&gt;0,"TRUE", "FALSE")),"Completed",DATE(year(A269), month(A269)+1, day(A269)))</f>
        <v>Completed</v>
      </c>
      <c r="G269" s="1360" t="str">
        <f>IF(AND('in-situ Acer outplants'!D:D=B269,IF(VLOOKUP(B269,'in-situ Acer outplants'!D:T,17,FALSE)&lt;&gt;0,"TRUE", "FALSE")),"Completed",DATE(year(A269)+1, month(A269), day(A269)))</f>
        <v>Completed</v>
      </c>
      <c r="H269" s="1360"/>
      <c r="I269" s="1360"/>
      <c r="J269" s="1360"/>
      <c r="K269" s="1360"/>
      <c r="L269" s="1360"/>
      <c r="M269" s="1360"/>
      <c r="N269" s="1360"/>
      <c r="O269" s="1371"/>
      <c r="P269" s="1385"/>
      <c r="Q269" s="1360"/>
      <c r="R269" s="1360"/>
      <c r="S269" s="1360"/>
      <c r="T269" s="1360"/>
      <c r="U269" s="1360"/>
      <c r="V269" s="1360"/>
      <c r="W269" s="1360"/>
      <c r="X269" s="1360"/>
      <c r="Y269" s="1360"/>
      <c r="Z269" s="1360"/>
      <c r="AA269" s="1360"/>
      <c r="AB269" s="1360"/>
      <c r="AC269" s="1360"/>
      <c r="AD269" s="1371"/>
      <c r="AE269" s="1360"/>
      <c r="AF269" s="1360"/>
      <c r="AG269" s="1360"/>
    </row>
    <row r="270">
      <c r="A270" s="1356">
        <v>44902.0</v>
      </c>
      <c r="B270" s="1357" t="s">
        <v>913</v>
      </c>
      <c r="C270" s="224" t="s">
        <v>914</v>
      </c>
      <c r="D270" s="1366">
        <f t="shared" si="1"/>
        <v>44933</v>
      </c>
      <c r="E270" s="1366">
        <f t="shared" si="2"/>
        <v>45267</v>
      </c>
      <c r="F270" s="224" t="str">
        <f>IF(AND('in-situ Acer outplants'!D:D=B270,IF(VLOOKUP(B270,'in-situ Acer outplants'!D:M,10,FALSE)&lt;&gt;0,"TRUE", "FALSE")),"Completed",DATE(year(A270), month(A270)+1, day(A270)))</f>
        <v>Completed</v>
      </c>
      <c r="G270" s="1360" t="str">
        <f>IF(AND('in-situ Acer outplants'!D:D=B270,IF(VLOOKUP(B270,'in-situ Acer outplants'!D:T,17,FALSE)&lt;&gt;0,"TRUE", "FALSE")),"Completed",DATE(year(A270)+1, month(A270), day(A270)))</f>
        <v>Completed</v>
      </c>
      <c r="H270" s="1360"/>
      <c r="I270" s="1360"/>
      <c r="J270" s="1360"/>
      <c r="K270" s="1360"/>
      <c r="L270" s="1360"/>
      <c r="M270" s="1360"/>
      <c r="N270" s="1360"/>
      <c r="O270" s="1371"/>
      <c r="P270" s="1385"/>
      <c r="Q270" s="1360"/>
      <c r="R270" s="1360"/>
      <c r="S270" s="1360"/>
      <c r="T270" s="1360"/>
      <c r="U270" s="1360"/>
      <c r="V270" s="1360"/>
      <c r="W270" s="1360"/>
      <c r="X270" s="1360"/>
      <c r="Y270" s="1360"/>
      <c r="Z270" s="1360"/>
      <c r="AA270" s="1360"/>
      <c r="AB270" s="1360"/>
      <c r="AC270" s="1360"/>
      <c r="AD270" s="1371"/>
      <c r="AE270" s="1360"/>
      <c r="AF270" s="1360"/>
      <c r="AG270" s="1360"/>
    </row>
    <row r="271">
      <c r="A271" s="1356">
        <v>44916.0</v>
      </c>
      <c r="B271" s="1357" t="s">
        <v>916</v>
      </c>
      <c r="C271" s="224" t="s">
        <v>423</v>
      </c>
      <c r="D271" s="1366">
        <f t="shared" si="1"/>
        <v>44947</v>
      </c>
      <c r="E271" s="1366">
        <f t="shared" si="2"/>
        <v>45281</v>
      </c>
      <c r="F271" s="224" t="str">
        <f>IF(AND('in-situ Acer outplants'!D:D=B271,IF(VLOOKUP(B271,'in-situ Acer outplants'!D:M,10,FALSE)&lt;&gt;0,"TRUE", "FALSE")),"Completed",DATE(year(A271), month(A271)+1, day(A271)))</f>
        <v>Completed</v>
      </c>
      <c r="G271" s="1360" t="str">
        <f>IF(AND('in-situ Acer outplants'!D:D=B271,IF(VLOOKUP(B271,'in-situ Acer outplants'!D:T,17,FALSE)&lt;&gt;0,"TRUE", "FALSE")),"Completed",DATE(year(A271)+1, month(A271), day(A271)))</f>
        <v>Completed</v>
      </c>
      <c r="H271" s="1360"/>
      <c r="I271" s="1360"/>
      <c r="J271" s="1360"/>
      <c r="K271" s="1360"/>
      <c r="L271" s="1360"/>
      <c r="M271" s="1360"/>
      <c r="N271" s="1360"/>
      <c r="O271" s="1371"/>
      <c r="P271" s="1385"/>
      <c r="Q271" s="1360"/>
      <c r="R271" s="1360"/>
      <c r="S271" s="1360"/>
      <c r="T271" s="1360"/>
      <c r="U271" s="1360"/>
      <c r="V271" s="1360"/>
      <c r="W271" s="1360"/>
      <c r="X271" s="1360"/>
      <c r="Y271" s="1360"/>
      <c r="Z271" s="1360"/>
      <c r="AA271" s="1360"/>
      <c r="AB271" s="1360"/>
      <c r="AC271" s="1360"/>
      <c r="AD271" s="1371"/>
      <c r="AE271" s="1360"/>
      <c r="AF271" s="1360"/>
      <c r="AG271" s="1360"/>
    </row>
    <row r="272">
      <c r="A272" s="1356">
        <v>44931.0</v>
      </c>
      <c r="B272" s="1357" t="s">
        <v>918</v>
      </c>
      <c r="C272" s="224" t="s">
        <v>423</v>
      </c>
      <c r="D272" s="1366">
        <f t="shared" si="1"/>
        <v>44962</v>
      </c>
      <c r="E272" s="1366">
        <f t="shared" si="2"/>
        <v>45296</v>
      </c>
      <c r="F272" s="224" t="str">
        <f>IF(AND('in-situ Acer outplants'!D:D=B272,IF(VLOOKUP(B272,'in-situ Acer outplants'!D:M,10,FALSE)&lt;&gt;0,"TRUE", "FALSE")),"Completed",DATE(year(A272), month(A272)+1, day(A272)))</f>
        <v>Completed</v>
      </c>
      <c r="G272" s="1360" t="str">
        <f>IF(AND('in-situ Acer outplants'!D:D=B272,IF(VLOOKUP(B272,'in-situ Acer outplants'!D:T,17,FALSE)&lt;&gt;0,"TRUE", "FALSE")),"Completed",DATE(year(A272)+1, month(A272), day(A272)))</f>
        <v>Completed</v>
      </c>
      <c r="H272" s="1360"/>
      <c r="I272" s="1360"/>
      <c r="J272" s="1360"/>
      <c r="K272" s="1360"/>
      <c r="L272" s="1360"/>
      <c r="M272" s="1360"/>
      <c r="N272" s="1360"/>
      <c r="O272" s="1371"/>
      <c r="P272" s="1385"/>
      <c r="Q272" s="1360"/>
      <c r="R272" s="1360"/>
      <c r="S272" s="1360"/>
      <c r="T272" s="1360"/>
      <c r="U272" s="1360"/>
      <c r="V272" s="1360"/>
      <c r="W272" s="1360"/>
      <c r="X272" s="1360"/>
      <c r="Y272" s="1360"/>
      <c r="Z272" s="1360"/>
      <c r="AA272" s="1360"/>
      <c r="AB272" s="1360"/>
      <c r="AC272" s="1360"/>
      <c r="AD272" s="1371"/>
      <c r="AE272" s="1360"/>
      <c r="AF272" s="1360"/>
      <c r="AG272" s="1360"/>
    </row>
    <row r="273">
      <c r="A273" s="1356">
        <v>44935.0</v>
      </c>
      <c r="B273" s="1357" t="s">
        <v>919</v>
      </c>
      <c r="C273" s="224" t="s">
        <v>841</v>
      </c>
      <c r="D273" s="1366">
        <f t="shared" si="1"/>
        <v>44966</v>
      </c>
      <c r="E273" s="1366">
        <f t="shared" si="2"/>
        <v>45300</v>
      </c>
      <c r="F273" s="224" t="str">
        <f>IF(AND('in-situ Acer outplants'!D:D=B273,IF(VLOOKUP(B273,'in-situ Acer outplants'!D:M,10,FALSE)&lt;&gt;0,"TRUE", "FALSE")),"Completed",DATE(year(A273), month(A273)+1, day(A273)))</f>
        <v>Completed</v>
      </c>
      <c r="G273" s="1360" t="str">
        <f>IF(AND('in-situ Acer outplants'!D:D=B273,IF(VLOOKUP(B273,'in-situ Acer outplants'!D:T,17,FALSE)&lt;&gt;0,"TRUE", "FALSE")),"Completed",DATE(year(A273)+1, month(A273), day(A273)))</f>
        <v>Completed</v>
      </c>
      <c r="H273" s="1360"/>
      <c r="I273" s="1360"/>
      <c r="J273" s="1360"/>
      <c r="K273" s="1360"/>
      <c r="L273" s="1360"/>
      <c r="M273" s="1360"/>
      <c r="N273" s="1360"/>
      <c r="O273" s="1371"/>
      <c r="P273" s="1385"/>
      <c r="Q273" s="1360"/>
      <c r="R273" s="1360"/>
      <c r="S273" s="1360"/>
      <c r="T273" s="1360"/>
      <c r="U273" s="1360"/>
      <c r="V273" s="1360"/>
      <c r="W273" s="1360"/>
      <c r="X273" s="1360"/>
      <c r="Y273" s="1360"/>
      <c r="Z273" s="1360"/>
      <c r="AA273" s="1360"/>
      <c r="AB273" s="1360"/>
      <c r="AC273" s="1360"/>
      <c r="AD273" s="1371"/>
      <c r="AE273" s="1360"/>
      <c r="AF273" s="1360"/>
      <c r="AG273" s="1360"/>
    </row>
    <row r="274">
      <c r="A274" s="1356">
        <v>44938.0</v>
      </c>
      <c r="B274" s="1357" t="s">
        <v>920</v>
      </c>
      <c r="C274" s="224" t="s">
        <v>921</v>
      </c>
      <c r="D274" s="1366">
        <f t="shared" si="1"/>
        <v>44969</v>
      </c>
      <c r="E274" s="1366">
        <f t="shared" si="2"/>
        <v>45303</v>
      </c>
      <c r="F274" s="224" t="str">
        <f>IF(AND('in-situ Acer outplants'!D:D=B274,IF(VLOOKUP(B274,'in-situ Acer outplants'!D:M,10,FALSE)&lt;&gt;0,"TRUE", "FALSE")),"Completed",DATE(year(A274), month(A274)+1, day(A274)))</f>
        <v>Completed</v>
      </c>
      <c r="G274" s="1360" t="str">
        <f>IF(AND('in-situ Acer outplants'!D:D=B274,IF(VLOOKUP(B274,'in-situ Acer outplants'!D:T,17,FALSE)&lt;&gt;0,"TRUE", "FALSE")),"Completed",DATE(year(A274)+1, month(A274), day(A274)))</f>
        <v>Completed</v>
      </c>
      <c r="H274" s="1360"/>
      <c r="I274" s="1360"/>
      <c r="J274" s="1360"/>
      <c r="K274" s="1360"/>
      <c r="L274" s="1360"/>
      <c r="M274" s="1360"/>
      <c r="N274" s="1360"/>
      <c r="O274" s="1371"/>
      <c r="P274" s="1385"/>
      <c r="Q274" s="1360"/>
      <c r="R274" s="1360"/>
      <c r="S274" s="1360"/>
      <c r="T274" s="1360"/>
      <c r="U274" s="1360"/>
      <c r="V274" s="1360"/>
      <c r="W274" s="1360"/>
      <c r="X274" s="1360"/>
      <c r="Y274" s="1360"/>
      <c r="Z274" s="1360"/>
      <c r="AA274" s="1360"/>
      <c r="AB274" s="1360"/>
      <c r="AC274" s="1360"/>
      <c r="AD274" s="1371"/>
      <c r="AE274" s="1360"/>
      <c r="AF274" s="1360"/>
      <c r="AG274" s="1360"/>
    </row>
    <row r="275">
      <c r="A275" s="1356">
        <v>44944.0</v>
      </c>
      <c r="B275" s="1357" t="s">
        <v>922</v>
      </c>
      <c r="C275" s="224" t="s">
        <v>923</v>
      </c>
      <c r="D275" s="1366">
        <f t="shared" si="1"/>
        <v>44975</v>
      </c>
      <c r="E275" s="1366">
        <f t="shared" si="2"/>
        <v>45309</v>
      </c>
      <c r="F275" s="224" t="str">
        <f>IF(AND('in-situ Acer outplants'!D:D=B275,IF(VLOOKUP(B275,'in-situ Acer outplants'!D:M,10,FALSE)&lt;&gt;0,"TRUE", "FALSE")),"Completed",DATE(year(A275), month(A275)+1, day(A275)))</f>
        <v>Completed</v>
      </c>
      <c r="G275" s="1360" t="str">
        <f>IF(AND('in-situ Acer outplants'!D:D=B275,IF(VLOOKUP(B275,'in-situ Acer outplants'!D:T,17,FALSE)&lt;&gt;0,"TRUE", "FALSE")),"Completed",DATE(year(A275)+1, month(A275), day(A275)))</f>
        <v>Completed</v>
      </c>
      <c r="H275" s="1360"/>
      <c r="I275" s="1360"/>
      <c r="J275" s="1360"/>
      <c r="K275" s="1360"/>
      <c r="L275" s="1360"/>
      <c r="M275" s="1360"/>
      <c r="N275" s="1360"/>
      <c r="O275" s="1371"/>
      <c r="P275" s="1385"/>
      <c r="Q275" s="1360"/>
      <c r="R275" s="1360"/>
      <c r="S275" s="1360"/>
      <c r="T275" s="1360"/>
      <c r="U275" s="1360"/>
      <c r="V275" s="1360"/>
      <c r="W275" s="1360"/>
      <c r="X275" s="1360"/>
      <c r="Y275" s="1360"/>
      <c r="Z275" s="1360"/>
      <c r="AA275" s="1360"/>
      <c r="AB275" s="1360"/>
      <c r="AC275" s="1360"/>
      <c r="AD275" s="1371"/>
      <c r="AE275" s="1360"/>
      <c r="AF275" s="1360"/>
      <c r="AG275" s="1360"/>
    </row>
    <row r="276">
      <c r="A276" s="1356">
        <v>44946.0</v>
      </c>
      <c r="B276" s="1357" t="s">
        <v>924</v>
      </c>
      <c r="C276" s="224" t="s">
        <v>773</v>
      </c>
      <c r="D276" s="1366">
        <f t="shared" si="1"/>
        <v>44977</v>
      </c>
      <c r="E276" s="1366">
        <f t="shared" si="2"/>
        <v>45311</v>
      </c>
      <c r="F276" s="224" t="str">
        <f>IF(AND('in-situ Acer outplants'!D:D=B276,IF(VLOOKUP(B276,'in-situ Acer outplants'!D:M,10,FALSE)&lt;&gt;0,"TRUE", "FALSE")),"Completed",DATE(year(A276), month(A276)+1, day(A276)))</f>
        <v>Completed</v>
      </c>
      <c r="G276" s="1360" t="str">
        <f>IF(AND('in-situ Acer outplants'!D:D=B276,IF(VLOOKUP(B276,'in-situ Acer outplants'!D:T,17,FALSE)&lt;&gt;0,"TRUE", "FALSE")),"Completed",DATE(year(A276)+1, month(A276), day(A276)))</f>
        <v>Completed</v>
      </c>
      <c r="H276" s="1360"/>
      <c r="I276" s="1360"/>
      <c r="J276" s="1360"/>
      <c r="K276" s="1360"/>
      <c r="L276" s="1360"/>
      <c r="M276" s="1360"/>
      <c r="N276" s="1360"/>
      <c r="O276" s="1371"/>
      <c r="P276" s="1385"/>
      <c r="Q276" s="1360"/>
      <c r="R276" s="1360"/>
      <c r="S276" s="1360"/>
      <c r="T276" s="1360"/>
      <c r="U276" s="1360"/>
      <c r="V276" s="1360"/>
      <c r="W276" s="1360"/>
      <c r="X276" s="1360"/>
      <c r="Y276" s="1360"/>
      <c r="Z276" s="1360"/>
      <c r="AA276" s="1360"/>
      <c r="AB276" s="1360"/>
      <c r="AC276" s="1360"/>
      <c r="AD276" s="1371"/>
      <c r="AE276" s="1360"/>
      <c r="AF276" s="1360"/>
      <c r="AG276" s="1360"/>
    </row>
    <row r="277">
      <c r="A277" s="1356">
        <v>44960.0</v>
      </c>
      <c r="B277" s="1357" t="s">
        <v>925</v>
      </c>
      <c r="C277" s="224" t="s">
        <v>290</v>
      </c>
      <c r="D277" s="1366">
        <f t="shared" si="1"/>
        <v>44988</v>
      </c>
      <c r="E277" s="1366">
        <f t="shared" si="2"/>
        <v>45325</v>
      </c>
      <c r="F277" s="224" t="str">
        <f>IF(AND('in-situ Acer outplants'!D:D=B277,IF(VLOOKUP(B277,'in-situ Acer outplants'!D:M,10,FALSE)&lt;&gt;0,"TRUE", "FALSE")),"Completed",DATE(year(A277), month(A277)+1, day(A277)))</f>
        <v>Completed</v>
      </c>
      <c r="G277" s="1360" t="str">
        <f>IF(AND('in-situ Acer outplants'!D:D=B277,IF(VLOOKUP(B277,'in-situ Acer outplants'!D:T,17,FALSE)&lt;&gt;0,"TRUE", "FALSE")),"Completed",DATE(year(A277)+1, month(A277), day(A277)))</f>
        <v>Completed</v>
      </c>
      <c r="H277" s="1360"/>
      <c r="I277" s="1360"/>
      <c r="J277" s="1360"/>
      <c r="K277" s="1360"/>
      <c r="L277" s="1360"/>
      <c r="M277" s="1360"/>
      <c r="N277" s="1360"/>
      <c r="O277" s="1371"/>
      <c r="P277" s="1385"/>
      <c r="Q277" s="1360"/>
      <c r="R277" s="1360"/>
      <c r="S277" s="1360"/>
      <c r="T277" s="1360"/>
      <c r="U277" s="1360"/>
      <c r="V277" s="1360"/>
      <c r="W277" s="1360"/>
      <c r="X277" s="1360"/>
      <c r="Y277" s="1360"/>
      <c r="Z277" s="1360"/>
      <c r="AA277" s="1360"/>
      <c r="AB277" s="1360"/>
      <c r="AC277" s="1360"/>
      <c r="AD277" s="1371"/>
      <c r="AE277" s="1360"/>
      <c r="AF277" s="1360"/>
      <c r="AG277" s="1360"/>
    </row>
    <row r="278">
      <c r="A278" s="1356">
        <v>44978.0</v>
      </c>
      <c r="B278" s="1357" t="s">
        <v>926</v>
      </c>
      <c r="C278" s="1389">
        <v>44951.0</v>
      </c>
      <c r="D278" s="1366">
        <f t="shared" si="1"/>
        <v>45006</v>
      </c>
      <c r="E278" s="1366">
        <f t="shared" si="2"/>
        <v>45343</v>
      </c>
      <c r="F278" s="224" t="str">
        <f>IF(AND('in-situ Acer outplants'!D:D=B278,IF(VLOOKUP(B278,'in-situ Acer outplants'!D:M,10,FALSE)&lt;&gt;0,"TRUE", "FALSE")),"Completed",DATE(year(A278), month(A278)+1, day(A278)))</f>
        <v>Completed</v>
      </c>
      <c r="G278" s="1360" t="str">
        <f>IF(AND('in-situ Acer outplants'!D:D=B278,IF(VLOOKUP(B278,'in-situ Acer outplants'!D:T,17,FALSE)&lt;&gt;0,"TRUE", "FALSE")),"Completed",DATE(year(A278)+1, month(A278), day(A278)))</f>
        <v>Completed</v>
      </c>
      <c r="H278" s="1360"/>
      <c r="I278" s="1360"/>
      <c r="J278" s="1360"/>
      <c r="K278" s="1360"/>
      <c r="L278" s="1360"/>
      <c r="M278" s="1360"/>
      <c r="N278" s="1360"/>
      <c r="O278" s="1371"/>
      <c r="P278" s="1385"/>
      <c r="Q278" s="1360"/>
      <c r="R278" s="1360"/>
      <c r="S278" s="1360"/>
      <c r="T278" s="1360"/>
      <c r="U278" s="1360"/>
      <c r="V278" s="1360"/>
      <c r="W278" s="1360"/>
      <c r="X278" s="1360"/>
      <c r="Y278" s="1360"/>
      <c r="Z278" s="1360"/>
      <c r="AA278" s="1360"/>
      <c r="AB278" s="1360"/>
      <c r="AC278" s="1360"/>
      <c r="AD278" s="1371"/>
      <c r="AE278" s="1360"/>
      <c r="AF278" s="1360"/>
      <c r="AG278" s="1360"/>
    </row>
    <row r="279">
      <c r="A279" s="1356">
        <v>44978.0</v>
      </c>
      <c r="B279" s="1357" t="s">
        <v>929</v>
      </c>
      <c r="C279" s="224" t="s">
        <v>930</v>
      </c>
      <c r="D279" s="1366">
        <f t="shared" si="1"/>
        <v>45006</v>
      </c>
      <c r="E279" s="1366">
        <f t="shared" si="2"/>
        <v>45343</v>
      </c>
      <c r="F279" s="224" t="str">
        <f>IF(AND('in-situ Acer outplants'!D:D=B279,IF(VLOOKUP(B279,'in-situ Acer outplants'!D:M,10,FALSE)&lt;&gt;0,"TRUE", "FALSE")),"Completed",DATE(year(A279), month(A279)+1, day(A279)))</f>
        <v>Completed</v>
      </c>
      <c r="G279" s="1360" t="str">
        <f>IF(AND('in-situ Acer outplants'!D:D=B279,IF(VLOOKUP(B279,'in-situ Acer outplants'!D:T,17,FALSE)&lt;&gt;0,"TRUE", "FALSE")),"Completed",DATE(year(A279)+1, month(A279), day(A279)))</f>
        <v>Completed</v>
      </c>
      <c r="H279" s="1360"/>
      <c r="I279" s="1360"/>
      <c r="J279" s="1360"/>
      <c r="K279" s="1360"/>
      <c r="L279" s="1360"/>
      <c r="M279" s="1360"/>
      <c r="N279" s="1360"/>
      <c r="O279" s="1371"/>
      <c r="P279" s="1385"/>
      <c r="Q279" s="1360"/>
      <c r="R279" s="1360"/>
      <c r="S279" s="1360"/>
      <c r="T279" s="1360"/>
      <c r="U279" s="1360"/>
      <c r="V279" s="1360"/>
      <c r="W279" s="1360"/>
      <c r="X279" s="1360"/>
      <c r="Y279" s="1360"/>
      <c r="Z279" s="1360"/>
      <c r="AA279" s="1360"/>
      <c r="AB279" s="1360"/>
      <c r="AC279" s="1360"/>
      <c r="AD279" s="1371"/>
      <c r="AE279" s="1360"/>
      <c r="AF279" s="1360"/>
      <c r="AG279" s="1360"/>
    </row>
    <row r="280">
      <c r="A280" s="1356">
        <v>44978.0</v>
      </c>
      <c r="B280" s="1357" t="s">
        <v>931</v>
      </c>
      <c r="C280" s="224" t="s">
        <v>932</v>
      </c>
      <c r="D280" s="1366">
        <f t="shared" si="1"/>
        <v>45006</v>
      </c>
      <c r="E280" s="1366">
        <f t="shared" si="2"/>
        <v>45343</v>
      </c>
      <c r="F280" s="224" t="str">
        <f>IF(AND('in-situ Acer outplants'!D:D=B280,IF(VLOOKUP(B280,'in-situ Acer outplants'!D:M,10,FALSE)&lt;&gt;0,"TRUE", "FALSE")),"Completed",DATE(year(A280), month(A280)+1, day(A280)))</f>
        <v>Completed</v>
      </c>
      <c r="G280" s="1360" t="str">
        <f>IF(AND('in-situ Acer outplants'!D:D=B280,IF(VLOOKUP(B280,'in-situ Acer outplants'!D:T,17,FALSE)&lt;&gt;0,"TRUE", "FALSE")),"Completed",DATE(year(A280)+1, month(A280), day(A280)))</f>
        <v>Completed</v>
      </c>
      <c r="H280" s="1360"/>
      <c r="I280" s="1360"/>
      <c r="J280" s="1360"/>
      <c r="K280" s="1360"/>
      <c r="L280" s="1360"/>
      <c r="M280" s="1360"/>
      <c r="N280" s="1360"/>
      <c r="O280" s="1371"/>
      <c r="P280" s="1385"/>
      <c r="Q280" s="1360"/>
      <c r="R280" s="1360"/>
      <c r="S280" s="1360"/>
      <c r="T280" s="1360"/>
      <c r="U280" s="1360"/>
      <c r="V280" s="1360"/>
      <c r="W280" s="1360"/>
      <c r="X280" s="1360"/>
      <c r="Y280" s="1360"/>
      <c r="Z280" s="1360"/>
      <c r="AA280" s="1360"/>
      <c r="AB280" s="1360"/>
      <c r="AC280" s="1360"/>
      <c r="AD280" s="1371"/>
      <c r="AE280" s="1360"/>
      <c r="AF280" s="1360"/>
      <c r="AG280" s="1360"/>
    </row>
    <row r="281">
      <c r="A281" s="1356">
        <v>44978.0</v>
      </c>
      <c r="B281" s="1357" t="s">
        <v>933</v>
      </c>
      <c r="C281" s="224" t="s">
        <v>934</v>
      </c>
      <c r="D281" s="1366">
        <f t="shared" si="1"/>
        <v>45006</v>
      </c>
      <c r="E281" s="1366">
        <f t="shared" si="2"/>
        <v>45343</v>
      </c>
      <c r="F281" s="224" t="str">
        <f>IF(AND('in-situ Acer outplants'!D:D=B281,IF(VLOOKUP(B281,'in-situ Acer outplants'!D:M,10,FALSE)&lt;&gt;0,"TRUE", "FALSE")),"Completed",DATE(year(A281), month(A281)+1, day(A281)))</f>
        <v>Completed</v>
      </c>
      <c r="G281" s="1360" t="str">
        <f>IF(AND('in-situ Acer outplants'!D:D=B281,IF(VLOOKUP(B281,'in-situ Acer outplants'!D:T,17,FALSE)&lt;&gt;0,"TRUE", "FALSE")),"Completed",DATE(year(A281)+1, month(A281), day(A281)))</f>
        <v>Completed</v>
      </c>
      <c r="H281" s="1360"/>
      <c r="I281" s="1360"/>
      <c r="J281" s="1360"/>
      <c r="K281" s="1360"/>
      <c r="L281" s="1360"/>
      <c r="M281" s="1360"/>
      <c r="N281" s="1360"/>
      <c r="O281" s="1371"/>
      <c r="P281" s="1385"/>
      <c r="Q281" s="1360"/>
      <c r="R281" s="1360"/>
      <c r="S281" s="1360"/>
      <c r="T281" s="1360"/>
      <c r="U281" s="1360"/>
      <c r="V281" s="1360"/>
      <c r="W281" s="1360"/>
      <c r="X281" s="1360"/>
      <c r="Y281" s="1360"/>
      <c r="Z281" s="1360"/>
      <c r="AA281" s="1360"/>
      <c r="AB281" s="1360"/>
      <c r="AC281" s="1360"/>
      <c r="AD281" s="1371"/>
      <c r="AE281" s="1360"/>
      <c r="AF281" s="1360"/>
      <c r="AG281" s="1360"/>
    </row>
    <row r="282">
      <c r="A282" s="1356">
        <v>44978.0</v>
      </c>
      <c r="B282" s="1357" t="s">
        <v>935</v>
      </c>
      <c r="C282" s="224" t="s">
        <v>936</v>
      </c>
      <c r="D282" s="1366">
        <f t="shared" si="1"/>
        <v>45006</v>
      </c>
      <c r="E282" s="1366">
        <f t="shared" si="2"/>
        <v>45343</v>
      </c>
      <c r="F282" s="224" t="str">
        <f>IF(AND('in-situ Acer outplants'!D:D=B282,IF(VLOOKUP(B282,'in-situ Acer outplants'!D:M,10,FALSE)&lt;&gt;0,"TRUE", "FALSE")),"Completed",DATE(year(A282), month(A282)+1, day(A282)))</f>
        <v>Completed</v>
      </c>
      <c r="G282" s="1360" t="str">
        <f>IF(AND('in-situ Acer outplants'!D:D=B282,IF(VLOOKUP(B282,'in-situ Acer outplants'!D:T,17,FALSE)&lt;&gt;0,"TRUE", "FALSE")),"Completed",DATE(year(A282)+1, month(A282), day(A282)))</f>
        <v>Completed</v>
      </c>
      <c r="H282" s="1360"/>
      <c r="I282" s="1360"/>
      <c r="J282" s="1360"/>
      <c r="K282" s="1360"/>
      <c r="L282" s="1360"/>
      <c r="M282" s="1360"/>
      <c r="N282" s="1360"/>
      <c r="O282" s="1371"/>
      <c r="P282" s="1385"/>
      <c r="Q282" s="1360"/>
      <c r="R282" s="1360"/>
      <c r="S282" s="1360"/>
      <c r="T282" s="1360"/>
      <c r="U282" s="1360"/>
      <c r="V282" s="1360"/>
      <c r="W282" s="1360"/>
      <c r="X282" s="1360"/>
      <c r="Y282" s="1360"/>
      <c r="Z282" s="1360"/>
      <c r="AA282" s="1360"/>
      <c r="AB282" s="1360"/>
      <c r="AC282" s="1360"/>
      <c r="AD282" s="1371"/>
      <c r="AE282" s="1360"/>
      <c r="AF282" s="1360"/>
      <c r="AG282" s="1360"/>
    </row>
    <row r="283">
      <c r="A283" s="1356">
        <v>44978.0</v>
      </c>
      <c r="B283" s="1357" t="s">
        <v>937</v>
      </c>
      <c r="C283" s="224" t="s">
        <v>938</v>
      </c>
      <c r="D283" s="1366">
        <f t="shared" si="1"/>
        <v>45006</v>
      </c>
      <c r="E283" s="1366">
        <f t="shared" si="2"/>
        <v>45343</v>
      </c>
      <c r="F283" s="224" t="str">
        <f>IF(AND('in-situ Acer outplants'!D:D=B283,IF(VLOOKUP(B283,'in-situ Acer outplants'!D:M,10,FALSE)&lt;&gt;0,"TRUE", "FALSE")),"Completed",DATE(year(A283), month(A283)+1, day(A283)))</f>
        <v>Completed</v>
      </c>
      <c r="G283" s="1360" t="str">
        <f>IF(AND('in-situ Acer outplants'!D:D=B283,IF(VLOOKUP(B283,'in-situ Acer outplants'!D:T,17,FALSE)&lt;&gt;0,"TRUE", "FALSE")),"Completed",DATE(year(A283)+1, month(A283), day(A283)))</f>
        <v>Completed</v>
      </c>
      <c r="H283" s="1360"/>
      <c r="I283" s="1360"/>
      <c r="J283" s="1360"/>
      <c r="K283" s="1360"/>
      <c r="L283" s="1360"/>
      <c r="M283" s="1360"/>
      <c r="N283" s="1360"/>
      <c r="O283" s="1371"/>
      <c r="P283" s="1385"/>
      <c r="Q283" s="1360"/>
      <c r="R283" s="1360"/>
      <c r="S283" s="1360"/>
      <c r="T283" s="1360"/>
      <c r="U283" s="1360"/>
      <c r="V283" s="1360"/>
      <c r="W283" s="1360"/>
      <c r="X283" s="1360"/>
      <c r="Y283" s="1360"/>
      <c r="Z283" s="1360"/>
      <c r="AA283" s="1360"/>
      <c r="AB283" s="1360"/>
      <c r="AC283" s="1360"/>
      <c r="AD283" s="1371"/>
      <c r="AE283" s="1360"/>
      <c r="AF283" s="1360"/>
      <c r="AG283" s="1360"/>
    </row>
    <row r="284">
      <c r="A284" s="1356">
        <v>44984.0</v>
      </c>
      <c r="B284" s="1357" t="s">
        <v>939</v>
      </c>
      <c r="C284" s="224" t="s">
        <v>652</v>
      </c>
      <c r="D284" s="1366">
        <f t="shared" si="1"/>
        <v>45012</v>
      </c>
      <c r="E284" s="1366">
        <f t="shared" si="2"/>
        <v>45349</v>
      </c>
      <c r="F284" s="224" t="str">
        <f>IF(AND('in-situ Acer outplants'!D:D=B284,IF(VLOOKUP(B284,'in-situ Acer outplants'!D:M,10,FALSE)&lt;&gt;0,"TRUE", "FALSE")),"Completed",DATE(year(A284), month(A284)+1, day(A284)))</f>
        <v>Completed</v>
      </c>
      <c r="G284" s="1360" t="str">
        <f>IF(AND('in-situ Acer outplants'!D:D=B284,IF(VLOOKUP(B284,'in-situ Acer outplants'!D:T,17,FALSE)&lt;&gt;0,"TRUE", "FALSE")),"Completed",DATE(year(A284)+1, month(A284), day(A284)))</f>
        <v>Completed</v>
      </c>
      <c r="H284" s="1360"/>
      <c r="I284" s="1360"/>
      <c r="J284" s="1360"/>
      <c r="K284" s="1360"/>
      <c r="L284" s="1360"/>
      <c r="M284" s="1360"/>
      <c r="N284" s="1360"/>
      <c r="O284" s="1371"/>
      <c r="P284" s="1385"/>
      <c r="Q284" s="1360"/>
      <c r="R284" s="1360"/>
      <c r="S284" s="1360"/>
      <c r="T284" s="1360"/>
      <c r="U284" s="1360"/>
      <c r="V284" s="1360"/>
      <c r="W284" s="1360"/>
      <c r="X284" s="1360"/>
      <c r="Y284" s="1360"/>
      <c r="Z284" s="1360"/>
      <c r="AA284" s="1360"/>
      <c r="AB284" s="1360"/>
      <c r="AC284" s="1360"/>
      <c r="AD284" s="1371"/>
      <c r="AE284" s="1360"/>
      <c r="AF284" s="1360"/>
      <c r="AG284" s="1360"/>
    </row>
    <row r="285">
      <c r="A285" s="1356">
        <v>44986.0</v>
      </c>
      <c r="B285" s="1357" t="s">
        <v>941</v>
      </c>
      <c r="C285" s="224" t="s">
        <v>423</v>
      </c>
      <c r="D285" s="1366">
        <f t="shared" si="1"/>
        <v>45017</v>
      </c>
      <c r="E285" s="1366">
        <f t="shared" si="2"/>
        <v>45352</v>
      </c>
      <c r="F285" s="224" t="str">
        <f>IF(AND('in-situ Acer outplants'!D:D=B285,IF(VLOOKUP(B285,'in-situ Acer outplants'!D:M,10,FALSE)&lt;&gt;0,"TRUE", "FALSE")),"Completed",DATE(year(A285), month(A285)+1, day(A285)))</f>
        <v>Completed</v>
      </c>
      <c r="G285" s="1360" t="str">
        <f>IF(AND('in-situ Acer outplants'!D:D=B285,IF(VLOOKUP(B285,'in-situ Acer outplants'!D:T,17,FALSE)&lt;&gt;0,"TRUE", "FALSE")),"Completed",DATE(year(A285)+1, month(A285), day(A285)))</f>
        <v>Completed</v>
      </c>
      <c r="H285" s="1360"/>
      <c r="I285" s="1360"/>
      <c r="J285" s="1360"/>
      <c r="K285" s="1360"/>
      <c r="L285" s="1360"/>
      <c r="M285" s="1360"/>
      <c r="N285" s="1360"/>
      <c r="O285" s="1371"/>
      <c r="P285" s="1385"/>
      <c r="Q285" s="1360"/>
      <c r="R285" s="1360"/>
      <c r="S285" s="1360"/>
      <c r="T285" s="1360"/>
      <c r="U285" s="1360"/>
      <c r="V285" s="1360"/>
      <c r="W285" s="1360"/>
      <c r="X285" s="1360"/>
      <c r="Y285" s="1360"/>
      <c r="Z285" s="1360"/>
      <c r="AA285" s="1360"/>
      <c r="AB285" s="1360"/>
      <c r="AC285" s="1360"/>
      <c r="AD285" s="1371"/>
      <c r="AE285" s="1360"/>
      <c r="AF285" s="1360"/>
      <c r="AG285" s="1360"/>
    </row>
    <row r="286">
      <c r="A286" s="1356">
        <v>44991.0</v>
      </c>
      <c r="B286" s="1357" t="s">
        <v>942</v>
      </c>
      <c r="C286" s="224" t="s">
        <v>290</v>
      </c>
      <c r="D286" s="1366">
        <f t="shared" si="1"/>
        <v>45022</v>
      </c>
      <c r="E286" s="1366">
        <f t="shared" si="2"/>
        <v>45357</v>
      </c>
      <c r="F286" s="224" t="str">
        <f>IF(AND('in-situ Acer outplants'!D:D=B286,IF(VLOOKUP(B286,'in-situ Acer outplants'!D:M,10,FALSE)&lt;&gt;0,"TRUE", "FALSE")),"Completed",DATE(year(A286), month(A286)+1, day(A286)))</f>
        <v>Completed</v>
      </c>
      <c r="G286" s="1360" t="str">
        <f>IF(AND('in-situ Acer outplants'!D:D=B286,IF(VLOOKUP(B286,'in-situ Acer outplants'!D:T,17,FALSE)&lt;&gt;0,"TRUE", "FALSE")),"Completed",DATE(year(A286)+1, month(A286), day(A286)))</f>
        <v>Completed</v>
      </c>
      <c r="H286" s="1360"/>
      <c r="I286" s="1360"/>
      <c r="J286" s="1360"/>
      <c r="K286" s="1360"/>
      <c r="L286" s="1360"/>
      <c r="M286" s="1360"/>
      <c r="N286" s="1360"/>
      <c r="O286" s="1371"/>
      <c r="P286" s="1385"/>
      <c r="Q286" s="1360"/>
      <c r="R286" s="1360"/>
      <c r="S286" s="1360"/>
      <c r="T286" s="1360"/>
      <c r="U286" s="1360"/>
      <c r="V286" s="1360"/>
      <c r="W286" s="1360"/>
      <c r="X286" s="1360"/>
      <c r="Y286" s="1360"/>
      <c r="Z286" s="1360"/>
      <c r="AA286" s="1360"/>
      <c r="AB286" s="1360"/>
      <c r="AC286" s="1360"/>
      <c r="AD286" s="1371"/>
      <c r="AE286" s="1360"/>
      <c r="AF286" s="1360"/>
      <c r="AG286" s="1360"/>
    </row>
    <row r="287">
      <c r="A287" s="1356">
        <v>44993.0</v>
      </c>
      <c r="B287" s="1357" t="s">
        <v>943</v>
      </c>
      <c r="C287" s="224" t="s">
        <v>316</v>
      </c>
      <c r="D287" s="1366">
        <f t="shared" si="1"/>
        <v>45024</v>
      </c>
      <c r="E287" s="1366">
        <f t="shared" si="2"/>
        <v>45359</v>
      </c>
      <c r="F287" s="224" t="str">
        <f>IF(AND('in-situ Acer outplants'!D:D=B287,IF(VLOOKUP(B287,'in-situ Acer outplants'!D:M,10,FALSE)&lt;&gt;0,"TRUE", "FALSE")),"Completed",DATE(year(A287), month(A287)+1, day(A287)))</f>
        <v>Completed</v>
      </c>
      <c r="G287" s="1388">
        <f>IF(AND('in-situ Acer outplants'!D:D=B287,IF(VLOOKUP(B287,'in-situ Acer outplants'!D:T,17,FALSE)&lt;&gt;0,"TRUE", "FALSE")),"Completed",DATE(year(A287)+1, month(A287), day(A287)))</f>
        <v>45359</v>
      </c>
      <c r="H287" s="1360"/>
      <c r="I287" s="1360"/>
      <c r="J287" s="1360"/>
      <c r="K287" s="1360"/>
      <c r="L287" s="1360"/>
      <c r="M287" s="1360"/>
      <c r="N287" s="1360"/>
      <c r="O287" s="1371"/>
      <c r="P287" s="1385"/>
      <c r="Q287" s="1360"/>
      <c r="R287" s="1360"/>
      <c r="S287" s="1360"/>
      <c r="T287" s="1360"/>
      <c r="U287" s="1360"/>
      <c r="V287" s="1360"/>
      <c r="W287" s="1360"/>
      <c r="X287" s="1360"/>
      <c r="Y287" s="1360"/>
      <c r="Z287" s="1360"/>
      <c r="AA287" s="1360"/>
      <c r="AB287" s="1360"/>
      <c r="AC287" s="1360"/>
      <c r="AD287" s="1371"/>
      <c r="AE287" s="1360"/>
      <c r="AF287" s="1360"/>
      <c r="AG287" s="1360"/>
    </row>
    <row r="288">
      <c r="A288" s="1356">
        <v>45014.0</v>
      </c>
      <c r="B288" s="1357" t="s">
        <v>944</v>
      </c>
      <c r="C288" s="224" t="s">
        <v>841</v>
      </c>
      <c r="D288" s="1366">
        <f t="shared" si="1"/>
        <v>45045</v>
      </c>
      <c r="E288" s="1366">
        <f t="shared" si="2"/>
        <v>45380</v>
      </c>
      <c r="F288" s="224" t="str">
        <f>IF(AND('in-situ Acer outplants'!D:D=B288,IF(VLOOKUP(B288,'in-situ Acer outplants'!D:M,10,FALSE)&lt;&gt;0,"TRUE", "FALSE")),"Completed",DATE(year(A288), month(A288)+1, day(A288)))</f>
        <v>Completed</v>
      </c>
      <c r="G288" s="1360" t="str">
        <f>IF(AND('in-situ Acer outplants'!D:D=B288,IF(VLOOKUP(B288,'in-situ Acer outplants'!D:T,17,FALSE)&lt;&gt;0,"TRUE", "FALSE")),"Completed",DATE(year(A288)+1, month(A288), day(A288)))</f>
        <v>Completed</v>
      </c>
      <c r="H288" s="1360"/>
      <c r="I288" s="1360"/>
      <c r="J288" s="1360"/>
      <c r="K288" s="1360"/>
      <c r="L288" s="1360"/>
      <c r="M288" s="1360"/>
      <c r="N288" s="1360"/>
      <c r="O288" s="1371"/>
      <c r="P288" s="1385"/>
      <c r="Q288" s="1360"/>
      <c r="R288" s="1360"/>
      <c r="S288" s="1360"/>
      <c r="T288" s="1360"/>
      <c r="U288" s="1360"/>
      <c r="V288" s="1360"/>
      <c r="W288" s="1360"/>
      <c r="X288" s="1360"/>
      <c r="Y288" s="1360"/>
      <c r="Z288" s="1360"/>
      <c r="AA288" s="1360"/>
      <c r="AB288" s="1360"/>
      <c r="AC288" s="1360"/>
      <c r="AD288" s="1371"/>
      <c r="AE288" s="1360"/>
      <c r="AF288" s="1360"/>
      <c r="AG288" s="1360"/>
    </row>
    <row r="289">
      <c r="A289" s="1356">
        <v>45026.0</v>
      </c>
      <c r="B289" s="1357" t="s">
        <v>946</v>
      </c>
      <c r="C289" s="224" t="s">
        <v>947</v>
      </c>
      <c r="D289" s="1366">
        <f t="shared" si="1"/>
        <v>45056</v>
      </c>
      <c r="E289" s="1366">
        <f t="shared" si="2"/>
        <v>45392</v>
      </c>
      <c r="F289" s="224" t="str">
        <f>IF(AND('in-situ Acer outplants'!D:D=B289,IF(VLOOKUP(B289,'in-situ Acer outplants'!D:M,10,FALSE)&lt;&gt;0,"TRUE", "FALSE")),"Completed",DATE(year(A289), month(A289)+1, day(A289)))</f>
        <v>Completed</v>
      </c>
      <c r="G289" s="1388">
        <f>IF(AND('in-situ Acer outplants'!D:D=B289,IF(VLOOKUP(B289,'in-situ Acer outplants'!D:T,17,FALSE)&lt;&gt;0,"TRUE", "FALSE")),"Completed",DATE(year(A289)+1, month(A289), day(A289)))</f>
        <v>45392</v>
      </c>
      <c r="H289" s="1360"/>
      <c r="I289" s="1360"/>
      <c r="J289" s="1360"/>
      <c r="K289" s="1360"/>
      <c r="L289" s="1360"/>
      <c r="M289" s="1360"/>
      <c r="N289" s="1360"/>
      <c r="O289" s="1371"/>
      <c r="P289" s="1385"/>
      <c r="Q289" s="1360"/>
      <c r="R289" s="1360"/>
      <c r="S289" s="1360"/>
      <c r="T289" s="1360"/>
      <c r="U289" s="1360"/>
      <c r="V289" s="1360"/>
      <c r="W289" s="1360"/>
      <c r="X289" s="1360"/>
      <c r="Y289" s="1360"/>
      <c r="Z289" s="1360"/>
      <c r="AA289" s="1360"/>
      <c r="AB289" s="1360"/>
      <c r="AC289" s="1360"/>
      <c r="AD289" s="1371"/>
      <c r="AE289" s="1360"/>
      <c r="AF289" s="1360"/>
      <c r="AG289" s="1360"/>
    </row>
    <row r="290">
      <c r="A290" s="1356">
        <v>45035.0</v>
      </c>
      <c r="B290" s="1357" t="s">
        <v>948</v>
      </c>
      <c r="C290" s="224" t="s">
        <v>949</v>
      </c>
      <c r="D290" s="1366">
        <f t="shared" si="1"/>
        <v>45065</v>
      </c>
      <c r="E290" s="1366">
        <f t="shared" si="2"/>
        <v>45401</v>
      </c>
      <c r="F290" s="224" t="str">
        <f>IF(AND('in-situ Acer outplants'!D:D=B290,IF(VLOOKUP(B290,'in-situ Acer outplants'!D:M,10,FALSE)&lt;&gt;0,"TRUE", "FALSE")),"Completed",DATE(year(A290), month(A290)+1, day(A290)))</f>
        <v>Completed</v>
      </c>
      <c r="G290" s="1360" t="str">
        <f>IF(AND('in-situ Acer outplants'!D:D=B290,IF(VLOOKUP(B290,'in-situ Acer outplants'!D:T,17,FALSE)&lt;&gt;0,"TRUE", "FALSE")),"Completed",DATE(year(A290)+1, month(A290), day(A290)))</f>
        <v>Completed</v>
      </c>
      <c r="H290" s="1360"/>
      <c r="I290" s="1360"/>
      <c r="J290" s="1360"/>
      <c r="K290" s="1360"/>
      <c r="L290" s="1360"/>
      <c r="M290" s="1360"/>
      <c r="N290" s="1360"/>
      <c r="O290" s="1371"/>
      <c r="P290" s="1385"/>
      <c r="Q290" s="1360"/>
      <c r="R290" s="1360"/>
      <c r="S290" s="1360"/>
      <c r="T290" s="1360"/>
      <c r="U290" s="1360"/>
      <c r="V290" s="1360"/>
      <c r="W290" s="1360"/>
      <c r="X290" s="1360"/>
      <c r="Y290" s="1360"/>
      <c r="Z290" s="1360"/>
      <c r="AA290" s="1360"/>
      <c r="AB290" s="1360"/>
      <c r="AC290" s="1360"/>
      <c r="AD290" s="1371"/>
      <c r="AE290" s="1360"/>
      <c r="AF290" s="1360"/>
      <c r="AG290" s="1360"/>
    </row>
    <row r="291">
      <c r="A291" s="1356">
        <v>45035.0</v>
      </c>
      <c r="B291" s="1357" t="s">
        <v>950</v>
      </c>
      <c r="C291" s="224" t="s">
        <v>951</v>
      </c>
      <c r="D291" s="1366">
        <f t="shared" si="1"/>
        <v>45065</v>
      </c>
      <c r="E291" s="1366">
        <f t="shared" si="2"/>
        <v>45401</v>
      </c>
      <c r="F291" s="224" t="str">
        <f>IF(AND('in-situ Acer outplants'!D:D=B291,IF(VLOOKUP(B291,'in-situ Acer outplants'!D:M,10,FALSE)&lt;&gt;0,"TRUE", "FALSE")),"Completed",DATE(year(A291), month(A291)+1, day(A291)))</f>
        <v>Completed</v>
      </c>
      <c r="G291" s="1360" t="str">
        <f>IF(AND('in-situ Acer outplants'!D:D=B291,IF(VLOOKUP(B291,'in-situ Acer outplants'!D:T,17,FALSE)&lt;&gt;0,"TRUE", "FALSE")),"Completed",DATE(year(A291)+1, month(A291), day(A291)))</f>
        <v>Completed</v>
      </c>
      <c r="H291" s="1360"/>
      <c r="I291" s="1360"/>
      <c r="J291" s="1360"/>
      <c r="K291" s="1360"/>
      <c r="L291" s="1360"/>
      <c r="M291" s="1360"/>
      <c r="N291" s="1360"/>
      <c r="O291" s="1371"/>
      <c r="P291" s="1385"/>
      <c r="Q291" s="1360"/>
      <c r="R291" s="1360"/>
      <c r="S291" s="1360"/>
      <c r="T291" s="1360"/>
      <c r="U291" s="1360"/>
      <c r="V291" s="1360"/>
      <c r="W291" s="1360"/>
      <c r="X291" s="1360"/>
      <c r="Y291" s="1360"/>
      <c r="Z291" s="1360"/>
      <c r="AA291" s="1360"/>
      <c r="AB291" s="1360"/>
      <c r="AC291" s="1360"/>
      <c r="AD291" s="1371"/>
      <c r="AE291" s="1360"/>
      <c r="AF291" s="1360"/>
      <c r="AG291" s="1360"/>
    </row>
    <row r="292">
      <c r="A292" s="1356">
        <v>45036.0</v>
      </c>
      <c r="B292" s="1357" t="s">
        <v>952</v>
      </c>
      <c r="C292" s="224" t="s">
        <v>953</v>
      </c>
      <c r="D292" s="1366">
        <f t="shared" si="1"/>
        <v>45066</v>
      </c>
      <c r="E292" s="1366">
        <f t="shared" si="2"/>
        <v>45402</v>
      </c>
      <c r="F292" s="224" t="str">
        <f>IF(AND('in-situ Acer outplants'!D:D=B292,IF(VLOOKUP(B292,'in-situ Acer outplants'!D:M,10,FALSE)&lt;&gt;0,"TRUE", "FALSE")),"Completed",DATE(year(A292), month(A292)+1, day(A292)))</f>
        <v>Completed</v>
      </c>
      <c r="G292" s="1360" t="str">
        <f>IF(AND('in-situ Acer outplants'!D:D=B292,IF(VLOOKUP(B292,'in-situ Acer outplants'!D:T,17,FALSE)&lt;&gt;0,"TRUE", "FALSE")),"Completed",DATE(year(A292)+1, month(A292), day(A292)))</f>
        <v>Completed</v>
      </c>
      <c r="H292" s="1360"/>
      <c r="I292" s="1360"/>
      <c r="J292" s="1360"/>
      <c r="K292" s="1360"/>
      <c r="L292" s="1360"/>
      <c r="M292" s="1360"/>
      <c r="N292" s="1360"/>
      <c r="O292" s="1371"/>
      <c r="P292" s="1385"/>
      <c r="Q292" s="1360"/>
      <c r="R292" s="1360"/>
      <c r="S292" s="1360"/>
      <c r="T292" s="1360"/>
      <c r="U292" s="1360"/>
      <c r="V292" s="1360"/>
      <c r="W292" s="1360"/>
      <c r="X292" s="1360"/>
      <c r="Y292" s="1360"/>
      <c r="Z292" s="1360"/>
      <c r="AA292" s="1360"/>
      <c r="AB292" s="1360"/>
      <c r="AC292" s="1360"/>
      <c r="AD292" s="1371"/>
      <c r="AE292" s="1360"/>
      <c r="AF292" s="1360"/>
      <c r="AG292" s="1360"/>
    </row>
    <row r="293">
      <c r="A293" s="1356">
        <v>45036.0</v>
      </c>
      <c r="B293" s="1357" t="s">
        <v>954</v>
      </c>
      <c r="C293" s="224" t="s">
        <v>955</v>
      </c>
      <c r="D293" s="1366">
        <f t="shared" si="1"/>
        <v>45066</v>
      </c>
      <c r="E293" s="1366">
        <f t="shared" si="2"/>
        <v>45402</v>
      </c>
      <c r="F293" s="224" t="str">
        <f>IF(AND('in-situ Acer outplants'!D:D=B293,IF(VLOOKUP(B293,'in-situ Acer outplants'!D:M,10,FALSE)&lt;&gt;0,"TRUE", "FALSE")),"Completed",DATE(year(A293), month(A293)+1, day(A293)))</f>
        <v>Completed</v>
      </c>
      <c r="G293" s="1360" t="str">
        <f>IF(AND('in-situ Acer outplants'!D:D=B293,IF(VLOOKUP(B293,'in-situ Acer outplants'!D:T,17,FALSE)&lt;&gt;0,"TRUE", "FALSE")),"Completed",DATE(year(A293)+1, month(A293), day(A293)))</f>
        <v>Completed</v>
      </c>
      <c r="H293" s="1360"/>
      <c r="I293" s="1360"/>
      <c r="J293" s="1360"/>
      <c r="K293" s="1360"/>
      <c r="L293" s="1360"/>
      <c r="M293" s="1360"/>
      <c r="N293" s="1360"/>
      <c r="O293" s="1371"/>
      <c r="P293" s="1385"/>
      <c r="Q293" s="1360"/>
      <c r="R293" s="1360"/>
      <c r="S293" s="1360"/>
      <c r="T293" s="1360"/>
      <c r="U293" s="1360"/>
      <c r="V293" s="1360"/>
      <c r="W293" s="1360"/>
      <c r="X293" s="1360"/>
      <c r="Y293" s="1360"/>
      <c r="Z293" s="1360"/>
      <c r="AA293" s="1360"/>
      <c r="AB293" s="1360"/>
      <c r="AC293" s="1360"/>
      <c r="AD293" s="1371"/>
      <c r="AE293" s="1360"/>
      <c r="AF293" s="1360"/>
      <c r="AG293" s="1360"/>
    </row>
    <row r="294">
      <c r="A294" s="1356">
        <v>45040.0</v>
      </c>
      <c r="B294" s="1357" t="s">
        <v>956</v>
      </c>
      <c r="C294" s="224" t="s">
        <v>957</v>
      </c>
      <c r="D294" s="1366">
        <f t="shared" si="1"/>
        <v>45070</v>
      </c>
      <c r="E294" s="1366">
        <f t="shared" si="2"/>
        <v>45406</v>
      </c>
      <c r="F294" s="224" t="str">
        <f>IF(AND('in-situ Acer outplants'!D:D=B294,IF(VLOOKUP(B294,'in-situ Acer outplants'!D:M,10,FALSE)&lt;&gt;0,"TRUE", "FALSE")),"Completed",DATE(year(A294), month(A294)+1, day(A294)))</f>
        <v>Completed</v>
      </c>
      <c r="G294" s="1360" t="str">
        <f>IF(AND('in-situ Acer outplants'!D:D=B294,IF(VLOOKUP(B294,'in-situ Acer outplants'!D:T,17,FALSE)&lt;&gt;0,"TRUE", "FALSE")),"Completed",DATE(year(A294)+1, month(A294), day(A294)))</f>
        <v>Completed</v>
      </c>
      <c r="H294" s="1360"/>
      <c r="I294" s="1360"/>
      <c r="J294" s="1360"/>
      <c r="K294" s="1360"/>
      <c r="L294" s="1360"/>
      <c r="M294" s="1360"/>
      <c r="N294" s="1360"/>
      <c r="O294" s="1371"/>
      <c r="P294" s="1385"/>
      <c r="Q294" s="1360"/>
      <c r="R294" s="1360"/>
      <c r="S294" s="1360"/>
      <c r="T294" s="1360"/>
      <c r="U294" s="1360"/>
      <c r="V294" s="1360"/>
      <c r="W294" s="1360"/>
      <c r="X294" s="1360"/>
      <c r="Y294" s="1360"/>
      <c r="Z294" s="1360"/>
      <c r="AA294" s="1360"/>
      <c r="AB294" s="1360"/>
      <c r="AC294" s="1360"/>
      <c r="AD294" s="1371"/>
      <c r="AE294" s="1360"/>
      <c r="AF294" s="1360"/>
      <c r="AG294" s="1360"/>
    </row>
    <row r="295">
      <c r="A295" s="1356">
        <v>45040.0</v>
      </c>
      <c r="B295" s="1357" t="s">
        <v>958</v>
      </c>
      <c r="C295" s="224" t="s">
        <v>959</v>
      </c>
      <c r="D295" s="1366">
        <f t="shared" si="1"/>
        <v>45070</v>
      </c>
      <c r="E295" s="1366">
        <f t="shared" si="2"/>
        <v>45406</v>
      </c>
      <c r="F295" s="224" t="str">
        <f>IF(AND('in-situ Acer outplants'!D:D=B295,IF(VLOOKUP(B295,'in-situ Acer outplants'!D:M,10,FALSE)&lt;&gt;0,"TRUE", "FALSE")),"Completed",DATE(year(A295), month(A295)+1, day(A295)))</f>
        <v>Completed</v>
      </c>
      <c r="G295" s="1360" t="str">
        <f>IF(AND('in-situ Acer outplants'!D:D=B295,IF(VLOOKUP(B295,'in-situ Acer outplants'!D:T,17,FALSE)&lt;&gt;0,"TRUE", "FALSE")),"Completed",DATE(year(A295)+1, month(A295), day(A295)))</f>
        <v>Completed</v>
      </c>
      <c r="H295" s="1360"/>
      <c r="I295" s="1360"/>
      <c r="J295" s="1360"/>
      <c r="K295" s="1360"/>
      <c r="L295" s="1360"/>
      <c r="M295" s="1360"/>
      <c r="N295" s="1360"/>
      <c r="O295" s="1371"/>
      <c r="P295" s="1385"/>
      <c r="Q295" s="1360"/>
      <c r="R295" s="1360"/>
      <c r="S295" s="1360"/>
      <c r="T295" s="1360"/>
      <c r="U295" s="1360"/>
      <c r="V295" s="1360"/>
      <c r="W295" s="1360"/>
      <c r="X295" s="1360"/>
      <c r="Y295" s="1360"/>
      <c r="Z295" s="1360"/>
      <c r="AA295" s="1360"/>
      <c r="AB295" s="1360"/>
      <c r="AC295" s="1360"/>
      <c r="AD295" s="1371"/>
      <c r="AE295" s="1360"/>
      <c r="AF295" s="1360"/>
      <c r="AG295" s="1360"/>
    </row>
    <row r="296">
      <c r="A296" s="1356">
        <v>45056.0</v>
      </c>
      <c r="B296" s="1357" t="s">
        <v>960</v>
      </c>
      <c r="C296" s="224" t="s">
        <v>961</v>
      </c>
      <c r="D296" s="1366">
        <f t="shared" si="1"/>
        <v>45087</v>
      </c>
      <c r="E296" s="1366">
        <f t="shared" si="2"/>
        <v>45422</v>
      </c>
      <c r="F296" s="224" t="str">
        <f>IF(AND('in-situ Acer outplants'!D:D=B296,IF(VLOOKUP(B296,'in-situ Acer outplants'!D:M,10,FALSE)&lt;&gt;0,"TRUE", "FALSE")),"Completed",DATE(year(A296), month(A296)+1, day(A296)))</f>
        <v>Completed</v>
      </c>
      <c r="G296" s="1360" t="str">
        <f>IF(AND('in-situ Acer outplants'!D:D=B296,IF(VLOOKUP(B296,'in-situ Acer outplants'!D:T,17,FALSE)&lt;&gt;0,"TRUE", "FALSE")),"Completed",DATE(year(A296)+1, month(A296), day(A296)))</f>
        <v>Completed</v>
      </c>
      <c r="H296" s="1360"/>
      <c r="I296" s="1360"/>
      <c r="J296" s="1360"/>
      <c r="K296" s="1360"/>
      <c r="L296" s="1360"/>
      <c r="M296" s="1360"/>
      <c r="N296" s="1360"/>
      <c r="O296" s="1371"/>
      <c r="P296" s="1385"/>
      <c r="Q296" s="1360"/>
      <c r="R296" s="1360"/>
      <c r="S296" s="1360"/>
      <c r="T296" s="1360"/>
      <c r="U296" s="1360"/>
      <c r="V296" s="1360"/>
      <c r="W296" s="1360"/>
      <c r="X296" s="1360"/>
      <c r="Y296" s="1360"/>
      <c r="Z296" s="1360"/>
      <c r="AA296" s="1360"/>
      <c r="AB296" s="1360"/>
      <c r="AC296" s="1360"/>
      <c r="AD296" s="1371"/>
      <c r="AE296" s="1360"/>
      <c r="AF296" s="1360"/>
      <c r="AG296" s="1360"/>
    </row>
    <row r="297">
      <c r="A297" s="1356">
        <v>45062.0</v>
      </c>
      <c r="B297" s="1357" t="s">
        <v>963</v>
      </c>
      <c r="C297" s="224" t="s">
        <v>235</v>
      </c>
      <c r="D297" s="1366">
        <f t="shared" si="1"/>
        <v>45093</v>
      </c>
      <c r="E297" s="1366">
        <f t="shared" si="2"/>
        <v>45428</v>
      </c>
      <c r="F297" s="224" t="str">
        <f>IF(AND('in-situ Acer outplants'!D:D=B297,IF(VLOOKUP(B297,'in-situ Acer outplants'!D:M,10,FALSE)&lt;&gt;0,"TRUE", "FALSE")),"Completed",DATE(year(A297), month(A297)+1, day(A297)))</f>
        <v>Completed</v>
      </c>
      <c r="G297" s="1360" t="str">
        <f>IF(AND('in-situ Acer outplants'!D:D=B297,IF(VLOOKUP(B297,'in-situ Acer outplants'!D:T,17,FALSE)&lt;&gt;0,"TRUE", "FALSE")),"Completed",DATE(year(A297)+1, month(A297), day(A297)))</f>
        <v>Completed</v>
      </c>
      <c r="H297" s="1360"/>
      <c r="I297" s="1360"/>
      <c r="J297" s="1360"/>
      <c r="K297" s="1360"/>
      <c r="L297" s="1360"/>
      <c r="M297" s="1360"/>
      <c r="N297" s="1360"/>
      <c r="O297" s="1371"/>
      <c r="P297" s="1385"/>
      <c r="Q297" s="1360"/>
      <c r="R297" s="1360"/>
      <c r="S297" s="1360"/>
      <c r="T297" s="1360"/>
      <c r="U297" s="1360"/>
      <c r="V297" s="1360"/>
      <c r="W297" s="1360"/>
      <c r="X297" s="1360"/>
      <c r="Y297" s="1360"/>
      <c r="Z297" s="1360"/>
      <c r="AA297" s="1360"/>
      <c r="AB297" s="1360"/>
      <c r="AC297" s="1360"/>
      <c r="AD297" s="1371"/>
      <c r="AE297" s="1360"/>
      <c r="AF297" s="1360"/>
      <c r="AG297" s="1360"/>
    </row>
    <row r="298">
      <c r="A298" s="1356">
        <v>45062.0</v>
      </c>
      <c r="B298" s="1357" t="s">
        <v>965</v>
      </c>
      <c r="C298" s="224" t="s">
        <v>176</v>
      </c>
      <c r="D298" s="1366">
        <f t="shared" si="1"/>
        <v>45093</v>
      </c>
      <c r="E298" s="1366">
        <f t="shared" si="2"/>
        <v>45428</v>
      </c>
      <c r="F298" s="224" t="str">
        <f>IF(AND('in-situ Acer outplants'!D:D=B298,IF(VLOOKUP(B298,'in-situ Acer outplants'!D:M,10,FALSE)&lt;&gt;0,"TRUE", "FALSE")),"Completed",DATE(year(A298), month(A298)+1, day(A298)))</f>
        <v>Completed</v>
      </c>
      <c r="G298" s="1360" t="str">
        <f>IF(AND('in-situ Acer outplants'!D:D=B298,IF(VLOOKUP(B298,'in-situ Acer outplants'!D:T,17,FALSE)&lt;&gt;0,"TRUE", "FALSE")),"Completed",DATE(year(A298)+1, month(A298), day(A298)))</f>
        <v>Completed</v>
      </c>
      <c r="H298" s="1360"/>
      <c r="I298" s="1360"/>
      <c r="J298" s="1360"/>
      <c r="K298" s="1360"/>
      <c r="L298" s="1360"/>
      <c r="M298" s="1360"/>
      <c r="N298" s="1360"/>
      <c r="O298" s="1371"/>
      <c r="P298" s="1385"/>
      <c r="Q298" s="1360"/>
      <c r="R298" s="1360"/>
      <c r="S298" s="1360"/>
      <c r="T298" s="1360"/>
      <c r="U298" s="1360"/>
      <c r="V298" s="1360"/>
      <c r="W298" s="1360"/>
      <c r="X298" s="1360"/>
      <c r="Y298" s="1360"/>
      <c r="Z298" s="1360"/>
      <c r="AA298" s="1360"/>
      <c r="AB298" s="1360"/>
      <c r="AC298" s="1360"/>
      <c r="AD298" s="1371"/>
      <c r="AE298" s="1360"/>
      <c r="AF298" s="1360"/>
      <c r="AG298" s="1360"/>
    </row>
    <row r="299">
      <c r="A299" s="1356">
        <v>45068.0</v>
      </c>
      <c r="B299" s="1357" t="s">
        <v>967</v>
      </c>
      <c r="C299" s="224" t="s">
        <v>235</v>
      </c>
      <c r="D299" s="1366">
        <f t="shared" si="1"/>
        <v>45099</v>
      </c>
      <c r="E299" s="1366">
        <f t="shared" si="2"/>
        <v>45434</v>
      </c>
      <c r="F299" s="224" t="str">
        <f>IF(AND('in-situ Acer outplants'!D:D=B299,IF(VLOOKUP(B299,'in-situ Acer outplants'!D:M,10,FALSE)&lt;&gt;0,"TRUE", "FALSE")),"Completed",DATE(year(A299), month(A299)+1, day(A299)))</f>
        <v>Completed</v>
      </c>
      <c r="G299" s="1360" t="str">
        <f>IF(AND('in-situ Acer outplants'!D:D=B299,IF(VLOOKUP(B299,'in-situ Acer outplants'!D:T,17,FALSE)&lt;&gt;0,"TRUE", "FALSE")),"Completed",DATE(year(A299)+1, month(A299), day(A299)))</f>
        <v>Completed</v>
      </c>
      <c r="H299" s="1360"/>
      <c r="I299" s="1360"/>
      <c r="J299" s="1360"/>
      <c r="K299" s="1360"/>
      <c r="L299" s="1360"/>
      <c r="M299" s="1360"/>
      <c r="N299" s="1360"/>
      <c r="O299" s="1371"/>
      <c r="P299" s="1385"/>
      <c r="Q299" s="1360"/>
      <c r="R299" s="1360"/>
      <c r="S299" s="1360"/>
      <c r="T299" s="1360"/>
      <c r="U299" s="1360"/>
      <c r="V299" s="1360"/>
      <c r="W299" s="1360"/>
      <c r="X299" s="1360"/>
      <c r="Y299" s="1360"/>
      <c r="Z299" s="1360"/>
      <c r="AA299" s="1360"/>
      <c r="AB299" s="1360"/>
      <c r="AC299" s="1360"/>
      <c r="AD299" s="1371"/>
      <c r="AE299" s="1360"/>
      <c r="AF299" s="1360"/>
      <c r="AG299" s="1360"/>
    </row>
    <row r="300">
      <c r="A300" s="1356">
        <v>45078.0</v>
      </c>
      <c r="B300" s="1357" t="s">
        <v>968</v>
      </c>
      <c r="C300" s="224" t="s">
        <v>969</v>
      </c>
      <c r="D300" s="1366">
        <f t="shared" si="1"/>
        <v>45108</v>
      </c>
      <c r="E300" s="1366">
        <f t="shared" si="2"/>
        <v>45444</v>
      </c>
      <c r="F300" s="224" t="str">
        <f>IF(AND('in-situ Acer outplants'!D:D=B300,IF(VLOOKUP(B300,'in-situ Acer outplants'!D:M,10,FALSE)&lt;&gt;0,"TRUE", "FALSE")),"Completed",DATE(year(A300), month(A300)+1, day(A300)))</f>
        <v>Completed</v>
      </c>
      <c r="G300" s="1360" t="str">
        <f>IF(AND('in-situ Acer outplants'!D:D=B300,IF(VLOOKUP(B300,'in-situ Acer outplants'!D:T,17,FALSE)&lt;&gt;0,"TRUE", "FALSE")),"Completed",DATE(year(A300)+1, month(A300), day(A300)))</f>
        <v>Completed</v>
      </c>
      <c r="H300" s="1360"/>
      <c r="I300" s="1360"/>
      <c r="J300" s="1360"/>
      <c r="K300" s="1360"/>
      <c r="L300" s="1360"/>
      <c r="M300" s="1360"/>
      <c r="N300" s="1360"/>
      <c r="O300" s="1371"/>
      <c r="P300" s="1385"/>
      <c r="Q300" s="1360"/>
      <c r="R300" s="1360"/>
      <c r="S300" s="1360"/>
      <c r="T300" s="1360"/>
      <c r="U300" s="1360"/>
      <c r="V300" s="1360"/>
      <c r="W300" s="1360"/>
      <c r="X300" s="1360"/>
      <c r="Y300" s="1360"/>
      <c r="Z300" s="1360"/>
      <c r="AA300" s="1360"/>
      <c r="AB300" s="1360"/>
      <c r="AC300" s="1360"/>
      <c r="AD300" s="1371"/>
      <c r="AE300" s="1360"/>
      <c r="AF300" s="1360"/>
      <c r="AG300" s="1360"/>
    </row>
    <row r="301">
      <c r="A301" s="1356">
        <v>45082.0</v>
      </c>
      <c r="B301" s="1357" t="s">
        <v>970</v>
      </c>
      <c r="C301" s="224" t="s">
        <v>517</v>
      </c>
      <c r="D301" s="1366">
        <f t="shared" si="1"/>
        <v>45112</v>
      </c>
      <c r="E301" s="1366">
        <f t="shared" si="2"/>
        <v>45448</v>
      </c>
      <c r="F301" s="224" t="str">
        <f>IF(AND('in-situ Acer outplants'!D:D=B301,IF(VLOOKUP(B301,'in-situ Acer outplants'!D:M,10,FALSE)&lt;&gt;0,"TRUE", "FALSE")),"Completed",DATE(year(A301), month(A301)+1, day(A301)))</f>
        <v>Completed</v>
      </c>
      <c r="G301" s="1360" t="str">
        <f>IF(AND('in-situ Acer outplants'!D:D=B301,IF(VLOOKUP(B301,'in-situ Acer outplants'!D:T,17,FALSE)&lt;&gt;0,"TRUE", "FALSE")),"Completed",DATE(year(A301)+1, month(A301), day(A301)))</f>
        <v>Completed</v>
      </c>
      <c r="H301" s="1360"/>
      <c r="I301" s="1360"/>
      <c r="J301" s="1360"/>
      <c r="K301" s="1360"/>
      <c r="L301" s="1360"/>
      <c r="M301" s="1360"/>
      <c r="N301" s="1360"/>
      <c r="O301" s="1371"/>
      <c r="P301" s="1385"/>
      <c r="Q301" s="1360"/>
      <c r="R301" s="1360"/>
      <c r="S301" s="1360"/>
      <c r="T301" s="1360"/>
      <c r="U301" s="1360"/>
      <c r="V301" s="1360"/>
      <c r="W301" s="1360"/>
      <c r="X301" s="1360"/>
      <c r="Y301" s="1360"/>
      <c r="Z301" s="1360"/>
      <c r="AA301" s="1360"/>
      <c r="AB301" s="1360"/>
      <c r="AC301" s="1360"/>
      <c r="AD301" s="1371"/>
      <c r="AE301" s="1360"/>
      <c r="AF301" s="1360"/>
      <c r="AG301" s="1360"/>
    </row>
    <row r="302">
      <c r="A302" s="1356">
        <v>45087.0</v>
      </c>
      <c r="B302" s="1357" t="s">
        <v>971</v>
      </c>
      <c r="C302" s="224" t="s">
        <v>972</v>
      </c>
      <c r="D302" s="1366">
        <f t="shared" si="1"/>
        <v>45117</v>
      </c>
      <c r="E302" s="1366">
        <f t="shared" si="2"/>
        <v>45453</v>
      </c>
      <c r="F302" s="224" t="str">
        <f>IF(AND('in-situ Acer outplants'!D:D=B302,IF(VLOOKUP(B302,'in-situ Acer outplants'!D:M,10,FALSE)&lt;&gt;0,"TRUE", "FALSE")),"Completed",DATE(year(A302), month(A302)+1, day(A302)))</f>
        <v>Completed</v>
      </c>
      <c r="G302" s="1360" t="str">
        <f>IF(AND('in-situ Acer outplants'!D:D=B302,IF(VLOOKUP(B302,'in-situ Acer outplants'!D:T,17,FALSE)&lt;&gt;0,"TRUE", "FALSE")),"Completed",DATE(year(A302)+1, month(A302), day(A302)))</f>
        <v>Completed</v>
      </c>
      <c r="H302" s="1360"/>
      <c r="I302" s="1360"/>
      <c r="J302" s="1360"/>
      <c r="K302" s="1360"/>
      <c r="L302" s="1360"/>
      <c r="M302" s="1360"/>
      <c r="N302" s="1360"/>
      <c r="O302" s="1371"/>
      <c r="P302" s="1385"/>
      <c r="Q302" s="1360"/>
      <c r="R302" s="1360"/>
      <c r="S302" s="1360"/>
      <c r="T302" s="1360"/>
      <c r="U302" s="1360"/>
      <c r="V302" s="1360"/>
      <c r="W302" s="1360"/>
      <c r="X302" s="1360"/>
      <c r="Y302" s="1360"/>
      <c r="Z302" s="1360"/>
      <c r="AA302" s="1360"/>
      <c r="AB302" s="1360"/>
      <c r="AC302" s="1360"/>
      <c r="AD302" s="1371"/>
      <c r="AE302" s="1360"/>
      <c r="AF302" s="1360"/>
      <c r="AG302" s="1360"/>
    </row>
    <row r="303">
      <c r="A303" s="1356"/>
      <c r="B303" s="1357"/>
      <c r="C303" s="224"/>
      <c r="D303" s="1366">
        <f t="shared" si="1"/>
        <v>693992</v>
      </c>
      <c r="E303" s="1366">
        <f t="shared" si="2"/>
        <v>365</v>
      </c>
      <c r="F303" s="224" t="str">
        <f>IF(AND('in-situ Acer outplants'!D:D=B303,IF(VLOOKUP(B303,'in-situ Acer outplants'!D:M,10,FALSE)&lt;&gt;0,"TRUE", "FALSE")),"Completed",DATE(year(A303), month(A303)+1, day(A303)))</f>
        <v>#N/A</v>
      </c>
      <c r="G303" s="1360" t="str">
        <f>IF(AND('in-situ Acer outplants'!D:D=B303,IF(VLOOKUP(B303,'in-situ Acer outplants'!D:T,17,FALSE)&lt;&gt;0,"TRUE", "FALSE")),"Completed",DATE(year(A303)+1, month(A303), day(A303)))</f>
        <v>#N/A</v>
      </c>
      <c r="H303" s="1360"/>
      <c r="I303" s="1360"/>
      <c r="J303" s="1360"/>
      <c r="K303" s="1360"/>
      <c r="L303" s="1360"/>
      <c r="M303" s="1360"/>
      <c r="N303" s="1360"/>
      <c r="O303" s="1371"/>
      <c r="P303" s="1385"/>
      <c r="Q303" s="1360"/>
      <c r="R303" s="1360"/>
      <c r="S303" s="1360"/>
      <c r="T303" s="1360"/>
      <c r="U303" s="1360"/>
      <c r="V303" s="1360"/>
      <c r="W303" s="1360"/>
      <c r="X303" s="1360"/>
      <c r="Y303" s="1360"/>
      <c r="Z303" s="1360"/>
      <c r="AA303" s="1360"/>
      <c r="AB303" s="1360"/>
      <c r="AC303" s="1360"/>
      <c r="AD303" s="1371"/>
      <c r="AE303" s="1360"/>
      <c r="AF303" s="1360"/>
      <c r="AG303" s="1360"/>
    </row>
    <row r="304">
      <c r="A304" s="1356"/>
      <c r="B304" s="1357"/>
      <c r="C304" s="224"/>
      <c r="D304" s="1366">
        <f t="shared" si="1"/>
        <v>693992</v>
      </c>
      <c r="E304" s="1366">
        <f t="shared" si="2"/>
        <v>365</v>
      </c>
      <c r="F304" s="224" t="str">
        <f>IF(AND('in-situ Acer outplants'!D:D=B304,IF(VLOOKUP(B304,'in-situ Acer outplants'!D:M,10,FALSE)&lt;&gt;0,"TRUE", "FALSE")),"Completed",DATE(year(A304), month(A304)+1, day(A304)))</f>
        <v>#N/A</v>
      </c>
      <c r="G304" s="1360" t="str">
        <f>IF(AND('in-situ Acer outplants'!D:D=B304,IF(VLOOKUP(B304,'in-situ Acer outplants'!D:T,17,FALSE)&lt;&gt;0,"TRUE", "FALSE")),"Completed",DATE(year(A304)+1, month(A304), day(A304)))</f>
        <v>#N/A</v>
      </c>
      <c r="H304" s="1360"/>
      <c r="I304" s="1360"/>
      <c r="J304" s="1360"/>
      <c r="K304" s="1360"/>
      <c r="L304" s="1360"/>
      <c r="M304" s="1360"/>
      <c r="N304" s="1360"/>
      <c r="O304" s="1371"/>
      <c r="P304" s="1385"/>
      <c r="Q304" s="1360"/>
      <c r="R304" s="1360"/>
      <c r="S304" s="1360"/>
      <c r="T304" s="1360"/>
      <c r="U304" s="1360"/>
      <c r="V304" s="1360"/>
      <c r="W304" s="1360"/>
      <c r="X304" s="1360"/>
      <c r="Y304" s="1360"/>
      <c r="Z304" s="1360"/>
      <c r="AA304" s="1360"/>
      <c r="AB304" s="1360"/>
      <c r="AC304" s="1360"/>
      <c r="AD304" s="1371"/>
      <c r="AE304" s="1360"/>
      <c r="AF304" s="1360"/>
      <c r="AG304" s="1360"/>
    </row>
    <row r="305">
      <c r="A305" s="1356"/>
      <c r="B305" s="1357"/>
      <c r="C305" s="224"/>
      <c r="D305" s="1366">
        <f t="shared" si="1"/>
        <v>693992</v>
      </c>
      <c r="E305" s="1366">
        <f t="shared" si="2"/>
        <v>365</v>
      </c>
      <c r="F305" s="224" t="str">
        <f>IF(AND('in-situ Acer outplants'!D:D=B305,IF(VLOOKUP(B305,'in-situ Acer outplants'!D:M,10,FALSE)&lt;&gt;0,"TRUE", "FALSE")),"Completed",DATE(year(A305), month(A305)+1, day(A305)))</f>
        <v>#N/A</v>
      </c>
      <c r="G305" s="1360" t="str">
        <f>IF(AND('in-situ Acer outplants'!D:D=B305,IF(VLOOKUP(B305,'in-situ Acer outplants'!D:T,17,FALSE)&lt;&gt;0,"TRUE", "FALSE")),"Completed",DATE(year(A305)+1, month(A305), day(A305)))</f>
        <v>#N/A</v>
      </c>
      <c r="H305" s="1360"/>
      <c r="I305" s="1360"/>
      <c r="J305" s="1360"/>
      <c r="K305" s="1360"/>
      <c r="L305" s="1360"/>
      <c r="M305" s="1360"/>
      <c r="N305" s="1360"/>
      <c r="O305" s="1371"/>
      <c r="P305" s="1385"/>
      <c r="Q305" s="1360"/>
      <c r="R305" s="1360"/>
      <c r="S305" s="1360"/>
      <c r="T305" s="1360"/>
      <c r="U305" s="1360"/>
      <c r="V305" s="1360"/>
      <c r="W305" s="1360"/>
      <c r="X305" s="1360"/>
      <c r="Y305" s="1360"/>
      <c r="Z305" s="1360"/>
      <c r="AA305" s="1360"/>
      <c r="AB305" s="1360"/>
      <c r="AC305" s="1360"/>
      <c r="AD305" s="1371"/>
      <c r="AE305" s="1360"/>
      <c r="AF305" s="1360"/>
      <c r="AG305" s="1360"/>
    </row>
    <row r="306">
      <c r="A306" s="1356"/>
      <c r="B306" s="1357"/>
      <c r="C306" s="224"/>
      <c r="D306" s="1366">
        <f t="shared" si="1"/>
        <v>693992</v>
      </c>
      <c r="E306" s="1366">
        <f t="shared" si="2"/>
        <v>365</v>
      </c>
      <c r="F306" s="224" t="str">
        <f>IF(AND('in-situ Acer outplants'!D:D=B306,IF(VLOOKUP(B306,'in-situ Acer outplants'!D:M,10,FALSE)&lt;&gt;0,"TRUE", "FALSE")),"Completed",DATE(year(A306), month(A306)+1, day(A306)))</f>
        <v>#N/A</v>
      </c>
      <c r="G306" s="1360" t="str">
        <f>IF(AND('in-situ Acer outplants'!D:D=B306,IF(VLOOKUP(B306,'in-situ Acer outplants'!D:T,17,FALSE)&lt;&gt;0,"TRUE", "FALSE")),"Completed",DATE(year(A306)+1, month(A306), day(A306)))</f>
        <v>#N/A</v>
      </c>
      <c r="H306" s="1360"/>
      <c r="I306" s="1360"/>
      <c r="J306" s="1360"/>
      <c r="K306" s="1360"/>
      <c r="L306" s="1360"/>
      <c r="M306" s="1360"/>
      <c r="N306" s="1360"/>
      <c r="O306" s="1371"/>
      <c r="P306" s="1385"/>
      <c r="Q306" s="1360"/>
      <c r="R306" s="1360"/>
      <c r="S306" s="1360"/>
      <c r="T306" s="1360"/>
      <c r="U306" s="1360"/>
      <c r="V306" s="1360"/>
      <c r="W306" s="1360"/>
      <c r="X306" s="1360"/>
      <c r="Y306" s="1360"/>
      <c r="Z306" s="1360"/>
      <c r="AA306" s="1360"/>
      <c r="AB306" s="1360"/>
      <c r="AC306" s="1360"/>
      <c r="AD306" s="1371"/>
      <c r="AE306" s="1360"/>
      <c r="AF306" s="1360"/>
      <c r="AG306" s="1360"/>
    </row>
    <row r="307">
      <c r="A307" s="1356"/>
      <c r="B307" s="1357"/>
      <c r="C307" s="224"/>
      <c r="D307" s="1366">
        <f t="shared" si="1"/>
        <v>693992</v>
      </c>
      <c r="E307" s="1366">
        <f t="shared" si="2"/>
        <v>365</v>
      </c>
      <c r="F307" s="224" t="str">
        <f>IF(AND('in-situ Acer outplants'!D:D=B307,IF(VLOOKUP(B307,'in-situ Acer outplants'!D:M,10,FALSE)&lt;&gt;0,"TRUE", "FALSE")),"Completed",DATE(year(A307), month(A307)+1, day(A307)))</f>
        <v>#N/A</v>
      </c>
      <c r="G307" s="1360" t="str">
        <f>IF(AND('in-situ Acer outplants'!D:D=B307,IF(VLOOKUP(B307,'in-situ Acer outplants'!D:T,17,FALSE)&lt;&gt;0,"TRUE", "FALSE")),"Completed",DATE(year(A307)+1, month(A307), day(A307)))</f>
        <v>#N/A</v>
      </c>
      <c r="H307" s="1360"/>
      <c r="I307" s="1360"/>
      <c r="J307" s="1360"/>
      <c r="K307" s="1360"/>
      <c r="L307" s="1360"/>
      <c r="M307" s="1360"/>
      <c r="N307" s="1360"/>
      <c r="O307" s="1371"/>
      <c r="P307" s="1385"/>
      <c r="Q307" s="1360"/>
      <c r="R307" s="1360"/>
      <c r="S307" s="1360"/>
      <c r="T307" s="1360"/>
      <c r="U307" s="1360"/>
      <c r="V307" s="1360"/>
      <c r="W307" s="1360"/>
      <c r="X307" s="1360"/>
      <c r="Y307" s="1360"/>
      <c r="Z307" s="1360"/>
      <c r="AA307" s="1360"/>
      <c r="AB307" s="1360"/>
      <c r="AC307" s="1360"/>
      <c r="AD307" s="1371"/>
      <c r="AE307" s="1360"/>
      <c r="AF307" s="1360"/>
      <c r="AG307" s="1360"/>
    </row>
    <row r="308">
      <c r="A308" s="1356"/>
      <c r="B308" s="1357"/>
      <c r="C308" s="224"/>
      <c r="D308" s="1366">
        <f t="shared" si="1"/>
        <v>693992</v>
      </c>
      <c r="E308" s="1366">
        <f t="shared" si="2"/>
        <v>365</v>
      </c>
      <c r="F308" s="224" t="str">
        <f>IF(AND('in-situ Acer outplants'!D:D=B308,IF(VLOOKUP(B308,'in-situ Acer outplants'!D:M,10,FALSE)&lt;&gt;0,"TRUE", "FALSE")),"Completed",DATE(year(A308), month(A308)+1, day(A308)))</f>
        <v>#N/A</v>
      </c>
      <c r="G308" s="1360" t="str">
        <f>IF(AND('in-situ Acer outplants'!D:D=B308,IF(VLOOKUP(B308,'in-situ Acer outplants'!D:T,17,FALSE)&lt;&gt;0,"TRUE", "FALSE")),"Completed",DATE(year(A308)+1, month(A308), day(A308)))</f>
        <v>#N/A</v>
      </c>
      <c r="H308" s="1360"/>
      <c r="I308" s="1360"/>
      <c r="J308" s="1360"/>
      <c r="K308" s="1360"/>
      <c r="L308" s="1360"/>
      <c r="M308" s="1360"/>
      <c r="N308" s="1360"/>
      <c r="O308" s="1371"/>
      <c r="P308" s="1385"/>
      <c r="Q308" s="1360"/>
      <c r="R308" s="1360"/>
      <c r="S308" s="1360"/>
      <c r="T308" s="1360"/>
      <c r="U308" s="1360"/>
      <c r="V308" s="1360"/>
      <c r="W308" s="1360"/>
      <c r="X308" s="1360"/>
      <c r="Y308" s="1360"/>
      <c r="Z308" s="1360"/>
      <c r="AA308" s="1360"/>
      <c r="AB308" s="1360"/>
      <c r="AC308" s="1360"/>
      <c r="AD308" s="1371"/>
      <c r="AE308" s="1360"/>
      <c r="AF308" s="1360"/>
      <c r="AG308" s="1360"/>
    </row>
    <row r="309">
      <c r="A309" s="1356"/>
      <c r="B309" s="1357"/>
      <c r="C309" s="224"/>
      <c r="D309" s="1366">
        <f t="shared" si="1"/>
        <v>693992</v>
      </c>
      <c r="E309" s="1366">
        <f t="shared" si="2"/>
        <v>365</v>
      </c>
      <c r="F309" s="224" t="str">
        <f>IF(AND('in-situ Acer outplants'!D:D=B309,IF(VLOOKUP(B309,'in-situ Acer outplants'!D:M,10,FALSE)&lt;&gt;0,"TRUE", "FALSE")),"Completed",DATE(year(A309), month(A309)+1, day(A309)))</f>
        <v>#N/A</v>
      </c>
      <c r="G309" s="1360" t="str">
        <f>IF(AND('in-situ Acer outplants'!D:D=B309,IF(VLOOKUP(B309,'in-situ Acer outplants'!D:T,17,FALSE)&lt;&gt;0,"TRUE", "FALSE")),"Completed",DATE(year(A309)+1, month(A309), day(A309)))</f>
        <v>#N/A</v>
      </c>
      <c r="H309" s="1360"/>
      <c r="I309" s="1360"/>
      <c r="J309" s="1360"/>
      <c r="K309" s="1360"/>
      <c r="L309" s="1360"/>
      <c r="M309" s="1360"/>
      <c r="N309" s="1360"/>
      <c r="O309" s="1371"/>
      <c r="P309" s="1385"/>
      <c r="Q309" s="1360"/>
      <c r="R309" s="1360"/>
      <c r="S309" s="1360"/>
      <c r="T309" s="1360"/>
      <c r="U309" s="1360"/>
      <c r="V309" s="1360"/>
      <c r="W309" s="1360"/>
      <c r="X309" s="1360"/>
      <c r="Y309" s="1360"/>
      <c r="Z309" s="1360"/>
      <c r="AA309" s="1360"/>
      <c r="AB309" s="1360"/>
      <c r="AC309" s="1360"/>
      <c r="AD309" s="1371"/>
      <c r="AE309" s="1360"/>
      <c r="AF309" s="1360"/>
      <c r="AG309" s="1360"/>
    </row>
    <row r="310">
      <c r="A310" s="1356"/>
      <c r="B310" s="1357"/>
      <c r="C310" s="224"/>
      <c r="D310" s="1366">
        <f t="shared" si="1"/>
        <v>693992</v>
      </c>
      <c r="E310" s="1366">
        <f t="shared" si="2"/>
        <v>365</v>
      </c>
      <c r="F310" s="224" t="str">
        <f>IF(AND('in-situ Acer outplants'!D:D=B310,IF(VLOOKUP(B310,'in-situ Acer outplants'!D:M,10,FALSE)&lt;&gt;0,"TRUE", "FALSE")),"Completed",DATE(year(A310), month(A310)+1, day(A310)))</f>
        <v>#N/A</v>
      </c>
      <c r="G310" s="1360" t="str">
        <f>IF(AND('in-situ Acer outplants'!D:D=B310,IF(VLOOKUP(B310,'in-situ Acer outplants'!D:T,17,FALSE)&lt;&gt;0,"TRUE", "FALSE")),"Completed",DATE(year(A310)+1, month(A310), day(A310)))</f>
        <v>#N/A</v>
      </c>
      <c r="H310" s="1360"/>
      <c r="I310" s="1360"/>
      <c r="J310" s="1360"/>
      <c r="K310" s="1360"/>
      <c r="L310" s="1360"/>
      <c r="M310" s="1360"/>
      <c r="N310" s="1360"/>
      <c r="O310" s="1371"/>
      <c r="P310" s="1385"/>
      <c r="Q310" s="1360"/>
      <c r="R310" s="1360"/>
      <c r="S310" s="1360"/>
      <c r="T310" s="1360"/>
      <c r="U310" s="1360"/>
      <c r="V310" s="1360"/>
      <c r="W310" s="1360"/>
      <c r="X310" s="1360"/>
      <c r="Y310" s="1360"/>
      <c r="Z310" s="1360"/>
      <c r="AA310" s="1360"/>
      <c r="AB310" s="1360"/>
      <c r="AC310" s="1360"/>
      <c r="AD310" s="1371"/>
      <c r="AE310" s="1360"/>
      <c r="AF310" s="1360"/>
      <c r="AG310" s="1360"/>
    </row>
    <row r="311">
      <c r="A311" s="1356"/>
      <c r="B311" s="1357"/>
      <c r="C311" s="224"/>
      <c r="D311" s="1366">
        <f t="shared" si="1"/>
        <v>693992</v>
      </c>
      <c r="E311" s="1366">
        <f t="shared" si="2"/>
        <v>365</v>
      </c>
      <c r="F311" s="224" t="str">
        <f>IF(AND('in-situ Acer outplants'!D:D=B311,IF(VLOOKUP(B311,'in-situ Acer outplants'!D:M,10,FALSE)&lt;&gt;0,"TRUE", "FALSE")),"Completed",DATE(year(A311), month(A311)+1, day(A311)))</f>
        <v>#N/A</v>
      </c>
      <c r="G311" s="1360" t="str">
        <f>IF(AND('in-situ Acer outplants'!D:D=B311,IF(VLOOKUP(B311,'in-situ Acer outplants'!D:T,17,FALSE)&lt;&gt;0,"TRUE", "FALSE")),"Completed",DATE(year(A311)+1, month(A311), day(A311)))</f>
        <v>#N/A</v>
      </c>
      <c r="H311" s="1360"/>
      <c r="I311" s="1360"/>
      <c r="J311" s="1360"/>
      <c r="K311" s="1360"/>
      <c r="L311" s="1360"/>
      <c r="M311" s="1360"/>
      <c r="N311" s="1360"/>
      <c r="O311" s="1371"/>
      <c r="P311" s="1385"/>
      <c r="Q311" s="1360"/>
      <c r="R311" s="1360"/>
      <c r="S311" s="1360"/>
      <c r="T311" s="1360"/>
      <c r="U311" s="1360"/>
      <c r="V311" s="1360"/>
      <c r="W311" s="1360"/>
      <c r="X311" s="1360"/>
      <c r="Y311" s="1360"/>
      <c r="Z311" s="1360"/>
      <c r="AA311" s="1360"/>
      <c r="AB311" s="1360"/>
      <c r="AC311" s="1360"/>
      <c r="AD311" s="1371"/>
      <c r="AE311" s="1360"/>
      <c r="AF311" s="1360"/>
      <c r="AG311" s="1360"/>
    </row>
    <row r="312">
      <c r="A312" s="1356"/>
      <c r="B312" s="1357"/>
      <c r="C312" s="224"/>
      <c r="D312" s="1366">
        <f t="shared" si="1"/>
        <v>693992</v>
      </c>
      <c r="E312" s="1366">
        <f t="shared" si="2"/>
        <v>365</v>
      </c>
      <c r="F312" s="224" t="str">
        <f>IF(AND('in-situ Acer outplants'!D:D=B312,IF(VLOOKUP(B312,'in-situ Acer outplants'!D:M,10,FALSE)&lt;&gt;0,"TRUE", "FALSE")),"Completed",DATE(year(A312), month(A312)+1, day(A312)))</f>
        <v>#N/A</v>
      </c>
      <c r="G312" s="1360" t="str">
        <f>IF(AND('in-situ Acer outplants'!D:D=B312,IF(VLOOKUP(B312,'in-situ Acer outplants'!D:T,17,FALSE)&lt;&gt;0,"TRUE", "FALSE")),"Completed",DATE(year(A312)+1, month(A312), day(A312)))</f>
        <v>#N/A</v>
      </c>
      <c r="H312" s="1360"/>
      <c r="I312" s="1360"/>
      <c r="J312" s="1360"/>
      <c r="K312" s="1360"/>
      <c r="L312" s="1360"/>
      <c r="M312" s="1360"/>
      <c r="N312" s="1360"/>
      <c r="O312" s="1371"/>
      <c r="P312" s="1385"/>
      <c r="Q312" s="1360"/>
      <c r="R312" s="1360"/>
      <c r="S312" s="1360"/>
      <c r="T312" s="1360"/>
      <c r="U312" s="1360"/>
      <c r="V312" s="1360"/>
      <c r="W312" s="1360"/>
      <c r="X312" s="1360"/>
      <c r="Y312" s="1360"/>
      <c r="Z312" s="1360"/>
      <c r="AA312" s="1360"/>
      <c r="AB312" s="1360"/>
      <c r="AC312" s="1360"/>
      <c r="AD312" s="1371"/>
      <c r="AE312" s="1360"/>
      <c r="AF312" s="1360"/>
      <c r="AG312" s="1360"/>
    </row>
    <row r="313">
      <c r="A313" s="1356"/>
      <c r="B313" s="1357"/>
      <c r="C313" s="224"/>
      <c r="D313" s="1366">
        <f t="shared" si="1"/>
        <v>693992</v>
      </c>
      <c r="E313" s="1366">
        <f t="shared" si="2"/>
        <v>365</v>
      </c>
      <c r="F313" s="224" t="str">
        <f>IF(AND('in-situ Acer outplants'!D:D=B313,IF(VLOOKUP(B313,'in-situ Acer outplants'!D:M,10,FALSE)&lt;&gt;0,"TRUE", "FALSE")),"Completed",DATE(year(A313), month(A313)+1, day(A313)))</f>
        <v>#N/A</v>
      </c>
      <c r="G313" s="1360" t="str">
        <f>IF(AND('in-situ Acer outplants'!D:D=B313,IF(VLOOKUP(B313,'in-situ Acer outplants'!D:T,17,FALSE)&lt;&gt;0,"TRUE", "FALSE")),"Completed",DATE(year(A313)+1, month(A313), day(A313)))</f>
        <v>#N/A</v>
      </c>
      <c r="H313" s="1360"/>
      <c r="I313" s="1360"/>
      <c r="J313" s="1360"/>
      <c r="K313" s="1360"/>
      <c r="L313" s="1360"/>
      <c r="M313" s="1360"/>
      <c r="N313" s="1360"/>
      <c r="O313" s="1371"/>
      <c r="P313" s="1385"/>
      <c r="Q313" s="1360"/>
      <c r="R313" s="1360"/>
      <c r="S313" s="1360"/>
      <c r="T313" s="1360"/>
      <c r="U313" s="1360"/>
      <c r="V313" s="1360"/>
      <c r="W313" s="1360"/>
      <c r="X313" s="1360"/>
      <c r="Y313" s="1360"/>
      <c r="Z313" s="1360"/>
      <c r="AA313" s="1360"/>
      <c r="AB313" s="1360"/>
      <c r="AC313" s="1360"/>
      <c r="AD313" s="1371"/>
      <c r="AE313" s="1360"/>
      <c r="AF313" s="1360"/>
      <c r="AG313" s="1360"/>
    </row>
    <row r="314">
      <c r="A314" s="1356"/>
      <c r="B314" s="1357"/>
      <c r="C314" s="224"/>
      <c r="D314" s="1366">
        <f t="shared" si="1"/>
        <v>693992</v>
      </c>
      <c r="E314" s="1366">
        <f t="shared" si="2"/>
        <v>365</v>
      </c>
      <c r="F314" s="224" t="str">
        <f>IF(AND('in-situ Acer outplants'!D:D=B314,IF(VLOOKUP(B314,'in-situ Acer outplants'!D:M,10,FALSE)&lt;&gt;0,"TRUE", "FALSE")),"Completed",DATE(year(A314), month(A314)+1, day(A314)))</f>
        <v>#N/A</v>
      </c>
      <c r="G314" s="1360" t="str">
        <f>IF(AND('in-situ Acer outplants'!D:D=B314,IF(VLOOKUP(B314,'in-situ Acer outplants'!D:T,17,FALSE)&lt;&gt;0,"TRUE", "FALSE")),"Completed",DATE(year(A314)+1, month(A314), day(A314)))</f>
        <v>#N/A</v>
      </c>
      <c r="H314" s="1360"/>
      <c r="I314" s="1360"/>
      <c r="J314" s="1360"/>
      <c r="K314" s="1360"/>
      <c r="L314" s="1360"/>
      <c r="M314" s="1360"/>
      <c r="N314" s="1360"/>
      <c r="O314" s="1371"/>
      <c r="P314" s="1385"/>
      <c r="Q314" s="1360"/>
      <c r="R314" s="1360"/>
      <c r="S314" s="1360"/>
      <c r="T314" s="1360"/>
      <c r="U314" s="1360"/>
      <c r="V314" s="1360"/>
      <c r="W314" s="1360"/>
      <c r="X314" s="1360"/>
      <c r="Y314" s="1360"/>
      <c r="Z314" s="1360"/>
      <c r="AA314" s="1360"/>
      <c r="AB314" s="1360"/>
      <c r="AC314" s="1360"/>
      <c r="AD314" s="1371"/>
      <c r="AE314" s="1360"/>
      <c r="AF314" s="1360"/>
      <c r="AG314" s="1360"/>
    </row>
    <row r="315">
      <c r="A315" s="1356"/>
      <c r="B315" s="1357"/>
      <c r="C315" s="224"/>
      <c r="D315" s="1366">
        <f t="shared" si="1"/>
        <v>693992</v>
      </c>
      <c r="E315" s="1366">
        <f t="shared" si="2"/>
        <v>365</v>
      </c>
      <c r="F315" s="224" t="str">
        <f>IF(AND('in-situ Acer outplants'!D:D=B315,IF(VLOOKUP(B315,'in-situ Acer outplants'!D:M,10,FALSE)&lt;&gt;0,"TRUE", "FALSE")),"Completed",DATE(year(A315), month(A315)+1, day(A315)))</f>
        <v>#N/A</v>
      </c>
      <c r="G315" s="1360" t="str">
        <f>IF(AND('in-situ Acer outplants'!D:D=B315,IF(VLOOKUP(B315,'in-situ Acer outplants'!D:T,17,FALSE)&lt;&gt;0,"TRUE", "FALSE")),"Completed",DATE(year(A315)+1, month(A315), day(A315)))</f>
        <v>#N/A</v>
      </c>
      <c r="H315" s="1360"/>
      <c r="I315" s="1360"/>
      <c r="J315" s="1360"/>
      <c r="K315" s="1360"/>
      <c r="L315" s="1360"/>
      <c r="M315" s="1360"/>
      <c r="N315" s="1360"/>
      <c r="O315" s="1371"/>
      <c r="P315" s="1385"/>
      <c r="Q315" s="1360"/>
      <c r="R315" s="1360"/>
      <c r="S315" s="1360"/>
      <c r="T315" s="1360"/>
      <c r="U315" s="1360"/>
      <c r="V315" s="1360"/>
      <c r="W315" s="1360"/>
      <c r="X315" s="1360"/>
      <c r="Y315" s="1360"/>
      <c r="Z315" s="1360"/>
      <c r="AA315" s="1360"/>
      <c r="AB315" s="1360"/>
      <c r="AC315" s="1360"/>
      <c r="AD315" s="1371"/>
      <c r="AE315" s="1360"/>
      <c r="AF315" s="1360"/>
      <c r="AG315" s="1360"/>
    </row>
    <row r="316">
      <c r="A316" s="1356"/>
      <c r="B316" s="1357"/>
      <c r="C316" s="224"/>
      <c r="D316" s="1366">
        <f t="shared" si="1"/>
        <v>693992</v>
      </c>
      <c r="E316" s="1366">
        <f t="shared" si="2"/>
        <v>365</v>
      </c>
      <c r="F316" s="224" t="str">
        <f>IF(AND('in-situ Acer outplants'!D:D=B316,IF(VLOOKUP(B316,'in-situ Acer outplants'!D:M,10,FALSE)&lt;&gt;0,"TRUE", "FALSE")),"Completed",DATE(year(A316), month(A316)+1, day(A316)))</f>
        <v>#N/A</v>
      </c>
      <c r="G316" s="1360" t="str">
        <f>IF(AND('in-situ Acer outplants'!D:D=B316,IF(VLOOKUP(B316,'in-situ Acer outplants'!D:T,17,FALSE)&lt;&gt;0,"TRUE", "FALSE")),"Completed",DATE(year(A316)+1, month(A316), day(A316)))</f>
        <v>#N/A</v>
      </c>
      <c r="H316" s="1360"/>
      <c r="I316" s="1360"/>
      <c r="J316" s="1360"/>
      <c r="K316" s="1360"/>
      <c r="L316" s="1360"/>
      <c r="M316" s="1360"/>
      <c r="N316" s="1360"/>
      <c r="O316" s="1371"/>
      <c r="P316" s="1385"/>
      <c r="Q316" s="1360"/>
      <c r="R316" s="1360"/>
      <c r="S316" s="1360"/>
      <c r="T316" s="1360"/>
      <c r="U316" s="1360"/>
      <c r="V316" s="1360"/>
      <c r="W316" s="1360"/>
      <c r="X316" s="1360"/>
      <c r="Y316" s="1360"/>
      <c r="Z316" s="1360"/>
      <c r="AA316" s="1360"/>
      <c r="AB316" s="1360"/>
      <c r="AC316" s="1360"/>
      <c r="AD316" s="1371"/>
      <c r="AE316" s="1360"/>
      <c r="AF316" s="1360"/>
      <c r="AG316" s="1360"/>
    </row>
    <row r="317">
      <c r="A317" s="1356"/>
      <c r="B317" s="1357"/>
      <c r="C317" s="224"/>
      <c r="D317" s="1366">
        <f t="shared" si="1"/>
        <v>693992</v>
      </c>
      <c r="E317" s="1366">
        <f t="shared" si="2"/>
        <v>365</v>
      </c>
      <c r="F317" s="224" t="str">
        <f>IF(AND('in-situ Acer outplants'!D:D=B317,IF(VLOOKUP(B317,'in-situ Acer outplants'!D:M,10,FALSE)&lt;&gt;0,"TRUE", "FALSE")),"Completed",DATE(year(A317), month(A317)+1, day(A317)))</f>
        <v>#N/A</v>
      </c>
      <c r="G317" s="1360" t="str">
        <f>IF(AND('in-situ Acer outplants'!D:D=B317,IF(VLOOKUP(B317,'in-situ Acer outplants'!D:T,17,FALSE)&lt;&gt;0,"TRUE", "FALSE")),"Completed",DATE(year(A317)+1, month(A317), day(A317)))</f>
        <v>#N/A</v>
      </c>
      <c r="H317" s="1360"/>
      <c r="I317" s="1360"/>
      <c r="J317" s="1360"/>
      <c r="K317" s="1360"/>
      <c r="L317" s="1360"/>
      <c r="M317" s="1360"/>
      <c r="N317" s="1360"/>
      <c r="O317" s="1371"/>
      <c r="P317" s="1385"/>
      <c r="Q317" s="1360"/>
      <c r="R317" s="1360"/>
      <c r="S317" s="1360"/>
      <c r="T317" s="1360"/>
      <c r="U317" s="1360"/>
      <c r="V317" s="1360"/>
      <c r="W317" s="1360"/>
      <c r="X317" s="1360"/>
      <c r="Y317" s="1360"/>
      <c r="Z317" s="1360"/>
      <c r="AA317" s="1360"/>
      <c r="AB317" s="1360"/>
      <c r="AC317" s="1360"/>
      <c r="AD317" s="1371"/>
      <c r="AE317" s="1360"/>
      <c r="AF317" s="1360"/>
      <c r="AG317" s="1360"/>
    </row>
    <row r="318">
      <c r="A318" s="1356"/>
      <c r="B318" s="1357"/>
      <c r="C318" s="224"/>
      <c r="D318" s="1366">
        <f t="shared" si="1"/>
        <v>693992</v>
      </c>
      <c r="E318" s="1366">
        <f t="shared" si="2"/>
        <v>365</v>
      </c>
      <c r="F318" s="224" t="str">
        <f>IF(AND('in-situ Acer outplants'!D:D=B318,IF(VLOOKUP(B318,'in-situ Acer outplants'!D:M,10,FALSE)&lt;&gt;0,"TRUE", "FALSE")),"Completed",DATE(year(A318), month(A318)+1, day(A318)))</f>
        <v>#N/A</v>
      </c>
      <c r="G318" s="1360" t="str">
        <f>IF(AND('in-situ Acer outplants'!D:D=B318,IF(VLOOKUP(B318,'in-situ Acer outplants'!D:T,17,FALSE)&lt;&gt;0,"TRUE", "FALSE")),"Completed",DATE(year(A318)+1, month(A318), day(A318)))</f>
        <v>#N/A</v>
      </c>
      <c r="H318" s="1360"/>
      <c r="I318" s="1360"/>
      <c r="J318" s="1360"/>
      <c r="K318" s="1360"/>
      <c r="L318" s="1360"/>
      <c r="M318" s="1360"/>
      <c r="N318" s="1360"/>
      <c r="O318" s="1371"/>
      <c r="P318" s="1385"/>
      <c r="Q318" s="1360"/>
      <c r="R318" s="1360"/>
      <c r="S318" s="1360"/>
      <c r="T318" s="1360"/>
      <c r="U318" s="1360"/>
      <c r="V318" s="1360"/>
      <c r="W318" s="1360"/>
      <c r="X318" s="1360"/>
      <c r="Y318" s="1360"/>
      <c r="Z318" s="1360"/>
      <c r="AA318" s="1360"/>
      <c r="AB318" s="1360"/>
      <c r="AC318" s="1360"/>
      <c r="AD318" s="1371"/>
      <c r="AE318" s="1360"/>
      <c r="AF318" s="1360"/>
      <c r="AG318" s="1360"/>
    </row>
    <row r="319">
      <c r="A319" s="1356"/>
      <c r="B319" s="1357"/>
      <c r="C319" s="224"/>
      <c r="D319" s="1366">
        <f t="shared" si="1"/>
        <v>693992</v>
      </c>
      <c r="E319" s="1366">
        <f t="shared" si="2"/>
        <v>365</v>
      </c>
      <c r="F319" s="224" t="str">
        <f>IF(AND('in-situ Acer outplants'!D:D=B319,IF(VLOOKUP(B319,'in-situ Acer outplants'!D:M,10,FALSE)&lt;&gt;0,"TRUE", "FALSE")),"Completed",DATE(year(A319), month(A319)+1, day(A319)))</f>
        <v>#N/A</v>
      </c>
      <c r="G319" s="1360" t="str">
        <f>IF(AND('in-situ Acer outplants'!D:D=B319,IF(VLOOKUP(B319,'in-situ Acer outplants'!D:T,17,FALSE)&lt;&gt;0,"TRUE", "FALSE")),"Completed",DATE(year(A319)+1, month(A319), day(A319)))</f>
        <v>#N/A</v>
      </c>
      <c r="H319" s="1360"/>
      <c r="I319" s="1360"/>
      <c r="J319" s="1360"/>
      <c r="K319" s="1360"/>
      <c r="L319" s="1360"/>
      <c r="M319" s="1360"/>
      <c r="N319" s="1360"/>
      <c r="O319" s="1371"/>
      <c r="P319" s="1385"/>
      <c r="Q319" s="1360"/>
      <c r="R319" s="1360"/>
      <c r="S319" s="1360"/>
      <c r="T319" s="1360"/>
      <c r="U319" s="1360"/>
      <c r="V319" s="1360"/>
      <c r="W319" s="1360"/>
      <c r="X319" s="1360"/>
      <c r="Y319" s="1360"/>
      <c r="Z319" s="1360"/>
      <c r="AA319" s="1360"/>
      <c r="AB319" s="1360"/>
      <c r="AC319" s="1360"/>
      <c r="AD319" s="1371"/>
      <c r="AE319" s="1360"/>
      <c r="AF319" s="1360"/>
      <c r="AG319" s="1360"/>
    </row>
    <row r="320">
      <c r="A320" s="1356"/>
      <c r="B320" s="1357"/>
      <c r="C320" s="224"/>
      <c r="D320" s="1366">
        <f t="shared" si="1"/>
        <v>693992</v>
      </c>
      <c r="E320" s="1366">
        <f t="shared" si="2"/>
        <v>365</v>
      </c>
      <c r="F320" s="224" t="str">
        <f>IF(AND('in-situ Acer outplants'!D:D=B320,IF(VLOOKUP(B320,'in-situ Acer outplants'!D:M,10,FALSE)&lt;&gt;0,"TRUE", "FALSE")),"Completed",DATE(year(A320), month(A320)+1, day(A320)))</f>
        <v>#N/A</v>
      </c>
      <c r="G320" s="1360" t="str">
        <f>IF(AND('in-situ Acer outplants'!D:D=B320,IF(VLOOKUP(B320,'in-situ Acer outplants'!D:T,17,FALSE)&lt;&gt;0,"TRUE", "FALSE")),"Completed",DATE(year(A320)+1, month(A320), day(A320)))</f>
        <v>#N/A</v>
      </c>
      <c r="H320" s="1360"/>
      <c r="I320" s="1360"/>
      <c r="J320" s="1360"/>
      <c r="K320" s="1360"/>
      <c r="L320" s="1360"/>
      <c r="M320" s="1360"/>
      <c r="N320" s="1360"/>
      <c r="O320" s="1371"/>
      <c r="P320" s="1385"/>
      <c r="Q320" s="1360"/>
      <c r="R320" s="1360"/>
      <c r="S320" s="1360"/>
      <c r="T320" s="1360"/>
      <c r="U320" s="1360"/>
      <c r="V320" s="1360"/>
      <c r="W320" s="1360"/>
      <c r="X320" s="1360"/>
      <c r="Y320" s="1360"/>
      <c r="Z320" s="1360"/>
      <c r="AA320" s="1360"/>
      <c r="AB320" s="1360"/>
      <c r="AC320" s="1360"/>
      <c r="AD320" s="1371"/>
      <c r="AE320" s="1360"/>
      <c r="AF320" s="1360"/>
      <c r="AG320" s="1360"/>
    </row>
    <row r="321">
      <c r="A321" s="1356"/>
      <c r="B321" s="1357"/>
      <c r="C321" s="224"/>
      <c r="D321" s="1366">
        <f t="shared" si="1"/>
        <v>693992</v>
      </c>
      <c r="E321" s="1366">
        <f t="shared" si="2"/>
        <v>365</v>
      </c>
      <c r="F321" s="224" t="str">
        <f>IF(AND('in-situ Acer outplants'!D:D=B321,IF(VLOOKUP(B321,'in-situ Acer outplants'!D:M,10,FALSE)&lt;&gt;0,"TRUE", "FALSE")),"Completed",DATE(year(A321), month(A321)+1, day(A321)))</f>
        <v>#N/A</v>
      </c>
      <c r="G321" s="1360" t="str">
        <f>IF(AND('in-situ Acer outplants'!D:D=B321,IF(VLOOKUP(B321,'in-situ Acer outplants'!D:T,17,FALSE)&lt;&gt;0,"TRUE", "FALSE")),"Completed",DATE(year(A321)+1, month(A321), day(A321)))</f>
        <v>#N/A</v>
      </c>
      <c r="H321" s="1360"/>
      <c r="I321" s="1360"/>
      <c r="J321" s="1360"/>
      <c r="K321" s="1360"/>
      <c r="L321" s="1360"/>
      <c r="M321" s="1360"/>
      <c r="N321" s="1360"/>
      <c r="O321" s="1371"/>
      <c r="P321" s="1385"/>
      <c r="Q321" s="1360"/>
      <c r="R321" s="1360"/>
      <c r="S321" s="1360"/>
      <c r="T321" s="1360"/>
      <c r="U321" s="1360"/>
      <c r="V321" s="1360"/>
      <c r="W321" s="1360"/>
      <c r="X321" s="1360"/>
      <c r="Y321" s="1360"/>
      <c r="Z321" s="1360"/>
      <c r="AA321" s="1360"/>
      <c r="AB321" s="1360"/>
      <c r="AC321" s="1360"/>
      <c r="AD321" s="1371"/>
      <c r="AE321" s="1360"/>
      <c r="AF321" s="1360"/>
      <c r="AG321" s="1360"/>
    </row>
    <row r="322">
      <c r="A322" s="1356"/>
      <c r="B322" s="1357"/>
      <c r="C322" s="224"/>
      <c r="D322" s="1366">
        <f t="shared" si="1"/>
        <v>693992</v>
      </c>
      <c r="E322" s="1366">
        <f t="shared" si="2"/>
        <v>365</v>
      </c>
      <c r="F322" s="224" t="str">
        <f>IF(AND('in-situ Acer outplants'!D:D=B322,IF(VLOOKUP(B322,'in-situ Acer outplants'!D:M,10,FALSE)&lt;&gt;0,"TRUE", "FALSE")),"Completed",DATE(year(A322), month(A322)+1, day(A322)))</f>
        <v>#N/A</v>
      </c>
      <c r="G322" s="1360" t="str">
        <f>IF(AND('in-situ Acer outplants'!D:D=B322,IF(VLOOKUP(B322,'in-situ Acer outplants'!D:T,17,FALSE)&lt;&gt;0,"TRUE", "FALSE")),"Completed",DATE(year(A322)+1, month(A322), day(A322)))</f>
        <v>#N/A</v>
      </c>
      <c r="H322" s="1360"/>
      <c r="I322" s="1360"/>
      <c r="J322" s="1360"/>
      <c r="K322" s="1360"/>
      <c r="L322" s="1360"/>
      <c r="M322" s="1360"/>
      <c r="N322" s="1360"/>
      <c r="O322" s="1371"/>
      <c r="P322" s="1385"/>
      <c r="Q322" s="1360"/>
      <c r="R322" s="1360"/>
      <c r="S322" s="1360"/>
      <c r="T322" s="1360"/>
      <c r="U322" s="1360"/>
      <c r="V322" s="1360"/>
      <c r="W322" s="1360"/>
      <c r="X322" s="1360"/>
      <c r="Y322" s="1360"/>
      <c r="Z322" s="1360"/>
      <c r="AA322" s="1360"/>
      <c r="AB322" s="1360"/>
      <c r="AC322" s="1360"/>
      <c r="AD322" s="1371"/>
      <c r="AE322" s="1360"/>
      <c r="AF322" s="1360"/>
      <c r="AG322" s="1360"/>
    </row>
    <row r="323">
      <c r="A323" s="1356"/>
      <c r="B323" s="1357"/>
      <c r="C323" s="224"/>
      <c r="D323" s="1366">
        <f t="shared" si="1"/>
        <v>693992</v>
      </c>
      <c r="E323" s="1366">
        <f t="shared" si="2"/>
        <v>365</v>
      </c>
      <c r="F323" s="224" t="str">
        <f>IF(AND('in-situ Acer outplants'!D:D=B323,IF(VLOOKUP(B323,'in-situ Acer outplants'!D:M,10,FALSE)&lt;&gt;0,"TRUE", "FALSE")),"Completed",DATE(year(A323), month(A323)+1, day(A323)))</f>
        <v>#N/A</v>
      </c>
      <c r="G323" s="1360" t="str">
        <f>IF(AND('in-situ Acer outplants'!D:D=B323,IF(VLOOKUP(B323,'in-situ Acer outplants'!D:T,17,FALSE)&lt;&gt;0,"TRUE", "FALSE")),"Completed",DATE(year(A323)+1, month(A323), day(A323)))</f>
        <v>#N/A</v>
      </c>
      <c r="H323" s="1360"/>
      <c r="I323" s="1360"/>
      <c r="J323" s="1360"/>
      <c r="K323" s="1360"/>
      <c r="L323" s="1360"/>
      <c r="M323" s="1360"/>
      <c r="N323" s="1360"/>
      <c r="O323" s="1371"/>
      <c r="P323" s="1385"/>
      <c r="Q323" s="1360"/>
      <c r="R323" s="1360"/>
      <c r="S323" s="1360"/>
      <c r="T323" s="1360"/>
      <c r="U323" s="1360"/>
      <c r="V323" s="1360"/>
      <c r="W323" s="1360"/>
      <c r="X323" s="1360"/>
      <c r="Y323" s="1360"/>
      <c r="Z323" s="1360"/>
      <c r="AA323" s="1360"/>
      <c r="AB323" s="1360"/>
      <c r="AC323" s="1360"/>
      <c r="AD323" s="1371"/>
      <c r="AE323" s="1360"/>
      <c r="AF323" s="1360"/>
      <c r="AG323" s="1360"/>
    </row>
    <row r="324">
      <c r="A324" s="1356"/>
      <c r="B324" s="1357"/>
      <c r="C324" s="224"/>
      <c r="D324" s="1366">
        <f t="shared" si="1"/>
        <v>693992</v>
      </c>
      <c r="E324" s="1366">
        <f t="shared" si="2"/>
        <v>365</v>
      </c>
      <c r="F324" s="224" t="str">
        <f>IF(AND('in-situ Acer outplants'!D:D=B324,IF(VLOOKUP(B324,'in-situ Acer outplants'!D:M,10,FALSE)&lt;&gt;0,"TRUE", "FALSE")),"Completed",DATE(year(A324), month(A324)+1, day(A324)))</f>
        <v>#N/A</v>
      </c>
      <c r="G324" s="1360" t="str">
        <f>IF(AND('in-situ Acer outplants'!D:D=B324,IF(VLOOKUP(B324,'in-situ Acer outplants'!D:T,17,FALSE)&lt;&gt;0,"TRUE", "FALSE")),"Completed",DATE(year(A324)+1, month(A324), day(A324)))</f>
        <v>#N/A</v>
      </c>
      <c r="H324" s="1360"/>
      <c r="I324" s="1360"/>
      <c r="J324" s="1360"/>
      <c r="K324" s="1360"/>
      <c r="L324" s="1360"/>
      <c r="M324" s="1360"/>
      <c r="N324" s="1360"/>
      <c r="O324" s="1371"/>
      <c r="P324" s="1385"/>
      <c r="Q324" s="1360"/>
      <c r="R324" s="1360"/>
      <c r="S324" s="1360"/>
      <c r="T324" s="1360"/>
      <c r="U324" s="1360"/>
      <c r="V324" s="1360"/>
      <c r="W324" s="1360"/>
      <c r="X324" s="1360"/>
      <c r="Y324" s="1360"/>
      <c r="Z324" s="1360"/>
      <c r="AA324" s="1360"/>
      <c r="AB324" s="1360"/>
      <c r="AC324" s="1360"/>
      <c r="AD324" s="1371"/>
      <c r="AE324" s="1360"/>
      <c r="AF324" s="1360"/>
      <c r="AG324" s="1360"/>
    </row>
    <row r="325">
      <c r="A325" s="1356"/>
      <c r="B325" s="1357"/>
      <c r="C325" s="224"/>
      <c r="D325" s="1366">
        <f t="shared" si="1"/>
        <v>693992</v>
      </c>
      <c r="E325" s="1366">
        <f t="shared" si="2"/>
        <v>365</v>
      </c>
      <c r="F325" s="224" t="str">
        <f>IF(AND('in-situ Acer outplants'!D:D=B325,IF(VLOOKUP(B325,'in-situ Acer outplants'!D:M,10,FALSE)&lt;&gt;0,"TRUE", "FALSE")),"Completed",DATE(year(A325), month(A325)+1, day(A325)))</f>
        <v>#N/A</v>
      </c>
      <c r="G325" s="1360" t="str">
        <f>IF(AND('in-situ Acer outplants'!D:D=B325,IF(VLOOKUP(B325,'in-situ Acer outplants'!D:T,17,FALSE)&lt;&gt;0,"TRUE", "FALSE")),"Completed",DATE(year(A325)+1, month(A325), day(A325)))</f>
        <v>#N/A</v>
      </c>
      <c r="H325" s="1360"/>
      <c r="I325" s="1360"/>
      <c r="J325" s="1360"/>
      <c r="K325" s="1360"/>
      <c r="L325" s="1360"/>
      <c r="M325" s="1360"/>
      <c r="N325" s="1360"/>
      <c r="O325" s="1371"/>
      <c r="P325" s="1385"/>
      <c r="Q325" s="1360"/>
      <c r="R325" s="1360"/>
      <c r="S325" s="1360"/>
      <c r="T325" s="1360"/>
      <c r="U325" s="1360"/>
      <c r="V325" s="1360"/>
      <c r="W325" s="1360"/>
      <c r="X325" s="1360"/>
      <c r="Y325" s="1360"/>
      <c r="Z325" s="1360"/>
      <c r="AA325" s="1360"/>
      <c r="AB325" s="1360"/>
      <c r="AC325" s="1360"/>
      <c r="AD325" s="1371"/>
      <c r="AE325" s="1360"/>
      <c r="AF325" s="1360"/>
      <c r="AG325" s="1360"/>
    </row>
    <row r="326">
      <c r="A326" s="1356"/>
      <c r="B326" s="1357"/>
      <c r="C326" s="224"/>
      <c r="D326" s="1366">
        <f t="shared" si="1"/>
        <v>693992</v>
      </c>
      <c r="E326" s="1366">
        <f t="shared" si="2"/>
        <v>365</v>
      </c>
      <c r="F326" s="224" t="str">
        <f>IF(AND('in-situ Acer outplants'!D:D=B326,IF(VLOOKUP(B326,'in-situ Acer outplants'!D:M,10,FALSE)&lt;&gt;0,"TRUE", "FALSE")),"Completed",DATE(year(A326), month(A326)+1, day(A326)))</f>
        <v>#N/A</v>
      </c>
      <c r="G326" s="1360" t="str">
        <f>IF(AND('in-situ Acer outplants'!D:D=B326,IF(VLOOKUP(B326,'in-situ Acer outplants'!D:T,17,FALSE)&lt;&gt;0,"TRUE", "FALSE")),"Completed",DATE(year(A326)+1, month(A326), day(A326)))</f>
        <v>#N/A</v>
      </c>
      <c r="H326" s="1360"/>
      <c r="I326" s="1360"/>
      <c r="J326" s="1360"/>
      <c r="K326" s="1360"/>
      <c r="L326" s="1360"/>
      <c r="M326" s="1360"/>
      <c r="N326" s="1360"/>
      <c r="O326" s="1371"/>
      <c r="P326" s="1385"/>
      <c r="Q326" s="1360"/>
      <c r="R326" s="1360"/>
      <c r="S326" s="1360"/>
      <c r="T326" s="1360"/>
      <c r="U326" s="1360"/>
      <c r="V326" s="1360"/>
      <c r="W326" s="1360"/>
      <c r="X326" s="1360"/>
      <c r="Y326" s="1360"/>
      <c r="Z326" s="1360"/>
      <c r="AA326" s="1360"/>
      <c r="AB326" s="1360"/>
      <c r="AC326" s="1360"/>
      <c r="AD326" s="1371"/>
      <c r="AE326" s="1360"/>
      <c r="AF326" s="1360"/>
      <c r="AG326" s="1360"/>
    </row>
    <row r="327">
      <c r="A327" s="1356"/>
      <c r="B327" s="1357"/>
      <c r="C327" s="224"/>
      <c r="D327" s="1366">
        <f t="shared" si="1"/>
        <v>693992</v>
      </c>
      <c r="E327" s="1366">
        <f t="shared" si="2"/>
        <v>365</v>
      </c>
      <c r="F327" s="224" t="str">
        <f>IF(AND('in-situ Acer outplants'!D:D=B327,IF(VLOOKUP(B327,'in-situ Acer outplants'!D:M,10,FALSE)&lt;&gt;0,"TRUE", "FALSE")),"Completed",DATE(year(A327), month(A327)+1, day(A327)))</f>
        <v>#N/A</v>
      </c>
      <c r="G327" s="1360" t="str">
        <f>IF(AND('in-situ Acer outplants'!D:D=B327,IF(VLOOKUP(B327,'in-situ Acer outplants'!D:T,17,FALSE)&lt;&gt;0,"TRUE", "FALSE")),"Completed",DATE(year(A327)+1, month(A327), day(A327)))</f>
        <v>#N/A</v>
      </c>
      <c r="H327" s="1360"/>
      <c r="I327" s="1360"/>
      <c r="J327" s="1360"/>
      <c r="K327" s="1360"/>
      <c r="L327" s="1360"/>
      <c r="M327" s="1360"/>
      <c r="N327" s="1360"/>
      <c r="O327" s="1371"/>
      <c r="P327" s="1385"/>
      <c r="Q327" s="1360"/>
      <c r="R327" s="1360"/>
      <c r="S327" s="1360"/>
      <c r="T327" s="1360"/>
      <c r="U327" s="1360"/>
      <c r="V327" s="1360"/>
      <c r="W327" s="1360"/>
      <c r="X327" s="1360"/>
      <c r="Y327" s="1360"/>
      <c r="Z327" s="1360"/>
      <c r="AA327" s="1360"/>
      <c r="AB327" s="1360"/>
      <c r="AC327" s="1360"/>
      <c r="AD327" s="1371"/>
      <c r="AE327" s="1360"/>
      <c r="AF327" s="1360"/>
      <c r="AG327" s="1360"/>
    </row>
    <row r="328">
      <c r="A328" s="1356"/>
      <c r="B328" s="1357"/>
      <c r="C328" s="224"/>
      <c r="D328" s="1366">
        <f t="shared" si="1"/>
        <v>693992</v>
      </c>
      <c r="E328" s="1366">
        <f t="shared" si="2"/>
        <v>365</v>
      </c>
      <c r="F328" s="224" t="str">
        <f>IF(AND('in-situ Acer outplants'!D:D=B328,IF(VLOOKUP(B328,'in-situ Acer outplants'!D:M,10,FALSE)&lt;&gt;0,"TRUE", "FALSE")),"Completed",DATE(year(A328), month(A328)+1, day(A328)))</f>
        <v>#N/A</v>
      </c>
      <c r="G328" s="1360" t="str">
        <f>IF(AND('in-situ Acer outplants'!D:D=B328,IF(VLOOKUP(B328,'in-situ Acer outplants'!D:T,17,FALSE)&lt;&gt;0,"TRUE", "FALSE")),"Completed",DATE(year(A328)+1, month(A328), day(A328)))</f>
        <v>#N/A</v>
      </c>
      <c r="H328" s="1360"/>
      <c r="I328" s="1360"/>
      <c r="J328" s="1360"/>
      <c r="K328" s="1360"/>
      <c r="L328" s="1360"/>
      <c r="M328" s="1360"/>
      <c r="N328" s="1360"/>
      <c r="O328" s="1371"/>
      <c r="P328" s="1385"/>
      <c r="Q328" s="1360"/>
      <c r="R328" s="1360"/>
      <c r="S328" s="1360"/>
      <c r="T328" s="1360"/>
      <c r="U328" s="1360"/>
      <c r="V328" s="1360"/>
      <c r="W328" s="1360"/>
      <c r="X328" s="1360"/>
      <c r="Y328" s="1360"/>
      <c r="Z328" s="1360"/>
      <c r="AA328" s="1360"/>
      <c r="AB328" s="1360"/>
      <c r="AC328" s="1360"/>
      <c r="AD328" s="1371"/>
      <c r="AE328" s="1360"/>
      <c r="AF328" s="1360"/>
      <c r="AG328" s="1360"/>
    </row>
    <row r="329">
      <c r="A329" s="1356"/>
      <c r="B329" s="1357"/>
      <c r="C329" s="224"/>
      <c r="D329" s="1366">
        <f t="shared" si="1"/>
        <v>693992</v>
      </c>
      <c r="E329" s="1366">
        <f t="shared" si="2"/>
        <v>365</v>
      </c>
      <c r="F329" s="224" t="str">
        <f>IF(AND('in-situ Acer outplants'!D:D=B329,IF(VLOOKUP(B329,'in-situ Acer outplants'!D:M,10,FALSE)&lt;&gt;0,"TRUE", "FALSE")),"Completed",DATE(year(A329), month(A329)+1, day(A329)))</f>
        <v>#N/A</v>
      </c>
      <c r="G329" s="1360" t="str">
        <f>IF(AND('in-situ Acer outplants'!D:D=B329,IF(VLOOKUP(B329,'in-situ Acer outplants'!D:T,17,FALSE)&lt;&gt;0,"TRUE", "FALSE")),"Completed",DATE(year(A329)+1, month(A329), day(A329)))</f>
        <v>#N/A</v>
      </c>
      <c r="H329" s="1360"/>
      <c r="I329" s="1360"/>
      <c r="J329" s="1360"/>
      <c r="K329" s="1360"/>
      <c r="L329" s="1360"/>
      <c r="M329" s="1360"/>
      <c r="N329" s="1360"/>
      <c r="O329" s="1371"/>
      <c r="P329" s="1385"/>
      <c r="Q329" s="1360"/>
      <c r="R329" s="1360"/>
      <c r="S329" s="1360"/>
      <c r="T329" s="1360"/>
      <c r="U329" s="1360"/>
      <c r="V329" s="1360"/>
      <c r="W329" s="1360"/>
      <c r="X329" s="1360"/>
      <c r="Y329" s="1360"/>
      <c r="Z329" s="1360"/>
      <c r="AA329" s="1360"/>
      <c r="AB329" s="1360"/>
      <c r="AC329" s="1360"/>
      <c r="AD329" s="1371"/>
      <c r="AE329" s="1360"/>
      <c r="AF329" s="1360"/>
      <c r="AG329" s="1360"/>
    </row>
    <row r="330">
      <c r="A330" s="1356"/>
      <c r="B330" s="1357"/>
      <c r="C330" s="224"/>
      <c r="D330" s="1366">
        <f t="shared" si="1"/>
        <v>693992</v>
      </c>
      <c r="E330" s="1366">
        <f t="shared" si="2"/>
        <v>365</v>
      </c>
      <c r="F330" s="224" t="str">
        <f>IF(AND('in-situ Acer outplants'!D:D=B330,IF(VLOOKUP(B330,'in-situ Acer outplants'!D:M,10,FALSE)&lt;&gt;0,"TRUE", "FALSE")),"Completed",DATE(year(A330), month(A330)+1, day(A330)))</f>
        <v>#N/A</v>
      </c>
      <c r="G330" s="1360" t="str">
        <f>IF(AND('in-situ Acer outplants'!D:D=B330,IF(VLOOKUP(B330,'in-situ Acer outplants'!D:T,17,FALSE)&lt;&gt;0,"TRUE", "FALSE")),"Completed",DATE(year(A330)+1, month(A330), day(A330)))</f>
        <v>#N/A</v>
      </c>
      <c r="H330" s="1360"/>
      <c r="I330" s="1360"/>
      <c r="J330" s="1360"/>
      <c r="K330" s="1360"/>
      <c r="L330" s="1360"/>
      <c r="M330" s="1360"/>
      <c r="N330" s="1360"/>
      <c r="O330" s="1371"/>
      <c r="P330" s="1385"/>
      <c r="Q330" s="1360"/>
      <c r="R330" s="1360"/>
      <c r="S330" s="1360"/>
      <c r="T330" s="1360"/>
      <c r="U330" s="1360"/>
      <c r="V330" s="1360"/>
      <c r="W330" s="1360"/>
      <c r="X330" s="1360"/>
      <c r="Y330" s="1360"/>
      <c r="Z330" s="1360"/>
      <c r="AA330" s="1360"/>
      <c r="AB330" s="1360"/>
      <c r="AC330" s="1360"/>
      <c r="AD330" s="1371"/>
      <c r="AE330" s="1360"/>
      <c r="AF330" s="1360"/>
      <c r="AG330" s="1360"/>
    </row>
    <row r="331">
      <c r="A331" s="1356"/>
      <c r="B331" s="1357"/>
      <c r="C331" s="224"/>
      <c r="D331" s="1366">
        <f t="shared" si="1"/>
        <v>693992</v>
      </c>
      <c r="E331" s="1366">
        <f t="shared" si="2"/>
        <v>365</v>
      </c>
      <c r="F331" s="224" t="str">
        <f>IF(AND('in-situ Acer outplants'!D:D=B331,IF(VLOOKUP(B331,'in-situ Acer outplants'!D:M,10,FALSE)&lt;&gt;0,"TRUE", "FALSE")),"Completed",DATE(year(A331), month(A331)+1, day(A331)))</f>
        <v>#N/A</v>
      </c>
      <c r="G331" s="1360" t="str">
        <f>IF(AND('in-situ Acer outplants'!D:D=B331,IF(VLOOKUP(B331,'in-situ Acer outplants'!D:T,17,FALSE)&lt;&gt;0,"TRUE", "FALSE")),"Completed",DATE(year(A331)+1, month(A331), day(A331)))</f>
        <v>#N/A</v>
      </c>
      <c r="H331" s="1360"/>
      <c r="I331" s="1360"/>
      <c r="J331" s="1360"/>
      <c r="K331" s="1360"/>
      <c r="L331" s="1360"/>
      <c r="M331" s="1360"/>
      <c r="N331" s="1360"/>
      <c r="O331" s="1371"/>
      <c r="P331" s="1385"/>
      <c r="Q331" s="1360"/>
      <c r="R331" s="1360"/>
      <c r="S331" s="1360"/>
      <c r="T331" s="1360"/>
      <c r="U331" s="1360"/>
      <c r="V331" s="1360"/>
      <c r="W331" s="1360"/>
      <c r="X331" s="1360"/>
      <c r="Y331" s="1360"/>
      <c r="Z331" s="1360"/>
      <c r="AA331" s="1360"/>
      <c r="AB331" s="1360"/>
      <c r="AC331" s="1360"/>
      <c r="AD331" s="1371"/>
      <c r="AE331" s="1360"/>
      <c r="AF331" s="1360"/>
      <c r="AG331" s="1360"/>
    </row>
    <row r="332">
      <c r="A332" s="1356"/>
      <c r="B332" s="1357"/>
      <c r="C332" s="224"/>
      <c r="D332" s="1366">
        <f t="shared" si="1"/>
        <v>693992</v>
      </c>
      <c r="E332" s="1366">
        <f t="shared" si="2"/>
        <v>365</v>
      </c>
      <c r="F332" s="224" t="str">
        <f>IF(AND('in-situ Acer outplants'!D:D=B332,IF(VLOOKUP(B332,'in-situ Acer outplants'!D:M,10,FALSE)&lt;&gt;0,"TRUE", "FALSE")),"Completed",DATE(year(A332), month(A332)+1, day(A332)))</f>
        <v>#N/A</v>
      </c>
      <c r="G332" s="1360" t="str">
        <f>IF(AND('in-situ Acer outplants'!D:D=B332,IF(VLOOKUP(B332,'in-situ Acer outplants'!D:T,17,FALSE)&lt;&gt;0,"TRUE", "FALSE")),"Completed",DATE(year(A332)+1, month(A332), day(A332)))</f>
        <v>#N/A</v>
      </c>
      <c r="H332" s="1360"/>
      <c r="I332" s="1360"/>
      <c r="J332" s="1360"/>
      <c r="K332" s="1360"/>
      <c r="L332" s="1360"/>
      <c r="M332" s="1360"/>
      <c r="N332" s="1360"/>
      <c r="O332" s="1371"/>
      <c r="P332" s="1385"/>
      <c r="Q332" s="1360"/>
      <c r="R332" s="1360"/>
      <c r="S332" s="1360"/>
      <c r="T332" s="1360"/>
      <c r="U332" s="1360"/>
      <c r="V332" s="1360"/>
      <c r="W332" s="1360"/>
      <c r="X332" s="1360"/>
      <c r="Y332" s="1360"/>
      <c r="Z332" s="1360"/>
      <c r="AA332" s="1360"/>
      <c r="AB332" s="1360"/>
      <c r="AC332" s="1360"/>
      <c r="AD332" s="1371"/>
      <c r="AE332" s="1360"/>
      <c r="AF332" s="1360"/>
      <c r="AG332" s="1360"/>
    </row>
    <row r="333">
      <c r="A333" s="1356"/>
      <c r="B333" s="1357"/>
      <c r="C333" s="224"/>
      <c r="D333" s="1366">
        <f t="shared" si="1"/>
        <v>693992</v>
      </c>
      <c r="E333" s="1366">
        <f t="shared" si="2"/>
        <v>365</v>
      </c>
      <c r="F333" s="224" t="str">
        <f>IF(AND('in-situ Acer outplants'!D:D=B333,IF(VLOOKUP(B333,'in-situ Acer outplants'!D:M,10,FALSE)&lt;&gt;0,"TRUE", "FALSE")),"Completed",DATE(year(A333), month(A333)+1, day(A333)))</f>
        <v>#N/A</v>
      </c>
      <c r="G333" s="1360" t="str">
        <f>IF(AND('in-situ Acer outplants'!D:D=B333,IF(VLOOKUP(B333,'in-situ Acer outplants'!D:T,17,FALSE)&lt;&gt;0,"TRUE", "FALSE")),"Completed",DATE(year(A333)+1, month(A333), day(A333)))</f>
        <v>#N/A</v>
      </c>
      <c r="H333" s="1360"/>
      <c r="I333" s="1360"/>
      <c r="J333" s="1360"/>
      <c r="K333" s="1360"/>
      <c r="L333" s="1360"/>
      <c r="M333" s="1360"/>
      <c r="N333" s="1360"/>
      <c r="O333" s="1371"/>
      <c r="P333" s="1385"/>
      <c r="Q333" s="1360"/>
      <c r="R333" s="1360"/>
      <c r="S333" s="1360"/>
      <c r="T333" s="1360"/>
      <c r="U333" s="1360"/>
      <c r="V333" s="1360"/>
      <c r="W333" s="1360"/>
      <c r="X333" s="1360"/>
      <c r="Y333" s="1360"/>
      <c r="Z333" s="1360"/>
      <c r="AA333" s="1360"/>
      <c r="AB333" s="1360"/>
      <c r="AC333" s="1360"/>
      <c r="AD333" s="1371"/>
      <c r="AE333" s="1360"/>
      <c r="AF333" s="1360"/>
      <c r="AG333" s="1360"/>
    </row>
    <row r="334">
      <c r="A334" s="1356"/>
      <c r="B334" s="1357"/>
      <c r="C334" s="224"/>
      <c r="D334" s="1366">
        <f t="shared" si="1"/>
        <v>693992</v>
      </c>
      <c r="E334" s="1366">
        <f t="shared" si="2"/>
        <v>365</v>
      </c>
      <c r="F334" s="224" t="str">
        <f>IF(AND('in-situ Acer outplants'!D:D=B334,IF(VLOOKUP(B334,'in-situ Acer outplants'!D:M,10,FALSE)&lt;&gt;0,"TRUE", "FALSE")),"Completed",DATE(year(A334), month(A334)+1, day(A334)))</f>
        <v>#N/A</v>
      </c>
      <c r="G334" s="1360" t="str">
        <f>IF(AND('in-situ Acer outplants'!D:D=B334,IF(VLOOKUP(B334,'in-situ Acer outplants'!D:T,17,FALSE)&lt;&gt;0,"TRUE", "FALSE")),"Completed",DATE(year(A334)+1, month(A334), day(A334)))</f>
        <v>#N/A</v>
      </c>
      <c r="H334" s="1360"/>
      <c r="I334" s="1360"/>
      <c r="J334" s="1360"/>
      <c r="K334" s="1360"/>
      <c r="L334" s="1360"/>
      <c r="M334" s="1360"/>
      <c r="N334" s="1360"/>
      <c r="O334" s="1371"/>
      <c r="P334" s="1385"/>
      <c r="Q334" s="1360"/>
      <c r="R334" s="1360"/>
      <c r="S334" s="1360"/>
      <c r="T334" s="1360"/>
      <c r="U334" s="1360"/>
      <c r="V334" s="1360"/>
      <c r="W334" s="1360"/>
      <c r="X334" s="1360"/>
      <c r="Y334" s="1360"/>
      <c r="Z334" s="1360"/>
      <c r="AA334" s="1360"/>
      <c r="AB334" s="1360"/>
      <c r="AC334" s="1360"/>
      <c r="AD334" s="1371"/>
      <c r="AE334" s="1360"/>
      <c r="AF334" s="1360"/>
      <c r="AG334" s="1360"/>
    </row>
    <row r="335">
      <c r="A335" s="1356"/>
      <c r="B335" s="1357"/>
      <c r="C335" s="224"/>
      <c r="D335" s="1366">
        <f t="shared" si="1"/>
        <v>693992</v>
      </c>
      <c r="E335" s="1366">
        <f t="shared" si="2"/>
        <v>365</v>
      </c>
      <c r="F335" s="224" t="str">
        <f>IF(AND('in-situ Acer outplants'!D:D=B335,IF(VLOOKUP(B335,'in-situ Acer outplants'!D:M,10,FALSE)&lt;&gt;0,"TRUE", "FALSE")),"Completed",DATE(year(A335), month(A335)+1, day(A335)))</f>
        <v>#N/A</v>
      </c>
      <c r="G335" s="1360" t="str">
        <f>IF(AND('in-situ Acer outplants'!D:D=B335,IF(VLOOKUP(B335,'in-situ Acer outplants'!D:T,17,FALSE)&lt;&gt;0,"TRUE", "FALSE")),"Completed",DATE(year(A335)+1, month(A335), day(A335)))</f>
        <v>#N/A</v>
      </c>
      <c r="H335" s="1360"/>
      <c r="I335" s="1360"/>
      <c r="J335" s="1360"/>
      <c r="K335" s="1360"/>
      <c r="L335" s="1360"/>
      <c r="M335" s="1360"/>
      <c r="N335" s="1360"/>
      <c r="O335" s="1371"/>
      <c r="P335" s="1385"/>
      <c r="Q335" s="1360"/>
      <c r="R335" s="1360"/>
      <c r="S335" s="1360"/>
      <c r="T335" s="1360"/>
      <c r="U335" s="1360"/>
      <c r="V335" s="1360"/>
      <c r="W335" s="1360"/>
      <c r="X335" s="1360"/>
      <c r="Y335" s="1360"/>
      <c r="Z335" s="1360"/>
      <c r="AA335" s="1360"/>
      <c r="AB335" s="1360"/>
      <c r="AC335" s="1360"/>
      <c r="AD335" s="1371"/>
      <c r="AE335" s="1360"/>
      <c r="AF335" s="1360"/>
      <c r="AG335" s="1360"/>
    </row>
    <row r="336">
      <c r="A336" s="1356"/>
      <c r="B336" s="1357"/>
      <c r="C336" s="224"/>
      <c r="D336" s="1366">
        <f t="shared" si="1"/>
        <v>693992</v>
      </c>
      <c r="E336" s="1366">
        <f t="shared" si="2"/>
        <v>365</v>
      </c>
      <c r="F336" s="224" t="str">
        <f>IF(AND('in-situ Acer outplants'!D:D=B336,IF(VLOOKUP(B336,'in-situ Acer outplants'!D:M,10,FALSE)&lt;&gt;0,"TRUE", "FALSE")),"Completed",DATE(year(A336), month(A336)+1, day(A336)))</f>
        <v>#N/A</v>
      </c>
      <c r="G336" s="1360" t="str">
        <f>IF(AND('in-situ Acer outplants'!D:D=B336,IF(VLOOKUP(B336,'in-situ Acer outplants'!D:T,17,FALSE)&lt;&gt;0,"TRUE", "FALSE")),"Completed",DATE(year(A336)+1, month(A336), day(A336)))</f>
        <v>#N/A</v>
      </c>
      <c r="H336" s="1360"/>
      <c r="I336" s="1360"/>
      <c r="J336" s="1360"/>
      <c r="K336" s="1360"/>
      <c r="L336" s="1360"/>
      <c r="M336" s="1360"/>
      <c r="N336" s="1360"/>
      <c r="O336" s="1371"/>
      <c r="P336" s="1385"/>
      <c r="Q336" s="1360"/>
      <c r="R336" s="1360"/>
      <c r="S336" s="1360"/>
      <c r="T336" s="1360"/>
      <c r="U336" s="1360"/>
      <c r="V336" s="1360"/>
      <c r="W336" s="1360"/>
      <c r="X336" s="1360"/>
      <c r="Y336" s="1360"/>
      <c r="Z336" s="1360"/>
      <c r="AA336" s="1360"/>
      <c r="AB336" s="1360"/>
      <c r="AC336" s="1360"/>
      <c r="AD336" s="1371"/>
      <c r="AE336" s="1360"/>
      <c r="AF336" s="1360"/>
      <c r="AG336" s="1360"/>
    </row>
    <row r="337">
      <c r="A337" s="1356"/>
      <c r="B337" s="1357"/>
      <c r="C337" s="224"/>
      <c r="D337" s="1366">
        <f t="shared" si="1"/>
        <v>693992</v>
      </c>
      <c r="E337" s="1366">
        <f t="shared" si="2"/>
        <v>365</v>
      </c>
      <c r="F337" s="224" t="str">
        <f>IF(AND('in-situ Acer outplants'!D:D=B337,IF(VLOOKUP(B337,'in-situ Acer outplants'!D:M,10,FALSE)&lt;&gt;0,"TRUE", "FALSE")),"Completed",DATE(year(A337), month(A337)+1, day(A337)))</f>
        <v>#N/A</v>
      </c>
      <c r="G337" s="1360" t="str">
        <f>IF(AND('in-situ Acer outplants'!D:D=B337,IF(VLOOKUP(B337,'in-situ Acer outplants'!D:T,17,FALSE)&lt;&gt;0,"TRUE", "FALSE")),"Completed",DATE(year(A337)+1, month(A337), day(A337)))</f>
        <v>#N/A</v>
      </c>
      <c r="H337" s="1360"/>
      <c r="I337" s="1360"/>
      <c r="J337" s="1360"/>
      <c r="K337" s="1360"/>
      <c r="L337" s="1360"/>
      <c r="M337" s="1360"/>
      <c r="N337" s="1360"/>
      <c r="O337" s="1371"/>
      <c r="P337" s="1385"/>
      <c r="Q337" s="1360"/>
      <c r="R337" s="1360"/>
      <c r="S337" s="1360"/>
      <c r="T337" s="1360"/>
      <c r="U337" s="1360"/>
      <c r="V337" s="1360"/>
      <c r="W337" s="1360"/>
      <c r="X337" s="1360"/>
      <c r="Y337" s="1360"/>
      <c r="Z337" s="1360"/>
      <c r="AA337" s="1360"/>
      <c r="AB337" s="1360"/>
      <c r="AC337" s="1360"/>
      <c r="AD337" s="1371"/>
      <c r="AE337" s="1360"/>
      <c r="AF337" s="1360"/>
      <c r="AG337" s="1360"/>
    </row>
    <row r="338">
      <c r="A338" s="1356"/>
      <c r="B338" s="1357"/>
      <c r="C338" s="224"/>
      <c r="D338" s="1366">
        <f t="shared" si="1"/>
        <v>693992</v>
      </c>
      <c r="E338" s="1366">
        <f t="shared" si="2"/>
        <v>365</v>
      </c>
      <c r="F338" s="224" t="str">
        <f>IF(AND('in-situ Acer outplants'!D:D=B338,IF(VLOOKUP(B338,'in-situ Acer outplants'!D:M,10,FALSE)&lt;&gt;0,"TRUE", "FALSE")),"Completed",DATE(year(A338), month(A338)+1, day(A338)))</f>
        <v>#N/A</v>
      </c>
      <c r="G338" s="1360" t="str">
        <f>IF(AND('in-situ Acer outplants'!D:D=B338,IF(VLOOKUP(B338,'in-situ Acer outplants'!D:T,17,FALSE)&lt;&gt;0,"TRUE", "FALSE")),"Completed",DATE(year(A338)+1, month(A338), day(A338)))</f>
        <v>#N/A</v>
      </c>
      <c r="H338" s="1360"/>
      <c r="I338" s="1360"/>
      <c r="J338" s="1360"/>
      <c r="K338" s="1360"/>
      <c r="L338" s="1360"/>
      <c r="M338" s="1360"/>
      <c r="N338" s="1360"/>
      <c r="O338" s="1371"/>
      <c r="P338" s="1385"/>
      <c r="Q338" s="1360"/>
      <c r="R338" s="1360"/>
      <c r="S338" s="1360"/>
      <c r="T338" s="1360"/>
      <c r="U338" s="1360"/>
      <c r="V338" s="1360"/>
      <c r="W338" s="1360"/>
      <c r="X338" s="1360"/>
      <c r="Y338" s="1360"/>
      <c r="Z338" s="1360"/>
      <c r="AA338" s="1360"/>
      <c r="AB338" s="1360"/>
      <c r="AC338" s="1360"/>
      <c r="AD338" s="1371"/>
      <c r="AE338" s="1360"/>
      <c r="AF338" s="1360"/>
      <c r="AG338" s="1360"/>
    </row>
    <row r="339">
      <c r="A339" s="1356"/>
      <c r="B339" s="1357"/>
      <c r="C339" s="224"/>
      <c r="D339" s="1366">
        <f t="shared" si="1"/>
        <v>693992</v>
      </c>
      <c r="E339" s="1366">
        <f t="shared" si="2"/>
        <v>365</v>
      </c>
      <c r="F339" s="224" t="str">
        <f>IF(AND('in-situ Acer outplants'!D:D=B339,IF(VLOOKUP(B339,'in-situ Acer outplants'!D:M,10,FALSE)&lt;&gt;0,"TRUE", "FALSE")),"Completed",DATE(year(A339), month(A339)+1, day(A339)))</f>
        <v>#N/A</v>
      </c>
      <c r="G339" s="1360" t="str">
        <f>IF(AND('in-situ Acer outplants'!D:D=B339,IF(VLOOKUP(B339,'in-situ Acer outplants'!D:T,17,FALSE)&lt;&gt;0,"TRUE", "FALSE")),"Completed",DATE(year(A339)+1, month(A339), day(A339)))</f>
        <v>#N/A</v>
      </c>
      <c r="H339" s="1360"/>
      <c r="I339" s="1360"/>
      <c r="J339" s="1360"/>
      <c r="K339" s="1360"/>
      <c r="L339" s="1360"/>
      <c r="M339" s="1360"/>
      <c r="N339" s="1360"/>
      <c r="O339" s="1371"/>
      <c r="P339" s="1385"/>
      <c r="Q339" s="1360"/>
      <c r="R339" s="1360"/>
      <c r="S339" s="1360"/>
      <c r="T339" s="1360"/>
      <c r="U339" s="1360"/>
      <c r="V339" s="1360"/>
      <c r="W339" s="1360"/>
      <c r="X339" s="1360"/>
      <c r="Y339" s="1360"/>
      <c r="Z339" s="1360"/>
      <c r="AA339" s="1360"/>
      <c r="AB339" s="1360"/>
      <c r="AC339" s="1360"/>
      <c r="AD339" s="1371"/>
      <c r="AE339" s="1360"/>
      <c r="AF339" s="1360"/>
      <c r="AG339" s="1360"/>
    </row>
    <row r="340">
      <c r="A340" s="1356"/>
      <c r="B340" s="1357"/>
      <c r="C340" s="224"/>
      <c r="D340" s="1366">
        <f t="shared" si="1"/>
        <v>693992</v>
      </c>
      <c r="E340" s="1366">
        <f t="shared" si="2"/>
        <v>365</v>
      </c>
      <c r="F340" s="224" t="str">
        <f>IF(AND('in-situ Acer outplants'!D:D=B340,IF(VLOOKUP(B340,'in-situ Acer outplants'!D:M,10,FALSE)&lt;&gt;0,"TRUE", "FALSE")),"Completed",DATE(year(A340), month(A340)+1, day(A340)))</f>
        <v>#N/A</v>
      </c>
      <c r="G340" s="1360" t="str">
        <f>IF(AND('in-situ Acer outplants'!D:D=B340,IF(VLOOKUP(B340,'in-situ Acer outplants'!D:T,17,FALSE)&lt;&gt;0,"TRUE", "FALSE")),"Completed",DATE(year(A340)+1, month(A340), day(A340)))</f>
        <v>#N/A</v>
      </c>
      <c r="H340" s="1360"/>
      <c r="I340" s="1360"/>
      <c r="J340" s="1360"/>
      <c r="K340" s="1360"/>
      <c r="L340" s="1360"/>
      <c r="M340" s="1360"/>
      <c r="N340" s="1360"/>
      <c r="O340" s="1371"/>
      <c r="P340" s="1385"/>
      <c r="Q340" s="1360"/>
      <c r="R340" s="1360"/>
      <c r="S340" s="1360"/>
      <c r="T340" s="1360"/>
      <c r="U340" s="1360"/>
      <c r="V340" s="1360"/>
      <c r="W340" s="1360"/>
      <c r="X340" s="1360"/>
      <c r="Y340" s="1360"/>
      <c r="Z340" s="1360"/>
      <c r="AA340" s="1360"/>
      <c r="AB340" s="1360"/>
      <c r="AC340" s="1360"/>
      <c r="AD340" s="1371"/>
      <c r="AE340" s="1360"/>
      <c r="AF340" s="1360"/>
      <c r="AG340" s="1360"/>
    </row>
    <row r="341">
      <c r="A341" s="1356"/>
      <c r="B341" s="1357"/>
      <c r="C341" s="224"/>
      <c r="D341" s="1366">
        <f t="shared" si="1"/>
        <v>693992</v>
      </c>
      <c r="E341" s="1366">
        <f t="shared" si="2"/>
        <v>365</v>
      </c>
      <c r="F341" s="224" t="str">
        <f>IF(AND('in-situ Acer outplants'!D:D=B341,IF(VLOOKUP(B341,'in-situ Acer outplants'!D:M,10,FALSE)&lt;&gt;0,"TRUE", "FALSE")),"Completed",DATE(year(A341), month(A341)+1, day(A341)))</f>
        <v>#N/A</v>
      </c>
      <c r="G341" s="1360" t="str">
        <f>IF(AND('in-situ Acer outplants'!D:D=B341,IF(VLOOKUP(B341,'in-situ Acer outplants'!D:T,17,FALSE)&lt;&gt;0,"TRUE", "FALSE")),"Completed",DATE(year(A341)+1, month(A341), day(A341)))</f>
        <v>#N/A</v>
      </c>
      <c r="H341" s="1360"/>
      <c r="I341" s="1360"/>
      <c r="J341" s="1360"/>
      <c r="K341" s="1360"/>
      <c r="L341" s="1360"/>
      <c r="M341" s="1360"/>
      <c r="N341" s="1360"/>
      <c r="O341" s="1371"/>
      <c r="P341" s="1385"/>
      <c r="Q341" s="1360"/>
      <c r="R341" s="1360"/>
      <c r="S341" s="1360"/>
      <c r="T341" s="1360"/>
      <c r="U341" s="1360"/>
      <c r="V341" s="1360"/>
      <c r="W341" s="1360"/>
      <c r="X341" s="1360"/>
      <c r="Y341" s="1360"/>
      <c r="Z341" s="1360"/>
      <c r="AA341" s="1360"/>
      <c r="AB341" s="1360"/>
      <c r="AC341" s="1360"/>
      <c r="AD341" s="1371"/>
      <c r="AE341" s="1360"/>
      <c r="AF341" s="1360"/>
      <c r="AG341" s="1360"/>
    </row>
    <row r="342">
      <c r="A342" s="1356"/>
      <c r="B342" s="1357"/>
      <c r="C342" s="224"/>
      <c r="D342" s="1366">
        <f t="shared" si="1"/>
        <v>693992</v>
      </c>
      <c r="E342" s="1366">
        <f t="shared" si="2"/>
        <v>365</v>
      </c>
      <c r="F342" s="224" t="str">
        <f>IF(AND('in-situ Acer outplants'!D:D=B342,IF(VLOOKUP(B342,'in-situ Acer outplants'!D:M,10,FALSE)&lt;&gt;0,"TRUE", "FALSE")),"Completed",DATE(year(A342), month(A342)+1, day(A342)))</f>
        <v>#N/A</v>
      </c>
      <c r="G342" s="1360" t="str">
        <f>IF(AND('in-situ Acer outplants'!D:D=B342,IF(VLOOKUP(B342,'in-situ Acer outplants'!D:T,17,FALSE)&lt;&gt;0,"TRUE", "FALSE")),"Completed",DATE(year(A342)+1, month(A342), day(A342)))</f>
        <v>#N/A</v>
      </c>
      <c r="H342" s="1360"/>
      <c r="I342" s="1360"/>
      <c r="J342" s="1360"/>
      <c r="K342" s="1360"/>
      <c r="L342" s="1360"/>
      <c r="M342" s="1360"/>
      <c r="N342" s="1360"/>
      <c r="O342" s="1371"/>
      <c r="P342" s="1385"/>
      <c r="Q342" s="1360"/>
      <c r="R342" s="1360"/>
      <c r="S342" s="1360"/>
      <c r="T342" s="1360"/>
      <c r="U342" s="1360"/>
      <c r="V342" s="1360"/>
      <c r="W342" s="1360"/>
      <c r="X342" s="1360"/>
      <c r="Y342" s="1360"/>
      <c r="Z342" s="1360"/>
      <c r="AA342" s="1360"/>
      <c r="AB342" s="1360"/>
      <c r="AC342" s="1360"/>
      <c r="AD342" s="1371"/>
      <c r="AE342" s="1360"/>
      <c r="AF342" s="1360"/>
      <c r="AG342" s="1360"/>
    </row>
    <row r="343">
      <c r="A343" s="1356"/>
      <c r="B343" s="1357"/>
      <c r="C343" s="224"/>
      <c r="D343" s="1366">
        <f t="shared" si="1"/>
        <v>693992</v>
      </c>
      <c r="E343" s="1366">
        <f t="shared" si="2"/>
        <v>365</v>
      </c>
      <c r="F343" s="224" t="str">
        <f>IF(AND('in-situ Acer outplants'!D:D=B343,IF(VLOOKUP(B343,'in-situ Acer outplants'!D:M,10,FALSE)&lt;&gt;0,"TRUE", "FALSE")),"Completed",DATE(year(A343), month(A343)+1, day(A343)))</f>
        <v>#N/A</v>
      </c>
      <c r="G343" s="1360" t="str">
        <f>IF(AND('in-situ Acer outplants'!D:D=B343,IF(VLOOKUP(B343,'in-situ Acer outplants'!D:T,17,FALSE)&lt;&gt;0,"TRUE", "FALSE")),"Completed",DATE(year(A343)+1, month(A343), day(A343)))</f>
        <v>#N/A</v>
      </c>
      <c r="H343" s="1360"/>
      <c r="I343" s="1360"/>
      <c r="J343" s="1360"/>
      <c r="K343" s="1360"/>
      <c r="L343" s="1360"/>
      <c r="M343" s="1360"/>
      <c r="N343" s="1360"/>
      <c r="O343" s="1371"/>
      <c r="P343" s="1385"/>
      <c r="Q343" s="1360"/>
      <c r="R343" s="1360"/>
      <c r="S343" s="1360"/>
      <c r="T343" s="1360"/>
      <c r="U343" s="1360"/>
      <c r="V343" s="1360"/>
      <c r="W343" s="1360"/>
      <c r="X343" s="1360"/>
      <c r="Y343" s="1360"/>
      <c r="Z343" s="1360"/>
      <c r="AA343" s="1360"/>
      <c r="AB343" s="1360"/>
      <c r="AC343" s="1360"/>
      <c r="AD343" s="1371"/>
      <c r="AE343" s="1360"/>
      <c r="AF343" s="1360"/>
      <c r="AG343" s="1360"/>
    </row>
    <row r="344">
      <c r="A344" s="1356"/>
      <c r="B344" s="1357"/>
      <c r="C344" s="224"/>
      <c r="D344" s="1366">
        <f t="shared" si="1"/>
        <v>693992</v>
      </c>
      <c r="E344" s="1366">
        <f t="shared" si="2"/>
        <v>365</v>
      </c>
      <c r="F344" s="224" t="str">
        <f>IF(AND('in-situ Acer outplants'!D:D=B344,IF(VLOOKUP(B344,'in-situ Acer outplants'!D:M,10,FALSE)&lt;&gt;0,"TRUE", "FALSE")),"Completed",DATE(year(A344), month(A344)+1, day(A344)))</f>
        <v>#N/A</v>
      </c>
      <c r="G344" s="1360" t="str">
        <f>IF(AND('in-situ Acer outplants'!D:D=B344,IF(VLOOKUP(B344,'in-situ Acer outplants'!D:T,17,FALSE)&lt;&gt;0,"TRUE", "FALSE")),"Completed",DATE(year(A344)+1, month(A344), day(A344)))</f>
        <v>#N/A</v>
      </c>
      <c r="H344" s="1360"/>
      <c r="I344" s="1360"/>
      <c r="J344" s="1360"/>
      <c r="K344" s="1360"/>
      <c r="L344" s="1360"/>
      <c r="M344" s="1360"/>
      <c r="N344" s="1360"/>
      <c r="O344" s="1371"/>
      <c r="P344" s="1385"/>
      <c r="Q344" s="1360"/>
      <c r="R344" s="1360"/>
      <c r="S344" s="1360"/>
      <c r="T344" s="1360"/>
      <c r="U344" s="1360"/>
      <c r="V344" s="1360"/>
      <c r="W344" s="1360"/>
      <c r="X344" s="1360"/>
      <c r="Y344" s="1360"/>
      <c r="Z344" s="1360"/>
      <c r="AA344" s="1360"/>
      <c r="AB344" s="1360"/>
      <c r="AC344" s="1360"/>
      <c r="AD344" s="1371"/>
      <c r="AE344" s="1360"/>
      <c r="AF344" s="1360"/>
      <c r="AG344" s="1360"/>
    </row>
    <row r="345">
      <c r="A345" s="1356"/>
      <c r="B345" s="1357"/>
      <c r="C345" s="224"/>
      <c r="D345" s="1366">
        <f t="shared" si="1"/>
        <v>693992</v>
      </c>
      <c r="E345" s="1366">
        <f t="shared" si="2"/>
        <v>365</v>
      </c>
      <c r="F345" s="224" t="str">
        <f>IF(AND('in-situ Acer outplants'!D:D=B345,IF(VLOOKUP(B345,'in-situ Acer outplants'!D:M,10,FALSE)&lt;&gt;0,"TRUE", "FALSE")),"Completed",DATE(year(A345), month(A345)+1, day(A345)))</f>
        <v>#N/A</v>
      </c>
      <c r="G345" s="1360" t="str">
        <f>IF(AND('in-situ Acer outplants'!D:D=B345,IF(VLOOKUP(B345,'in-situ Acer outplants'!D:T,17,FALSE)&lt;&gt;0,"TRUE", "FALSE")),"Completed",DATE(year(A345)+1, month(A345), day(A345)))</f>
        <v>#N/A</v>
      </c>
      <c r="H345" s="1360"/>
      <c r="I345" s="1360"/>
      <c r="J345" s="1360"/>
      <c r="K345" s="1360"/>
      <c r="L345" s="1360"/>
      <c r="M345" s="1360"/>
      <c r="N345" s="1360"/>
      <c r="O345" s="1371"/>
      <c r="P345" s="1385"/>
      <c r="Q345" s="1360"/>
      <c r="R345" s="1360"/>
      <c r="S345" s="1360"/>
      <c r="T345" s="1360"/>
      <c r="U345" s="1360"/>
      <c r="V345" s="1360"/>
      <c r="W345" s="1360"/>
      <c r="X345" s="1360"/>
      <c r="Y345" s="1360"/>
      <c r="Z345" s="1360"/>
      <c r="AA345" s="1360"/>
      <c r="AB345" s="1360"/>
      <c r="AC345" s="1360"/>
      <c r="AD345" s="1371"/>
      <c r="AE345" s="1360"/>
      <c r="AF345" s="1360"/>
      <c r="AG345" s="1360"/>
    </row>
    <row r="346">
      <c r="A346" s="1356"/>
      <c r="B346" s="1357"/>
      <c r="C346" s="224"/>
      <c r="D346" s="1366">
        <f t="shared" si="1"/>
        <v>693992</v>
      </c>
      <c r="E346" s="1366">
        <f t="shared" si="2"/>
        <v>365</v>
      </c>
      <c r="F346" s="224" t="str">
        <f>IF(AND('in-situ Acer outplants'!D:D=B346,IF(VLOOKUP(B346,'in-situ Acer outplants'!D:M,10,FALSE)&lt;&gt;0,"TRUE", "FALSE")),"Completed",DATE(year(A346), month(A346)+1, day(A346)))</f>
        <v>#N/A</v>
      </c>
      <c r="G346" s="1360" t="str">
        <f>IF(AND('in-situ Acer outplants'!D:D=B346,IF(VLOOKUP(B346,'in-situ Acer outplants'!D:T,17,FALSE)&lt;&gt;0,"TRUE", "FALSE")),"Completed",DATE(year(A346)+1, month(A346), day(A346)))</f>
        <v>#N/A</v>
      </c>
      <c r="H346" s="1360"/>
      <c r="I346" s="1360"/>
      <c r="J346" s="1360"/>
      <c r="K346" s="1360"/>
      <c r="L346" s="1360"/>
      <c r="M346" s="1360"/>
      <c r="N346" s="1360"/>
      <c r="O346" s="1371"/>
      <c r="P346" s="1385"/>
      <c r="Q346" s="1360"/>
      <c r="R346" s="1360"/>
      <c r="S346" s="1360"/>
      <c r="T346" s="1360"/>
      <c r="U346" s="1360"/>
      <c r="V346" s="1360"/>
      <c r="W346" s="1360"/>
      <c r="X346" s="1360"/>
      <c r="Y346" s="1360"/>
      <c r="Z346" s="1360"/>
      <c r="AA346" s="1360"/>
      <c r="AB346" s="1360"/>
      <c r="AC346" s="1360"/>
      <c r="AD346" s="1371"/>
      <c r="AE346" s="1360"/>
      <c r="AF346" s="1360"/>
      <c r="AG346" s="1360"/>
    </row>
    <row r="347">
      <c r="A347" s="1356"/>
      <c r="B347" s="1357"/>
      <c r="C347" s="224"/>
      <c r="D347" s="1366">
        <f t="shared" si="1"/>
        <v>693992</v>
      </c>
      <c r="E347" s="1366">
        <f t="shared" si="2"/>
        <v>365</v>
      </c>
      <c r="F347" s="224" t="str">
        <f>IF(AND('in-situ Acer outplants'!D:D=B347,IF(VLOOKUP(B347,'in-situ Acer outplants'!D:M,10,FALSE)&lt;&gt;0,"TRUE", "FALSE")),"Completed",DATE(year(A347), month(A347)+1, day(A347)))</f>
        <v>#N/A</v>
      </c>
      <c r="G347" s="1360" t="str">
        <f>IF(AND('in-situ Acer outplants'!D:D=B347,IF(VLOOKUP(B347,'in-situ Acer outplants'!D:T,17,FALSE)&lt;&gt;0,"TRUE", "FALSE")),"Completed",DATE(year(A347)+1, month(A347), day(A347)))</f>
        <v>#N/A</v>
      </c>
      <c r="H347" s="1360"/>
      <c r="I347" s="1360"/>
      <c r="J347" s="1360"/>
      <c r="K347" s="1360"/>
      <c r="L347" s="1360"/>
      <c r="M347" s="1360"/>
      <c r="N347" s="1360"/>
      <c r="O347" s="1371"/>
      <c r="P347" s="1385"/>
      <c r="Q347" s="1360"/>
      <c r="R347" s="1360"/>
      <c r="S347" s="1360"/>
      <c r="T347" s="1360"/>
      <c r="U347" s="1360"/>
      <c r="V347" s="1360"/>
      <c r="W347" s="1360"/>
      <c r="X347" s="1360"/>
      <c r="Y347" s="1360"/>
      <c r="Z347" s="1360"/>
      <c r="AA347" s="1360"/>
      <c r="AB347" s="1360"/>
      <c r="AC347" s="1360"/>
      <c r="AD347" s="1371"/>
      <c r="AE347" s="1360"/>
      <c r="AF347" s="1360"/>
      <c r="AG347" s="1360"/>
    </row>
    <row r="348">
      <c r="A348" s="1356"/>
      <c r="B348" s="1357"/>
      <c r="C348" s="224"/>
      <c r="D348" s="1366">
        <f t="shared" si="1"/>
        <v>693992</v>
      </c>
      <c r="E348" s="1366">
        <f t="shared" si="2"/>
        <v>365</v>
      </c>
      <c r="F348" s="224" t="str">
        <f>IF(AND('in-situ Acer outplants'!D:D=B348,IF(VLOOKUP(B348,'in-situ Acer outplants'!D:M,10,FALSE)&lt;&gt;0,"TRUE", "FALSE")),"Completed",DATE(year(A348), month(A348)+1, day(A348)))</f>
        <v>#N/A</v>
      </c>
      <c r="G348" s="1360" t="str">
        <f>IF(AND('in-situ Acer outplants'!D:D=B348,IF(VLOOKUP(B348,'in-situ Acer outplants'!D:T,17,FALSE)&lt;&gt;0,"TRUE", "FALSE")),"Completed",DATE(year(A348)+1, month(A348), day(A348)))</f>
        <v>#N/A</v>
      </c>
      <c r="H348" s="1360"/>
      <c r="I348" s="1360"/>
      <c r="J348" s="1360"/>
      <c r="K348" s="1360"/>
      <c r="L348" s="1360"/>
      <c r="M348" s="1360"/>
      <c r="N348" s="1360"/>
      <c r="O348" s="1371"/>
      <c r="P348" s="1385"/>
      <c r="Q348" s="1360"/>
      <c r="R348" s="1360"/>
      <c r="S348" s="1360"/>
      <c r="T348" s="1360"/>
      <c r="U348" s="1360"/>
      <c r="V348" s="1360"/>
      <c r="W348" s="1360"/>
      <c r="X348" s="1360"/>
      <c r="Y348" s="1360"/>
      <c r="Z348" s="1360"/>
      <c r="AA348" s="1360"/>
      <c r="AB348" s="1360"/>
      <c r="AC348" s="1360"/>
      <c r="AD348" s="1371"/>
      <c r="AE348" s="1360"/>
      <c r="AF348" s="1360"/>
      <c r="AG348" s="1360"/>
    </row>
    <row r="349">
      <c r="A349" s="1356"/>
      <c r="B349" s="1357"/>
      <c r="C349" s="224"/>
      <c r="D349" s="1366">
        <f t="shared" si="1"/>
        <v>693992</v>
      </c>
      <c r="E349" s="1366">
        <f t="shared" si="2"/>
        <v>365</v>
      </c>
      <c r="F349" s="224" t="str">
        <f>IF(AND('in-situ Acer outplants'!D:D=B349,IF(VLOOKUP(B349,'in-situ Acer outplants'!D:M,10,FALSE)&lt;&gt;0,"TRUE", "FALSE")),"Completed",DATE(year(A349), month(A349)+1, day(A349)))</f>
        <v>#N/A</v>
      </c>
      <c r="G349" s="1360" t="str">
        <f>IF(AND('in-situ Acer outplants'!D:D=B349,IF(VLOOKUP(B349,'in-situ Acer outplants'!D:T,17,FALSE)&lt;&gt;0,"TRUE", "FALSE")),"Completed",DATE(year(A349)+1, month(A349), day(A349)))</f>
        <v>#N/A</v>
      </c>
      <c r="H349" s="1360"/>
      <c r="I349" s="1360"/>
      <c r="J349" s="1360"/>
      <c r="K349" s="1360"/>
      <c r="L349" s="1360"/>
      <c r="M349" s="1360"/>
      <c r="N349" s="1360"/>
      <c r="O349" s="1371"/>
      <c r="P349" s="1385"/>
      <c r="Q349" s="1360"/>
      <c r="R349" s="1360"/>
      <c r="S349" s="1360"/>
      <c r="T349" s="1360"/>
      <c r="U349" s="1360"/>
      <c r="V349" s="1360"/>
      <c r="W349" s="1360"/>
      <c r="X349" s="1360"/>
      <c r="Y349" s="1360"/>
      <c r="Z349" s="1360"/>
      <c r="AA349" s="1360"/>
      <c r="AB349" s="1360"/>
      <c r="AC349" s="1360"/>
      <c r="AD349" s="1371"/>
      <c r="AE349" s="1360"/>
      <c r="AF349" s="1360"/>
      <c r="AG349" s="1360"/>
    </row>
    <row r="350">
      <c r="A350" s="1356"/>
      <c r="B350" s="1357"/>
      <c r="C350" s="224"/>
      <c r="D350" s="1366">
        <f t="shared" si="1"/>
        <v>693992</v>
      </c>
      <c r="E350" s="1366">
        <f t="shared" si="2"/>
        <v>365</v>
      </c>
      <c r="F350" s="224" t="str">
        <f>IF(AND('in-situ Acer outplants'!D:D=B350,IF(VLOOKUP(B350,'in-situ Acer outplants'!D:M,10,FALSE)&lt;&gt;0,"TRUE", "FALSE")),"Completed",DATE(year(A350), month(A350)+1, day(A350)))</f>
        <v>#N/A</v>
      </c>
      <c r="G350" s="1360" t="str">
        <f>IF(AND('in-situ Acer outplants'!D:D=B350,IF(VLOOKUP(B350,'in-situ Acer outplants'!D:T,17,FALSE)&lt;&gt;0,"TRUE", "FALSE")),"Completed",DATE(year(A350)+1, month(A350), day(A350)))</f>
        <v>#N/A</v>
      </c>
      <c r="H350" s="1360"/>
      <c r="I350" s="1360"/>
      <c r="J350" s="1360"/>
      <c r="K350" s="1360"/>
      <c r="L350" s="1360"/>
      <c r="M350" s="1360"/>
      <c r="N350" s="1360"/>
      <c r="O350" s="1371"/>
      <c r="P350" s="1385"/>
      <c r="Q350" s="1360"/>
      <c r="R350" s="1360"/>
      <c r="S350" s="1360"/>
      <c r="T350" s="1360"/>
      <c r="U350" s="1360"/>
      <c r="V350" s="1360"/>
      <c r="W350" s="1360"/>
      <c r="X350" s="1360"/>
      <c r="Y350" s="1360"/>
      <c r="Z350" s="1360"/>
      <c r="AA350" s="1360"/>
      <c r="AB350" s="1360"/>
      <c r="AC350" s="1360"/>
      <c r="AD350" s="1371"/>
      <c r="AE350" s="1360"/>
      <c r="AF350" s="1360"/>
      <c r="AG350" s="1360"/>
    </row>
    <row r="351">
      <c r="A351" s="1356"/>
      <c r="B351" s="1357"/>
      <c r="C351" s="224"/>
      <c r="D351" s="1366">
        <f t="shared" si="1"/>
        <v>693992</v>
      </c>
      <c r="E351" s="1366">
        <f t="shared" si="2"/>
        <v>365</v>
      </c>
      <c r="F351" s="224" t="str">
        <f>IF(AND('in-situ Acer outplants'!D:D=B351,IF(VLOOKUP(B351,'in-situ Acer outplants'!D:M,10,FALSE)&lt;&gt;0,"TRUE", "FALSE")),"Completed",DATE(year(A351), month(A351)+1, day(A351)))</f>
        <v>#N/A</v>
      </c>
      <c r="G351" s="1360" t="str">
        <f>IF(AND('in-situ Acer outplants'!D:D=B351,IF(VLOOKUP(B351,'in-situ Acer outplants'!D:T,17,FALSE)&lt;&gt;0,"TRUE", "FALSE")),"Completed",DATE(year(A351)+1, month(A351), day(A351)))</f>
        <v>#N/A</v>
      </c>
      <c r="H351" s="1360"/>
      <c r="I351" s="1360"/>
      <c r="J351" s="1360"/>
      <c r="K351" s="1360"/>
      <c r="L351" s="1360"/>
      <c r="M351" s="1360"/>
      <c r="N351" s="1360"/>
      <c r="O351" s="1371"/>
      <c r="P351" s="1385"/>
      <c r="Q351" s="1360"/>
      <c r="R351" s="1360"/>
      <c r="S351" s="1360"/>
      <c r="T351" s="1360"/>
      <c r="U351" s="1360"/>
      <c r="V351" s="1360"/>
      <c r="W351" s="1360"/>
      <c r="X351" s="1360"/>
      <c r="Y351" s="1360"/>
      <c r="Z351" s="1360"/>
      <c r="AA351" s="1360"/>
      <c r="AB351" s="1360"/>
      <c r="AC351" s="1360"/>
      <c r="AD351" s="1371"/>
      <c r="AE351" s="1360"/>
      <c r="AF351" s="1360"/>
      <c r="AG351" s="1360"/>
    </row>
    <row r="352">
      <c r="A352" s="1356"/>
      <c r="B352" s="1357"/>
      <c r="C352" s="224"/>
      <c r="D352" s="1366">
        <f t="shared" si="1"/>
        <v>693992</v>
      </c>
      <c r="E352" s="1366">
        <f t="shared" si="2"/>
        <v>365</v>
      </c>
      <c r="F352" s="224" t="str">
        <f>IF(AND('in-situ Acer outplants'!D:D=B352,IF(VLOOKUP(B352,'in-situ Acer outplants'!D:M,10,FALSE)&lt;&gt;0,"TRUE", "FALSE")),"Completed",DATE(year(A352), month(A352)+1, day(A352)))</f>
        <v>#N/A</v>
      </c>
      <c r="G352" s="1360" t="str">
        <f>IF(AND('in-situ Acer outplants'!D:D=B352,IF(VLOOKUP(B352,'in-situ Acer outplants'!D:T,17,FALSE)&lt;&gt;0,"TRUE", "FALSE")),"Completed",DATE(year(A352)+1, month(A352), day(A352)))</f>
        <v>#N/A</v>
      </c>
      <c r="H352" s="1360"/>
      <c r="I352" s="1360"/>
      <c r="J352" s="1360"/>
      <c r="K352" s="1360"/>
      <c r="L352" s="1360"/>
      <c r="M352" s="1360"/>
      <c r="N352" s="1360"/>
      <c r="O352" s="1371"/>
      <c r="P352" s="1385"/>
      <c r="Q352" s="1360"/>
      <c r="R352" s="1360"/>
      <c r="S352" s="1360"/>
      <c r="T352" s="1360"/>
      <c r="U352" s="1360"/>
      <c r="V352" s="1360"/>
      <c r="W352" s="1360"/>
      <c r="X352" s="1360"/>
      <c r="Y352" s="1360"/>
      <c r="Z352" s="1360"/>
      <c r="AA352" s="1360"/>
      <c r="AB352" s="1360"/>
      <c r="AC352" s="1360"/>
      <c r="AD352" s="1371"/>
      <c r="AE352" s="1360"/>
      <c r="AF352" s="1360"/>
      <c r="AG352" s="1360"/>
    </row>
    <row r="353">
      <c r="A353" s="1356"/>
      <c r="B353" s="1357"/>
      <c r="C353" s="224"/>
      <c r="D353" s="1366">
        <f t="shared" si="1"/>
        <v>693992</v>
      </c>
      <c r="E353" s="1366">
        <f t="shared" si="2"/>
        <v>365</v>
      </c>
      <c r="F353" s="224" t="str">
        <f>IF(AND('in-situ Acer outplants'!D:D=B353,IF(VLOOKUP(B353,'in-situ Acer outplants'!D:M,10,FALSE)&lt;&gt;0,"TRUE", "FALSE")),"Completed",DATE(year(A353), month(A353)+1, day(A353)))</f>
        <v>#N/A</v>
      </c>
      <c r="G353" s="1360" t="str">
        <f>IF(AND('in-situ Acer outplants'!D:D=B353,IF(VLOOKUP(B353,'in-situ Acer outplants'!D:T,17,FALSE)&lt;&gt;0,"TRUE", "FALSE")),"Completed",DATE(year(A353)+1, month(A353), day(A353)))</f>
        <v>#N/A</v>
      </c>
      <c r="H353" s="1360"/>
      <c r="I353" s="1360"/>
      <c r="J353" s="1360"/>
      <c r="K353" s="1360"/>
      <c r="L353" s="1360"/>
      <c r="M353" s="1360"/>
      <c r="N353" s="1360"/>
      <c r="O353" s="1371"/>
      <c r="P353" s="1385"/>
      <c r="Q353" s="1360"/>
      <c r="R353" s="1360"/>
      <c r="S353" s="1360"/>
      <c r="T353" s="1360"/>
      <c r="U353" s="1360"/>
      <c r="V353" s="1360"/>
      <c r="W353" s="1360"/>
      <c r="X353" s="1360"/>
      <c r="Y353" s="1360"/>
      <c r="Z353" s="1360"/>
      <c r="AA353" s="1360"/>
      <c r="AB353" s="1360"/>
      <c r="AC353" s="1360"/>
      <c r="AD353" s="1371"/>
      <c r="AE353" s="1360"/>
      <c r="AF353" s="1360"/>
      <c r="AG353" s="1360"/>
    </row>
    <row r="354">
      <c r="A354" s="1356"/>
      <c r="B354" s="1357"/>
      <c r="C354" s="224"/>
      <c r="D354" s="1366">
        <f t="shared" si="1"/>
        <v>693992</v>
      </c>
      <c r="E354" s="1366">
        <f t="shared" si="2"/>
        <v>365</v>
      </c>
      <c r="F354" s="224" t="str">
        <f>IF(AND('in-situ Acer outplants'!D:D=B354,IF(VLOOKUP(B354,'in-situ Acer outplants'!D:M,10,FALSE)&lt;&gt;0,"TRUE", "FALSE")),"Completed",DATE(year(A354), month(A354)+1, day(A354)))</f>
        <v>#N/A</v>
      </c>
      <c r="G354" s="1360" t="str">
        <f>IF(AND('in-situ Acer outplants'!D:D=B354,IF(VLOOKUP(B354,'in-situ Acer outplants'!D:T,17,FALSE)&lt;&gt;0,"TRUE", "FALSE")),"Completed",DATE(year(A354)+1, month(A354), day(A354)))</f>
        <v>#N/A</v>
      </c>
      <c r="H354" s="1360"/>
      <c r="I354" s="1360"/>
      <c r="J354" s="1360"/>
      <c r="K354" s="1360"/>
      <c r="L354" s="1360"/>
      <c r="M354" s="1360"/>
      <c r="N354" s="1360"/>
      <c r="O354" s="1371"/>
      <c r="P354" s="1385"/>
      <c r="Q354" s="1360"/>
      <c r="R354" s="1360"/>
      <c r="S354" s="1360"/>
      <c r="T354" s="1360"/>
      <c r="U354" s="1360"/>
      <c r="V354" s="1360"/>
      <c r="W354" s="1360"/>
      <c r="X354" s="1360"/>
      <c r="Y354" s="1360"/>
      <c r="Z354" s="1360"/>
      <c r="AA354" s="1360"/>
      <c r="AB354" s="1360"/>
      <c r="AC354" s="1360"/>
      <c r="AD354" s="1371"/>
      <c r="AE354" s="1360"/>
      <c r="AF354" s="1360"/>
      <c r="AG354" s="1360"/>
    </row>
    <row r="355">
      <c r="A355" s="1356"/>
      <c r="B355" s="1357"/>
      <c r="C355" s="224"/>
      <c r="D355" s="1366">
        <f t="shared" si="1"/>
        <v>693992</v>
      </c>
      <c r="E355" s="1366">
        <f t="shared" si="2"/>
        <v>365</v>
      </c>
      <c r="F355" s="224" t="str">
        <f>IF(AND('in-situ Acer outplants'!D:D=B355,IF(VLOOKUP(B355,'in-situ Acer outplants'!D:M,10,FALSE)&lt;&gt;0,"TRUE", "FALSE")),"Completed",DATE(year(A355), month(A355)+1, day(A355)))</f>
        <v>#N/A</v>
      </c>
      <c r="G355" s="1360" t="str">
        <f>IF(AND('in-situ Acer outplants'!D:D=B355,IF(VLOOKUP(B355,'in-situ Acer outplants'!D:T,17,FALSE)&lt;&gt;0,"TRUE", "FALSE")),"Completed",DATE(year(A355)+1, month(A355), day(A355)))</f>
        <v>#N/A</v>
      </c>
      <c r="H355" s="1360"/>
      <c r="I355" s="1360"/>
      <c r="J355" s="1360"/>
      <c r="K355" s="1360"/>
      <c r="L355" s="1360"/>
      <c r="M355" s="1360"/>
      <c r="N355" s="1360"/>
      <c r="O355" s="1371"/>
      <c r="P355" s="1385"/>
      <c r="Q355" s="1360"/>
      <c r="R355" s="1360"/>
      <c r="S355" s="1360"/>
      <c r="T355" s="1360"/>
      <c r="U355" s="1360"/>
      <c r="V355" s="1360"/>
      <c r="W355" s="1360"/>
      <c r="X355" s="1360"/>
      <c r="Y355" s="1360"/>
      <c r="Z355" s="1360"/>
      <c r="AA355" s="1360"/>
      <c r="AB355" s="1360"/>
      <c r="AC355" s="1360"/>
      <c r="AD355" s="1371"/>
      <c r="AE355" s="1360"/>
      <c r="AF355" s="1360"/>
      <c r="AG355" s="1360"/>
    </row>
    <row r="356">
      <c r="A356" s="1356"/>
      <c r="B356" s="1357"/>
      <c r="C356" s="224"/>
      <c r="D356" s="1366">
        <f t="shared" si="1"/>
        <v>693992</v>
      </c>
      <c r="E356" s="1366">
        <f t="shared" si="2"/>
        <v>365</v>
      </c>
      <c r="F356" s="224" t="str">
        <f>IF(AND('in-situ Acer outplants'!D:D=B356,IF(VLOOKUP(B356,'in-situ Acer outplants'!D:M,10,FALSE)&lt;&gt;0,"TRUE", "FALSE")),"Completed",DATE(year(A356), month(A356)+1, day(A356)))</f>
        <v>#N/A</v>
      </c>
      <c r="G356" s="1360" t="str">
        <f>IF(AND('in-situ Acer outplants'!D:D=B356,IF(VLOOKUP(B356,'in-situ Acer outplants'!D:T,17,FALSE)&lt;&gt;0,"TRUE", "FALSE")),"Completed",DATE(year(A356)+1, month(A356), day(A356)))</f>
        <v>#N/A</v>
      </c>
      <c r="H356" s="1360"/>
      <c r="I356" s="1360"/>
      <c r="J356" s="1360"/>
      <c r="K356" s="1360"/>
      <c r="L356" s="1360"/>
      <c r="M356" s="1360"/>
      <c r="N356" s="1360"/>
      <c r="O356" s="1371"/>
      <c r="P356" s="1385"/>
      <c r="Q356" s="1360"/>
      <c r="R356" s="1360"/>
      <c r="S356" s="1360"/>
      <c r="T356" s="1360"/>
      <c r="U356" s="1360"/>
      <c r="V356" s="1360"/>
      <c r="W356" s="1360"/>
      <c r="X356" s="1360"/>
      <c r="Y356" s="1360"/>
      <c r="Z356" s="1360"/>
      <c r="AA356" s="1360"/>
      <c r="AB356" s="1360"/>
      <c r="AC356" s="1360"/>
      <c r="AD356" s="1371"/>
      <c r="AE356" s="1360"/>
      <c r="AF356" s="1360"/>
      <c r="AG356" s="1360"/>
    </row>
    <row r="357">
      <c r="A357" s="1356"/>
      <c r="B357" s="1357"/>
      <c r="C357" s="224"/>
      <c r="D357" s="1366">
        <f t="shared" si="1"/>
        <v>693992</v>
      </c>
      <c r="E357" s="1366">
        <f t="shared" si="2"/>
        <v>365</v>
      </c>
      <c r="F357" s="224" t="str">
        <f>IF(AND('in-situ Acer outplants'!D:D=B357,IF(VLOOKUP(B357,'in-situ Acer outplants'!D:M,10,FALSE)&lt;&gt;0,"TRUE", "FALSE")),"Completed",DATE(year(A357), month(A357)+1, day(A357)))</f>
        <v>#N/A</v>
      </c>
      <c r="G357" s="1360" t="str">
        <f>IF(AND('in-situ Acer outplants'!D:D=B357,IF(VLOOKUP(B357,'in-situ Acer outplants'!D:T,17,FALSE)&lt;&gt;0,"TRUE", "FALSE")),"Completed",DATE(year(A357)+1, month(A357), day(A357)))</f>
        <v>#N/A</v>
      </c>
      <c r="H357" s="1360"/>
      <c r="I357" s="1360"/>
      <c r="J357" s="1360"/>
      <c r="K357" s="1360"/>
      <c r="L357" s="1360"/>
      <c r="M357" s="1360"/>
      <c r="N357" s="1360"/>
      <c r="O357" s="1371"/>
      <c r="P357" s="1385"/>
      <c r="Q357" s="1360"/>
      <c r="R357" s="1360"/>
      <c r="S357" s="1360"/>
      <c r="T357" s="1360"/>
      <c r="U357" s="1360"/>
      <c r="V357" s="1360"/>
      <c r="W357" s="1360"/>
      <c r="X357" s="1360"/>
      <c r="Y357" s="1360"/>
      <c r="Z357" s="1360"/>
      <c r="AA357" s="1360"/>
      <c r="AB357" s="1360"/>
      <c r="AC357" s="1360"/>
      <c r="AD357" s="1371"/>
      <c r="AE357" s="1360"/>
      <c r="AF357" s="1360"/>
      <c r="AG357" s="1360"/>
    </row>
    <row r="358">
      <c r="A358" s="1356"/>
      <c r="B358" s="1357"/>
      <c r="C358" s="224"/>
      <c r="D358" s="1366">
        <f t="shared" si="1"/>
        <v>693992</v>
      </c>
      <c r="E358" s="1366">
        <f t="shared" si="2"/>
        <v>365</v>
      </c>
      <c r="F358" s="224" t="str">
        <f>IF(AND('in-situ Acer outplants'!D:D=B358,IF(VLOOKUP(B358,'in-situ Acer outplants'!D:M,10,FALSE)&lt;&gt;0,"TRUE", "FALSE")),"Completed",DATE(year(A358), month(A358)+1, day(A358)))</f>
        <v>#N/A</v>
      </c>
      <c r="G358" s="1360" t="str">
        <f>IF(AND('in-situ Acer outplants'!D:D=B358,IF(VLOOKUP(B358,'in-situ Acer outplants'!D:T,17,FALSE)&lt;&gt;0,"TRUE", "FALSE")),"Completed",DATE(year(A358)+1, month(A358), day(A358)))</f>
        <v>#N/A</v>
      </c>
      <c r="H358" s="1360"/>
      <c r="I358" s="1360"/>
      <c r="J358" s="1360"/>
      <c r="K358" s="1360"/>
      <c r="L358" s="1360"/>
      <c r="M358" s="1360"/>
      <c r="N358" s="1360"/>
      <c r="O358" s="1371"/>
      <c r="P358" s="1385"/>
      <c r="Q358" s="1360"/>
      <c r="R358" s="1360"/>
      <c r="S358" s="1360"/>
      <c r="T358" s="1360"/>
      <c r="U358" s="1360"/>
      <c r="V358" s="1360"/>
      <c r="W358" s="1360"/>
      <c r="X358" s="1360"/>
      <c r="Y358" s="1360"/>
      <c r="Z358" s="1360"/>
      <c r="AA358" s="1360"/>
      <c r="AB358" s="1360"/>
      <c r="AC358" s="1360"/>
      <c r="AD358" s="1371"/>
      <c r="AE358" s="1360"/>
      <c r="AF358" s="1360"/>
      <c r="AG358" s="1360"/>
    </row>
    <row r="359">
      <c r="A359" s="1356"/>
      <c r="B359" s="1357"/>
      <c r="C359" s="224"/>
      <c r="D359" s="1366">
        <f t="shared" si="1"/>
        <v>693992</v>
      </c>
      <c r="E359" s="1366">
        <f t="shared" si="2"/>
        <v>365</v>
      </c>
      <c r="F359" s="224" t="str">
        <f>IF(AND('in-situ Acer outplants'!D:D=B359,IF(VLOOKUP(B359,'in-situ Acer outplants'!D:M,10,FALSE)&lt;&gt;0,"TRUE", "FALSE")),"Completed",DATE(year(A359), month(A359)+1, day(A359)))</f>
        <v>#N/A</v>
      </c>
      <c r="G359" s="1360" t="str">
        <f>IF(AND('in-situ Acer outplants'!D:D=B359,IF(VLOOKUP(B359,'in-situ Acer outplants'!D:T,17,FALSE)&lt;&gt;0,"TRUE", "FALSE")),"Completed",DATE(year(A359)+1, month(A359), day(A359)))</f>
        <v>#N/A</v>
      </c>
      <c r="H359" s="1360"/>
      <c r="I359" s="1360"/>
      <c r="J359" s="1360"/>
      <c r="K359" s="1360"/>
      <c r="L359" s="1360"/>
      <c r="M359" s="1360"/>
      <c r="N359" s="1360"/>
      <c r="O359" s="1371"/>
      <c r="P359" s="1385"/>
      <c r="Q359" s="1360"/>
      <c r="R359" s="1360"/>
      <c r="S359" s="1360"/>
      <c r="T359" s="1360"/>
      <c r="U359" s="1360"/>
      <c r="V359" s="1360"/>
      <c r="W359" s="1360"/>
      <c r="X359" s="1360"/>
      <c r="Y359" s="1360"/>
      <c r="Z359" s="1360"/>
      <c r="AA359" s="1360"/>
      <c r="AB359" s="1360"/>
      <c r="AC359" s="1360"/>
      <c r="AD359" s="1371"/>
      <c r="AE359" s="1360"/>
      <c r="AF359" s="1360"/>
      <c r="AG359" s="1360"/>
    </row>
    <row r="360">
      <c r="A360" s="1356"/>
      <c r="B360" s="1357"/>
      <c r="C360" s="224"/>
      <c r="D360" s="1366">
        <f t="shared" si="1"/>
        <v>693992</v>
      </c>
      <c r="E360" s="1366">
        <f t="shared" si="2"/>
        <v>365</v>
      </c>
      <c r="F360" s="224" t="str">
        <f>IF(AND('in-situ Acer outplants'!D:D=B360,IF(VLOOKUP(B360,'in-situ Acer outplants'!D:M,10,FALSE)&lt;&gt;0,"TRUE", "FALSE")),"Completed",DATE(year(A360), month(A360)+1, day(A360)))</f>
        <v>#N/A</v>
      </c>
      <c r="G360" s="1360" t="str">
        <f>IF(AND('in-situ Acer outplants'!D:D=B360,IF(VLOOKUP(B360,'in-situ Acer outplants'!D:T,17,FALSE)&lt;&gt;0,"TRUE", "FALSE")),"Completed",DATE(year(A360)+1, month(A360), day(A360)))</f>
        <v>#N/A</v>
      </c>
      <c r="H360" s="1360"/>
      <c r="I360" s="1360"/>
      <c r="J360" s="1360"/>
      <c r="K360" s="1360"/>
      <c r="L360" s="1360"/>
      <c r="M360" s="1360"/>
      <c r="N360" s="1360"/>
      <c r="O360" s="1371"/>
      <c r="P360" s="1385"/>
      <c r="Q360" s="1360"/>
      <c r="R360" s="1360"/>
      <c r="S360" s="1360"/>
      <c r="T360" s="1360"/>
      <c r="U360" s="1360"/>
      <c r="V360" s="1360"/>
      <c r="W360" s="1360"/>
      <c r="X360" s="1360"/>
      <c r="Y360" s="1360"/>
      <c r="Z360" s="1360"/>
      <c r="AA360" s="1360"/>
      <c r="AB360" s="1360"/>
      <c r="AC360" s="1360"/>
      <c r="AD360" s="1371"/>
      <c r="AE360" s="1360"/>
      <c r="AF360" s="1360"/>
      <c r="AG360" s="1360"/>
    </row>
    <row r="361">
      <c r="A361" s="1356"/>
      <c r="B361" s="1357"/>
      <c r="C361" s="224"/>
      <c r="D361" s="1366">
        <f t="shared" si="1"/>
        <v>693992</v>
      </c>
      <c r="E361" s="1366">
        <f t="shared" si="2"/>
        <v>365</v>
      </c>
      <c r="F361" s="224" t="str">
        <f>IF(AND('in-situ Acer outplants'!D:D=B361,IF(VLOOKUP(B361,'in-situ Acer outplants'!D:M,10,FALSE)&lt;&gt;0,"TRUE", "FALSE")),"Completed",DATE(year(A361), month(A361)+1, day(A361)))</f>
        <v>#N/A</v>
      </c>
      <c r="G361" s="1360" t="str">
        <f>IF(AND('in-situ Acer outplants'!D:D=B361,IF(VLOOKUP(B361,'in-situ Acer outplants'!D:T,17,FALSE)&lt;&gt;0,"TRUE", "FALSE")),"Completed",DATE(year(A361)+1, month(A361), day(A361)))</f>
        <v>#N/A</v>
      </c>
      <c r="H361" s="1360"/>
      <c r="I361" s="1360"/>
      <c r="J361" s="1360"/>
      <c r="K361" s="1360"/>
      <c r="L361" s="1360"/>
      <c r="M361" s="1360"/>
      <c r="N361" s="1360"/>
      <c r="O361" s="1371"/>
      <c r="P361" s="1385"/>
      <c r="Q361" s="1360"/>
      <c r="R361" s="1360"/>
      <c r="S361" s="1360"/>
      <c r="T361" s="1360"/>
      <c r="U361" s="1360"/>
      <c r="V361" s="1360"/>
      <c r="W361" s="1360"/>
      <c r="X361" s="1360"/>
      <c r="Y361" s="1360"/>
      <c r="Z361" s="1360"/>
      <c r="AA361" s="1360"/>
      <c r="AB361" s="1360"/>
      <c r="AC361" s="1360"/>
      <c r="AD361" s="1371"/>
      <c r="AE361" s="1360"/>
      <c r="AF361" s="1360"/>
      <c r="AG361" s="1360"/>
    </row>
    <row r="362">
      <c r="A362" s="1356"/>
      <c r="B362" s="1357"/>
      <c r="C362" s="224"/>
      <c r="D362" s="1366">
        <f t="shared" si="1"/>
        <v>693992</v>
      </c>
      <c r="E362" s="1366">
        <f t="shared" si="2"/>
        <v>365</v>
      </c>
      <c r="F362" s="224" t="str">
        <f>IF(AND('in-situ Acer outplants'!D:D=B362,IF(VLOOKUP(B362,'in-situ Acer outplants'!D:M,10,FALSE)&lt;&gt;0,"TRUE", "FALSE")),"Completed",DATE(year(A362), month(A362)+1, day(A362)))</f>
        <v>#N/A</v>
      </c>
      <c r="G362" s="1360" t="str">
        <f>IF(AND('in-situ Acer outplants'!D:D=B362,IF(VLOOKUP(B362,'in-situ Acer outplants'!D:T,17,FALSE)&lt;&gt;0,"TRUE", "FALSE")),"Completed",DATE(year(A362)+1, month(A362), day(A362)))</f>
        <v>#N/A</v>
      </c>
      <c r="H362" s="1360"/>
      <c r="I362" s="1360"/>
      <c r="J362" s="1360"/>
      <c r="K362" s="1360"/>
      <c r="L362" s="1360"/>
      <c r="M362" s="1360"/>
      <c r="N362" s="1360"/>
      <c r="O362" s="1371"/>
      <c r="P362" s="1385"/>
      <c r="Q362" s="1360"/>
      <c r="R362" s="1360"/>
      <c r="S362" s="1360"/>
      <c r="T362" s="1360"/>
      <c r="U362" s="1360"/>
      <c r="V362" s="1360"/>
      <c r="W362" s="1360"/>
      <c r="X362" s="1360"/>
      <c r="Y362" s="1360"/>
      <c r="Z362" s="1360"/>
      <c r="AA362" s="1360"/>
      <c r="AB362" s="1360"/>
      <c r="AC362" s="1360"/>
      <c r="AD362" s="1371"/>
      <c r="AE362" s="1360"/>
      <c r="AF362" s="1360"/>
      <c r="AG362" s="1360"/>
    </row>
    <row r="363">
      <c r="A363" s="1356"/>
      <c r="B363" s="1357"/>
      <c r="C363" s="224"/>
      <c r="D363" s="1366">
        <f t="shared" si="1"/>
        <v>693992</v>
      </c>
      <c r="E363" s="1366">
        <f t="shared" si="2"/>
        <v>365</v>
      </c>
      <c r="F363" s="224" t="str">
        <f>IF(AND('in-situ Acer outplants'!D:D=B363,IF(VLOOKUP(B363,'in-situ Acer outplants'!D:M,10,FALSE)&lt;&gt;0,"TRUE", "FALSE")),"Completed",DATE(year(A363), month(A363)+1, day(A363)))</f>
        <v>#N/A</v>
      </c>
      <c r="G363" s="1360" t="str">
        <f>IF(AND('in-situ Acer outplants'!D:D=B363,IF(VLOOKUP(B363,'in-situ Acer outplants'!D:T,17,FALSE)&lt;&gt;0,"TRUE", "FALSE")),"Completed",DATE(year(A363)+1, month(A363), day(A363)))</f>
        <v>#N/A</v>
      </c>
      <c r="H363" s="1360"/>
      <c r="I363" s="1360"/>
      <c r="J363" s="1360"/>
      <c r="K363" s="1360"/>
      <c r="L363" s="1360"/>
      <c r="M363" s="1360"/>
      <c r="N363" s="1360"/>
      <c r="O363" s="1371"/>
      <c r="P363" s="1385"/>
      <c r="Q363" s="1360"/>
      <c r="R363" s="1360"/>
      <c r="S363" s="1360"/>
      <c r="T363" s="1360"/>
      <c r="U363" s="1360"/>
      <c r="V363" s="1360"/>
      <c r="W363" s="1360"/>
      <c r="X363" s="1360"/>
      <c r="Y363" s="1360"/>
      <c r="Z363" s="1360"/>
      <c r="AA363" s="1360"/>
      <c r="AB363" s="1360"/>
      <c r="AC363" s="1360"/>
      <c r="AD363" s="1371"/>
      <c r="AE363" s="1360"/>
      <c r="AF363" s="1360"/>
      <c r="AG363" s="1360"/>
    </row>
    <row r="364">
      <c r="A364" s="1356"/>
      <c r="B364" s="1357"/>
      <c r="C364" s="224"/>
      <c r="D364" s="1366">
        <f t="shared" si="1"/>
        <v>693992</v>
      </c>
      <c r="E364" s="1366">
        <f t="shared" si="2"/>
        <v>365</v>
      </c>
      <c r="F364" s="224" t="str">
        <f>IF(AND('in-situ Acer outplants'!D:D=B364,IF(VLOOKUP(B364,'in-situ Acer outplants'!D:M,10,FALSE)&lt;&gt;0,"TRUE", "FALSE")),"Completed",DATE(year(A364), month(A364)+1, day(A364)))</f>
        <v>#N/A</v>
      </c>
      <c r="G364" s="1360" t="str">
        <f>IF(AND('in-situ Acer outplants'!D:D=B364,IF(VLOOKUP(B364,'in-situ Acer outplants'!D:T,17,FALSE)&lt;&gt;0,"TRUE", "FALSE")),"Completed",DATE(year(A364)+1, month(A364), day(A364)))</f>
        <v>#N/A</v>
      </c>
      <c r="H364" s="1360"/>
      <c r="I364" s="1360"/>
      <c r="J364" s="1360"/>
      <c r="K364" s="1360"/>
      <c r="L364" s="1360"/>
      <c r="M364" s="1360"/>
      <c r="N364" s="1360"/>
      <c r="O364" s="1371"/>
      <c r="P364" s="1385"/>
      <c r="Q364" s="1360"/>
      <c r="R364" s="1360"/>
      <c r="S364" s="1360"/>
      <c r="T364" s="1360"/>
      <c r="U364" s="1360"/>
      <c r="V364" s="1360"/>
      <c r="W364" s="1360"/>
      <c r="X364" s="1360"/>
      <c r="Y364" s="1360"/>
      <c r="Z364" s="1360"/>
      <c r="AA364" s="1360"/>
      <c r="AB364" s="1360"/>
      <c r="AC364" s="1360"/>
      <c r="AD364" s="1371"/>
      <c r="AE364" s="1360"/>
      <c r="AF364" s="1360"/>
      <c r="AG364" s="1360"/>
    </row>
    <row r="365">
      <c r="A365" s="1356"/>
      <c r="B365" s="1357"/>
      <c r="C365" s="224"/>
      <c r="D365" s="1366">
        <f t="shared" si="1"/>
        <v>693992</v>
      </c>
      <c r="E365" s="1366">
        <f t="shared" si="2"/>
        <v>365</v>
      </c>
      <c r="F365" s="224" t="str">
        <f>IF(AND('in-situ Acer outplants'!D:D=B365,IF(VLOOKUP(B365,'in-situ Acer outplants'!D:M,10,FALSE)&lt;&gt;0,"TRUE", "FALSE")),"Completed",DATE(year(A365), month(A365)+1, day(A365)))</f>
        <v>#N/A</v>
      </c>
      <c r="G365" s="1360" t="str">
        <f>IF(AND('in-situ Acer outplants'!D:D=B365,IF(VLOOKUP(B365,'in-situ Acer outplants'!D:T,17,FALSE)&lt;&gt;0,"TRUE", "FALSE")),"Completed",DATE(year(A365)+1, month(A365), day(A365)))</f>
        <v>#N/A</v>
      </c>
      <c r="H365" s="1360"/>
      <c r="I365" s="1360"/>
      <c r="J365" s="1360"/>
      <c r="K365" s="1360"/>
      <c r="L365" s="1360"/>
      <c r="M365" s="1360"/>
      <c r="N365" s="1360"/>
      <c r="O365" s="1371"/>
      <c r="P365" s="1385"/>
      <c r="Q365" s="1360"/>
      <c r="R365" s="1360"/>
      <c r="S365" s="1360"/>
      <c r="T365" s="1360"/>
      <c r="U365" s="1360"/>
      <c r="V365" s="1360"/>
      <c r="W365" s="1360"/>
      <c r="X365" s="1360"/>
      <c r="Y365" s="1360"/>
      <c r="Z365" s="1360"/>
      <c r="AA365" s="1360"/>
      <c r="AB365" s="1360"/>
      <c r="AC365" s="1360"/>
      <c r="AD365" s="1371"/>
      <c r="AE365" s="1360"/>
      <c r="AF365" s="1360"/>
      <c r="AG365" s="1360"/>
    </row>
    <row r="366">
      <c r="A366" s="1356"/>
      <c r="B366" s="1357"/>
      <c r="C366" s="224"/>
      <c r="D366" s="1366">
        <f t="shared" si="1"/>
        <v>693992</v>
      </c>
      <c r="E366" s="1366">
        <f t="shared" si="2"/>
        <v>365</v>
      </c>
      <c r="F366" s="224" t="str">
        <f>IF(AND('in-situ Acer outplants'!D:D=B366,IF(VLOOKUP(B366,'in-situ Acer outplants'!D:M,10,FALSE)&lt;&gt;0,"TRUE", "FALSE")),"Completed",DATE(year(A366), month(A366)+1, day(A366)))</f>
        <v>#N/A</v>
      </c>
      <c r="G366" s="1360" t="str">
        <f>IF(AND('in-situ Acer outplants'!D:D=B366,IF(VLOOKUP(B366,'in-situ Acer outplants'!D:T,17,FALSE)&lt;&gt;0,"TRUE", "FALSE")),"Completed",DATE(year(A366)+1, month(A366), day(A366)))</f>
        <v>#N/A</v>
      </c>
      <c r="H366" s="1360"/>
      <c r="I366" s="1360"/>
      <c r="J366" s="1360"/>
      <c r="K366" s="1360"/>
      <c r="L366" s="1360"/>
      <c r="M366" s="1360"/>
      <c r="N366" s="1360"/>
      <c r="O366" s="1371"/>
      <c r="P366" s="1385"/>
      <c r="Q366" s="1360"/>
      <c r="R366" s="1360"/>
      <c r="S366" s="1360"/>
      <c r="T366" s="1360"/>
      <c r="U366" s="1360"/>
      <c r="V366" s="1360"/>
      <c r="W366" s="1360"/>
      <c r="X366" s="1360"/>
      <c r="Y366" s="1360"/>
      <c r="Z366" s="1360"/>
      <c r="AA366" s="1360"/>
      <c r="AB366" s="1360"/>
      <c r="AC366" s="1360"/>
      <c r="AD366" s="1371"/>
      <c r="AE366" s="1360"/>
      <c r="AF366" s="1360"/>
      <c r="AG366" s="1360"/>
    </row>
    <row r="367">
      <c r="A367" s="1356"/>
      <c r="B367" s="1357"/>
      <c r="C367" s="224"/>
      <c r="D367" s="1366">
        <f t="shared" si="1"/>
        <v>693992</v>
      </c>
      <c r="E367" s="1366">
        <f t="shared" si="2"/>
        <v>365</v>
      </c>
      <c r="F367" s="224" t="str">
        <f>IF(AND('in-situ Acer outplants'!D:D=B367,IF(VLOOKUP(B367,'in-situ Acer outplants'!D:M,10,FALSE)&lt;&gt;0,"TRUE", "FALSE")),"Completed",DATE(year(A367), month(A367)+1, day(A367)))</f>
        <v>#N/A</v>
      </c>
      <c r="G367" s="1360" t="str">
        <f>IF(AND('in-situ Acer outplants'!D:D=B367,IF(VLOOKUP(B367,'in-situ Acer outplants'!D:T,17,FALSE)&lt;&gt;0,"TRUE", "FALSE")),"Completed",DATE(year(A367)+1, month(A367), day(A367)))</f>
        <v>#N/A</v>
      </c>
      <c r="H367" s="1360"/>
      <c r="I367" s="1360"/>
      <c r="J367" s="1360"/>
      <c r="K367" s="1360"/>
      <c r="L367" s="1360"/>
      <c r="M367" s="1360"/>
      <c r="N367" s="1360"/>
      <c r="O367" s="1371"/>
      <c r="P367" s="1385"/>
      <c r="Q367" s="1360"/>
      <c r="R367" s="1360"/>
      <c r="S367" s="1360"/>
      <c r="T367" s="1360"/>
      <c r="U367" s="1360"/>
      <c r="V367" s="1360"/>
      <c r="W367" s="1360"/>
      <c r="X367" s="1360"/>
      <c r="Y367" s="1360"/>
      <c r="Z367" s="1360"/>
      <c r="AA367" s="1360"/>
      <c r="AB367" s="1360"/>
      <c r="AC367" s="1360"/>
      <c r="AD367" s="1371"/>
      <c r="AE367" s="1360"/>
      <c r="AF367" s="1360"/>
      <c r="AG367" s="1360"/>
    </row>
    <row r="368">
      <c r="A368" s="1356"/>
      <c r="B368" s="1357"/>
      <c r="C368" s="224"/>
      <c r="D368" s="1366">
        <f t="shared" si="1"/>
        <v>693992</v>
      </c>
      <c r="E368" s="1366">
        <f t="shared" si="2"/>
        <v>365</v>
      </c>
      <c r="F368" s="224" t="str">
        <f>IF(AND('in-situ Acer outplants'!D:D=B368,IF(VLOOKUP(B368,'in-situ Acer outplants'!D:M,10,FALSE)&lt;&gt;0,"TRUE", "FALSE")),"Completed",DATE(year(A368), month(A368)+1, day(A368)))</f>
        <v>#N/A</v>
      </c>
      <c r="G368" s="1360" t="str">
        <f>IF(AND('in-situ Acer outplants'!D:D=B368,IF(VLOOKUP(B368,'in-situ Acer outplants'!D:T,17,FALSE)&lt;&gt;0,"TRUE", "FALSE")),"Completed",DATE(year(A368)+1, month(A368), day(A368)))</f>
        <v>#N/A</v>
      </c>
      <c r="H368" s="1360"/>
      <c r="I368" s="1360"/>
      <c r="J368" s="1360"/>
      <c r="K368" s="1360"/>
      <c r="L368" s="1360"/>
      <c r="M368" s="1360"/>
      <c r="N368" s="1360"/>
      <c r="O368" s="1371"/>
      <c r="P368" s="1385"/>
      <c r="Q368" s="1360"/>
      <c r="R368" s="1360"/>
      <c r="S368" s="1360"/>
      <c r="T368" s="1360"/>
      <c r="U368" s="1360"/>
      <c r="V368" s="1360"/>
      <c r="W368" s="1360"/>
      <c r="X368" s="1360"/>
      <c r="Y368" s="1360"/>
      <c r="Z368" s="1360"/>
      <c r="AA368" s="1360"/>
      <c r="AB368" s="1360"/>
      <c r="AC368" s="1360"/>
      <c r="AD368" s="1371"/>
      <c r="AE368" s="1360"/>
      <c r="AF368" s="1360"/>
      <c r="AG368" s="1360"/>
    </row>
    <row r="369">
      <c r="A369" s="1356"/>
      <c r="B369" s="1357"/>
      <c r="C369" s="224"/>
      <c r="D369" s="1366">
        <f t="shared" si="1"/>
        <v>693992</v>
      </c>
      <c r="E369" s="1366">
        <f t="shared" si="2"/>
        <v>365</v>
      </c>
      <c r="F369" s="224" t="str">
        <f>IF(AND('in-situ Acer outplants'!D:D=B369,IF(VLOOKUP(B369,'in-situ Acer outplants'!D:M,10,FALSE)&lt;&gt;0,"TRUE", "FALSE")),"Completed",DATE(year(A369), month(A369)+1, day(A369)))</f>
        <v>#N/A</v>
      </c>
      <c r="G369" s="1360" t="str">
        <f>IF(AND('in-situ Acer outplants'!D:D=B369,IF(VLOOKUP(B369,'in-situ Acer outplants'!D:T,17,FALSE)&lt;&gt;0,"TRUE", "FALSE")),"Completed",DATE(year(A369)+1, month(A369), day(A369)))</f>
        <v>#N/A</v>
      </c>
      <c r="H369" s="1360"/>
      <c r="I369" s="1360"/>
      <c r="J369" s="1360"/>
      <c r="K369" s="1360"/>
      <c r="L369" s="1360"/>
      <c r="M369" s="1360"/>
      <c r="N369" s="1360"/>
      <c r="O369" s="1371"/>
      <c r="P369" s="1385"/>
      <c r="Q369" s="1360"/>
      <c r="R369" s="1360"/>
      <c r="S369" s="1360"/>
      <c r="T369" s="1360"/>
      <c r="U369" s="1360"/>
      <c r="V369" s="1360"/>
      <c r="W369" s="1360"/>
      <c r="X369" s="1360"/>
      <c r="Y369" s="1360"/>
      <c r="Z369" s="1360"/>
      <c r="AA369" s="1360"/>
      <c r="AB369" s="1360"/>
      <c r="AC369" s="1360"/>
      <c r="AD369" s="1371"/>
      <c r="AE369" s="1360"/>
      <c r="AF369" s="1360"/>
      <c r="AG369" s="1360"/>
    </row>
    <row r="370">
      <c r="A370" s="1356"/>
      <c r="B370" s="1357"/>
      <c r="C370" s="224"/>
      <c r="D370" s="1366">
        <f t="shared" si="1"/>
        <v>693992</v>
      </c>
      <c r="E370" s="1366">
        <f t="shared" si="2"/>
        <v>365</v>
      </c>
      <c r="F370" s="224" t="str">
        <f>IF(AND('in-situ Acer outplants'!D:D=B370,IF(VLOOKUP(B370,'in-situ Acer outplants'!D:M,10,FALSE)&lt;&gt;0,"TRUE", "FALSE")),"Completed",DATE(year(A370), month(A370)+1, day(A370)))</f>
        <v>#N/A</v>
      </c>
      <c r="G370" s="1360" t="str">
        <f>IF(AND('in-situ Acer outplants'!D:D=B370,IF(VLOOKUP(B370,'in-situ Acer outplants'!D:T,17,FALSE)&lt;&gt;0,"TRUE", "FALSE")),"Completed",DATE(year(A370)+1, month(A370), day(A370)))</f>
        <v>#N/A</v>
      </c>
      <c r="H370" s="1360"/>
      <c r="I370" s="1360"/>
      <c r="J370" s="1360"/>
      <c r="K370" s="1360"/>
      <c r="L370" s="1360"/>
      <c r="M370" s="1360"/>
      <c r="N370" s="1360"/>
      <c r="O370" s="1371"/>
      <c r="P370" s="1385"/>
      <c r="Q370" s="1360"/>
      <c r="R370" s="1360"/>
      <c r="S370" s="1360"/>
      <c r="T370" s="1360"/>
      <c r="U370" s="1360"/>
      <c r="V370" s="1360"/>
      <c r="W370" s="1360"/>
      <c r="X370" s="1360"/>
      <c r="Y370" s="1360"/>
      <c r="Z370" s="1360"/>
      <c r="AA370" s="1360"/>
      <c r="AB370" s="1360"/>
      <c r="AC370" s="1360"/>
      <c r="AD370" s="1371"/>
      <c r="AE370" s="1360"/>
      <c r="AF370" s="1360"/>
      <c r="AG370" s="1360"/>
    </row>
    <row r="371">
      <c r="A371" s="1356"/>
      <c r="B371" s="1357"/>
      <c r="C371" s="224"/>
      <c r="D371" s="1366">
        <f t="shared" si="1"/>
        <v>693992</v>
      </c>
      <c r="E371" s="1366">
        <f t="shared" si="2"/>
        <v>365</v>
      </c>
      <c r="F371" s="224" t="str">
        <f>IF(AND('in-situ Acer outplants'!D:D=B371,IF(VLOOKUP(B371,'in-situ Acer outplants'!D:M,10,FALSE)&lt;&gt;0,"TRUE", "FALSE")),"Completed",DATE(year(A371), month(A371)+1, day(A371)))</f>
        <v>#N/A</v>
      </c>
      <c r="G371" s="1360" t="str">
        <f>IF(AND('in-situ Acer outplants'!D:D=B371,IF(VLOOKUP(B371,'in-situ Acer outplants'!D:T,17,FALSE)&lt;&gt;0,"TRUE", "FALSE")),"Completed",DATE(year(A371)+1, month(A371), day(A371)))</f>
        <v>#N/A</v>
      </c>
      <c r="H371" s="1360"/>
      <c r="I371" s="1360"/>
      <c r="J371" s="1360"/>
      <c r="K371" s="1360"/>
      <c r="L371" s="1360"/>
      <c r="M371" s="1360"/>
      <c r="N371" s="1360"/>
      <c r="O371" s="1371"/>
      <c r="P371" s="1385"/>
      <c r="Q371" s="1360"/>
      <c r="R371" s="1360"/>
      <c r="S371" s="1360"/>
      <c r="T371" s="1360"/>
      <c r="U371" s="1360"/>
      <c r="V371" s="1360"/>
      <c r="W371" s="1360"/>
      <c r="X371" s="1360"/>
      <c r="Y371" s="1360"/>
      <c r="Z371" s="1360"/>
      <c r="AA371" s="1360"/>
      <c r="AB371" s="1360"/>
      <c r="AC371" s="1360"/>
      <c r="AD371" s="1371"/>
      <c r="AE371" s="1360"/>
      <c r="AF371" s="1360"/>
      <c r="AG371" s="1360"/>
    </row>
    <row r="372">
      <c r="A372" s="1356"/>
      <c r="B372" s="1357"/>
      <c r="C372" s="224"/>
      <c r="D372" s="1366">
        <f t="shared" si="1"/>
        <v>693992</v>
      </c>
      <c r="E372" s="1366">
        <f t="shared" si="2"/>
        <v>365</v>
      </c>
      <c r="F372" s="224" t="str">
        <f>IF(AND('in-situ Acer outplants'!D:D=B372,IF(VLOOKUP(B372,'in-situ Acer outplants'!D:M,10,FALSE)&lt;&gt;0,"TRUE", "FALSE")),"Completed",DATE(year(A372), month(A372)+1, day(A372)))</f>
        <v>#N/A</v>
      </c>
      <c r="G372" s="1360" t="str">
        <f>IF(AND('in-situ Acer outplants'!D:D=B372,IF(VLOOKUP(B372,'in-situ Acer outplants'!D:T,17,FALSE)&lt;&gt;0,"TRUE", "FALSE")),"Completed",DATE(year(A372)+1, month(A372), day(A372)))</f>
        <v>#N/A</v>
      </c>
      <c r="H372" s="1360"/>
      <c r="I372" s="1360"/>
      <c r="J372" s="1360"/>
      <c r="K372" s="1360"/>
      <c r="L372" s="1360"/>
      <c r="M372" s="1360"/>
      <c r="N372" s="1360"/>
      <c r="O372" s="1371"/>
      <c r="P372" s="1385"/>
      <c r="Q372" s="1360"/>
      <c r="R372" s="1360"/>
      <c r="S372" s="1360"/>
      <c r="T372" s="1360"/>
      <c r="U372" s="1360"/>
      <c r="V372" s="1360"/>
      <c r="W372" s="1360"/>
      <c r="X372" s="1360"/>
      <c r="Y372" s="1360"/>
      <c r="Z372" s="1360"/>
      <c r="AA372" s="1360"/>
      <c r="AB372" s="1360"/>
      <c r="AC372" s="1360"/>
      <c r="AD372" s="1371"/>
      <c r="AE372" s="1360"/>
      <c r="AF372" s="1360"/>
      <c r="AG372" s="1360"/>
    </row>
    <row r="373">
      <c r="A373" s="1356"/>
      <c r="B373" s="1357"/>
      <c r="C373" s="224"/>
      <c r="D373" s="1366">
        <f t="shared" si="1"/>
        <v>693992</v>
      </c>
      <c r="E373" s="1366">
        <f t="shared" si="2"/>
        <v>365</v>
      </c>
      <c r="F373" s="224" t="str">
        <f>IF(AND('in-situ Acer outplants'!D:D=B373,IF(VLOOKUP(B373,'in-situ Acer outplants'!D:M,10,FALSE)&lt;&gt;0,"TRUE", "FALSE")),"Completed",DATE(year(A373), month(A373)+1, day(A373)))</f>
        <v>#N/A</v>
      </c>
      <c r="G373" s="1360" t="str">
        <f>IF(AND('in-situ Acer outplants'!D:D=B373,IF(VLOOKUP(B373,'in-situ Acer outplants'!D:T,17,FALSE)&lt;&gt;0,"TRUE", "FALSE")),"Completed",DATE(year(A373)+1, month(A373), day(A373)))</f>
        <v>#N/A</v>
      </c>
      <c r="H373" s="1360"/>
      <c r="I373" s="1360"/>
      <c r="J373" s="1360"/>
      <c r="K373" s="1360"/>
      <c r="L373" s="1360"/>
      <c r="M373" s="1360"/>
      <c r="N373" s="1360"/>
      <c r="O373" s="1371"/>
      <c r="P373" s="1385"/>
      <c r="Q373" s="1360"/>
      <c r="R373" s="1360"/>
      <c r="S373" s="1360"/>
      <c r="T373" s="1360"/>
      <c r="U373" s="1360"/>
      <c r="V373" s="1360"/>
      <c r="W373" s="1360"/>
      <c r="X373" s="1360"/>
      <c r="Y373" s="1360"/>
      <c r="Z373" s="1360"/>
      <c r="AA373" s="1360"/>
      <c r="AB373" s="1360"/>
      <c r="AC373" s="1360"/>
      <c r="AD373" s="1371"/>
      <c r="AE373" s="1360"/>
      <c r="AF373" s="1360"/>
      <c r="AG373" s="1360"/>
    </row>
    <row r="374">
      <c r="A374" s="1356"/>
      <c r="B374" s="1357"/>
      <c r="C374" s="224"/>
      <c r="D374" s="1366">
        <f t="shared" si="1"/>
        <v>693992</v>
      </c>
      <c r="E374" s="1366">
        <f t="shared" si="2"/>
        <v>365</v>
      </c>
      <c r="F374" s="224" t="str">
        <f>IF(AND('in-situ Acer outplants'!D:D=B374,IF(VLOOKUP(B374,'in-situ Acer outplants'!D:M,10,FALSE)&lt;&gt;0,"TRUE", "FALSE")),"Completed",DATE(year(A374), month(A374)+1, day(A374)))</f>
        <v>#N/A</v>
      </c>
      <c r="G374" s="1360" t="str">
        <f>IF(AND('in-situ Acer outplants'!D:D=B374,IF(VLOOKUP(B374,'in-situ Acer outplants'!D:T,17,FALSE)&lt;&gt;0,"TRUE", "FALSE")),"Completed",DATE(year(A374)+1, month(A374), day(A374)))</f>
        <v>#N/A</v>
      </c>
      <c r="H374" s="1360"/>
      <c r="I374" s="1360"/>
      <c r="J374" s="1360"/>
      <c r="K374" s="1360"/>
      <c r="L374" s="1360"/>
      <c r="M374" s="1360"/>
      <c r="N374" s="1360"/>
      <c r="O374" s="1371"/>
      <c r="P374" s="1385"/>
      <c r="Q374" s="1360"/>
      <c r="R374" s="1360"/>
      <c r="S374" s="1360"/>
      <c r="T374" s="1360"/>
      <c r="U374" s="1360"/>
      <c r="V374" s="1360"/>
      <c r="W374" s="1360"/>
      <c r="X374" s="1360"/>
      <c r="Y374" s="1360"/>
      <c r="Z374" s="1360"/>
      <c r="AA374" s="1360"/>
      <c r="AB374" s="1360"/>
      <c r="AC374" s="1360"/>
      <c r="AD374" s="1371"/>
      <c r="AE374" s="1360"/>
      <c r="AF374" s="1360"/>
      <c r="AG374" s="1360"/>
    </row>
    <row r="375">
      <c r="A375" s="1356"/>
      <c r="B375" s="1357"/>
      <c r="C375" s="224"/>
      <c r="D375" s="1366">
        <f t="shared" si="1"/>
        <v>693992</v>
      </c>
      <c r="E375" s="1366">
        <f t="shared" si="2"/>
        <v>365</v>
      </c>
      <c r="F375" s="224" t="str">
        <f>IF(AND('in-situ Acer outplants'!D:D=B375,IF(VLOOKUP(B375,'in-situ Acer outplants'!D:M,10,FALSE)&lt;&gt;0,"TRUE", "FALSE")),"Completed",DATE(year(A375), month(A375)+1, day(A375)))</f>
        <v>#N/A</v>
      </c>
      <c r="G375" s="1360" t="str">
        <f>IF(AND('in-situ Acer outplants'!D:D=B375,IF(VLOOKUP(B375,'in-situ Acer outplants'!D:T,17,FALSE)&lt;&gt;0,"TRUE", "FALSE")),"Completed",DATE(year(A375)+1, month(A375), day(A375)))</f>
        <v>#N/A</v>
      </c>
      <c r="H375" s="1360"/>
      <c r="I375" s="1360"/>
      <c r="J375" s="1360"/>
      <c r="K375" s="1360"/>
      <c r="L375" s="1360"/>
      <c r="M375" s="1360"/>
      <c r="N375" s="1360"/>
      <c r="O375" s="1371"/>
      <c r="P375" s="1385"/>
      <c r="Q375" s="1360"/>
      <c r="R375" s="1360"/>
      <c r="S375" s="1360"/>
      <c r="T375" s="1360"/>
      <c r="U375" s="1360"/>
      <c r="V375" s="1360"/>
      <c r="W375" s="1360"/>
      <c r="X375" s="1360"/>
      <c r="Y375" s="1360"/>
      <c r="Z375" s="1360"/>
      <c r="AA375" s="1360"/>
      <c r="AB375" s="1360"/>
      <c r="AC375" s="1360"/>
      <c r="AD375" s="1371"/>
      <c r="AE375" s="1360"/>
      <c r="AF375" s="1360"/>
      <c r="AG375" s="1360"/>
    </row>
    <row r="376">
      <c r="A376" s="1356"/>
      <c r="B376" s="1357"/>
      <c r="C376" s="224"/>
      <c r="D376" s="1366">
        <f t="shared" si="1"/>
        <v>693992</v>
      </c>
      <c r="E376" s="1366">
        <f t="shared" si="2"/>
        <v>365</v>
      </c>
      <c r="F376" s="224" t="str">
        <f>IF(AND('in-situ Acer outplants'!D:D=B376,IF(VLOOKUP(B376,'in-situ Acer outplants'!D:M,10,FALSE)&lt;&gt;0,"TRUE", "FALSE")),"Completed",DATE(year(A376), month(A376)+1, day(A376)))</f>
        <v>#N/A</v>
      </c>
      <c r="G376" s="1360" t="str">
        <f>IF(AND('in-situ Acer outplants'!D:D=B376,IF(VLOOKUP(B376,'in-situ Acer outplants'!D:T,17,FALSE)&lt;&gt;0,"TRUE", "FALSE")),"Completed",DATE(year(A376)+1, month(A376), day(A376)))</f>
        <v>#N/A</v>
      </c>
      <c r="H376" s="1360"/>
      <c r="I376" s="1360"/>
      <c r="J376" s="1360"/>
      <c r="K376" s="1360"/>
      <c r="L376" s="1360"/>
      <c r="M376" s="1360"/>
      <c r="N376" s="1360"/>
      <c r="O376" s="1371"/>
      <c r="P376" s="1385"/>
      <c r="Q376" s="1360"/>
      <c r="R376" s="1360"/>
      <c r="S376" s="1360"/>
      <c r="T376" s="1360"/>
      <c r="U376" s="1360"/>
      <c r="V376" s="1360"/>
      <c r="W376" s="1360"/>
      <c r="X376" s="1360"/>
      <c r="Y376" s="1360"/>
      <c r="Z376" s="1360"/>
      <c r="AA376" s="1360"/>
      <c r="AB376" s="1360"/>
      <c r="AC376" s="1360"/>
      <c r="AD376" s="1371"/>
      <c r="AE376" s="1360"/>
      <c r="AF376" s="1360"/>
      <c r="AG376" s="1360"/>
    </row>
    <row r="377">
      <c r="A377" s="1356"/>
      <c r="B377" s="1357"/>
      <c r="C377" s="224"/>
      <c r="D377" s="1366">
        <f t="shared" si="1"/>
        <v>693992</v>
      </c>
      <c r="E377" s="1366">
        <f t="shared" si="2"/>
        <v>365</v>
      </c>
      <c r="F377" s="224" t="str">
        <f>IF(AND('in-situ Acer outplants'!D:D=B377,IF(VLOOKUP(B377,'in-situ Acer outplants'!D:M,10,FALSE)&lt;&gt;0,"TRUE", "FALSE")),"Completed",DATE(year(A377), month(A377)+1, day(A377)))</f>
        <v>#N/A</v>
      </c>
      <c r="G377" s="1360" t="str">
        <f>IF(AND('in-situ Acer outplants'!D:D=B377,IF(VLOOKUP(B377,'in-situ Acer outplants'!D:T,17,FALSE)&lt;&gt;0,"TRUE", "FALSE")),"Completed",DATE(year(A377)+1, month(A377), day(A377)))</f>
        <v>#N/A</v>
      </c>
      <c r="H377" s="1360"/>
      <c r="I377" s="1360"/>
      <c r="J377" s="1360"/>
      <c r="K377" s="1360"/>
      <c r="L377" s="1360"/>
      <c r="M377" s="1360"/>
      <c r="N377" s="1360"/>
      <c r="O377" s="1371"/>
      <c r="P377" s="1385"/>
      <c r="Q377" s="1360"/>
      <c r="R377" s="1360"/>
      <c r="S377" s="1360"/>
      <c r="T377" s="1360"/>
      <c r="U377" s="1360"/>
      <c r="V377" s="1360"/>
      <c r="W377" s="1360"/>
      <c r="X377" s="1360"/>
      <c r="Y377" s="1360"/>
      <c r="Z377" s="1360"/>
      <c r="AA377" s="1360"/>
      <c r="AB377" s="1360"/>
      <c r="AC377" s="1360"/>
      <c r="AD377" s="1371"/>
      <c r="AE377" s="1360"/>
      <c r="AF377" s="1360"/>
      <c r="AG377" s="1360"/>
    </row>
    <row r="378">
      <c r="A378" s="1356"/>
      <c r="B378" s="1357"/>
      <c r="C378" s="224"/>
      <c r="D378" s="1366">
        <f t="shared" si="1"/>
        <v>693992</v>
      </c>
      <c r="E378" s="1366">
        <f t="shared" si="2"/>
        <v>365</v>
      </c>
      <c r="F378" s="224" t="str">
        <f>IF(AND('in-situ Acer outplants'!D:D=B378,IF(VLOOKUP(B378,'in-situ Acer outplants'!D:M,10,FALSE)&lt;&gt;0,"TRUE", "FALSE")),"Completed",DATE(year(A378), month(A378)+1, day(A378)))</f>
        <v>#N/A</v>
      </c>
      <c r="G378" s="1360" t="str">
        <f>IF(AND('in-situ Acer outplants'!D:D=B378,IF(VLOOKUP(B378,'in-situ Acer outplants'!D:T,17,FALSE)&lt;&gt;0,"TRUE", "FALSE")),"Completed",DATE(year(A378)+1, month(A378), day(A378)))</f>
        <v>#N/A</v>
      </c>
      <c r="H378" s="1360"/>
      <c r="I378" s="1360"/>
      <c r="J378" s="1360"/>
      <c r="K378" s="1360"/>
      <c r="L378" s="1360"/>
      <c r="M378" s="1360"/>
      <c r="N378" s="1360"/>
      <c r="O378" s="1371"/>
      <c r="P378" s="1385"/>
      <c r="Q378" s="1360"/>
      <c r="R378" s="1360"/>
      <c r="S378" s="1360"/>
      <c r="T378" s="1360"/>
      <c r="U378" s="1360"/>
      <c r="V378" s="1360"/>
      <c r="W378" s="1360"/>
      <c r="X378" s="1360"/>
      <c r="Y378" s="1360"/>
      <c r="Z378" s="1360"/>
      <c r="AA378" s="1360"/>
      <c r="AB378" s="1360"/>
      <c r="AC378" s="1360"/>
      <c r="AD378" s="1371"/>
      <c r="AE378" s="1360"/>
      <c r="AF378" s="1360"/>
      <c r="AG378" s="1360"/>
    </row>
    <row r="379">
      <c r="A379" s="1356"/>
      <c r="B379" s="1357"/>
      <c r="C379" s="224"/>
      <c r="D379" s="1366">
        <f t="shared" si="1"/>
        <v>693992</v>
      </c>
      <c r="E379" s="1366">
        <f t="shared" si="2"/>
        <v>365</v>
      </c>
      <c r="F379" s="224" t="str">
        <f>IF(AND('in-situ Acer outplants'!D:D=B379,IF(VLOOKUP(B379,'in-situ Acer outplants'!D:M,10,FALSE)&lt;&gt;0,"TRUE", "FALSE")),"Completed",DATE(year(A379), month(A379)+1, day(A379)))</f>
        <v>#N/A</v>
      </c>
      <c r="G379" s="1360" t="str">
        <f>IF(AND('in-situ Acer outplants'!D:D=B379,IF(VLOOKUP(B379,'in-situ Acer outplants'!D:T,17,FALSE)&lt;&gt;0,"TRUE", "FALSE")),"Completed",DATE(year(A379)+1, month(A379), day(A379)))</f>
        <v>#N/A</v>
      </c>
      <c r="H379" s="1360"/>
      <c r="I379" s="1360"/>
      <c r="J379" s="1360"/>
      <c r="K379" s="1360"/>
      <c r="L379" s="1360"/>
      <c r="M379" s="1360"/>
      <c r="N379" s="1360"/>
      <c r="O379" s="1371"/>
      <c r="P379" s="1385"/>
      <c r="Q379" s="1360"/>
      <c r="R379" s="1360"/>
      <c r="S379" s="1360"/>
      <c r="T379" s="1360"/>
      <c r="U379" s="1360"/>
      <c r="V379" s="1360"/>
      <c r="W379" s="1360"/>
      <c r="X379" s="1360"/>
      <c r="Y379" s="1360"/>
      <c r="Z379" s="1360"/>
      <c r="AA379" s="1360"/>
      <c r="AB379" s="1360"/>
      <c r="AC379" s="1360"/>
      <c r="AD379" s="1371"/>
      <c r="AE379" s="1360"/>
      <c r="AF379" s="1360"/>
      <c r="AG379" s="1360"/>
    </row>
    <row r="380">
      <c r="A380" s="1356"/>
      <c r="B380" s="1357"/>
      <c r="C380" s="224"/>
      <c r="D380" s="1366">
        <f t="shared" si="1"/>
        <v>693992</v>
      </c>
      <c r="E380" s="1366">
        <f t="shared" si="2"/>
        <v>365</v>
      </c>
      <c r="F380" s="224" t="str">
        <f>IF(AND('in-situ Acer outplants'!D:D=B380,IF(VLOOKUP(B380,'in-situ Acer outplants'!D:M,10,FALSE)&lt;&gt;0,"TRUE", "FALSE")),"Completed",DATE(year(A380), month(A380)+1, day(A380)))</f>
        <v>#N/A</v>
      </c>
      <c r="G380" s="1360" t="str">
        <f>IF(AND('in-situ Acer outplants'!D:D=B380,IF(VLOOKUP(B380,'in-situ Acer outplants'!D:T,17,FALSE)&lt;&gt;0,"TRUE", "FALSE")),"Completed",DATE(year(A380)+1, month(A380), day(A380)))</f>
        <v>#N/A</v>
      </c>
      <c r="H380" s="1360"/>
      <c r="I380" s="1360"/>
      <c r="J380" s="1360"/>
      <c r="K380" s="1360"/>
      <c r="L380" s="1360"/>
      <c r="M380" s="1360"/>
      <c r="N380" s="1360"/>
      <c r="O380" s="1371"/>
      <c r="P380" s="1385"/>
      <c r="Q380" s="1360"/>
      <c r="R380" s="1360"/>
      <c r="S380" s="1360"/>
      <c r="T380" s="1360"/>
      <c r="U380" s="1360"/>
      <c r="V380" s="1360"/>
      <c r="W380" s="1360"/>
      <c r="X380" s="1360"/>
      <c r="Y380" s="1360"/>
      <c r="Z380" s="1360"/>
      <c r="AA380" s="1360"/>
      <c r="AB380" s="1360"/>
      <c r="AC380" s="1360"/>
      <c r="AD380" s="1371"/>
      <c r="AE380" s="1360"/>
      <c r="AF380" s="1360"/>
      <c r="AG380" s="1360"/>
    </row>
    <row r="381">
      <c r="A381" s="1356"/>
      <c r="B381" s="1357"/>
      <c r="C381" s="224"/>
      <c r="D381" s="1366">
        <f t="shared" si="1"/>
        <v>693992</v>
      </c>
      <c r="E381" s="1366">
        <f t="shared" si="2"/>
        <v>365</v>
      </c>
      <c r="F381" s="224" t="str">
        <f>IF(AND('in-situ Acer outplants'!D:D=B381,IF(VLOOKUP(B381,'in-situ Acer outplants'!D:M,10,FALSE)&lt;&gt;0,"TRUE", "FALSE")),"Completed",DATE(year(A381), month(A381)+1, day(A381)))</f>
        <v>#N/A</v>
      </c>
      <c r="G381" s="1360" t="str">
        <f>IF(AND('in-situ Acer outplants'!D:D=B381,IF(VLOOKUP(B381,'in-situ Acer outplants'!D:T,17,FALSE)&lt;&gt;0,"TRUE", "FALSE")),"Completed",DATE(year(A381)+1, month(A381), day(A381)))</f>
        <v>#N/A</v>
      </c>
      <c r="H381" s="1360"/>
      <c r="I381" s="1360"/>
      <c r="J381" s="1360"/>
      <c r="K381" s="1360"/>
      <c r="L381" s="1360"/>
      <c r="M381" s="1360"/>
      <c r="N381" s="1360"/>
      <c r="O381" s="1371"/>
      <c r="P381" s="1385"/>
      <c r="Q381" s="1360"/>
      <c r="R381" s="1360"/>
      <c r="S381" s="1360"/>
      <c r="T381" s="1360"/>
      <c r="U381" s="1360"/>
      <c r="V381" s="1360"/>
      <c r="W381" s="1360"/>
      <c r="X381" s="1360"/>
      <c r="Y381" s="1360"/>
      <c r="Z381" s="1360"/>
      <c r="AA381" s="1360"/>
      <c r="AB381" s="1360"/>
      <c r="AC381" s="1360"/>
      <c r="AD381" s="1371"/>
      <c r="AE381" s="1360"/>
      <c r="AF381" s="1360"/>
      <c r="AG381" s="1360"/>
    </row>
    <row r="382">
      <c r="A382" s="1356"/>
      <c r="B382" s="1357"/>
      <c r="C382" s="224"/>
      <c r="D382" s="1366">
        <f t="shared" si="1"/>
        <v>693992</v>
      </c>
      <c r="E382" s="1366">
        <f t="shared" si="2"/>
        <v>365</v>
      </c>
      <c r="F382" s="224" t="str">
        <f>IF(AND('in-situ Acer outplants'!D:D=B382,IF(VLOOKUP(B382,'in-situ Acer outplants'!D:M,10,FALSE)&lt;&gt;0,"TRUE", "FALSE")),"Completed",DATE(year(A382), month(A382)+1, day(A382)))</f>
        <v>#N/A</v>
      </c>
      <c r="G382" s="1360" t="str">
        <f>IF(AND('in-situ Acer outplants'!D:D=B382,IF(VLOOKUP(B382,'in-situ Acer outplants'!D:T,17,FALSE)&lt;&gt;0,"TRUE", "FALSE")),"Completed",DATE(year(A382)+1, month(A382), day(A382)))</f>
        <v>#N/A</v>
      </c>
      <c r="H382" s="1360"/>
      <c r="I382" s="1360"/>
      <c r="J382" s="1360"/>
      <c r="K382" s="1360"/>
      <c r="L382" s="1360"/>
      <c r="M382" s="1360"/>
      <c r="N382" s="1360"/>
      <c r="O382" s="1371"/>
      <c r="P382" s="1385"/>
      <c r="Q382" s="1360"/>
      <c r="R382" s="1360"/>
      <c r="S382" s="1360"/>
      <c r="T382" s="1360"/>
      <c r="U382" s="1360"/>
      <c r="V382" s="1360"/>
      <c r="W382" s="1360"/>
      <c r="X382" s="1360"/>
      <c r="Y382" s="1360"/>
      <c r="Z382" s="1360"/>
      <c r="AA382" s="1360"/>
      <c r="AB382" s="1360"/>
      <c r="AC382" s="1360"/>
      <c r="AD382" s="1371"/>
      <c r="AE382" s="1360"/>
      <c r="AF382" s="1360"/>
      <c r="AG382" s="1360"/>
    </row>
    <row r="383">
      <c r="A383" s="1356"/>
      <c r="B383" s="1357"/>
      <c r="C383" s="224"/>
      <c r="D383" s="1366">
        <f t="shared" si="1"/>
        <v>693992</v>
      </c>
      <c r="E383" s="1366">
        <f t="shared" si="2"/>
        <v>365</v>
      </c>
      <c r="F383" s="224" t="str">
        <f>IF(AND('in-situ Acer outplants'!D:D=B383,IF(VLOOKUP(B383,'in-situ Acer outplants'!D:M,10,FALSE)&lt;&gt;0,"TRUE", "FALSE")),"Completed",DATE(year(A383), month(A383)+1, day(A383)))</f>
        <v>#N/A</v>
      </c>
      <c r="G383" s="1360" t="str">
        <f>IF(AND('in-situ Acer outplants'!D:D=B383,IF(VLOOKUP(B383,'in-situ Acer outplants'!D:T,17,FALSE)&lt;&gt;0,"TRUE", "FALSE")),"Completed",DATE(year(A383)+1, month(A383), day(A383)))</f>
        <v>#N/A</v>
      </c>
      <c r="H383" s="1360"/>
      <c r="I383" s="1360"/>
      <c r="J383" s="1360"/>
      <c r="K383" s="1360"/>
      <c r="L383" s="1360"/>
      <c r="M383" s="1360"/>
      <c r="N383" s="1360"/>
      <c r="O383" s="1371"/>
      <c r="P383" s="1385"/>
      <c r="Q383" s="1360"/>
      <c r="R383" s="1360"/>
      <c r="S383" s="1360"/>
      <c r="T383" s="1360"/>
      <c r="U383" s="1360"/>
      <c r="V383" s="1360"/>
      <c r="W383" s="1360"/>
      <c r="X383" s="1360"/>
      <c r="Y383" s="1360"/>
      <c r="Z383" s="1360"/>
      <c r="AA383" s="1360"/>
      <c r="AB383" s="1360"/>
      <c r="AC383" s="1360"/>
      <c r="AD383" s="1371"/>
      <c r="AE383" s="1360"/>
      <c r="AF383" s="1360"/>
      <c r="AG383" s="1360"/>
    </row>
    <row r="384">
      <c r="A384" s="1356"/>
      <c r="B384" s="1357"/>
      <c r="C384" s="224"/>
      <c r="D384" s="1366">
        <f t="shared" si="1"/>
        <v>693992</v>
      </c>
      <c r="E384" s="1366">
        <f t="shared" si="2"/>
        <v>365</v>
      </c>
      <c r="F384" s="224" t="str">
        <f>IF(AND('in-situ Acer outplants'!D:D=B384,IF(VLOOKUP(B384,'in-situ Acer outplants'!D:M,10,FALSE)&lt;&gt;0,"TRUE", "FALSE")),"Completed",DATE(year(A384), month(A384)+1, day(A384)))</f>
        <v>#N/A</v>
      </c>
      <c r="G384" s="1360" t="str">
        <f>IF(AND('in-situ Acer outplants'!D:D=B384,IF(VLOOKUP(B384,'in-situ Acer outplants'!D:T,17,FALSE)&lt;&gt;0,"TRUE", "FALSE")),"Completed",DATE(year(A384)+1, month(A384), day(A384)))</f>
        <v>#N/A</v>
      </c>
      <c r="H384" s="1360"/>
      <c r="I384" s="1360"/>
      <c r="J384" s="1360"/>
      <c r="K384" s="1360"/>
      <c r="L384" s="1360"/>
      <c r="M384" s="1360"/>
      <c r="N384" s="1360"/>
      <c r="O384" s="1371"/>
      <c r="P384" s="1385"/>
      <c r="Q384" s="1360"/>
      <c r="R384" s="1360"/>
      <c r="S384" s="1360"/>
      <c r="T384" s="1360"/>
      <c r="U384" s="1360"/>
      <c r="V384" s="1360"/>
      <c r="W384" s="1360"/>
      <c r="X384" s="1360"/>
      <c r="Y384" s="1360"/>
      <c r="Z384" s="1360"/>
      <c r="AA384" s="1360"/>
      <c r="AB384" s="1360"/>
      <c r="AC384" s="1360"/>
      <c r="AD384" s="1371"/>
      <c r="AE384" s="1360"/>
      <c r="AF384" s="1360"/>
      <c r="AG384" s="1360"/>
    </row>
    <row r="385">
      <c r="A385" s="1356"/>
      <c r="B385" s="1357"/>
      <c r="C385" s="224"/>
      <c r="D385" s="1366">
        <f t="shared" si="1"/>
        <v>693992</v>
      </c>
      <c r="E385" s="1366">
        <f t="shared" si="2"/>
        <v>365</v>
      </c>
      <c r="F385" s="224" t="str">
        <f>IF(AND('in-situ Acer outplants'!D:D=B385,IF(VLOOKUP(B385,'in-situ Acer outplants'!D:M,10,FALSE)&lt;&gt;0,"TRUE", "FALSE")),"Completed",DATE(year(A385), month(A385)+1, day(A385)))</f>
        <v>#N/A</v>
      </c>
      <c r="G385" s="1360" t="str">
        <f>IF(AND('in-situ Acer outplants'!D:D=B385,IF(VLOOKUP(B385,'in-situ Acer outplants'!D:T,17,FALSE)&lt;&gt;0,"TRUE", "FALSE")),"Completed",DATE(year(A385)+1, month(A385), day(A385)))</f>
        <v>#N/A</v>
      </c>
      <c r="H385" s="1360"/>
      <c r="I385" s="1360"/>
      <c r="J385" s="1360"/>
      <c r="K385" s="1360"/>
      <c r="L385" s="1360"/>
      <c r="M385" s="1360"/>
      <c r="N385" s="1360"/>
      <c r="O385" s="1371"/>
      <c r="P385" s="1385"/>
      <c r="Q385" s="1360"/>
      <c r="R385" s="1360"/>
      <c r="S385" s="1360"/>
      <c r="T385" s="1360"/>
      <c r="U385" s="1360"/>
      <c r="V385" s="1360"/>
      <c r="W385" s="1360"/>
      <c r="X385" s="1360"/>
      <c r="Y385" s="1360"/>
      <c r="Z385" s="1360"/>
      <c r="AA385" s="1360"/>
      <c r="AB385" s="1360"/>
      <c r="AC385" s="1360"/>
      <c r="AD385" s="1371"/>
      <c r="AE385" s="1360"/>
      <c r="AF385" s="1360"/>
      <c r="AG385" s="1360"/>
    </row>
    <row r="386">
      <c r="A386" s="1356"/>
      <c r="B386" s="1357"/>
      <c r="C386" s="224"/>
      <c r="D386" s="1366">
        <f t="shared" si="1"/>
        <v>693992</v>
      </c>
      <c r="E386" s="1366">
        <f t="shared" si="2"/>
        <v>365</v>
      </c>
      <c r="F386" s="224" t="str">
        <f>IF(AND('in-situ Acer outplants'!D:D=B386,IF(VLOOKUP(B386,'in-situ Acer outplants'!D:M,10,FALSE)&lt;&gt;0,"TRUE", "FALSE")),"Completed",DATE(year(A386), month(A386)+1, day(A386)))</f>
        <v>#N/A</v>
      </c>
      <c r="G386" s="1360" t="str">
        <f>IF(AND('in-situ Acer outplants'!D:D=B386,IF(VLOOKUP(B386,'in-situ Acer outplants'!D:T,17,FALSE)&lt;&gt;0,"TRUE", "FALSE")),"Completed",DATE(year(A386)+1, month(A386), day(A386)))</f>
        <v>#N/A</v>
      </c>
      <c r="H386" s="1360"/>
      <c r="I386" s="1360"/>
      <c r="J386" s="1360"/>
      <c r="K386" s="1360"/>
      <c r="L386" s="1360"/>
      <c r="M386" s="1360"/>
      <c r="N386" s="1360"/>
      <c r="O386" s="1371"/>
      <c r="P386" s="1385"/>
      <c r="Q386" s="1360"/>
      <c r="R386" s="1360"/>
      <c r="S386" s="1360"/>
      <c r="T386" s="1360"/>
      <c r="U386" s="1360"/>
      <c r="V386" s="1360"/>
      <c r="W386" s="1360"/>
      <c r="X386" s="1360"/>
      <c r="Y386" s="1360"/>
      <c r="Z386" s="1360"/>
      <c r="AA386" s="1360"/>
      <c r="AB386" s="1360"/>
      <c r="AC386" s="1360"/>
      <c r="AD386" s="1371"/>
      <c r="AE386" s="1360"/>
      <c r="AF386" s="1360"/>
      <c r="AG386" s="1360"/>
    </row>
    <row r="387">
      <c r="A387" s="1356"/>
      <c r="B387" s="1357"/>
      <c r="C387" s="224"/>
      <c r="D387" s="1366">
        <f t="shared" si="1"/>
        <v>693992</v>
      </c>
      <c r="E387" s="1366">
        <f t="shared" si="2"/>
        <v>365</v>
      </c>
      <c r="F387" s="224" t="str">
        <f>IF(AND('in-situ Acer outplants'!D:D=B387,IF(VLOOKUP(B387,'in-situ Acer outplants'!D:M,10,FALSE)&lt;&gt;0,"TRUE", "FALSE")),"Completed",DATE(year(A387), month(A387)+1, day(A387)))</f>
        <v>#N/A</v>
      </c>
      <c r="G387" s="1360" t="str">
        <f>IF(AND('in-situ Acer outplants'!D:D=B387,IF(VLOOKUP(B387,'in-situ Acer outplants'!D:T,17,FALSE)&lt;&gt;0,"TRUE", "FALSE")),"Completed",DATE(year(A387)+1, month(A387), day(A387)))</f>
        <v>#N/A</v>
      </c>
      <c r="H387" s="1360"/>
      <c r="I387" s="1360"/>
      <c r="J387" s="1360"/>
      <c r="K387" s="1360"/>
      <c r="L387" s="1360"/>
      <c r="M387" s="1360"/>
      <c r="N387" s="1360"/>
      <c r="O387" s="1371"/>
      <c r="P387" s="1385"/>
      <c r="Q387" s="1360"/>
      <c r="R387" s="1360"/>
      <c r="S387" s="1360"/>
      <c r="T387" s="1360"/>
      <c r="U387" s="1360"/>
      <c r="V387" s="1360"/>
      <c r="W387" s="1360"/>
      <c r="X387" s="1360"/>
      <c r="Y387" s="1360"/>
      <c r="Z387" s="1360"/>
      <c r="AA387" s="1360"/>
      <c r="AB387" s="1360"/>
      <c r="AC387" s="1360"/>
      <c r="AD387" s="1371"/>
      <c r="AE387" s="1360"/>
      <c r="AF387" s="1360"/>
      <c r="AG387" s="1360"/>
    </row>
    <row r="388">
      <c r="A388" s="1356"/>
      <c r="B388" s="1357"/>
      <c r="C388" s="224"/>
      <c r="D388" s="1366">
        <f t="shared" si="1"/>
        <v>693992</v>
      </c>
      <c r="E388" s="1366">
        <f t="shared" si="2"/>
        <v>365</v>
      </c>
      <c r="F388" s="224" t="str">
        <f>IF(AND('in-situ Acer outplants'!D:D=B388,IF(VLOOKUP(B388,'in-situ Acer outplants'!D:M,10,FALSE)&lt;&gt;0,"TRUE", "FALSE")),"Completed",DATE(year(A388), month(A388)+1, day(A388)))</f>
        <v>#N/A</v>
      </c>
      <c r="G388" s="1360" t="str">
        <f>IF(AND('in-situ Acer outplants'!D:D=B388,IF(VLOOKUP(B388,'in-situ Acer outplants'!D:T,17,FALSE)&lt;&gt;0,"TRUE", "FALSE")),"Completed",DATE(year(A388)+1, month(A388), day(A388)))</f>
        <v>#N/A</v>
      </c>
      <c r="H388" s="1360"/>
      <c r="I388" s="1360"/>
      <c r="J388" s="1360"/>
      <c r="K388" s="1360"/>
      <c r="L388" s="1360"/>
      <c r="M388" s="1360"/>
      <c r="N388" s="1360"/>
      <c r="O388" s="1371"/>
      <c r="P388" s="1385"/>
      <c r="Q388" s="1360"/>
      <c r="R388" s="1360"/>
      <c r="S388" s="1360"/>
      <c r="T388" s="1360"/>
      <c r="U388" s="1360"/>
      <c r="V388" s="1360"/>
      <c r="W388" s="1360"/>
      <c r="X388" s="1360"/>
      <c r="Y388" s="1360"/>
      <c r="Z388" s="1360"/>
      <c r="AA388" s="1360"/>
      <c r="AB388" s="1360"/>
      <c r="AC388" s="1360"/>
      <c r="AD388" s="1371"/>
      <c r="AE388" s="1360"/>
      <c r="AF388" s="1360"/>
      <c r="AG388" s="1360"/>
    </row>
    <row r="389">
      <c r="A389" s="1356"/>
      <c r="B389" s="1357"/>
      <c r="C389" s="224"/>
      <c r="D389" s="1366">
        <f t="shared" si="1"/>
        <v>693992</v>
      </c>
      <c r="E389" s="1366">
        <f t="shared" si="2"/>
        <v>365</v>
      </c>
      <c r="F389" s="224" t="str">
        <f>IF(AND('in-situ Acer outplants'!D:D=B389,IF(VLOOKUP(B389,'in-situ Acer outplants'!D:M,10,FALSE)&lt;&gt;0,"TRUE", "FALSE")),"Completed",DATE(year(A389), month(A389)+1, day(A389)))</f>
        <v>#N/A</v>
      </c>
      <c r="G389" s="1360" t="str">
        <f>IF(AND('in-situ Acer outplants'!D:D=B389,IF(VLOOKUP(B389,'in-situ Acer outplants'!D:T,17,FALSE)&lt;&gt;0,"TRUE", "FALSE")),"Completed",DATE(year(A389)+1, month(A389), day(A389)))</f>
        <v>#N/A</v>
      </c>
      <c r="H389" s="1360"/>
      <c r="I389" s="1360"/>
      <c r="J389" s="1360"/>
      <c r="K389" s="1360"/>
      <c r="L389" s="1360"/>
      <c r="M389" s="1360"/>
      <c r="N389" s="1360"/>
      <c r="O389" s="1371"/>
      <c r="P389" s="1385"/>
      <c r="Q389" s="1360"/>
      <c r="R389" s="1360"/>
      <c r="S389" s="1360"/>
      <c r="T389" s="1360"/>
      <c r="U389" s="1360"/>
      <c r="V389" s="1360"/>
      <c r="W389" s="1360"/>
      <c r="X389" s="1360"/>
      <c r="Y389" s="1360"/>
      <c r="Z389" s="1360"/>
      <c r="AA389" s="1360"/>
      <c r="AB389" s="1360"/>
      <c r="AC389" s="1360"/>
      <c r="AD389" s="1371"/>
      <c r="AE389" s="1360"/>
      <c r="AF389" s="1360"/>
      <c r="AG389" s="1360"/>
    </row>
    <row r="390">
      <c r="A390" s="1356"/>
      <c r="B390" s="1357"/>
      <c r="C390" s="224"/>
      <c r="D390" s="1366">
        <f t="shared" si="1"/>
        <v>693992</v>
      </c>
      <c r="E390" s="1366">
        <f t="shared" si="2"/>
        <v>365</v>
      </c>
      <c r="F390" s="224" t="str">
        <f>IF(AND('in-situ Acer outplants'!D:D=B390,IF(VLOOKUP(B390,'in-situ Acer outplants'!D:M,10,FALSE)&lt;&gt;0,"TRUE", "FALSE")),"Completed",DATE(year(A390), month(A390)+1, day(A390)))</f>
        <v>#N/A</v>
      </c>
      <c r="G390" s="1360" t="str">
        <f>IF(AND('in-situ Acer outplants'!D:D=B390,IF(VLOOKUP(B390,'in-situ Acer outplants'!D:T,17,FALSE)&lt;&gt;0,"TRUE", "FALSE")),"Completed",DATE(year(A390)+1, month(A390), day(A390)))</f>
        <v>#N/A</v>
      </c>
      <c r="H390" s="1360"/>
      <c r="I390" s="1360"/>
      <c r="J390" s="1360"/>
      <c r="K390" s="1360"/>
      <c r="L390" s="1360"/>
      <c r="M390" s="1360"/>
      <c r="N390" s="1360"/>
      <c r="O390" s="1371"/>
      <c r="P390" s="1385"/>
      <c r="Q390" s="1360"/>
      <c r="R390" s="1360"/>
      <c r="S390" s="1360"/>
      <c r="T390" s="1360"/>
      <c r="U390" s="1360"/>
      <c r="V390" s="1360"/>
      <c r="W390" s="1360"/>
      <c r="X390" s="1360"/>
      <c r="Y390" s="1360"/>
      <c r="Z390" s="1360"/>
      <c r="AA390" s="1360"/>
      <c r="AB390" s="1360"/>
      <c r="AC390" s="1360"/>
      <c r="AD390" s="1371"/>
      <c r="AE390" s="1360"/>
      <c r="AF390" s="1360"/>
      <c r="AG390" s="1360"/>
    </row>
    <row r="391">
      <c r="A391" s="1356"/>
      <c r="B391" s="1357"/>
      <c r="C391" s="224"/>
      <c r="D391" s="1366">
        <f t="shared" si="1"/>
        <v>693992</v>
      </c>
      <c r="E391" s="1366">
        <f t="shared" si="2"/>
        <v>365</v>
      </c>
      <c r="F391" s="224" t="str">
        <f>IF(AND('in-situ Acer outplants'!D:D=B391,IF(VLOOKUP(B391,'in-situ Acer outplants'!D:M,10,FALSE)&lt;&gt;0,"TRUE", "FALSE")),"Completed",DATE(year(A391), month(A391)+1, day(A391)))</f>
        <v>#N/A</v>
      </c>
      <c r="G391" s="1360" t="str">
        <f>IF(AND('in-situ Acer outplants'!D:D=B391,IF(VLOOKUP(B391,'in-situ Acer outplants'!D:T,17,FALSE)&lt;&gt;0,"TRUE", "FALSE")),"Completed",DATE(year(A391)+1, month(A391), day(A391)))</f>
        <v>#N/A</v>
      </c>
      <c r="H391" s="1360"/>
      <c r="I391" s="1360"/>
      <c r="J391" s="1360"/>
      <c r="K391" s="1360"/>
      <c r="L391" s="1360"/>
      <c r="M391" s="1360"/>
      <c r="N391" s="1360"/>
      <c r="O391" s="1371"/>
      <c r="P391" s="1385"/>
      <c r="Q391" s="1360"/>
      <c r="R391" s="1360"/>
      <c r="S391" s="1360"/>
      <c r="T391" s="1360"/>
      <c r="U391" s="1360"/>
      <c r="V391" s="1360"/>
      <c r="W391" s="1360"/>
      <c r="X391" s="1360"/>
      <c r="Y391" s="1360"/>
      <c r="Z391" s="1360"/>
      <c r="AA391" s="1360"/>
      <c r="AB391" s="1360"/>
      <c r="AC391" s="1360"/>
      <c r="AD391" s="1371"/>
      <c r="AE391" s="1360"/>
      <c r="AF391" s="1360"/>
      <c r="AG391" s="1360"/>
    </row>
    <row r="392">
      <c r="A392" s="1356"/>
      <c r="B392" s="1357"/>
      <c r="C392" s="224"/>
      <c r="D392" s="1366">
        <f t="shared" si="1"/>
        <v>693992</v>
      </c>
      <c r="E392" s="1366">
        <f t="shared" si="2"/>
        <v>365</v>
      </c>
      <c r="F392" s="224" t="str">
        <f>IF(AND('in-situ Acer outplants'!D:D=B392,IF(VLOOKUP(B392,'in-situ Acer outplants'!D:M,10,FALSE)&lt;&gt;0,"TRUE", "FALSE")),"Completed",DATE(year(A392), month(A392)+1, day(A392)))</f>
        <v>#N/A</v>
      </c>
      <c r="G392" s="1360" t="str">
        <f>IF(AND('in-situ Acer outplants'!D:D=B392,IF(VLOOKUP(B392,'in-situ Acer outplants'!D:T,17,FALSE)&lt;&gt;0,"TRUE", "FALSE")),"Completed",DATE(year(A392)+1, month(A392), day(A392)))</f>
        <v>#N/A</v>
      </c>
      <c r="H392" s="1360"/>
      <c r="I392" s="1360"/>
      <c r="J392" s="1360"/>
      <c r="K392" s="1360"/>
      <c r="L392" s="1360"/>
      <c r="M392" s="1360"/>
      <c r="N392" s="1360"/>
      <c r="O392" s="1371"/>
      <c r="P392" s="1385"/>
      <c r="Q392" s="1360"/>
      <c r="R392" s="1360"/>
      <c r="S392" s="1360"/>
      <c r="T392" s="1360"/>
      <c r="U392" s="1360"/>
      <c r="V392" s="1360"/>
      <c r="W392" s="1360"/>
      <c r="X392" s="1360"/>
      <c r="Y392" s="1360"/>
      <c r="Z392" s="1360"/>
      <c r="AA392" s="1360"/>
      <c r="AB392" s="1360"/>
      <c r="AC392" s="1360"/>
      <c r="AD392" s="1371"/>
      <c r="AE392" s="1360"/>
      <c r="AF392" s="1360"/>
      <c r="AG392" s="1360"/>
    </row>
    <row r="393">
      <c r="A393" s="1356"/>
      <c r="B393" s="1357"/>
      <c r="C393" s="224"/>
      <c r="D393" s="1366">
        <f t="shared" si="1"/>
        <v>693992</v>
      </c>
      <c r="E393" s="1366">
        <f t="shared" si="2"/>
        <v>365</v>
      </c>
      <c r="F393" s="224" t="str">
        <f>IF(AND('in-situ Acer outplants'!D:D=B393,IF(VLOOKUP(B393,'in-situ Acer outplants'!D:M,10,FALSE)&lt;&gt;0,"TRUE", "FALSE")),"Completed",DATE(year(A393), month(A393)+1, day(A393)))</f>
        <v>#N/A</v>
      </c>
      <c r="G393" s="1360" t="str">
        <f>IF(AND('in-situ Acer outplants'!D:D=B393,IF(VLOOKUP(B393,'in-situ Acer outplants'!D:T,17,FALSE)&lt;&gt;0,"TRUE", "FALSE")),"Completed",DATE(year(A393)+1, month(A393), day(A393)))</f>
        <v>#N/A</v>
      </c>
      <c r="H393" s="1360"/>
      <c r="I393" s="1360"/>
      <c r="J393" s="1360"/>
      <c r="K393" s="1360"/>
      <c r="L393" s="1360"/>
      <c r="M393" s="1360"/>
      <c r="N393" s="1360"/>
      <c r="O393" s="1371"/>
      <c r="P393" s="1385"/>
      <c r="Q393" s="1360"/>
      <c r="R393" s="1360"/>
      <c r="S393" s="1360"/>
      <c r="T393" s="1360"/>
      <c r="U393" s="1360"/>
      <c r="V393" s="1360"/>
      <c r="W393" s="1360"/>
      <c r="X393" s="1360"/>
      <c r="Y393" s="1360"/>
      <c r="Z393" s="1360"/>
      <c r="AA393" s="1360"/>
      <c r="AB393" s="1360"/>
      <c r="AC393" s="1360"/>
      <c r="AD393" s="1371"/>
      <c r="AE393" s="1360"/>
      <c r="AF393" s="1360"/>
      <c r="AG393" s="1360"/>
    </row>
    <row r="394">
      <c r="A394" s="1356"/>
      <c r="B394" s="1357"/>
      <c r="C394" s="224"/>
      <c r="D394" s="1366">
        <f t="shared" si="1"/>
        <v>693992</v>
      </c>
      <c r="E394" s="1366">
        <f t="shared" si="2"/>
        <v>365</v>
      </c>
      <c r="F394" s="224" t="str">
        <f>IF(AND('in-situ Acer outplants'!D:D=B394,IF(VLOOKUP(B394,'in-situ Acer outplants'!D:M,10,FALSE)&lt;&gt;0,"TRUE", "FALSE")),"Completed",DATE(year(A394), month(A394)+1, day(A394)))</f>
        <v>#N/A</v>
      </c>
      <c r="G394" s="1360" t="str">
        <f>IF(AND('in-situ Acer outplants'!D:D=B394,IF(VLOOKUP(B394,'in-situ Acer outplants'!D:T,17,FALSE)&lt;&gt;0,"TRUE", "FALSE")),"Completed",DATE(year(A394)+1, month(A394), day(A394)))</f>
        <v>#N/A</v>
      </c>
      <c r="H394" s="1360"/>
      <c r="I394" s="1360"/>
      <c r="J394" s="1360"/>
      <c r="K394" s="1360"/>
      <c r="L394" s="1360"/>
      <c r="M394" s="1360"/>
      <c r="N394" s="1360"/>
      <c r="O394" s="1371"/>
      <c r="P394" s="1385"/>
      <c r="Q394" s="1360"/>
      <c r="R394" s="1360"/>
      <c r="S394" s="1360"/>
      <c r="T394" s="1360"/>
      <c r="U394" s="1360"/>
      <c r="V394" s="1360"/>
      <c r="W394" s="1360"/>
      <c r="X394" s="1360"/>
      <c r="Y394" s="1360"/>
      <c r="Z394" s="1360"/>
      <c r="AA394" s="1360"/>
      <c r="AB394" s="1360"/>
      <c r="AC394" s="1360"/>
      <c r="AD394" s="1371"/>
      <c r="AE394" s="1360"/>
      <c r="AF394" s="1360"/>
      <c r="AG394" s="1360"/>
    </row>
    <row r="395">
      <c r="A395" s="1356"/>
      <c r="B395" s="1357"/>
      <c r="C395" s="224"/>
      <c r="D395" s="1366">
        <f t="shared" si="1"/>
        <v>693992</v>
      </c>
      <c r="E395" s="1366">
        <f t="shared" si="2"/>
        <v>365</v>
      </c>
      <c r="F395" s="224" t="str">
        <f>IF(AND('in-situ Acer outplants'!D:D=B395,IF(VLOOKUP(B395,'in-situ Acer outplants'!D:M,10,FALSE)&lt;&gt;0,"TRUE", "FALSE")),"Completed",DATE(year(A395), month(A395)+1, day(A395)))</f>
        <v>#N/A</v>
      </c>
      <c r="G395" s="1360" t="str">
        <f>IF(AND('in-situ Acer outplants'!D:D=B395,IF(VLOOKUP(B395,'in-situ Acer outplants'!D:T,17,FALSE)&lt;&gt;0,"TRUE", "FALSE")),"Completed",DATE(year(A395)+1, month(A395), day(A395)))</f>
        <v>#N/A</v>
      </c>
      <c r="H395" s="1360"/>
      <c r="I395" s="1360"/>
      <c r="J395" s="1360"/>
      <c r="K395" s="1360"/>
      <c r="L395" s="1360"/>
      <c r="M395" s="1360"/>
      <c r="N395" s="1360"/>
      <c r="O395" s="1371"/>
      <c r="P395" s="1385"/>
      <c r="Q395" s="1360"/>
      <c r="R395" s="1360"/>
      <c r="S395" s="1360"/>
      <c r="T395" s="1360"/>
      <c r="U395" s="1360"/>
      <c r="V395" s="1360"/>
      <c r="W395" s="1360"/>
      <c r="X395" s="1360"/>
      <c r="Y395" s="1360"/>
      <c r="Z395" s="1360"/>
      <c r="AA395" s="1360"/>
      <c r="AB395" s="1360"/>
      <c r="AC395" s="1360"/>
      <c r="AD395" s="1371"/>
      <c r="AE395" s="1360"/>
      <c r="AF395" s="1360"/>
      <c r="AG395" s="1360"/>
    </row>
    <row r="396">
      <c r="A396" s="1356"/>
      <c r="B396" s="1357"/>
      <c r="C396" s="224"/>
      <c r="D396" s="1366">
        <f t="shared" si="1"/>
        <v>693992</v>
      </c>
      <c r="E396" s="1366">
        <f t="shared" si="2"/>
        <v>365</v>
      </c>
      <c r="F396" s="224" t="str">
        <f>IF(AND('in-situ Acer outplants'!D:D=B396,IF(VLOOKUP(B396,'in-situ Acer outplants'!D:M,10,FALSE)&lt;&gt;0,"TRUE", "FALSE")),"Completed",DATE(year(A396), month(A396)+1, day(A396)))</f>
        <v>#N/A</v>
      </c>
      <c r="G396" s="1360" t="str">
        <f>IF(AND('in-situ Acer outplants'!D:D=B396,IF(VLOOKUP(B396,'in-situ Acer outplants'!D:T,17,FALSE)&lt;&gt;0,"TRUE", "FALSE")),"Completed",DATE(year(A396)+1, month(A396), day(A396)))</f>
        <v>#N/A</v>
      </c>
      <c r="H396" s="1360"/>
      <c r="I396" s="1360"/>
      <c r="J396" s="1360"/>
      <c r="K396" s="1360"/>
      <c r="L396" s="1360"/>
      <c r="M396" s="1360"/>
      <c r="N396" s="1360"/>
      <c r="O396" s="1371"/>
      <c r="P396" s="1385"/>
      <c r="Q396" s="1360"/>
      <c r="R396" s="1360"/>
      <c r="S396" s="1360"/>
      <c r="T396" s="1360"/>
      <c r="U396" s="1360"/>
      <c r="V396" s="1360"/>
      <c r="W396" s="1360"/>
      <c r="X396" s="1360"/>
      <c r="Y396" s="1360"/>
      <c r="Z396" s="1360"/>
      <c r="AA396" s="1360"/>
      <c r="AB396" s="1360"/>
      <c r="AC396" s="1360"/>
      <c r="AD396" s="1371"/>
      <c r="AE396" s="1360"/>
      <c r="AF396" s="1360"/>
      <c r="AG396" s="1360"/>
    </row>
    <row r="397">
      <c r="A397" s="1356"/>
      <c r="B397" s="1357"/>
      <c r="C397" s="224"/>
      <c r="D397" s="1366">
        <f t="shared" si="1"/>
        <v>693992</v>
      </c>
      <c r="E397" s="1366">
        <f t="shared" si="2"/>
        <v>365</v>
      </c>
      <c r="F397" s="224" t="str">
        <f>IF(AND('in-situ Acer outplants'!D:D=B397,IF(VLOOKUP(B397,'in-situ Acer outplants'!D:M,10,FALSE)&lt;&gt;0,"TRUE", "FALSE")),"Completed",DATE(year(A397), month(A397)+1, day(A397)))</f>
        <v>#N/A</v>
      </c>
      <c r="G397" s="1360" t="str">
        <f>IF(AND('in-situ Acer outplants'!D:D=B397,IF(VLOOKUP(B397,'in-situ Acer outplants'!D:T,17,FALSE)&lt;&gt;0,"TRUE", "FALSE")),"Completed",DATE(year(A397)+1, month(A397), day(A397)))</f>
        <v>#N/A</v>
      </c>
      <c r="H397" s="1360"/>
      <c r="I397" s="1360"/>
      <c r="J397" s="1360"/>
      <c r="K397" s="1360"/>
      <c r="L397" s="1360"/>
      <c r="M397" s="1360"/>
      <c r="N397" s="1360"/>
      <c r="O397" s="1371"/>
      <c r="P397" s="1385"/>
      <c r="Q397" s="1360"/>
      <c r="R397" s="1360"/>
      <c r="S397" s="1360"/>
      <c r="T397" s="1360"/>
      <c r="U397" s="1360"/>
      <c r="V397" s="1360"/>
      <c r="W397" s="1360"/>
      <c r="X397" s="1360"/>
      <c r="Y397" s="1360"/>
      <c r="Z397" s="1360"/>
      <c r="AA397" s="1360"/>
      <c r="AB397" s="1360"/>
      <c r="AC397" s="1360"/>
      <c r="AD397" s="1371"/>
      <c r="AE397" s="1360"/>
      <c r="AF397" s="1360"/>
      <c r="AG397" s="1360"/>
    </row>
    <row r="398">
      <c r="A398" s="1356"/>
      <c r="B398" s="1357"/>
      <c r="C398" s="224"/>
      <c r="D398" s="1366">
        <f t="shared" si="1"/>
        <v>693992</v>
      </c>
      <c r="E398" s="1366">
        <f t="shared" si="2"/>
        <v>365</v>
      </c>
      <c r="F398" s="224" t="str">
        <f>IF(AND('in-situ Acer outplants'!D:D=B398,IF(VLOOKUP(B398,'in-situ Acer outplants'!D:M,10,FALSE)&lt;&gt;0,"TRUE", "FALSE")),"Completed",DATE(year(A398), month(A398)+1, day(A398)))</f>
        <v>#N/A</v>
      </c>
      <c r="G398" s="1360" t="str">
        <f>IF(AND('in-situ Acer outplants'!D:D=B398,IF(VLOOKUP(B398,'in-situ Acer outplants'!D:T,17,FALSE)&lt;&gt;0,"TRUE", "FALSE")),"Completed",DATE(year(A398)+1, month(A398), day(A398)))</f>
        <v>#N/A</v>
      </c>
      <c r="H398" s="1360"/>
      <c r="I398" s="1360"/>
      <c r="J398" s="1360"/>
      <c r="K398" s="1360"/>
      <c r="L398" s="1360"/>
      <c r="M398" s="1360"/>
      <c r="N398" s="1360"/>
      <c r="O398" s="1371"/>
      <c r="P398" s="1385"/>
      <c r="Q398" s="1360"/>
      <c r="R398" s="1360"/>
      <c r="S398" s="1360"/>
      <c r="T398" s="1360"/>
      <c r="U398" s="1360"/>
      <c r="V398" s="1360"/>
      <c r="W398" s="1360"/>
      <c r="X398" s="1360"/>
      <c r="Y398" s="1360"/>
      <c r="Z398" s="1360"/>
      <c r="AA398" s="1360"/>
      <c r="AB398" s="1360"/>
      <c r="AC398" s="1360"/>
      <c r="AD398" s="1371"/>
      <c r="AE398" s="1360"/>
      <c r="AF398" s="1360"/>
      <c r="AG398" s="1360"/>
    </row>
    <row r="399">
      <c r="A399" s="1356"/>
      <c r="B399" s="1357"/>
      <c r="C399" s="224"/>
      <c r="D399" s="1366">
        <f t="shared" si="1"/>
        <v>693992</v>
      </c>
      <c r="E399" s="1366">
        <f t="shared" si="2"/>
        <v>365</v>
      </c>
      <c r="F399" s="224" t="str">
        <f>IF(AND('in-situ Acer outplants'!D:D=B399,IF(VLOOKUP(B399,'in-situ Acer outplants'!D:M,10,FALSE)&lt;&gt;0,"TRUE", "FALSE")),"Completed",DATE(year(A399), month(A399)+1, day(A399)))</f>
        <v>#N/A</v>
      </c>
      <c r="G399" s="1360" t="str">
        <f>IF(AND('in-situ Acer outplants'!D:D=B399,IF(VLOOKUP(B399,'in-situ Acer outplants'!D:T,17,FALSE)&lt;&gt;0,"TRUE", "FALSE")),"Completed",DATE(year(A399)+1, month(A399), day(A399)))</f>
        <v>#N/A</v>
      </c>
      <c r="H399" s="1360"/>
      <c r="I399" s="1360"/>
      <c r="J399" s="1360"/>
      <c r="K399" s="1360"/>
      <c r="L399" s="1360"/>
      <c r="M399" s="1360"/>
      <c r="N399" s="1360"/>
      <c r="O399" s="1371"/>
      <c r="P399" s="1385"/>
      <c r="Q399" s="1360"/>
      <c r="R399" s="1360"/>
      <c r="S399" s="1360"/>
      <c r="T399" s="1360"/>
      <c r="U399" s="1360"/>
      <c r="V399" s="1360"/>
      <c r="W399" s="1360"/>
      <c r="X399" s="1360"/>
      <c r="Y399" s="1360"/>
      <c r="Z399" s="1360"/>
      <c r="AA399" s="1360"/>
      <c r="AB399" s="1360"/>
      <c r="AC399" s="1360"/>
      <c r="AD399" s="1371"/>
      <c r="AE399" s="1360"/>
      <c r="AF399" s="1360"/>
      <c r="AG399" s="1360"/>
    </row>
    <row r="400">
      <c r="A400" s="1356"/>
      <c r="B400" s="1357"/>
      <c r="C400" s="224"/>
      <c r="D400" s="1366">
        <f t="shared" si="1"/>
        <v>693992</v>
      </c>
      <c r="E400" s="1366">
        <f t="shared" si="2"/>
        <v>365</v>
      </c>
      <c r="F400" s="224" t="str">
        <f>IF(AND('in-situ Acer outplants'!D:D=B400,IF(VLOOKUP(B400,'in-situ Acer outplants'!D:M,10,FALSE)&lt;&gt;0,"TRUE", "FALSE")),"Completed",DATE(year(A400), month(A400)+1, day(A400)))</f>
        <v>#N/A</v>
      </c>
      <c r="G400" s="1360" t="str">
        <f>IF(AND('in-situ Acer outplants'!D:D=B400,IF(VLOOKUP(B400,'in-situ Acer outplants'!D:T,17,FALSE)&lt;&gt;0,"TRUE", "FALSE")),"Completed",DATE(year(A400)+1, month(A400), day(A400)))</f>
        <v>#N/A</v>
      </c>
      <c r="H400" s="1360"/>
      <c r="I400" s="1360"/>
      <c r="J400" s="1360"/>
      <c r="K400" s="1360"/>
      <c r="L400" s="1360"/>
      <c r="M400" s="1360"/>
      <c r="N400" s="1360"/>
      <c r="O400" s="1371"/>
      <c r="P400" s="1385"/>
      <c r="Q400" s="1360"/>
      <c r="R400" s="1360"/>
      <c r="S400" s="1360"/>
      <c r="T400" s="1360"/>
      <c r="U400" s="1360"/>
      <c r="V400" s="1360"/>
      <c r="W400" s="1360"/>
      <c r="X400" s="1360"/>
      <c r="Y400" s="1360"/>
      <c r="Z400" s="1360"/>
      <c r="AA400" s="1360"/>
      <c r="AB400" s="1360"/>
      <c r="AC400" s="1360"/>
      <c r="AD400" s="1371"/>
      <c r="AE400" s="1360"/>
      <c r="AF400" s="1360"/>
      <c r="AG400" s="1360"/>
    </row>
  </sheetData>
  <drawing r:id="rId1"/>
</worksheet>
</file>