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Isaac\Documents\GitHub\COMPAR-EU_diabetes_model\R\"/>
    </mc:Choice>
  </mc:AlternateContent>
  <xr:revisionPtr revIDLastSave="0" documentId="13_ncr:1_{A728AACF-5050-4F69-A3DC-EBE1E541AEE7}" xr6:coauthVersionLast="46" xr6:coauthVersionMax="46" xr10:uidLastSave="{00000000-0000-0000-0000-000000000000}"/>
  <bookViews>
    <workbookView xWindow="-120" yWindow="-120" windowWidth="29040" windowHeight="15840" xr2:uid="{00000000-000D-0000-FFFF-FFFF00000000}"/>
  </bookViews>
  <sheets>
    <sheet name="UKPDS_macrovascular" sheetId="1" r:id="rId1"/>
    <sheet name="UKPDS_microvascular" sheetId="2" r:id="rId2"/>
  </sheets>
  <calcPr calcId="181029"/>
</workbook>
</file>

<file path=xl/calcChain.xml><?xml version="1.0" encoding="utf-8"?>
<calcChain xmlns="http://schemas.openxmlformats.org/spreadsheetml/2006/main">
  <c r="D10" i="2" l="1"/>
  <c r="D9" i="2"/>
  <c r="F9" i="2" s="1"/>
  <c r="D24" i="2"/>
  <c r="D23" i="2"/>
  <c r="D22" i="2"/>
  <c r="D21" i="2"/>
  <c r="F21" i="2" s="1"/>
  <c r="D20" i="2"/>
  <c r="D19" i="2"/>
  <c r="D18" i="2"/>
  <c r="D17" i="2"/>
  <c r="D16" i="2"/>
  <c r="F16" i="2" s="1"/>
  <c r="D15" i="2"/>
  <c r="D14" i="2"/>
  <c r="D13" i="2"/>
  <c r="F13" i="2" s="1"/>
  <c r="D12" i="2"/>
  <c r="D11" i="2"/>
  <c r="F11" i="2" s="1"/>
  <c r="D8" i="2"/>
  <c r="D7" i="2"/>
  <c r="F7" i="2" s="1"/>
  <c r="D6" i="2"/>
  <c r="D5" i="2"/>
  <c r="F5" i="2" s="1"/>
  <c r="D4" i="2"/>
  <c r="E11" i="1"/>
  <c r="F15" i="2" l="1"/>
  <c r="F4" i="2"/>
  <c r="F8" i="2"/>
  <c r="F18" i="2"/>
  <c r="F23" i="2"/>
  <c r="F12" i="2"/>
  <c r="F10" i="2"/>
  <c r="F19" i="2"/>
  <c r="F17" i="2"/>
  <c r="F20" i="2"/>
  <c r="F24" i="2"/>
  <c r="F6" i="2"/>
  <c r="F14" i="2"/>
  <c r="F22" i="2"/>
  <c r="F25" i="2" l="1"/>
  <c r="F27" i="2" s="1"/>
  <c r="F26" i="2" l="1"/>
  <c r="F28" i="2" s="1"/>
  <c r="E25" i="1" l="1"/>
  <c r="E24" i="1"/>
  <c r="E23" i="1"/>
  <c r="H23" i="1" s="1"/>
  <c r="E22" i="1"/>
  <c r="E21" i="1"/>
  <c r="E20" i="1"/>
  <c r="E19" i="1"/>
  <c r="G19" i="1" s="1"/>
  <c r="E18" i="1"/>
  <c r="E17" i="1"/>
  <c r="G17" i="1" s="1"/>
  <c r="E16" i="1"/>
  <c r="E14" i="1"/>
  <c r="E15" i="1" s="1"/>
  <c r="H15" i="1" s="1"/>
  <c r="E13" i="1"/>
  <c r="E12" i="1"/>
  <c r="E10" i="1"/>
  <c r="E9" i="1"/>
  <c r="G9" i="1" s="1"/>
  <c r="E8" i="1"/>
  <c r="H8" i="1" s="1"/>
  <c r="E7" i="1"/>
  <c r="E6" i="1"/>
  <c r="E4" i="1"/>
  <c r="E5" i="1"/>
  <c r="G8" i="1" l="1"/>
  <c r="H20" i="1"/>
  <c r="G18" i="1"/>
  <c r="H9" i="1"/>
  <c r="H19" i="1"/>
  <c r="H21" i="1"/>
  <c r="G21" i="1"/>
  <c r="H4" i="1"/>
  <c r="H12" i="1"/>
  <c r="G7" i="1"/>
  <c r="G25" i="1"/>
  <c r="H14" i="1"/>
  <c r="H5" i="1"/>
  <c r="H13" i="1"/>
  <c r="G16" i="1"/>
  <c r="G24" i="1"/>
  <c r="G15" i="1"/>
  <c r="G4" i="1"/>
  <c r="G14" i="1"/>
  <c r="H18" i="1"/>
  <c r="G13" i="1"/>
  <c r="H6" i="1"/>
  <c r="G12" i="1"/>
  <c r="H16" i="1"/>
  <c r="G20" i="1"/>
  <c r="H24" i="1"/>
  <c r="H22" i="1"/>
  <c r="G6" i="1"/>
  <c r="G5" i="1"/>
  <c r="G23" i="1"/>
  <c r="G22" i="1"/>
  <c r="H7" i="1"/>
  <c r="H17" i="1"/>
  <c r="H25" i="1"/>
  <c r="G10" i="1"/>
  <c r="G11" i="1"/>
  <c r="H11" i="1"/>
  <c r="H10" i="1"/>
  <c r="H26" i="1" l="1"/>
  <c r="G26" i="1"/>
  <c r="G27" i="1" l="1"/>
  <c r="G28" i="1"/>
  <c r="H27" i="1"/>
  <c r="H28" i="1"/>
  <c r="H29" i="1" l="1"/>
  <c r="G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Isaac Corro Ramos</author>
  </authors>
  <commentList>
    <comment ref="E11" authorId="0" shapeId="0" xr:uid="{4097AC34-E2F9-4233-953D-97A22DEC9160}">
      <text>
        <r>
          <rPr>
            <b/>
            <sz val="9"/>
            <color indexed="81"/>
            <rFont val="Tahoma"/>
            <charset val="1"/>
          </rPr>
          <t>Issue: 
This is how we understood this variable should be defined. However, this would result in non-logical results as described below. So, we think the definition of this variable has to be incorrect.</t>
        </r>
        <r>
          <rPr>
            <sz val="9"/>
            <color indexed="81"/>
            <rFont val="Tahoma"/>
            <charset val="1"/>
          </rPr>
          <t xml:space="preserve">
</t>
        </r>
      </text>
    </comment>
    <comment ref="E15" authorId="0" shapeId="0" xr:uid="{8D1B5D47-10B6-4A7F-A0D7-011FFF40D7BD}">
      <text>
        <r>
          <rPr>
            <b/>
            <sz val="9"/>
            <color indexed="81"/>
            <rFont val="Tahoma"/>
            <charset val="1"/>
          </rPr>
          <t>Issue:
This is how we understood this variable should be defined (same as with eGFR). This seems to be correct though, as explained below, but confirmation would be appreciated.</t>
        </r>
        <r>
          <rPr>
            <sz val="9"/>
            <color indexed="81"/>
            <rFont val="Tahoma"/>
            <charset val="1"/>
          </rPr>
          <t xml:space="preserve">
</t>
        </r>
      </text>
    </comment>
    <comment ref="G29" authorId="0" shapeId="0" xr:uid="{380F31C2-B7D9-42BA-A264-96028453ACDF}">
      <text>
        <r>
          <rPr>
            <b/>
            <sz val="9"/>
            <color indexed="81"/>
            <rFont val="Tahoma"/>
            <family val="2"/>
          </rPr>
          <t>Issue: 
The same issue is observed here with CHF. For example, if we define E11 = IF(J10&lt;=6,J10,0), a patient with eGFR = 10 has a lower MI probability than a patient with eGFR = 100. Again, it seems reasonable to assume that this probability should be the lowest for eGFR = 0 and increase up to eGFR =60 and then kept constant. This issue is not so evident as for MI because the CHF probability is small anyway.</t>
        </r>
        <r>
          <rPr>
            <sz val="9"/>
            <color indexed="81"/>
            <rFont val="Tahoma"/>
            <family val="2"/>
          </rPr>
          <t xml:space="preserve">
</t>
        </r>
      </text>
    </comment>
    <comment ref="H29" authorId="0" shapeId="0" xr:uid="{9B81E036-B474-4909-BDF8-BC29233B658B}">
      <text>
        <r>
          <rPr>
            <b/>
            <sz val="9"/>
            <color indexed="81"/>
            <rFont val="Tahoma"/>
            <family val="2"/>
          </rPr>
          <t xml:space="preserve">Issue: 
This probability is too high for eGFR &gt; 60. The probability should be higher for lower values of eGFR and decrease for higher values of eGFR (high eGFR is good). The problem is that with the current definition of eGFR, this is not happenning after eGFR &gt; 60. We think then that maybe the probability for eGFR &gt;= 60 should be all the same.
If we define E11 =IF(J10&lt;=6,J10,6) instead of E11 = IF(J10&lt;=6,J10,0). The results for the MI probability seem to be in line with the expectations (decreasing for increasing eGFR and constant for values &gt;=60). 
A related problem is that if we define E11 =IF(J10&lt;=6,J10,6), the equation for renal failure (see UKPDS_microvascular sheet) does not give logical results either.
Note: LDL &gt; 35 does not seem to be a problem. When it is lower than 35, it does not affect the MI probability. When LDL &gt; 35, the larger the LDL value the higher the MI probability, which is in line with the expectations.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Isaac Corro Ramos</author>
  </authors>
  <commentList>
    <comment ref="D9" authorId="0" shapeId="0" xr:uid="{311C2A1B-1286-494C-806A-C743DF1B6E24}">
      <text>
        <r>
          <rPr>
            <b/>
            <sz val="9"/>
            <color indexed="81"/>
            <rFont val="Tahoma"/>
            <charset val="1"/>
          </rPr>
          <t>Issue: 
Again, this is how we understood this variable should be defined (same as for macrovascular). However, this would result in non-logical results as described below. So, we think the definition of this variable has to be incorrect.</t>
        </r>
        <r>
          <rPr>
            <sz val="9"/>
            <color indexed="81"/>
            <rFont val="Tahoma"/>
            <charset val="1"/>
          </rPr>
          <t xml:space="preserve">
</t>
        </r>
      </text>
    </comment>
    <comment ref="F28" authorId="0" shapeId="0" xr:uid="{401F980B-4CCD-4CA0-8DEC-0C2BB239362F}">
      <text>
        <r>
          <rPr>
            <b/>
            <sz val="9"/>
            <color indexed="81"/>
            <rFont val="Tahoma"/>
            <family val="2"/>
          </rPr>
          <t xml:space="preserve">Issue: 
We think this probability should be the lowest for eGFR = 0 (p = 0.0766) and the highest for eGFR = 100 (p = 0.0006) but it is not the case.
It is the lowest for eGFR = 59 (0.0002), just the limit between the two variables; then increases at eGFR = 60 (0.0043), and then decreases again. We think this is non-logical. We know this happens because the coefficient for eGFR &lt; 60 is more negative than for eGFR &gt; 60. But we think the definition of these variables muct be incorrect. This however does not affect significantly the results as occured with MI. Yet it has to be corrected. 
We think the alternative proposed for MI, i.e., D9 = IF(O31/10 &lt;6, O31/10,0) does not work in this case because it will double count the effect after eGFR &gt;= 60 and would make the probability practically 0. A solution might be to define eGFR &gt; 60 as D10 = IF(O31/10 &gt;= 6, (O31/10)-6,0).
That way, when eGFR &lt; 60 the factor in the equation will be -1.031*eGFR/10. When eGFR &gt;= 60, then it will be -1.031*6 + -0.487*(eGFR/10 - 6). In other words, the variable  eGFR &gt; 60 is "restarted" at 60 and it contributes only with the difference with respect to 6. Thus for eGFR = 70, we'll have then:  
-1.031*6 + -0.487*(70/10 - 6) = -1.031*6 + -0.487*1
Defining the eGFR variables like that, results in logical renal failure probability: decreasing for increasing values of eGFR. 
Confirmation would be appreciated. </t>
        </r>
      </text>
    </comment>
  </commentList>
</comments>
</file>

<file path=xl/sharedStrings.xml><?xml version="1.0" encoding="utf-8"?>
<sst xmlns="http://schemas.openxmlformats.org/spreadsheetml/2006/main" count="115" uniqueCount="40">
  <si>
    <t>CHF</t>
  </si>
  <si>
    <t>Patient characteristics</t>
  </si>
  <si>
    <t>lambda</t>
  </si>
  <si>
    <t>ro</t>
  </si>
  <si>
    <t>AFRO</t>
  </si>
  <si>
    <t>AGE.DIAG</t>
  </si>
  <si>
    <t>FEMALE</t>
  </si>
  <si>
    <t>INDIAN</t>
  </si>
  <si>
    <t>ATFIB</t>
  </si>
  <si>
    <t>BMI</t>
  </si>
  <si>
    <t>eGFR</t>
  </si>
  <si>
    <t>HbA1c</t>
  </si>
  <si>
    <t>HDL</t>
  </si>
  <si>
    <t>LDL</t>
  </si>
  <si>
    <t>MMALB</t>
  </si>
  <si>
    <t>PVD</t>
  </si>
  <si>
    <t>SBP</t>
  </si>
  <si>
    <t>SMOKER</t>
  </si>
  <si>
    <t>WBC</t>
  </si>
  <si>
    <t>AMP.HIST</t>
  </si>
  <si>
    <t>CHF.HIST</t>
  </si>
  <si>
    <t>IHD.HIST</t>
  </si>
  <si>
    <t>STROKE.HIST</t>
  </si>
  <si>
    <t>ULCER.HIST</t>
  </si>
  <si>
    <t>SUM</t>
  </si>
  <si>
    <t>H(t)</t>
  </si>
  <si>
    <t>H(t+1)</t>
  </si>
  <si>
    <t>P</t>
  </si>
  <si>
    <t>CURR.AGE</t>
  </si>
  <si>
    <t>YEAR</t>
  </si>
  <si>
    <t>HEART.R</t>
  </si>
  <si>
    <t>HAEM</t>
  </si>
  <si>
    <t>MI.HIST</t>
  </si>
  <si>
    <t>RENAL.HIST</t>
  </si>
  <si>
    <t>BLIND.HIST</t>
  </si>
  <si>
    <t>eGFR &lt; 60</t>
  </si>
  <si>
    <t>LDL &gt; 35</t>
  </si>
  <si>
    <t>First MI FEMALE</t>
  </si>
  <si>
    <t>RENAL FAILURE</t>
  </si>
  <si>
    <t>eGFR &gt;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</si>
</sst>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rgb="FF9C0006"/>
      <name val="Calibri"/>
      <family val="2"/>
      <scheme val="minor"/>
    </font>
    <font>
      <b/>
      <sz val="11"/>
      <color rgb="FF9C570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8" borderId="8" xfId="15" applyFont="1"/>
    <xf numFmtId="0" fontId="16" fillId="8" borderId="8" xfId="15" applyFont="1"/>
    <xf numFmtId="0" fontId="13" fillId="7" borderId="7" xfId="13"/>
    <xf numFmtId="164" fontId="0" fillId="0" borderId="0" xfId="0" applyNumberFormat="1"/>
    <xf numFmtId="165" fontId="20" fillId="3" borderId="0" xfId="7" applyNumberFormat="1" applyFont="1"/>
    <xf numFmtId="164" fontId="21" fillId="4" borderId="0" xfId="8" applyNumberFormat="1" applyFont="1"/>
    <xf numFmtId="166" fontId="20" fillId="3" borderId="0" xfId="7" applyNumberFormat="1" applyFont="1"/>
    <xf numFmtId="0" fontId="16" fillId="0" borderId="0" xfId="0" applyFont="1" applyAlignment="1">
      <alignment horizontal="center"/>
    </xf>
    <xf numFmtId="0" fontId="0" fillId="0" borderId="0" xfId="0" applyAlignment="1">
      <alignment horizontal="center"/>
    </xf>
    <xf numFmtId="0" fontId="13" fillId="7" borderId="7" xfId="13"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
  <sheetViews>
    <sheetView tabSelected="1" workbookViewId="0">
      <selection activeCell="E11" sqref="E11"/>
    </sheetView>
  </sheetViews>
  <sheetFormatPr defaultRowHeight="15" x14ac:dyDescent="0.25"/>
  <cols>
    <col min="1" max="1" width="12.140625" bestFit="1" customWidth="1"/>
    <col min="2" max="2" width="7.7109375" bestFit="1" customWidth="1"/>
    <col min="3" max="3" width="15.28515625" bestFit="1" customWidth="1"/>
    <col min="5" max="5" width="20.7109375" bestFit="1" customWidth="1"/>
    <col min="6" max="6" width="7.5703125" bestFit="1" customWidth="1"/>
    <col min="7" max="7" width="8" bestFit="1" customWidth="1"/>
    <col min="8" max="8" width="15.28515625" bestFit="1" customWidth="1"/>
    <col min="9" max="9" width="9.7109375" bestFit="1" customWidth="1"/>
    <col min="10" max="10" width="8.85546875" bestFit="1" customWidth="1"/>
    <col min="11" max="11" width="12.140625" bestFit="1" customWidth="1"/>
    <col min="12" max="12" width="11.140625" bestFit="1" customWidth="1"/>
    <col min="13" max="13" width="8.5703125" bestFit="1" customWidth="1"/>
    <col min="14" max="14" width="10.7109375" bestFit="1" customWidth="1"/>
    <col min="15" max="15" width="11" bestFit="1" customWidth="1"/>
  </cols>
  <sheetData>
    <row r="1" spans="1:8" x14ac:dyDescent="0.25">
      <c r="B1" s="1" t="s">
        <v>0</v>
      </c>
      <c r="C1" s="1" t="s">
        <v>37</v>
      </c>
      <c r="D1" s="1"/>
      <c r="E1" s="9" t="s">
        <v>1</v>
      </c>
      <c r="F1" s="1"/>
      <c r="G1" s="1" t="s">
        <v>0</v>
      </c>
      <c r="H1" s="1" t="s">
        <v>37</v>
      </c>
    </row>
    <row r="2" spans="1:8" x14ac:dyDescent="0.25">
      <c r="A2" s="1" t="s">
        <v>2</v>
      </c>
      <c r="B2">
        <v>-12.332000000000001</v>
      </c>
      <c r="C2">
        <v>-8.7080000000000002</v>
      </c>
    </row>
    <row r="3" spans="1:8" x14ac:dyDescent="0.25">
      <c r="A3" s="1" t="s">
        <v>3</v>
      </c>
      <c r="B3">
        <v>1.514</v>
      </c>
      <c r="C3">
        <v>1.3759999999999999</v>
      </c>
    </row>
    <row r="4" spans="1:8" x14ac:dyDescent="0.25">
      <c r="A4" s="1" t="s">
        <v>4</v>
      </c>
      <c r="B4">
        <v>0</v>
      </c>
      <c r="C4">
        <v>-1.6839999999999999</v>
      </c>
      <c r="E4" s="10">
        <f>UKPDS_macrovascular!E32</f>
        <v>0</v>
      </c>
      <c r="G4">
        <f>$E$4*B4</f>
        <v>0</v>
      </c>
      <c r="H4">
        <f>$E$4*C4</f>
        <v>0</v>
      </c>
    </row>
    <row r="5" spans="1:8" x14ac:dyDescent="0.25">
      <c r="A5" s="1" t="s">
        <v>5</v>
      </c>
      <c r="B5">
        <v>6.8000000000000005E-2</v>
      </c>
      <c r="C5">
        <v>4.1000000000000002E-2</v>
      </c>
      <c r="E5" s="10">
        <f>UKPDS_macrovascular!A32-UKPDS_macrovascular!B32</f>
        <v>48.56</v>
      </c>
      <c r="G5">
        <f>$E$5*B5</f>
        <v>3.3020800000000006</v>
      </c>
      <c r="H5">
        <f>$E$5*C5</f>
        <v>1.9909600000000003</v>
      </c>
    </row>
    <row r="6" spans="1:8" x14ac:dyDescent="0.25">
      <c r="A6" s="1" t="s">
        <v>6</v>
      </c>
      <c r="B6">
        <v>0</v>
      </c>
      <c r="C6">
        <v>0</v>
      </c>
      <c r="E6" s="10">
        <f>UKPDS_macrovascular!C32</f>
        <v>1</v>
      </c>
      <c r="G6">
        <f>$E$6*B6</f>
        <v>0</v>
      </c>
      <c r="H6">
        <f>$E$6*C6</f>
        <v>0</v>
      </c>
    </row>
    <row r="7" spans="1:8" x14ac:dyDescent="0.25">
      <c r="A7" s="1" t="s">
        <v>7</v>
      </c>
      <c r="B7">
        <v>0</v>
      </c>
      <c r="C7">
        <v>0</v>
      </c>
      <c r="E7" s="10">
        <f>UKPDS_macrovascular!F32</f>
        <v>0</v>
      </c>
      <c r="G7">
        <f>$E$7*B7</f>
        <v>0</v>
      </c>
      <c r="H7">
        <f>$E$7*C7</f>
        <v>0</v>
      </c>
    </row>
    <row r="8" spans="1:8" x14ac:dyDescent="0.25">
      <c r="A8" s="1" t="s">
        <v>8</v>
      </c>
      <c r="B8">
        <v>1.5620000000000001</v>
      </c>
      <c r="C8">
        <v>0</v>
      </c>
      <c r="E8" s="10">
        <f>UKPDS_macrovascular!N32</f>
        <v>0</v>
      </c>
      <c r="G8">
        <f>$E$8*B8</f>
        <v>0</v>
      </c>
      <c r="H8">
        <f>$E$8*C8</f>
        <v>0</v>
      </c>
    </row>
    <row r="9" spans="1:8" x14ac:dyDescent="0.25">
      <c r="A9" s="1" t="s">
        <v>9</v>
      </c>
      <c r="B9">
        <v>7.1999999999999995E-2</v>
      </c>
      <c r="C9">
        <v>0</v>
      </c>
      <c r="E9" s="10">
        <f>UKPDS_macrovascular!K32</f>
        <v>32.299999999999997</v>
      </c>
      <c r="G9">
        <f>$E$9*B9</f>
        <v>2.3255999999999997</v>
      </c>
      <c r="H9">
        <f>$E$9*C9</f>
        <v>0</v>
      </c>
    </row>
    <row r="10" spans="1:8" ht="15.75" thickBot="1" x14ac:dyDescent="0.3">
      <c r="A10" s="1" t="s">
        <v>10</v>
      </c>
      <c r="B10">
        <v>0</v>
      </c>
      <c r="C10">
        <v>0</v>
      </c>
      <c r="E10" s="10">
        <f>UKPDS_macrovascular!O32/10</f>
        <v>7</v>
      </c>
      <c r="G10">
        <f>$E$10*B10</f>
        <v>0</v>
      </c>
      <c r="H10">
        <f>$E$10*C10</f>
        <v>0</v>
      </c>
    </row>
    <row r="11" spans="1:8" ht="16.5" thickTop="1" thickBot="1" x14ac:dyDescent="0.3">
      <c r="A11" s="3" t="s">
        <v>35</v>
      </c>
      <c r="B11" s="2">
        <v>-0.22</v>
      </c>
      <c r="C11" s="2">
        <v>-0.28000000000000003</v>
      </c>
      <c r="D11" s="2"/>
      <c r="E11" s="11">
        <f>IF(E10&lt;=6,E10,0)</f>
        <v>0</v>
      </c>
      <c r="F11" s="2"/>
      <c r="G11" s="2">
        <f>$E$11*B11</f>
        <v>0</v>
      </c>
      <c r="H11" s="2">
        <f>$E$11*C11</f>
        <v>0</v>
      </c>
    </row>
    <row r="12" spans="1:8" ht="15.75" thickTop="1" x14ac:dyDescent="0.25">
      <c r="A12" s="1" t="s">
        <v>11</v>
      </c>
      <c r="B12">
        <v>0</v>
      </c>
      <c r="C12">
        <v>7.8E-2</v>
      </c>
      <c r="E12" s="10">
        <f>UKPDS_macrovascular!G32</f>
        <v>8.8000000000000007</v>
      </c>
      <c r="G12">
        <f>$E$12*B12</f>
        <v>0</v>
      </c>
      <c r="H12">
        <f>$E$12*C12</f>
        <v>0.68640000000000001</v>
      </c>
    </row>
    <row r="13" spans="1:8" x14ac:dyDescent="0.25">
      <c r="A13" s="1" t="s">
        <v>12</v>
      </c>
      <c r="B13">
        <v>0</v>
      </c>
      <c r="C13">
        <v>0</v>
      </c>
      <c r="E13" s="10">
        <f>UKPDS_macrovascular!I32*10</f>
        <v>30.8</v>
      </c>
      <c r="G13">
        <f>$E$13*B13</f>
        <v>0</v>
      </c>
      <c r="H13">
        <f>$E$13*C13</f>
        <v>0</v>
      </c>
    </row>
    <row r="14" spans="1:8" ht="15.75" thickBot="1" x14ac:dyDescent="0.3">
      <c r="A14" s="1" t="s">
        <v>13</v>
      </c>
      <c r="B14">
        <v>1.2E-2</v>
      </c>
      <c r="C14">
        <v>0</v>
      </c>
      <c r="E14" s="10">
        <f>UKPDS_macrovascular!J32*10</f>
        <v>11.899999999999999</v>
      </c>
      <c r="G14">
        <f>$E$14*B14</f>
        <v>0.14279999999999998</v>
      </c>
      <c r="H14">
        <f>$E$14*C14</f>
        <v>0</v>
      </c>
    </row>
    <row r="15" spans="1:8" ht="16.5" thickTop="1" thickBot="1" x14ac:dyDescent="0.3">
      <c r="A15" s="3" t="s">
        <v>36</v>
      </c>
      <c r="B15" s="2">
        <v>0</v>
      </c>
      <c r="C15" s="2">
        <v>3.5000000000000003E-2</v>
      </c>
      <c r="D15" s="2"/>
      <c r="E15" s="11">
        <f>IF(E14&gt;35,E14,0)</f>
        <v>0</v>
      </c>
      <c r="F15" s="2"/>
      <c r="G15" s="2">
        <f>$E$15*B15</f>
        <v>0</v>
      </c>
      <c r="H15" s="2">
        <f>$E$15*C15</f>
        <v>0</v>
      </c>
    </row>
    <row r="16" spans="1:8" ht="15.75" thickTop="1" x14ac:dyDescent="0.25">
      <c r="A16" s="1" t="s">
        <v>14</v>
      </c>
      <c r="B16">
        <v>0.77100000000000002</v>
      </c>
      <c r="C16">
        <v>0.27700000000000002</v>
      </c>
      <c r="E16" s="10">
        <f>UKPDS_macrovascular!L32</f>
        <v>0</v>
      </c>
      <c r="G16">
        <f>$E$16*B16</f>
        <v>0</v>
      </c>
      <c r="H16">
        <f>$E$16*C16</f>
        <v>0</v>
      </c>
    </row>
    <row r="17" spans="1:26" x14ac:dyDescent="0.25">
      <c r="A17" s="1" t="s">
        <v>15</v>
      </c>
      <c r="B17">
        <v>0.47899999999999998</v>
      </c>
      <c r="C17">
        <v>0.46899999999999997</v>
      </c>
      <c r="E17" s="10">
        <f>UKPDS_macrovascular!M32</f>
        <v>0</v>
      </c>
      <c r="G17">
        <f>$E$17*B17</f>
        <v>0</v>
      </c>
      <c r="H17">
        <f>$E$17*C17</f>
        <v>0</v>
      </c>
    </row>
    <row r="18" spans="1:26" x14ac:dyDescent="0.25">
      <c r="A18" s="1" t="s">
        <v>16</v>
      </c>
      <c r="B18">
        <v>0</v>
      </c>
      <c r="C18">
        <v>5.6000000000000001E-2</v>
      </c>
      <c r="E18" s="10">
        <f>UKPDS_macrovascular!H32/10</f>
        <v>13.9</v>
      </c>
      <c r="G18">
        <f>$E$18*B18</f>
        <v>0</v>
      </c>
      <c r="H18">
        <f>$E$18*C18</f>
        <v>0.77839999999999998</v>
      </c>
    </row>
    <row r="19" spans="1:26" x14ac:dyDescent="0.25">
      <c r="A19" s="1" t="s">
        <v>17</v>
      </c>
      <c r="B19">
        <v>0</v>
      </c>
      <c r="C19">
        <v>0.34399999999999997</v>
      </c>
      <c r="E19" s="10">
        <f>UKPDS_macrovascular!D32</f>
        <v>0</v>
      </c>
      <c r="G19">
        <f>$E$19*B19</f>
        <v>0</v>
      </c>
      <c r="H19">
        <f>$E$19*C19</f>
        <v>0</v>
      </c>
    </row>
    <row r="20" spans="1:26" x14ac:dyDescent="0.25">
      <c r="A20" s="1" t="s">
        <v>18</v>
      </c>
      <c r="B20">
        <v>0</v>
      </c>
      <c r="C20">
        <v>7.0000000000000007E-2</v>
      </c>
      <c r="E20" s="10">
        <f>UKPDS_macrovascular!P32</f>
        <v>6.6</v>
      </c>
      <c r="G20">
        <f>$E$20*B20</f>
        <v>0</v>
      </c>
      <c r="H20">
        <f>$E$20*C20</f>
        <v>0.46200000000000002</v>
      </c>
    </row>
    <row r="21" spans="1:26" x14ac:dyDescent="0.25">
      <c r="A21" s="1" t="s">
        <v>19</v>
      </c>
      <c r="B21">
        <v>0.65800000000000003</v>
      </c>
      <c r="C21">
        <v>0</v>
      </c>
      <c r="E21" s="10">
        <f>UKPDS_macrovascular!S32</f>
        <v>0</v>
      </c>
      <c r="G21">
        <f>$E$21*B21</f>
        <v>0</v>
      </c>
      <c r="H21">
        <f>$E$21*C21</f>
        <v>0</v>
      </c>
    </row>
    <row r="22" spans="1:26" x14ac:dyDescent="0.25">
      <c r="A22" s="1" t="s">
        <v>20</v>
      </c>
      <c r="B22">
        <v>0</v>
      </c>
      <c r="C22">
        <v>0.85299999999999998</v>
      </c>
      <c r="E22" s="10">
        <f>UKPDS_macrovascular!U32</f>
        <v>0</v>
      </c>
      <c r="G22">
        <f>$E$22*B22</f>
        <v>0</v>
      </c>
      <c r="H22">
        <f>$E$22*C22</f>
        <v>0</v>
      </c>
    </row>
    <row r="23" spans="1:26" x14ac:dyDescent="0.25">
      <c r="A23" s="1" t="s">
        <v>21</v>
      </c>
      <c r="B23">
        <v>0</v>
      </c>
      <c r="C23">
        <v>0.876</v>
      </c>
      <c r="E23" s="10">
        <f>UKPDS_macrovascular!X32</f>
        <v>0</v>
      </c>
      <c r="G23">
        <f>$E$23*B23</f>
        <v>0</v>
      </c>
      <c r="H23">
        <f>$E$23*C23</f>
        <v>0</v>
      </c>
    </row>
    <row r="24" spans="1:26" x14ac:dyDescent="0.25">
      <c r="A24" s="1" t="s">
        <v>22</v>
      </c>
      <c r="B24">
        <v>0</v>
      </c>
      <c r="C24">
        <v>0</v>
      </c>
      <c r="E24" s="10">
        <f>UKPDS_macrovascular!V32</f>
        <v>0</v>
      </c>
      <c r="G24">
        <f>$E$24*B24</f>
        <v>0</v>
      </c>
      <c r="H24">
        <f>$E$24*C24</f>
        <v>0</v>
      </c>
    </row>
    <row r="25" spans="1:26" x14ac:dyDescent="0.25">
      <c r="A25" s="1" t="s">
        <v>23</v>
      </c>
      <c r="B25">
        <v>0.65400000000000003</v>
      </c>
      <c r="C25">
        <v>0</v>
      </c>
      <c r="E25" s="10">
        <f>UKPDS_macrovascular!Z32</f>
        <v>0</v>
      </c>
      <c r="G25">
        <f>$E$25*B25</f>
        <v>0</v>
      </c>
      <c r="H25">
        <f>$E$25*C25</f>
        <v>0</v>
      </c>
    </row>
    <row r="26" spans="1:26" x14ac:dyDescent="0.25">
      <c r="F26" s="1" t="s">
        <v>24</v>
      </c>
      <c r="G26">
        <f>SUM(G4:G25)</f>
        <v>5.7704800000000001</v>
      </c>
      <c r="H26">
        <f>SUM(H4:H25)</f>
        <v>3.9177600000000004</v>
      </c>
    </row>
    <row r="27" spans="1:26" x14ac:dyDescent="0.25">
      <c r="F27" s="1" t="s">
        <v>25</v>
      </c>
      <c r="G27" s="5">
        <f>EXP(B2+G26)*UKPDS_macrovascular!$B$32^B3</f>
        <v>3.5714990200073543E-2</v>
      </c>
      <c r="H27" s="5">
        <f>EXP(C2+H26)*UKPDS_macrovascular!$B$32^C3</f>
        <v>0.15641284214261161</v>
      </c>
    </row>
    <row r="28" spans="1:26" x14ac:dyDescent="0.25">
      <c r="F28" s="1" t="s">
        <v>26</v>
      </c>
      <c r="G28" s="5">
        <f>EXP(B2+G26)*(UKPDS_macrovascular!$B$32+1)^B3</f>
        <v>4.2313180486434926E-2</v>
      </c>
      <c r="H28" s="5">
        <f>EXP(C2+H26)*(UKPDS_macrovascular!$B$32+1)^C3</f>
        <v>0.18246798038400247</v>
      </c>
    </row>
    <row r="29" spans="1:26" x14ac:dyDescent="0.25">
      <c r="F29" s="1" t="s">
        <v>27</v>
      </c>
      <c r="G29" s="7">
        <f>1-EXP(G27-G28)</f>
        <v>6.5764700265584786E-3</v>
      </c>
      <c r="H29" s="6">
        <f>1-EXP(H27-H28)</f>
        <v>2.5718632033545075E-2</v>
      </c>
    </row>
    <row r="31" spans="1:26" x14ac:dyDescent="0.25">
      <c r="A31" s="1" t="s">
        <v>28</v>
      </c>
      <c r="B31" s="1" t="s">
        <v>29</v>
      </c>
      <c r="C31" s="1" t="s">
        <v>6</v>
      </c>
      <c r="D31" s="1" t="s">
        <v>17</v>
      </c>
      <c r="E31" s="1" t="s">
        <v>4</v>
      </c>
      <c r="F31" s="1" t="s">
        <v>7</v>
      </c>
      <c r="G31" s="1" t="s">
        <v>11</v>
      </c>
      <c r="H31" s="1" t="s">
        <v>16</v>
      </c>
      <c r="I31" s="1" t="s">
        <v>12</v>
      </c>
      <c r="J31" s="1" t="s">
        <v>13</v>
      </c>
      <c r="K31" s="1" t="s">
        <v>9</v>
      </c>
      <c r="L31" s="1" t="s">
        <v>14</v>
      </c>
      <c r="M31" s="1" t="s">
        <v>15</v>
      </c>
      <c r="N31" s="1" t="s">
        <v>8</v>
      </c>
      <c r="O31" s="1" t="s">
        <v>10</v>
      </c>
      <c r="P31" s="1" t="s">
        <v>18</v>
      </c>
      <c r="Q31" s="1" t="s">
        <v>30</v>
      </c>
      <c r="R31" s="1" t="s">
        <v>31</v>
      </c>
      <c r="S31" s="1" t="s">
        <v>19</v>
      </c>
      <c r="T31" s="1" t="s">
        <v>32</v>
      </c>
      <c r="U31" s="1" t="s">
        <v>20</v>
      </c>
      <c r="V31" s="1" t="s">
        <v>22</v>
      </c>
      <c r="W31" s="1" t="s">
        <v>33</v>
      </c>
      <c r="X31" s="1" t="s">
        <v>21</v>
      </c>
      <c r="Y31" s="1" t="s">
        <v>34</v>
      </c>
      <c r="Z31" s="1" t="s">
        <v>23</v>
      </c>
    </row>
    <row r="32" spans="1:26" x14ac:dyDescent="0.25">
      <c r="A32">
        <v>57</v>
      </c>
      <c r="B32">
        <v>8.44</v>
      </c>
      <c r="C32">
        <v>1</v>
      </c>
      <c r="D32">
        <v>0</v>
      </c>
      <c r="E32">
        <v>0</v>
      </c>
      <c r="F32">
        <v>0</v>
      </c>
      <c r="G32">
        <v>8.8000000000000007</v>
      </c>
      <c r="H32">
        <v>139</v>
      </c>
      <c r="I32">
        <v>3.08</v>
      </c>
      <c r="J32">
        <v>1.19</v>
      </c>
      <c r="K32">
        <v>32.299999999999997</v>
      </c>
      <c r="L32">
        <v>0</v>
      </c>
      <c r="M32">
        <v>0</v>
      </c>
      <c r="N32">
        <v>0</v>
      </c>
      <c r="O32">
        <v>70</v>
      </c>
      <c r="P32">
        <v>6.6</v>
      </c>
      <c r="Q32">
        <v>79</v>
      </c>
      <c r="R32">
        <v>14</v>
      </c>
      <c r="S32">
        <v>0</v>
      </c>
      <c r="T32">
        <v>0</v>
      </c>
      <c r="U32">
        <v>0</v>
      </c>
      <c r="V32">
        <v>0</v>
      </c>
      <c r="W32">
        <v>0</v>
      </c>
      <c r="X32">
        <v>0</v>
      </c>
      <c r="Y32">
        <v>0</v>
      </c>
      <c r="Z32">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3CCD-2C68-4582-83E6-9E52B0CE9645}">
  <dimension ref="A1:Z31"/>
  <sheetViews>
    <sheetView workbookViewId="0">
      <selection activeCell="O31" sqref="O31"/>
    </sheetView>
  </sheetViews>
  <sheetFormatPr defaultRowHeight="15" x14ac:dyDescent="0.25"/>
  <cols>
    <col min="1" max="1" width="12.42578125" bestFit="1" customWidth="1"/>
    <col min="2" max="2" width="14.5703125" bestFit="1" customWidth="1"/>
    <col min="4" max="4" width="20.7109375" bestFit="1" customWidth="1"/>
    <col min="5" max="5" width="6.42578125" bestFit="1" customWidth="1"/>
    <col min="6" max="6" width="14.5703125" bestFit="1" customWidth="1"/>
    <col min="7" max="7" width="6.5703125" bestFit="1" customWidth="1"/>
  </cols>
  <sheetData>
    <row r="1" spans="1:6" x14ac:dyDescent="0.25">
      <c r="B1" s="1" t="s">
        <v>38</v>
      </c>
      <c r="D1" s="1" t="s">
        <v>1</v>
      </c>
      <c r="F1" s="1" t="s">
        <v>38</v>
      </c>
    </row>
    <row r="2" spans="1:6" x14ac:dyDescent="0.25">
      <c r="A2" s="1" t="s">
        <v>2</v>
      </c>
      <c r="B2">
        <v>3.5489999999999999</v>
      </c>
    </row>
    <row r="3" spans="1:6" x14ac:dyDescent="0.25">
      <c r="A3" s="1" t="s">
        <v>3</v>
      </c>
      <c r="B3">
        <v>1</v>
      </c>
    </row>
    <row r="4" spans="1:6" x14ac:dyDescent="0.25">
      <c r="A4" s="1" t="s">
        <v>4</v>
      </c>
      <c r="B4">
        <v>0.68600000000000005</v>
      </c>
      <c r="D4">
        <f>E31</f>
        <v>0</v>
      </c>
      <c r="F4">
        <f>$D$4*B4</f>
        <v>0</v>
      </c>
    </row>
    <row r="5" spans="1:6" x14ac:dyDescent="0.25">
      <c r="A5" s="1" t="s">
        <v>5</v>
      </c>
      <c r="B5">
        <v>-2.9000000000000001E-2</v>
      </c>
      <c r="D5">
        <f>A31-B31</f>
        <v>48.56</v>
      </c>
      <c r="F5">
        <f>$D$5*B5</f>
        <v>-1.4082400000000002</v>
      </c>
    </row>
    <row r="6" spans="1:6" x14ac:dyDescent="0.25">
      <c r="A6" s="1" t="s">
        <v>6</v>
      </c>
      <c r="B6">
        <v>-0.86899999999999999</v>
      </c>
      <c r="D6">
        <f>C31</f>
        <v>1</v>
      </c>
      <c r="F6">
        <f>$D$6*B6</f>
        <v>-0.86899999999999999</v>
      </c>
    </row>
    <row r="7" spans="1:6" x14ac:dyDescent="0.25">
      <c r="A7" s="1" t="s">
        <v>8</v>
      </c>
      <c r="B7">
        <v>0</v>
      </c>
      <c r="D7">
        <f>N31</f>
        <v>0</v>
      </c>
      <c r="F7">
        <f>$D$7*B7</f>
        <v>0</v>
      </c>
    </row>
    <row r="8" spans="1:6" ht="15.75" thickBot="1" x14ac:dyDescent="0.3">
      <c r="A8" s="1" t="s">
        <v>9</v>
      </c>
      <c r="B8">
        <v>-5.3999999999999999E-2</v>
      </c>
      <c r="D8">
        <f>K31</f>
        <v>32.299999999999997</v>
      </c>
      <c r="F8">
        <f>$D$8*B8</f>
        <v>-1.7441999999999998</v>
      </c>
    </row>
    <row r="9" spans="1:6" ht="16.5" thickTop="1" thickBot="1" x14ac:dyDescent="0.3">
      <c r="A9" s="3" t="s">
        <v>35</v>
      </c>
      <c r="B9" s="2">
        <v>-1.0309999999999999</v>
      </c>
      <c r="C9" s="2"/>
      <c r="D9" s="4">
        <f>IF(O31/10 &lt;6, O31/10,0)</f>
        <v>0</v>
      </c>
      <c r="E9" s="2"/>
      <c r="F9" s="2">
        <f>$D$9*B9</f>
        <v>0</v>
      </c>
    </row>
    <row r="10" spans="1:6" ht="16.5" thickTop="1" thickBot="1" x14ac:dyDescent="0.3">
      <c r="A10" s="3" t="s">
        <v>39</v>
      </c>
      <c r="B10" s="2">
        <v>-0.48699999999999999</v>
      </c>
      <c r="C10" s="2"/>
      <c r="D10" s="4">
        <f>IF(O31/10 &gt;= 6, O31/10,0)</f>
        <v>6</v>
      </c>
      <c r="E10" s="2"/>
      <c r="F10" s="2">
        <f>$D$10*B10</f>
        <v>-2.9219999999999997</v>
      </c>
    </row>
    <row r="11" spans="1:6" ht="15.75" thickTop="1" x14ac:dyDescent="0.25">
      <c r="A11" s="1" t="s">
        <v>31</v>
      </c>
      <c r="B11">
        <v>-0.26800000000000002</v>
      </c>
      <c r="D11">
        <f>R31</f>
        <v>14</v>
      </c>
      <c r="F11">
        <f>$D$11*B11</f>
        <v>-3.7520000000000002</v>
      </c>
    </row>
    <row r="12" spans="1:6" x14ac:dyDescent="0.25">
      <c r="A12" s="1" t="s">
        <v>11</v>
      </c>
      <c r="B12">
        <v>0</v>
      </c>
      <c r="D12">
        <f>G31</f>
        <v>8.8000000000000007</v>
      </c>
      <c r="F12">
        <f>$D$12*B12</f>
        <v>0</v>
      </c>
    </row>
    <row r="13" spans="1:6" x14ac:dyDescent="0.25">
      <c r="A13" s="1" t="s">
        <v>12</v>
      </c>
      <c r="B13">
        <v>0</v>
      </c>
      <c r="D13">
        <f>I31*10</f>
        <v>30.8</v>
      </c>
      <c r="F13">
        <f>$D$13*B13</f>
        <v>0</v>
      </c>
    </row>
    <row r="14" spans="1:6" x14ac:dyDescent="0.25">
      <c r="A14" s="1" t="s">
        <v>30</v>
      </c>
      <c r="B14">
        <v>0</v>
      </c>
      <c r="D14">
        <f>Q31/10</f>
        <v>7.9</v>
      </c>
      <c r="F14">
        <f>$D$14*B14</f>
        <v>0</v>
      </c>
    </row>
    <row r="15" spans="1:6" x14ac:dyDescent="0.25">
      <c r="A15" s="1" t="s">
        <v>13</v>
      </c>
      <c r="B15">
        <v>2.7E-2</v>
      </c>
      <c r="D15">
        <f>J31*10</f>
        <v>11.899999999999999</v>
      </c>
      <c r="F15">
        <f>$D$15*B15</f>
        <v>0.32129999999999997</v>
      </c>
    </row>
    <row r="16" spans="1:6" x14ac:dyDescent="0.25">
      <c r="A16" s="1" t="s">
        <v>14</v>
      </c>
      <c r="B16">
        <v>1.373</v>
      </c>
      <c r="D16">
        <f>L31</f>
        <v>0</v>
      </c>
      <c r="F16">
        <f>$D$16*B16</f>
        <v>0</v>
      </c>
    </row>
    <row r="17" spans="1:26" x14ac:dyDescent="0.25">
      <c r="A17" s="1" t="s">
        <v>15</v>
      </c>
      <c r="B17">
        <v>0</v>
      </c>
      <c r="D17">
        <f>M31</f>
        <v>0</v>
      </c>
      <c r="F17">
        <f>$D$17*B17</f>
        <v>0</v>
      </c>
    </row>
    <row r="18" spans="1:26" x14ac:dyDescent="0.25">
      <c r="A18" s="1" t="s">
        <v>16</v>
      </c>
      <c r="B18">
        <v>8.5000000000000006E-2</v>
      </c>
      <c r="D18">
        <f>H31/10</f>
        <v>13.9</v>
      </c>
      <c r="F18">
        <f>$D$18*B18</f>
        <v>1.1815000000000002</v>
      </c>
    </row>
    <row r="19" spans="1:26" x14ac:dyDescent="0.25">
      <c r="A19" s="1" t="s">
        <v>18</v>
      </c>
      <c r="B19">
        <v>2.9000000000000001E-2</v>
      </c>
      <c r="D19">
        <f>P31</f>
        <v>6.6</v>
      </c>
      <c r="F19">
        <f>$D$19*B19</f>
        <v>0.19139999999999999</v>
      </c>
    </row>
    <row r="20" spans="1:26" x14ac:dyDescent="0.25">
      <c r="A20" s="1" t="s">
        <v>19</v>
      </c>
      <c r="B20">
        <v>1.1080000000000001</v>
      </c>
      <c r="D20">
        <f>S31</f>
        <v>0</v>
      </c>
      <c r="F20">
        <f>$D$20*B20</f>
        <v>0</v>
      </c>
    </row>
    <row r="21" spans="1:26" x14ac:dyDescent="0.25">
      <c r="A21" s="1" t="s">
        <v>34</v>
      </c>
      <c r="B21">
        <v>0.73199999999999998</v>
      </c>
      <c r="D21">
        <f>Y31</f>
        <v>0</v>
      </c>
      <c r="F21">
        <f>$D$21*B21</f>
        <v>0</v>
      </c>
    </row>
    <row r="22" spans="1:26" x14ac:dyDescent="0.25">
      <c r="A22" s="1" t="s">
        <v>20</v>
      </c>
      <c r="B22">
        <v>0</v>
      </c>
      <c r="D22">
        <f>U31</f>
        <v>0</v>
      </c>
      <c r="F22">
        <f>$D$22*B22</f>
        <v>0</v>
      </c>
    </row>
    <row r="23" spans="1:26" x14ac:dyDescent="0.25">
      <c r="A23" s="1" t="s">
        <v>21</v>
      </c>
      <c r="B23">
        <v>0</v>
      </c>
      <c r="D23">
        <f>X31</f>
        <v>0</v>
      </c>
      <c r="F23">
        <f>$D$23*B23</f>
        <v>0</v>
      </c>
    </row>
    <row r="24" spans="1:26" x14ac:dyDescent="0.25">
      <c r="A24" s="1" t="s">
        <v>22</v>
      </c>
      <c r="B24">
        <v>0</v>
      </c>
      <c r="D24">
        <f>V31</f>
        <v>0</v>
      </c>
      <c r="F24">
        <f>$D$24*B24</f>
        <v>0</v>
      </c>
    </row>
    <row r="25" spans="1:26" x14ac:dyDescent="0.25">
      <c r="A25" s="1"/>
      <c r="E25" s="1" t="s">
        <v>24</v>
      </c>
      <c r="F25">
        <f>SUM(F4:F24)</f>
        <v>-9.0012399999999992</v>
      </c>
    </row>
    <row r="26" spans="1:26" x14ac:dyDescent="0.25">
      <c r="A26" s="1"/>
      <c r="E26" s="1" t="s">
        <v>25</v>
      </c>
      <c r="F26">
        <f>EXP(B2+F25)*UKPDS_microvascular!$B$31^B3</f>
        <v>3.6179678275225301E-2</v>
      </c>
    </row>
    <row r="27" spans="1:26" x14ac:dyDescent="0.25">
      <c r="A27" s="1"/>
      <c r="E27" s="1" t="s">
        <v>26</v>
      </c>
      <c r="F27">
        <f>EXP(B2+F25)*(UKPDS_microvascular!$B$31+1)^B3</f>
        <v>4.0466370013996077E-2</v>
      </c>
    </row>
    <row r="28" spans="1:26" x14ac:dyDescent="0.25">
      <c r="A28" s="1"/>
      <c r="E28" s="1" t="s">
        <v>27</v>
      </c>
      <c r="F28" s="8">
        <f>1-EXP(F26-F27)</f>
        <v>4.2775169901939636E-3</v>
      </c>
    </row>
    <row r="30" spans="1:26" x14ac:dyDescent="0.25">
      <c r="A30" s="1" t="s">
        <v>28</v>
      </c>
      <c r="B30" s="1" t="s">
        <v>29</v>
      </c>
      <c r="C30" s="1" t="s">
        <v>6</v>
      </c>
      <c r="D30" s="1" t="s">
        <v>17</v>
      </c>
      <c r="E30" s="1" t="s">
        <v>4</v>
      </c>
      <c r="F30" s="1" t="s">
        <v>7</v>
      </c>
      <c r="G30" s="1" t="s">
        <v>11</v>
      </c>
      <c r="H30" s="1" t="s">
        <v>16</v>
      </c>
      <c r="I30" s="1" t="s">
        <v>12</v>
      </c>
      <c r="J30" s="1" t="s">
        <v>13</v>
      </c>
      <c r="K30" s="1" t="s">
        <v>9</v>
      </c>
      <c r="L30" s="1" t="s">
        <v>14</v>
      </c>
      <c r="M30" s="1" t="s">
        <v>15</v>
      </c>
      <c r="N30" s="1" t="s">
        <v>8</v>
      </c>
      <c r="O30" s="1" t="s">
        <v>10</v>
      </c>
      <c r="P30" s="1" t="s">
        <v>18</v>
      </c>
      <c r="Q30" s="1" t="s">
        <v>30</v>
      </c>
      <c r="R30" s="1" t="s">
        <v>31</v>
      </c>
      <c r="S30" s="1" t="s">
        <v>19</v>
      </c>
      <c r="T30" s="1" t="s">
        <v>32</v>
      </c>
      <c r="U30" s="1" t="s">
        <v>20</v>
      </c>
      <c r="V30" s="1" t="s">
        <v>22</v>
      </c>
      <c r="W30" s="1" t="s">
        <v>33</v>
      </c>
      <c r="X30" s="1" t="s">
        <v>21</v>
      </c>
      <c r="Y30" s="1" t="s">
        <v>34</v>
      </c>
      <c r="Z30" s="1" t="s">
        <v>23</v>
      </c>
    </row>
    <row r="31" spans="1:26" x14ac:dyDescent="0.25">
      <c r="A31">
        <v>57</v>
      </c>
      <c r="B31">
        <v>8.44</v>
      </c>
      <c r="C31">
        <v>1</v>
      </c>
      <c r="D31">
        <v>0</v>
      </c>
      <c r="E31">
        <v>0</v>
      </c>
      <c r="F31">
        <v>0</v>
      </c>
      <c r="G31">
        <v>8.8000000000000007</v>
      </c>
      <c r="H31">
        <v>139</v>
      </c>
      <c r="I31">
        <v>3.08</v>
      </c>
      <c r="J31">
        <v>1.19</v>
      </c>
      <c r="K31">
        <v>32.299999999999997</v>
      </c>
      <c r="L31">
        <v>0</v>
      </c>
      <c r="M31">
        <v>0</v>
      </c>
      <c r="N31">
        <v>0</v>
      </c>
      <c r="O31">
        <v>60</v>
      </c>
      <c r="P31">
        <v>6.6</v>
      </c>
      <c r="Q31">
        <v>79</v>
      </c>
      <c r="R31">
        <v>14</v>
      </c>
      <c r="S31">
        <v>0</v>
      </c>
      <c r="T31">
        <v>0</v>
      </c>
      <c r="U31">
        <v>0</v>
      </c>
      <c r="V31">
        <v>0</v>
      </c>
      <c r="W31">
        <v>0</v>
      </c>
      <c r="X31">
        <v>0</v>
      </c>
      <c r="Y31">
        <v>0</v>
      </c>
      <c r="Z31">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UKPDS_macrovascular</vt:lpstr>
      <vt:lpstr>UKPDS_microvascular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dc:creator>
  <cp:lastModifiedBy>Isaac Corro Ramos</cp:lastModifiedBy>
  <dcterms:created xsi:type="dcterms:W3CDTF">2021-05-19T07:54:23Z</dcterms:created>
  <dcterms:modified xsi:type="dcterms:W3CDTF">2021-05-20T09:25:32Z</dcterms:modified>
</cp:coreProperties>
</file>