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R\"/>
    </mc:Choice>
  </mc:AlternateContent>
  <xr:revisionPtr revIDLastSave="0" documentId="13_ncr:1_{01F80BEE-96D9-4CA1-90D3-9FB0E12581B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KPDS_microvascular_coef" sheetId="1" r:id="rId1"/>
  </sheets>
  <calcPr calcId="181029"/>
</workbook>
</file>

<file path=xl/calcChain.xml><?xml version="1.0" encoding="utf-8"?>
<calcChain xmlns="http://schemas.openxmlformats.org/spreadsheetml/2006/main">
  <c r="L28" i="1" l="1"/>
  <c r="L27" i="1"/>
  <c r="L26" i="1"/>
  <c r="I9" i="1"/>
  <c r="L16" i="1" l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K24" i="1"/>
  <c r="K23" i="1"/>
  <c r="K22" i="1"/>
  <c r="K21" i="1"/>
  <c r="K20" i="1"/>
  <c r="K19" i="1"/>
  <c r="K18" i="1"/>
  <c r="K17" i="1"/>
  <c r="K16" i="1"/>
  <c r="L15" i="1"/>
  <c r="M15" i="1"/>
  <c r="N15" i="1"/>
  <c r="O15" i="1"/>
  <c r="P15" i="1"/>
  <c r="K15" i="1"/>
  <c r="N14" i="1"/>
  <c r="O14" i="1"/>
  <c r="P14" i="1"/>
  <c r="K14" i="1"/>
  <c r="L13" i="1"/>
  <c r="M13" i="1"/>
  <c r="P13" i="1"/>
  <c r="K13" i="1"/>
  <c r="L12" i="1"/>
  <c r="M12" i="1"/>
  <c r="N12" i="1"/>
  <c r="O12" i="1"/>
  <c r="N11" i="1"/>
  <c r="O11" i="1"/>
  <c r="P11" i="1"/>
  <c r="K11" i="1"/>
  <c r="L6" i="1"/>
  <c r="M6" i="1"/>
  <c r="N6" i="1"/>
  <c r="O6" i="1"/>
  <c r="M5" i="1"/>
  <c r="N5" i="1"/>
  <c r="O5" i="1"/>
  <c r="P5" i="1"/>
  <c r="K5" i="1"/>
  <c r="O4" i="1"/>
  <c r="P4" i="1"/>
  <c r="K4" i="1"/>
  <c r="I24" i="1"/>
  <c r="I23" i="1"/>
  <c r="I22" i="1"/>
  <c r="I21" i="1"/>
  <c r="I20" i="1"/>
  <c r="I19" i="1"/>
  <c r="I18" i="1"/>
  <c r="I17" i="1"/>
  <c r="I16" i="1"/>
  <c r="I15" i="1"/>
  <c r="I14" i="1"/>
  <c r="L14" i="1" s="1"/>
  <c r="I13" i="1"/>
  <c r="N13" i="1" s="1"/>
  <c r="I12" i="1"/>
  <c r="P12" i="1" s="1"/>
  <c r="I11" i="1"/>
  <c r="L11" i="1" s="1"/>
  <c r="I10" i="1"/>
  <c r="O10" i="1" s="1"/>
  <c r="M9" i="1"/>
  <c r="I8" i="1"/>
  <c r="L8" i="1" s="1"/>
  <c r="I7" i="1"/>
  <c r="L7" i="1" s="1"/>
  <c r="I6" i="1"/>
  <c r="P6" i="1" s="1"/>
  <c r="I5" i="1"/>
  <c r="L5" i="1" s="1"/>
  <c r="I4" i="1"/>
  <c r="L4" i="1" s="1"/>
  <c r="K8" i="1" l="1"/>
  <c r="O8" i="1"/>
  <c r="M4" i="1"/>
  <c r="K6" i="1"/>
  <c r="O7" i="1"/>
  <c r="M8" i="1"/>
  <c r="K12" i="1"/>
  <c r="O13" i="1"/>
  <c r="M14" i="1"/>
  <c r="P8" i="1"/>
  <c r="K7" i="1"/>
  <c r="M11" i="1"/>
  <c r="N4" i="1"/>
  <c r="P7" i="1"/>
  <c r="N8" i="1"/>
  <c r="N7" i="1"/>
  <c r="M7" i="1"/>
  <c r="N9" i="1"/>
  <c r="P10" i="1"/>
  <c r="L10" i="1"/>
  <c r="O9" i="1"/>
  <c r="K10" i="1"/>
  <c r="M10" i="1"/>
  <c r="P9" i="1"/>
  <c r="L9" i="1"/>
  <c r="N10" i="1"/>
  <c r="K9" i="1"/>
  <c r="P25" i="1" l="1"/>
  <c r="N25" i="1"/>
  <c r="O25" i="1"/>
  <c r="K25" i="1"/>
  <c r="L25" i="1"/>
  <c r="M25" i="1"/>
  <c r="M27" i="1" l="1"/>
  <c r="M26" i="1"/>
  <c r="K27" i="1"/>
  <c r="K26" i="1"/>
  <c r="O27" i="1"/>
  <c r="O26" i="1"/>
  <c r="N27" i="1"/>
  <c r="N26" i="1"/>
  <c r="P27" i="1"/>
  <c r="P26" i="1"/>
  <c r="P28" i="1" l="1"/>
  <c r="M28" i="1"/>
  <c r="O28" i="1"/>
  <c r="K28" i="1"/>
  <c r="N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Isaac Corro Ramos</author>
  </authors>
  <commentList>
    <comment ref="P28" authorId="0" shapeId="0" xr:uid="{7C9472E9-21FA-4D10-A4A2-8D3403075007}">
      <text>
        <r>
          <rPr>
            <b/>
            <sz val="9"/>
            <color indexed="81"/>
            <rFont val="Tahoma"/>
            <family val="2"/>
          </rPr>
          <t xml:space="preserve">Isaac Corro Ramos: This should be minimum for eGFR = 0 (p = 0.0766) and maximuim for eGFR = 100 (p = 0.0006) but it is not the case; it is minimum for eGFR = 59, just the limit between the two variables; then increases at eGFR = 60, and then decreases again. This is because the coefficient for eGFR &lt; 60 is more negative than for eGFR &gt; 60. This however does not affect significantly the results as occured with MI. Yet it has to be corrected.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<sst xmlns="http://schemas.openxmlformats.org/spreadsheetml/2006/main" count="72" uniqueCount="45">
  <si>
    <t>BLIND</t>
  </si>
  <si>
    <t>ULCER</t>
  </si>
  <si>
    <t>FAMPNOULCER</t>
  </si>
  <si>
    <t>FAMPULCER</t>
  </si>
  <si>
    <t>SAMP</t>
  </si>
  <si>
    <t>RENALF</t>
  </si>
  <si>
    <t>lambda</t>
  </si>
  <si>
    <t>ro</t>
  </si>
  <si>
    <t>AFRO</t>
  </si>
  <si>
    <t>AGE.DIAG</t>
  </si>
  <si>
    <t>FEMALE</t>
  </si>
  <si>
    <t>ATFIB</t>
  </si>
  <si>
    <t>BMI</t>
  </si>
  <si>
    <t>eGFR60less</t>
  </si>
  <si>
    <t>eGFR60more</t>
  </si>
  <si>
    <t>HAEM</t>
  </si>
  <si>
    <t>HbA1c</t>
  </si>
  <si>
    <t>HDL</t>
  </si>
  <si>
    <t>HEART.R</t>
  </si>
  <si>
    <t>LDL</t>
  </si>
  <si>
    <t>MMALB</t>
  </si>
  <si>
    <t>PVD</t>
  </si>
  <si>
    <t>SBP</t>
  </si>
  <si>
    <t>WBC</t>
  </si>
  <si>
    <t>AMP.HIST</t>
  </si>
  <si>
    <t>BLIND.HIST</t>
  </si>
  <si>
    <t>CHF.HIST</t>
  </si>
  <si>
    <t>IHD.HIST</t>
  </si>
  <si>
    <t>STROKE.HIST</t>
  </si>
  <si>
    <t>CURR.AGE</t>
  </si>
  <si>
    <t>YEAR</t>
  </si>
  <si>
    <t>SMOKER</t>
  </si>
  <si>
    <t>INDIAN</t>
  </si>
  <si>
    <t>eGFR</t>
  </si>
  <si>
    <t>MI.HIST</t>
  </si>
  <si>
    <t>RENAL.HIST</t>
  </si>
  <si>
    <t>ULCER.HIST</t>
  </si>
  <si>
    <t>Patient characteristics</t>
  </si>
  <si>
    <t>SUM</t>
  </si>
  <si>
    <t>H(t)</t>
  </si>
  <si>
    <t>H(t+1)</t>
  </si>
  <si>
    <t>P</t>
  </si>
  <si>
    <t>Same as in R</t>
  </si>
  <si>
    <t>Logistic distribution</t>
  </si>
  <si>
    <t>Different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</si>
</sst>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3" fillId="7" borderId="7" xfId="13"/>
    <xf numFmtId="0" fontId="16" fillId="8" borderId="8" xfId="15" applyFont="1"/>
    <xf numFmtId="0" fontId="0" fillId="8" borderId="8" xfId="15" applyFont="1"/>
    <xf numFmtId="164" fontId="18" fillId="3" borderId="0" xfId="7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="110" zoomScaleNormal="110" workbookViewId="0">
      <selection activeCell="L28" sqref="L28"/>
    </sheetView>
  </sheetViews>
  <sheetFormatPr defaultRowHeight="15" x14ac:dyDescent="0.25"/>
  <cols>
    <col min="1" max="1" width="13" bestFit="1" customWidth="1"/>
    <col min="2" max="3" width="8.42578125" bestFit="1" customWidth="1"/>
    <col min="4" max="4" width="15.140625" bestFit="1" customWidth="1"/>
    <col min="5" max="5" width="12.140625" bestFit="1" customWidth="1"/>
    <col min="6" max="6" width="7.85546875" bestFit="1" customWidth="1"/>
    <col min="7" max="7" width="8.140625" bestFit="1" customWidth="1"/>
    <col min="9" max="9" width="13.42578125" customWidth="1"/>
    <col min="11" max="11" width="12.28515625" bestFit="1" customWidth="1"/>
    <col min="12" max="12" width="18.7109375" bestFit="1" customWidth="1"/>
    <col min="13" max="13" width="14.85546875" bestFit="1" customWidth="1"/>
    <col min="14" max="15" width="12.28515625" bestFit="1" customWidth="1"/>
    <col min="16" max="16" width="11.28515625" bestFit="1" customWidth="1"/>
    <col min="18" max="18" width="11.8554687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37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 x14ac:dyDescent="0.25">
      <c r="A2" s="1" t="s">
        <v>6</v>
      </c>
      <c r="B2">
        <v>-11.606999999999999</v>
      </c>
      <c r="C2">
        <v>-11.295</v>
      </c>
      <c r="D2">
        <v>-14.843999999999999</v>
      </c>
      <c r="E2">
        <v>-0.81100000000000005</v>
      </c>
      <c r="F2">
        <v>-3.4550000000000001</v>
      </c>
      <c r="G2">
        <v>3.5489999999999999</v>
      </c>
    </row>
    <row r="3" spans="1:16" x14ac:dyDescent="0.25">
      <c r="A3" s="1" t="s">
        <v>7</v>
      </c>
      <c r="B3">
        <v>1</v>
      </c>
      <c r="C3">
        <v>0</v>
      </c>
      <c r="D3">
        <v>2.0670000000000002</v>
      </c>
      <c r="E3">
        <v>1</v>
      </c>
      <c r="F3">
        <v>1</v>
      </c>
      <c r="G3">
        <v>1</v>
      </c>
    </row>
    <row r="4" spans="1:16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0.68600000000000005</v>
      </c>
      <c r="I4">
        <f>E32</f>
        <v>0</v>
      </c>
      <c r="K4">
        <f>$I$4*B4</f>
        <v>0</v>
      </c>
      <c r="L4">
        <f t="shared" ref="L4:P4" si="0">$I$4*C4</f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5">
      <c r="A5" s="1" t="s">
        <v>9</v>
      </c>
      <c r="B5">
        <v>4.7E-2</v>
      </c>
      <c r="C5">
        <v>4.2999999999999997E-2</v>
      </c>
      <c r="D5">
        <v>2.3E-2</v>
      </c>
      <c r="E5">
        <v>-6.5000000000000002E-2</v>
      </c>
      <c r="F5">
        <v>0</v>
      </c>
      <c r="G5">
        <v>-2.9000000000000001E-2</v>
      </c>
      <c r="I5">
        <f>A32-B32</f>
        <v>48.56</v>
      </c>
      <c r="K5">
        <f>$I$5*B5</f>
        <v>2.2823199999999999</v>
      </c>
      <c r="L5">
        <f t="shared" ref="L5:P5" si="1">$I$5*C5</f>
        <v>2.0880799999999997</v>
      </c>
      <c r="M5">
        <f t="shared" si="1"/>
        <v>1.1168800000000001</v>
      </c>
      <c r="N5">
        <f t="shared" si="1"/>
        <v>-3.1564000000000001</v>
      </c>
      <c r="O5">
        <f t="shared" si="1"/>
        <v>0</v>
      </c>
      <c r="P5">
        <f t="shared" si="1"/>
        <v>-1.4082400000000002</v>
      </c>
    </row>
    <row r="6" spans="1:16" x14ac:dyDescent="0.25">
      <c r="A6" s="1" t="s">
        <v>10</v>
      </c>
      <c r="B6">
        <v>0</v>
      </c>
      <c r="C6">
        <v>-0.96199999999999997</v>
      </c>
      <c r="D6">
        <v>-0.44500000000000001</v>
      </c>
      <c r="E6">
        <v>0</v>
      </c>
      <c r="F6">
        <v>0</v>
      </c>
      <c r="G6">
        <v>-0.86899999999999999</v>
      </c>
      <c r="I6">
        <f>C32</f>
        <v>1</v>
      </c>
      <c r="K6">
        <f>$I$6*B6</f>
        <v>0</v>
      </c>
      <c r="L6">
        <f t="shared" ref="L6:P6" si="2">$I$6*C6</f>
        <v>-0.96199999999999997</v>
      </c>
      <c r="M6">
        <f t="shared" si="2"/>
        <v>-0.44500000000000001</v>
      </c>
      <c r="N6">
        <f t="shared" si="2"/>
        <v>0</v>
      </c>
      <c r="O6">
        <f t="shared" si="2"/>
        <v>0</v>
      </c>
      <c r="P6">
        <f t="shared" si="2"/>
        <v>-0.86899999999999999</v>
      </c>
    </row>
    <row r="7" spans="1:16" x14ac:dyDescent="0.25">
      <c r="A7" s="1" t="s">
        <v>11</v>
      </c>
      <c r="B7">
        <v>0</v>
      </c>
      <c r="C7">
        <v>0</v>
      </c>
      <c r="D7">
        <v>1.0880000000000001</v>
      </c>
      <c r="E7">
        <v>0</v>
      </c>
      <c r="F7">
        <v>0</v>
      </c>
      <c r="G7">
        <v>0</v>
      </c>
      <c r="I7">
        <f>N32</f>
        <v>0</v>
      </c>
      <c r="K7">
        <f>$I$7*B7</f>
        <v>0</v>
      </c>
      <c r="L7">
        <f t="shared" ref="L7:P7" si="3">$I$7*C7</f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</row>
    <row r="8" spans="1:16" ht="15.75" thickBot="1" x14ac:dyDescent="0.3">
      <c r="A8" s="1" t="s">
        <v>12</v>
      </c>
      <c r="B8">
        <v>0</v>
      </c>
      <c r="C8">
        <v>5.2999999999999999E-2</v>
      </c>
      <c r="D8">
        <v>0</v>
      </c>
      <c r="E8">
        <v>0</v>
      </c>
      <c r="F8">
        <v>0</v>
      </c>
      <c r="G8">
        <v>-5.3999999999999999E-2</v>
      </c>
      <c r="I8">
        <f>K32</f>
        <v>32.299999999999997</v>
      </c>
      <c r="K8">
        <f>$I$8*B8</f>
        <v>0</v>
      </c>
      <c r="L8">
        <f t="shared" ref="L8:P8" si="4">$I$8*C8</f>
        <v>1.7118999999999998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-1.7441999999999998</v>
      </c>
    </row>
    <row r="9" spans="1:16" ht="16.5" thickTop="1" thickBot="1" x14ac:dyDescent="0.3">
      <c r="A9" s="3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-1.0309999999999999</v>
      </c>
      <c r="H9" s="4"/>
      <c r="I9" s="2">
        <f>IF(O32/10 &lt;6, O32/10,0)</f>
        <v>0</v>
      </c>
      <c r="J9" s="4"/>
      <c r="K9" s="4">
        <f>$I$9*B9</f>
        <v>0</v>
      </c>
      <c r="L9" s="4">
        <f t="shared" ref="L9:P9" si="5">$I$9*C9</f>
        <v>0</v>
      </c>
      <c r="M9" s="4">
        <f t="shared" si="5"/>
        <v>0</v>
      </c>
      <c r="N9" s="4">
        <f t="shared" si="5"/>
        <v>0</v>
      </c>
      <c r="O9" s="4">
        <f t="shared" si="5"/>
        <v>0</v>
      </c>
      <c r="P9" s="4">
        <f t="shared" si="5"/>
        <v>0</v>
      </c>
    </row>
    <row r="10" spans="1:16" ht="16.5" thickTop="1" thickBot="1" x14ac:dyDescent="0.3">
      <c r="A10" s="3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-0.48699999999999999</v>
      </c>
      <c r="H10" s="4"/>
      <c r="I10" s="2">
        <f>IF(O32/10 &gt;= 6, O32/10,0)</f>
        <v>7</v>
      </c>
      <c r="J10" s="4"/>
      <c r="K10" s="4">
        <f>$I$10*B10</f>
        <v>0</v>
      </c>
      <c r="L10" s="4">
        <f t="shared" ref="L10:P10" si="6">$I$10*C10</f>
        <v>0</v>
      </c>
      <c r="M10" s="4">
        <f t="shared" si="6"/>
        <v>0</v>
      </c>
      <c r="N10" s="4">
        <f t="shared" si="6"/>
        <v>0</v>
      </c>
      <c r="O10" s="4">
        <f t="shared" si="6"/>
        <v>0</v>
      </c>
      <c r="P10" s="4">
        <f t="shared" si="6"/>
        <v>-3.4089999999999998</v>
      </c>
    </row>
    <row r="11" spans="1:16" ht="15.75" thickTop="1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-0.26800000000000002</v>
      </c>
      <c r="I11">
        <f>R32</f>
        <v>14</v>
      </c>
      <c r="K11">
        <f>$I$11*B11</f>
        <v>0</v>
      </c>
      <c r="L11">
        <f t="shared" ref="L11:P11" si="7">$I$11*C11</f>
        <v>0</v>
      </c>
      <c r="M11">
        <f t="shared" si="7"/>
        <v>0</v>
      </c>
      <c r="N11">
        <f t="shared" si="7"/>
        <v>0</v>
      </c>
      <c r="O11">
        <f t="shared" si="7"/>
        <v>0</v>
      </c>
      <c r="P11">
        <f t="shared" si="7"/>
        <v>-3.7520000000000002</v>
      </c>
    </row>
    <row r="12" spans="1:16" x14ac:dyDescent="0.25">
      <c r="A12" s="1" t="s">
        <v>16</v>
      </c>
      <c r="B12">
        <v>0.17100000000000001</v>
      </c>
      <c r="C12">
        <v>0.16</v>
      </c>
      <c r="D12">
        <v>0.248</v>
      </c>
      <c r="E12">
        <v>0</v>
      </c>
      <c r="F12">
        <v>0.127</v>
      </c>
      <c r="G12">
        <v>0</v>
      </c>
      <c r="I12">
        <f>G32</f>
        <v>8.8000000000000007</v>
      </c>
      <c r="K12">
        <f>$I$12*B12</f>
        <v>1.5048000000000001</v>
      </c>
      <c r="L12">
        <f t="shared" ref="L12:P12" si="8">$I$12*C12</f>
        <v>1.4080000000000001</v>
      </c>
      <c r="M12">
        <f t="shared" si="8"/>
        <v>2.1824000000000003</v>
      </c>
      <c r="N12">
        <f t="shared" si="8"/>
        <v>0</v>
      </c>
      <c r="O12">
        <f t="shared" si="8"/>
        <v>1.1176000000000001</v>
      </c>
      <c r="P12">
        <f t="shared" si="8"/>
        <v>0</v>
      </c>
    </row>
    <row r="13" spans="1:16" x14ac:dyDescent="0.25">
      <c r="A13" s="1" t="s">
        <v>17</v>
      </c>
      <c r="B13">
        <v>0</v>
      </c>
      <c r="C13">
        <v>0</v>
      </c>
      <c r="D13">
        <v>-5.8999999999999997E-2</v>
      </c>
      <c r="E13">
        <v>0</v>
      </c>
      <c r="F13">
        <v>0</v>
      </c>
      <c r="G13">
        <v>0</v>
      </c>
      <c r="I13">
        <f>I32*10</f>
        <v>30.8</v>
      </c>
      <c r="K13">
        <f>$I$13*B13</f>
        <v>0</v>
      </c>
      <c r="L13">
        <f t="shared" ref="L13:P13" si="9">$I$13*C13</f>
        <v>0</v>
      </c>
      <c r="M13">
        <f t="shared" si="9"/>
        <v>-1.8171999999999999</v>
      </c>
      <c r="N13">
        <f t="shared" si="9"/>
        <v>0</v>
      </c>
      <c r="O13">
        <f t="shared" si="9"/>
        <v>0</v>
      </c>
      <c r="P13">
        <f t="shared" si="9"/>
        <v>0</v>
      </c>
    </row>
    <row r="14" spans="1:16" x14ac:dyDescent="0.25">
      <c r="A14" s="1" t="s">
        <v>18</v>
      </c>
      <c r="B14">
        <v>0.08</v>
      </c>
      <c r="C14">
        <v>0</v>
      </c>
      <c r="D14">
        <v>9.8000000000000004E-2</v>
      </c>
      <c r="E14">
        <v>0</v>
      </c>
      <c r="F14">
        <v>0</v>
      </c>
      <c r="G14">
        <v>0</v>
      </c>
      <c r="I14">
        <f>Q32/10</f>
        <v>7.9</v>
      </c>
      <c r="K14">
        <f>$I$14*B14</f>
        <v>0.63200000000000001</v>
      </c>
      <c r="L14">
        <f t="shared" ref="L14:P14" si="10">$I$14*C14</f>
        <v>0</v>
      </c>
      <c r="M14">
        <f t="shared" si="10"/>
        <v>0.77420000000000011</v>
      </c>
      <c r="N14">
        <f t="shared" si="10"/>
        <v>0</v>
      </c>
      <c r="O14">
        <f t="shared" si="10"/>
        <v>0</v>
      </c>
      <c r="P14">
        <f t="shared" si="10"/>
        <v>0</v>
      </c>
    </row>
    <row r="15" spans="1:16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2.7E-2</v>
      </c>
      <c r="I15">
        <f>J32*10</f>
        <v>11.899999999999999</v>
      </c>
      <c r="K15">
        <f>$I$15*B15</f>
        <v>0</v>
      </c>
      <c r="L15">
        <f t="shared" ref="L15:P15" si="11">$I$15*C15</f>
        <v>0</v>
      </c>
      <c r="M15">
        <f t="shared" si="11"/>
        <v>0</v>
      </c>
      <c r="N15">
        <f t="shared" si="11"/>
        <v>0</v>
      </c>
      <c r="O15">
        <f t="shared" si="11"/>
        <v>0</v>
      </c>
      <c r="P15">
        <f t="shared" si="11"/>
        <v>0.32129999999999997</v>
      </c>
    </row>
    <row r="16" spans="1:16" x14ac:dyDescent="0.25">
      <c r="A16" s="1" t="s">
        <v>20</v>
      </c>
      <c r="B16">
        <v>0</v>
      </c>
      <c r="C16">
        <v>0</v>
      </c>
      <c r="D16">
        <v>0.60199999999999998</v>
      </c>
      <c r="E16">
        <v>0</v>
      </c>
      <c r="F16">
        <v>0</v>
      </c>
      <c r="G16">
        <v>1.373</v>
      </c>
      <c r="I16">
        <f>L32</f>
        <v>0</v>
      </c>
      <c r="K16">
        <f>$I$16*B16</f>
        <v>0</v>
      </c>
      <c r="L16">
        <f t="shared" ref="L16:P16" si="12">$I$16*C16</f>
        <v>0</v>
      </c>
      <c r="M16">
        <f t="shared" si="12"/>
        <v>0</v>
      </c>
      <c r="N16">
        <f t="shared" si="12"/>
        <v>0</v>
      </c>
      <c r="O16">
        <f t="shared" si="12"/>
        <v>0</v>
      </c>
      <c r="P16">
        <f t="shared" si="12"/>
        <v>0</v>
      </c>
    </row>
    <row r="17" spans="1:26" x14ac:dyDescent="0.25">
      <c r="A17" s="1" t="s">
        <v>21</v>
      </c>
      <c r="B17">
        <v>0</v>
      </c>
      <c r="C17">
        <v>0.96799999999999997</v>
      </c>
      <c r="D17">
        <v>1.01</v>
      </c>
      <c r="E17">
        <v>1.7689999999999999</v>
      </c>
      <c r="F17">
        <v>0</v>
      </c>
      <c r="G17">
        <v>0</v>
      </c>
      <c r="I17">
        <f>M32</f>
        <v>0</v>
      </c>
      <c r="K17">
        <f>$I$17*B17</f>
        <v>0</v>
      </c>
      <c r="L17">
        <f t="shared" ref="L17:P17" si="13">$I$17*C17</f>
        <v>0</v>
      </c>
      <c r="M17">
        <f t="shared" si="13"/>
        <v>0</v>
      </c>
      <c r="N17">
        <f t="shared" si="13"/>
        <v>0</v>
      </c>
      <c r="O17">
        <f t="shared" si="13"/>
        <v>0</v>
      </c>
      <c r="P17">
        <f t="shared" si="13"/>
        <v>0</v>
      </c>
    </row>
    <row r="18" spans="1:26" x14ac:dyDescent="0.25">
      <c r="A18" s="1" t="s">
        <v>22</v>
      </c>
      <c r="B18">
        <v>6.8000000000000005E-2</v>
      </c>
      <c r="C18">
        <v>0</v>
      </c>
      <c r="D18">
        <v>8.5999999999999993E-2</v>
      </c>
      <c r="E18">
        <v>0</v>
      </c>
      <c r="F18">
        <v>0</v>
      </c>
      <c r="G18">
        <v>8.5000000000000006E-2</v>
      </c>
      <c r="I18">
        <f>H32/10</f>
        <v>13.9</v>
      </c>
      <c r="K18">
        <f>$I$18*B18</f>
        <v>0.94520000000000004</v>
      </c>
      <c r="L18">
        <f t="shared" ref="L18:P18" si="14">$I$18*C18</f>
        <v>0</v>
      </c>
      <c r="M18">
        <f t="shared" si="14"/>
        <v>1.1954</v>
      </c>
      <c r="N18">
        <f t="shared" si="14"/>
        <v>0</v>
      </c>
      <c r="O18">
        <f t="shared" si="14"/>
        <v>0</v>
      </c>
      <c r="P18">
        <f t="shared" si="14"/>
        <v>1.1815000000000002</v>
      </c>
    </row>
    <row r="19" spans="1:26" x14ac:dyDescent="0.25">
      <c r="A19" s="1" t="s">
        <v>23</v>
      </c>
      <c r="B19">
        <v>5.1999999999999998E-2</v>
      </c>
      <c r="C19">
        <v>0</v>
      </c>
      <c r="D19">
        <v>0.04</v>
      </c>
      <c r="E19">
        <v>0</v>
      </c>
      <c r="F19">
        <v>0</v>
      </c>
      <c r="G19">
        <v>2.9000000000000001E-2</v>
      </c>
      <c r="I19">
        <f>P32</f>
        <v>6.6</v>
      </c>
      <c r="K19">
        <f>$I$19*B19</f>
        <v>0.34319999999999995</v>
      </c>
      <c r="L19">
        <f t="shared" ref="L19:P19" si="15">$I$19*C19</f>
        <v>0</v>
      </c>
      <c r="M19">
        <f t="shared" si="15"/>
        <v>0.26400000000000001</v>
      </c>
      <c r="N19">
        <f t="shared" si="15"/>
        <v>0</v>
      </c>
      <c r="O19">
        <f t="shared" si="15"/>
        <v>0</v>
      </c>
      <c r="P19">
        <f t="shared" si="15"/>
        <v>0.19139999999999999</v>
      </c>
    </row>
    <row r="20" spans="1:26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1.1080000000000001</v>
      </c>
      <c r="I20">
        <f>S32</f>
        <v>0</v>
      </c>
      <c r="K20">
        <f>$I$20*B20</f>
        <v>0</v>
      </c>
      <c r="L20">
        <f t="shared" ref="L20:P20" si="16">$I$20*C20</f>
        <v>0</v>
      </c>
      <c r="M20">
        <f t="shared" si="16"/>
        <v>0</v>
      </c>
      <c r="N20">
        <f t="shared" si="16"/>
        <v>0</v>
      </c>
      <c r="O20">
        <f t="shared" si="16"/>
        <v>0</v>
      </c>
      <c r="P20">
        <f t="shared" si="16"/>
        <v>0</v>
      </c>
    </row>
    <row r="21" spans="1:26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0.73199999999999998</v>
      </c>
      <c r="I21">
        <f>Y32</f>
        <v>0</v>
      </c>
      <c r="K21">
        <f>$I$21*B21</f>
        <v>0</v>
      </c>
      <c r="L21">
        <f t="shared" ref="L21:P21" si="17">$I$21*C21</f>
        <v>0</v>
      </c>
      <c r="M21">
        <f t="shared" si="17"/>
        <v>0</v>
      </c>
      <c r="N21">
        <f t="shared" si="17"/>
        <v>0</v>
      </c>
      <c r="O21">
        <f t="shared" si="17"/>
        <v>0</v>
      </c>
      <c r="P21">
        <f t="shared" si="17"/>
        <v>0</v>
      </c>
    </row>
    <row r="22" spans="1:26" x14ac:dyDescent="0.25">
      <c r="A22" s="1" t="s">
        <v>26</v>
      </c>
      <c r="B22">
        <v>0.84099999999999997</v>
      </c>
      <c r="C22">
        <v>0</v>
      </c>
      <c r="D22">
        <v>0</v>
      </c>
      <c r="E22">
        <v>0</v>
      </c>
      <c r="F22">
        <v>0</v>
      </c>
      <c r="G22">
        <v>0</v>
      </c>
      <c r="I22">
        <f>U32</f>
        <v>0</v>
      </c>
      <c r="K22">
        <f>$I$22*B22</f>
        <v>0</v>
      </c>
      <c r="L22">
        <f t="shared" ref="L22:P22" si="18">$I$22*C22</f>
        <v>0</v>
      </c>
      <c r="M22">
        <f t="shared" si="18"/>
        <v>0</v>
      </c>
      <c r="N22">
        <f t="shared" si="18"/>
        <v>0</v>
      </c>
      <c r="O22">
        <f t="shared" si="18"/>
        <v>0</v>
      </c>
      <c r="P22">
        <f t="shared" si="18"/>
        <v>0</v>
      </c>
    </row>
    <row r="23" spans="1:26" x14ac:dyDescent="0.25">
      <c r="A23" s="1" t="s">
        <v>27</v>
      </c>
      <c r="B23">
        <v>0.61</v>
      </c>
      <c r="C23">
        <v>0</v>
      </c>
      <c r="D23">
        <v>0</v>
      </c>
      <c r="E23">
        <v>0</v>
      </c>
      <c r="F23">
        <v>0</v>
      </c>
      <c r="G23">
        <v>0</v>
      </c>
      <c r="I23">
        <f>X32</f>
        <v>0</v>
      </c>
      <c r="K23">
        <f>$I$23*B23</f>
        <v>0</v>
      </c>
      <c r="L23">
        <f t="shared" ref="L23:P23" si="19">$I$23*C23</f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</row>
    <row r="24" spans="1:26" x14ac:dyDescent="0.25">
      <c r="A24" s="1" t="s">
        <v>28</v>
      </c>
      <c r="B24">
        <v>0</v>
      </c>
      <c r="C24">
        <v>0</v>
      </c>
      <c r="D24">
        <v>1.2989999999999999</v>
      </c>
      <c r="E24">
        <v>0</v>
      </c>
      <c r="F24">
        <v>0</v>
      </c>
      <c r="G24">
        <v>0</v>
      </c>
      <c r="I24">
        <f>V32</f>
        <v>0</v>
      </c>
      <c r="K24">
        <f>$I$24*B24</f>
        <v>0</v>
      </c>
      <c r="L24">
        <f t="shared" ref="L24:P24" si="20">$I$24*C24</f>
        <v>0</v>
      </c>
      <c r="M24">
        <f t="shared" si="20"/>
        <v>0</v>
      </c>
      <c r="N24">
        <f t="shared" si="20"/>
        <v>0</v>
      </c>
      <c r="O24">
        <f t="shared" si="20"/>
        <v>0</v>
      </c>
      <c r="P24">
        <f t="shared" si="20"/>
        <v>0</v>
      </c>
    </row>
    <row r="25" spans="1:26" x14ac:dyDescent="0.25">
      <c r="A25" s="1"/>
      <c r="J25" s="1" t="s">
        <v>38</v>
      </c>
      <c r="K25">
        <f>SUM(K4:K24)</f>
        <v>5.7075199999999988</v>
      </c>
      <c r="L25">
        <f t="shared" ref="L25:P25" si="21">SUM(L4:L24)</f>
        <v>4.2459799999999994</v>
      </c>
      <c r="M25">
        <f t="shared" si="21"/>
        <v>3.2706800000000005</v>
      </c>
      <c r="N25">
        <f t="shared" si="21"/>
        <v>-3.1564000000000001</v>
      </c>
      <c r="O25">
        <f t="shared" si="21"/>
        <v>1.1176000000000001</v>
      </c>
      <c r="P25">
        <f t="shared" si="21"/>
        <v>-9.4882399999999993</v>
      </c>
      <c r="R25" s="4" t="s">
        <v>42</v>
      </c>
    </row>
    <row r="26" spans="1:26" x14ac:dyDescent="0.25">
      <c r="A26" s="1"/>
      <c r="J26" s="1" t="s">
        <v>39</v>
      </c>
      <c r="K26">
        <f>EXP(B2+K25)*$B$32^B3</f>
        <v>2.3132940272315144E-2</v>
      </c>
      <c r="L26" s="4">
        <f>EXP(-(C2+L25))</f>
        <v>1151.7294946374295</v>
      </c>
      <c r="M26">
        <f t="shared" ref="M26:P26" si="22">EXP(D2+M25)*$B$32^D3</f>
        <v>7.7360777140620806E-4</v>
      </c>
      <c r="N26">
        <f t="shared" si="22"/>
        <v>0.15970647315052022</v>
      </c>
      <c r="O26">
        <f t="shared" si="22"/>
        <v>0.81512183069960475</v>
      </c>
      <c r="P26">
        <f t="shared" si="22"/>
        <v>2.2231219562669009E-2</v>
      </c>
      <c r="R26" s="4" t="s">
        <v>42</v>
      </c>
    </row>
    <row r="27" spans="1:26" x14ac:dyDescent="0.25">
      <c r="A27" s="1"/>
      <c r="J27" s="1" t="s">
        <v>40</v>
      </c>
      <c r="K27">
        <f>EXP(B2+K25)*($B$32+1)^B3</f>
        <v>2.5873809972826418E-2</v>
      </c>
      <c r="L27" s="4">
        <f>1+L26</f>
        <v>1152.7294946374295</v>
      </c>
      <c r="M27">
        <f t="shared" ref="M27:P27" si="23">EXP(D2+M25)*($B$32+1)^D3</f>
        <v>9.7507517340081871E-4</v>
      </c>
      <c r="N27">
        <f t="shared" si="23"/>
        <v>0.17862904105934965</v>
      </c>
      <c r="O27">
        <f t="shared" si="23"/>
        <v>0.91170024665927363</v>
      </c>
      <c r="P27">
        <f t="shared" si="23"/>
        <v>2.4865250316539744E-2</v>
      </c>
      <c r="R27" s="4" t="s">
        <v>42</v>
      </c>
    </row>
    <row r="28" spans="1:26" x14ac:dyDescent="0.25">
      <c r="A28" s="1"/>
      <c r="J28" s="1" t="s">
        <v>41</v>
      </c>
      <c r="K28">
        <f>1-EXP(K26-K27)</f>
        <v>2.7371169465398859E-3</v>
      </c>
      <c r="L28" s="4">
        <f>1-(L26/L27)</f>
        <v>8.6750621429576569E-4</v>
      </c>
      <c r="M28">
        <f t="shared" ref="M28" si="24">1-EXP(M26-M27)</f>
        <v>2.0144710880043437E-4</v>
      </c>
      <c r="N28">
        <f t="shared" ref="N28" si="25">1-EXP(N26-N27)</f>
        <v>1.874466004584352E-2</v>
      </c>
      <c r="O28">
        <f t="shared" ref="O28:P28" si="26">1-EXP(O26-O27)</f>
        <v>9.2061302076127394E-2</v>
      </c>
      <c r="P28" s="5">
        <f t="shared" si="26"/>
        <v>2.6305647387292463E-3</v>
      </c>
      <c r="R28" s="4" t="s">
        <v>42</v>
      </c>
    </row>
    <row r="29" spans="1:26" x14ac:dyDescent="0.25">
      <c r="L29" s="3" t="s">
        <v>43</v>
      </c>
    </row>
    <row r="30" spans="1:26" x14ac:dyDescent="0.25">
      <c r="L30" s="4" t="s">
        <v>44</v>
      </c>
    </row>
    <row r="31" spans="1:26" x14ac:dyDescent="0.25">
      <c r="A31" s="1" t="s">
        <v>29</v>
      </c>
      <c r="B31" s="1" t="s">
        <v>30</v>
      </c>
      <c r="C31" s="1" t="s">
        <v>10</v>
      </c>
      <c r="D31" s="1" t="s">
        <v>31</v>
      </c>
      <c r="E31" s="1" t="s">
        <v>8</v>
      </c>
      <c r="F31" s="1" t="s">
        <v>32</v>
      </c>
      <c r="G31" s="1" t="s">
        <v>16</v>
      </c>
      <c r="H31" s="1" t="s">
        <v>22</v>
      </c>
      <c r="I31" s="1" t="s">
        <v>17</v>
      </c>
      <c r="J31" s="1" t="s">
        <v>19</v>
      </c>
      <c r="K31" s="1" t="s">
        <v>12</v>
      </c>
      <c r="L31" s="1" t="s">
        <v>20</v>
      </c>
      <c r="M31" s="1" t="s">
        <v>21</v>
      </c>
      <c r="N31" s="1" t="s">
        <v>11</v>
      </c>
      <c r="O31" s="1" t="s">
        <v>33</v>
      </c>
      <c r="P31" s="1" t="s">
        <v>23</v>
      </c>
      <c r="Q31" s="1" t="s">
        <v>18</v>
      </c>
      <c r="R31" s="1" t="s">
        <v>15</v>
      </c>
      <c r="S31" s="1" t="s">
        <v>24</v>
      </c>
      <c r="T31" s="1" t="s">
        <v>34</v>
      </c>
      <c r="U31" s="1" t="s">
        <v>26</v>
      </c>
      <c r="V31" s="1" t="s">
        <v>28</v>
      </c>
      <c r="W31" s="1" t="s">
        <v>35</v>
      </c>
      <c r="X31" s="1" t="s">
        <v>27</v>
      </c>
      <c r="Y31" s="1" t="s">
        <v>25</v>
      </c>
      <c r="Z31" s="1" t="s">
        <v>36</v>
      </c>
    </row>
    <row r="32" spans="1:26" x14ac:dyDescent="0.25">
      <c r="A32">
        <v>57</v>
      </c>
      <c r="B32">
        <v>8.44</v>
      </c>
      <c r="C32">
        <v>1</v>
      </c>
      <c r="D32">
        <v>0</v>
      </c>
      <c r="E32">
        <v>0</v>
      </c>
      <c r="F32">
        <v>0</v>
      </c>
      <c r="G32">
        <v>8.8000000000000007</v>
      </c>
      <c r="H32">
        <v>139</v>
      </c>
      <c r="I32">
        <v>3.08</v>
      </c>
      <c r="J32">
        <v>1.19</v>
      </c>
      <c r="K32">
        <v>32.299999999999997</v>
      </c>
      <c r="L32">
        <v>0</v>
      </c>
      <c r="M32">
        <v>0</v>
      </c>
      <c r="N32">
        <v>0</v>
      </c>
      <c r="O32">
        <v>70</v>
      </c>
      <c r="P32">
        <v>6.6</v>
      </c>
      <c r="Q32">
        <v>79</v>
      </c>
      <c r="R32">
        <v>14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UKPDS_microvascular_coef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2021-05-19T13:21:06Z</dcterms:created>
  <dcterms:modified xsi:type="dcterms:W3CDTF">2021-05-20T06:51:07Z</dcterms:modified>
</cp:coreProperties>
</file>