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UCT&amp;Home\MyFilesC\MassBal\PWMWWFractionation\"/>
    </mc:Choice>
  </mc:AlternateContent>
  <xr:revisionPtr revIDLastSave="0" documentId="13_ncr:1_{9A2F54A9-136C-4E2C-89EA-879B24FF7320}" xr6:coauthVersionLast="34" xr6:coauthVersionMax="34" xr10:uidLastSave="{00000000-0000-0000-0000-000000000000}"/>
  <bookViews>
    <workbookView xWindow="0" yWindow="0" windowWidth="38400" windowHeight="12225" xr2:uid="{FB343AFA-C31F-4B27-9B38-E24461A56EA3}"/>
  </bookViews>
  <sheets>
    <sheet name="Text" sheetId="2" r:id="rId1"/>
    <sheet name="Calc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L74" i="1" s="1"/>
  <c r="J90" i="1"/>
  <c r="J74" i="1"/>
  <c r="L87" i="1"/>
  <c r="J87" i="1"/>
  <c r="J71" i="1"/>
  <c r="J84" i="1"/>
  <c r="I84" i="1"/>
  <c r="L71" i="1"/>
  <c r="J68" i="1"/>
  <c r="I68" i="1"/>
  <c r="J65" i="1"/>
  <c r="L58" i="1"/>
  <c r="J58" i="1"/>
  <c r="L55" i="1"/>
  <c r="L39" i="1"/>
  <c r="L40" i="1" s="1"/>
  <c r="J55" i="1"/>
  <c r="J52" i="1"/>
  <c r="I52" i="1"/>
  <c r="J49" i="1"/>
  <c r="M45" i="1"/>
  <c r="J39" i="1"/>
  <c r="J40" i="1" s="1"/>
  <c r="L36" i="1"/>
  <c r="L68" i="1" s="1"/>
  <c r="J36" i="1"/>
  <c r="I36" i="1"/>
  <c r="L42" i="1"/>
  <c r="L43" i="1" s="1"/>
  <c r="J42" i="1"/>
  <c r="J43" i="1" s="1"/>
  <c r="P30" i="1"/>
  <c r="P29" i="1"/>
  <c r="P28" i="1"/>
  <c r="P27" i="1"/>
  <c r="P26" i="1"/>
  <c r="F42" i="1"/>
  <c r="G42" i="1"/>
  <c r="D42" i="1"/>
  <c r="G43" i="1"/>
  <c r="G39" i="1"/>
  <c r="D39" i="1"/>
  <c r="P19" i="1"/>
  <c r="P18" i="1"/>
  <c r="P17" i="1"/>
  <c r="P16" i="1"/>
  <c r="P15" i="1"/>
  <c r="P14" i="1"/>
  <c r="P13" i="1"/>
  <c r="P12" i="1"/>
  <c r="P11" i="1"/>
  <c r="P10" i="1"/>
  <c r="P9" i="1"/>
  <c r="G24" i="1"/>
  <c r="G23" i="1"/>
  <c r="G22" i="1"/>
  <c r="J22" i="1"/>
  <c r="J24" i="1"/>
  <c r="J23" i="1"/>
  <c r="M24" i="1"/>
  <c r="M23" i="1"/>
  <c r="M22" i="1"/>
  <c r="M21" i="1"/>
  <c r="O64" i="1"/>
  <c r="O63" i="1"/>
  <c r="O61" i="1"/>
  <c r="O62" i="1"/>
  <c r="O60" i="1"/>
  <c r="O58" i="1"/>
  <c r="O57" i="1"/>
  <c r="O59" i="1"/>
  <c r="G58" i="1"/>
  <c r="F90" i="1"/>
  <c r="G91" i="1"/>
  <c r="G90" i="1"/>
  <c r="F87" i="1"/>
  <c r="D87" i="1"/>
  <c r="D92" i="1" s="1"/>
  <c r="G88" i="1"/>
  <c r="G87" i="1"/>
  <c r="F84" i="1"/>
  <c r="D84" i="1" s="1"/>
  <c r="C84" i="1"/>
  <c r="G84" i="1"/>
  <c r="D82" i="1"/>
  <c r="D81" i="1"/>
  <c r="D91" i="1"/>
  <c r="F91" i="1"/>
  <c r="F88" i="1"/>
  <c r="D88" i="1"/>
  <c r="F71" i="1"/>
  <c r="D71" i="1" s="1"/>
  <c r="D76" i="1" s="1"/>
  <c r="D77" i="1"/>
  <c r="D74" i="1"/>
  <c r="F74" i="1"/>
  <c r="G74" i="1"/>
  <c r="F72" i="1"/>
  <c r="G71" i="1"/>
  <c r="F68" i="1"/>
  <c r="G68" i="1"/>
  <c r="C68" i="1"/>
  <c r="D66" i="1"/>
  <c r="D65" i="1"/>
  <c r="G75" i="1"/>
  <c r="G59" i="1"/>
  <c r="G72" i="1"/>
  <c r="G56" i="1"/>
  <c r="D68" i="1"/>
  <c r="C52" i="1"/>
  <c r="G52" i="1"/>
  <c r="G55" i="1" s="1"/>
  <c r="D50" i="1"/>
  <c r="D49" i="1"/>
  <c r="D75" i="1"/>
  <c r="F75" i="1"/>
  <c r="D72" i="1"/>
  <c r="D56" i="1"/>
  <c r="F56" i="1"/>
  <c r="F59" i="1"/>
  <c r="F43" i="1"/>
  <c r="F58" i="1"/>
  <c r="F55" i="1"/>
  <c r="D52" i="1"/>
  <c r="F52" i="1"/>
  <c r="D45" i="1"/>
  <c r="D44" i="1"/>
  <c r="D43" i="1"/>
  <c r="F40" i="1"/>
  <c r="D40" i="1"/>
  <c r="G40" i="1"/>
  <c r="F39" i="1"/>
  <c r="D34" i="1"/>
  <c r="D36" i="1"/>
  <c r="F36" i="1"/>
  <c r="G36" i="1"/>
  <c r="C36" i="1"/>
  <c r="D33" i="1"/>
  <c r="O56" i="1"/>
  <c r="O55" i="1"/>
  <c r="O54" i="1"/>
  <c r="O53" i="1"/>
  <c r="O52" i="1"/>
  <c r="O48" i="1"/>
  <c r="O47" i="1"/>
  <c r="O51" i="1"/>
  <c r="O50" i="1"/>
  <c r="O49" i="1"/>
  <c r="O46" i="1"/>
  <c r="O45" i="1"/>
  <c r="O44" i="1"/>
  <c r="O43" i="1"/>
  <c r="P8" i="1"/>
  <c r="P7" i="1"/>
  <c r="O42" i="1"/>
  <c r="O41" i="1"/>
  <c r="J66" i="1" l="1"/>
  <c r="M44" i="1"/>
  <c r="J34" i="1"/>
  <c r="L84" i="1"/>
  <c r="J81" i="1" s="1"/>
  <c r="L52" i="1"/>
  <c r="J50" i="1" s="1"/>
  <c r="D90" i="1"/>
  <c r="D93" i="1" s="1"/>
  <c r="D59" i="1"/>
  <c r="D55" i="1"/>
  <c r="D60" i="1" s="1"/>
  <c r="J82" i="1" l="1"/>
  <c r="D58" i="1"/>
  <c r="D61" i="1" s="1"/>
</calcChain>
</file>

<file path=xl/sharedStrings.xml><?xml version="1.0" encoding="utf-8"?>
<sst xmlns="http://schemas.openxmlformats.org/spreadsheetml/2006/main" count="420" uniqueCount="225">
  <si>
    <t>Wastewater measurements</t>
  </si>
  <si>
    <t>Influent</t>
  </si>
  <si>
    <t xml:space="preserve">Raw </t>
  </si>
  <si>
    <t>Settled</t>
  </si>
  <si>
    <t>Membrane</t>
  </si>
  <si>
    <t>Filtered</t>
  </si>
  <si>
    <t>COD</t>
  </si>
  <si>
    <t>Effluent</t>
  </si>
  <si>
    <t>TKN</t>
  </si>
  <si>
    <t>FSA</t>
  </si>
  <si>
    <t>TP</t>
  </si>
  <si>
    <t>OP</t>
  </si>
  <si>
    <t>TOC</t>
  </si>
  <si>
    <t>VFA</t>
  </si>
  <si>
    <t>TSS</t>
  </si>
  <si>
    <t>ISS</t>
  </si>
  <si>
    <t>VSS</t>
  </si>
  <si>
    <t>These are the 25 wastewater measurements required for a complete characterization</t>
  </si>
  <si>
    <t>These are the 20 wastewater component mass ratios required for a complete characterization</t>
  </si>
  <si>
    <t>f_COD/m</t>
  </si>
  <si>
    <t>f_C/m</t>
  </si>
  <si>
    <t>f_N/m</t>
  </si>
  <si>
    <t>f_P/m</t>
  </si>
  <si>
    <t>FBSO</t>
  </si>
  <si>
    <t>USO</t>
  </si>
  <si>
    <t>BPO*</t>
  </si>
  <si>
    <t>UPO*</t>
  </si>
  <si>
    <t>f_COD/m,VFA</t>
  </si>
  <si>
    <t>f_C/m,VFA</t>
  </si>
  <si>
    <t>f_N/m,VFA</t>
  </si>
  <si>
    <t>f_P/m,VFA</t>
  </si>
  <si>
    <t>f_COD/m,FBSO</t>
  </si>
  <si>
    <t>f_C/m,FBSO</t>
  </si>
  <si>
    <t>f_N/m,FBSO</t>
  </si>
  <si>
    <t>f_P/m,FBSO</t>
  </si>
  <si>
    <t>f_COD/m,USO</t>
  </si>
  <si>
    <t>f_C/m,USO</t>
  </si>
  <si>
    <t>f_N/m,USO</t>
  </si>
  <si>
    <t>f_P/m,USO</t>
  </si>
  <si>
    <t>f_COD/m,UPO</t>
  </si>
  <si>
    <t>f_C/m,UPO</t>
  </si>
  <si>
    <t>f_N/m,UPO</t>
  </si>
  <si>
    <t>f_P/m,UPO</t>
  </si>
  <si>
    <t>f_COD/m,BPO</t>
  </si>
  <si>
    <t>f_C/m,BPO</t>
  </si>
  <si>
    <t>f_N/m,BPO</t>
  </si>
  <si>
    <t>f_P/m,BPO</t>
  </si>
  <si>
    <t>Known</t>
  </si>
  <si>
    <t>Caluclated</t>
  </si>
  <si>
    <t>Calculated</t>
  </si>
  <si>
    <t>Assumed</t>
  </si>
  <si>
    <t>*</t>
  </si>
  <si>
    <t>Settleable and</t>
  </si>
  <si>
    <t>Non-settleable</t>
  </si>
  <si>
    <t>f_UPO,raw</t>
  </si>
  <si>
    <t>f_UPO,set</t>
  </si>
  <si>
    <t>=X_UPO,raw/COD_Tot,raw</t>
  </si>
  <si>
    <t>=X_UPO,set/COD_Tot,set</t>
  </si>
  <si>
    <t>f_TKN/COD,raw</t>
  </si>
  <si>
    <t>f_TP/COD,raw</t>
  </si>
  <si>
    <t>=TKN_raw/COD_Tot,raw</t>
  </si>
  <si>
    <t>=TP_raw/COD_Tot,raw</t>
  </si>
  <si>
    <t>f_FSA/TKN,raw</t>
  </si>
  <si>
    <t>=N_FSA/TKN_raw</t>
  </si>
  <si>
    <t>f_FSA/TKN,set</t>
  </si>
  <si>
    <t>f_OP/TP,raw</t>
  </si>
  <si>
    <t>=P_OP/TP_raw</t>
  </si>
  <si>
    <t>TKN/COD concentration ratio of raw wastewater</t>
  </si>
  <si>
    <t>TP/COD concentration ratio of raw wastewater</t>
  </si>
  <si>
    <t>Ammonia (FSA) to TKN concentration ratio of raw wastewater</t>
  </si>
  <si>
    <t>OrthoP (OP) to TP concentration ratio of raw wastewater</t>
  </si>
  <si>
    <t>f_BSO/BO,raw</t>
  </si>
  <si>
    <t>=S_VFA/(S_VFA+S_FBSO)</t>
  </si>
  <si>
    <t>Volatile fatty acid (VFA) fraction of the readily biodegradable COD</t>
  </si>
  <si>
    <t>f_BPO,ST/BPO</t>
  </si>
  <si>
    <t>f_UPO,ST/UPO</t>
  </si>
  <si>
    <t>Fraction of the raw wastewater BPO that is settleable</t>
  </si>
  <si>
    <t>Fraction of the raw wastewater UPO that is settleable</t>
  </si>
  <si>
    <t>f_ISS,ST/ISS</t>
  </si>
  <si>
    <t>Fraction of the raw wastewater ISS that is settleable</t>
  </si>
  <si>
    <t>f_ISS/COD,raw</t>
  </si>
  <si>
    <t>f_ISS/COD,set</t>
  </si>
  <si>
    <t>ISS to COD ratio of the raw wastewater</t>
  </si>
  <si>
    <t>ISS to COD ratio of the settled wastewater</t>
  </si>
  <si>
    <t>f_BSO/BO,set</t>
  </si>
  <si>
    <t>=(S_VDFA+S_FBSO)/(S_VFA+S_FBSO+X_BPO,set)</t>
  </si>
  <si>
    <t>=(S_VDFA+S_FBSO)/(S_VFA+S_FBSO+X_BPO,raw)</t>
  </si>
  <si>
    <t>=X_ISS,set/COD_Tot,set</t>
  </si>
  <si>
    <t>=X_ISS,raw/COD_Tot,raw</t>
  </si>
  <si>
    <t>=(1-X_ISS,set)/X_ISS,raw</t>
  </si>
  <si>
    <t>=(1-X_UPO,set)/X_UPO,raw</t>
  </si>
  <si>
    <t>Block diagram</t>
  </si>
  <si>
    <t>Total</t>
  </si>
  <si>
    <t>Settleable</t>
  </si>
  <si>
    <t>1. VFA (a)</t>
  </si>
  <si>
    <t xml:space="preserve">2. FBSO (b) </t>
  </si>
  <si>
    <t>3. USO (c)</t>
  </si>
  <si>
    <t>4. BPO (d)</t>
  </si>
  <si>
    <t xml:space="preserve">5. UPO (e) </t>
  </si>
  <si>
    <t>6. BPO (f)</t>
  </si>
  <si>
    <t>7. UPO (g)</t>
  </si>
  <si>
    <t xml:space="preserve">S_USO,raw = #4 </t>
  </si>
  <si>
    <t>S_USO,set = #4</t>
  </si>
  <si>
    <t>f_USO,raw</t>
  </si>
  <si>
    <t>f_USO,set</t>
  </si>
  <si>
    <t>=S_USO/COD_Tot,raw</t>
  </si>
  <si>
    <t>=S_USO/COD_Tot,set</t>
  </si>
  <si>
    <t>S_FBSO = #3 - #4 - #21</t>
  </si>
  <si>
    <t>= #3-S_USO- S_VFA</t>
  </si>
  <si>
    <t xml:space="preserve">Fermentable biodegradable soluble organics COD concentration </t>
  </si>
  <si>
    <t>S_BSO = #3 - #4</t>
  </si>
  <si>
    <t>= S_VFA + S_FBSO</t>
  </si>
  <si>
    <t xml:space="preserve">Biodegradable soluble organics COD concentration </t>
  </si>
  <si>
    <t>= f_UPO,raw * COD_Tot,raw</t>
  </si>
  <si>
    <t>X_UPO,set = !2 * #2</t>
  </si>
  <si>
    <t>X_UPO,raw= !1 * #1</t>
  </si>
  <si>
    <t>= f_UPO,set * COD_Tot,set</t>
  </si>
  <si>
    <t>e+g</t>
  </si>
  <si>
    <t>e</t>
  </si>
  <si>
    <t>g</t>
  </si>
  <si>
    <t>= f_UPO,raw * COD_Tot,raw - f_UPO,set * COD_Tot,set</t>
  </si>
  <si>
    <t>Unbiodegradable particulate (UPO) COD concentration of raw wastewater</t>
  </si>
  <si>
    <t>Unbiodegradable particulate (UPO) COD concentration of settled wastewater</t>
  </si>
  <si>
    <t>Unbiodegradable particulate (UPO) COD concentration in the raw wastewater that is settleable</t>
  </si>
  <si>
    <t>d+e+f+g</t>
  </si>
  <si>
    <t>Biodegradable particulate (BPO) COD concentration in raw wastewater</t>
  </si>
  <si>
    <t>Biodegradable particulate (BPO) COD concentration in settled wastewater</t>
  </si>
  <si>
    <t>d+e</t>
  </si>
  <si>
    <t>#1</t>
  </si>
  <si>
    <t>X_BPO,set = #2- #3 - !2*!2</t>
  </si>
  <si>
    <t>Biodegradable particulate (BPO) COD concentration in the raw wastewater that is settleable</t>
  </si>
  <si>
    <t>f</t>
  </si>
  <si>
    <t>X_BPO,raw = #1- #3 - !1*#1</t>
  </si>
  <si>
    <t>Results</t>
  </si>
  <si>
    <t>Fraction of the UPO that is settleable</t>
  </si>
  <si>
    <t>ISS concentration in the raw wastewater</t>
  </si>
  <si>
    <t>ISS concentration in the settled wastewater</t>
  </si>
  <si>
    <t>X_ISS,set = #25</t>
  </si>
  <si>
    <t>X_ISS,raw = #24</t>
  </si>
  <si>
    <t>X_VSS,raw = #22-#24</t>
  </si>
  <si>
    <t>X_VSS,set = #23 - #25</t>
  </si>
  <si>
    <t>= X_TSS,raw - X_ISS,raw</t>
  </si>
  <si>
    <t>= X_TSS,set - X_ISS,set</t>
  </si>
  <si>
    <t>VSS concentration in the raw wastewater</t>
  </si>
  <si>
    <t>VSS concentration in the settled wastewater</t>
  </si>
  <si>
    <t>Concentration of the VSS that is settleable</t>
  </si>
  <si>
    <t>= (X_TSS,raw - X_ISS,raw)-(X_TSS,set - X_ISS,set)</t>
  </si>
  <si>
    <t>f_COD/VSS,BPO= [(1-!1)*#1-(1-!2)*#2]/{[(#22-#24)-(#23-#24)]-[!1*#1-!2*#2)/!3]}</t>
  </si>
  <si>
    <t>Raw</t>
  </si>
  <si>
    <t>Set</t>
  </si>
  <si>
    <t>f_COD/VSS,BPO</t>
  </si>
  <si>
    <t>Mass</t>
  </si>
  <si>
    <t>OrgN</t>
  </si>
  <si>
    <t>f_UPO,ST/UPO = Eq7/Eq5=(!1*#1-!2*#2)/(!1*#1)</t>
  </si>
  <si>
    <t>X_UPO,ST = Eq5-E6 = !1*#1 - !2*#2</t>
  </si>
  <si>
    <t>X_BPO,ST = Eq9 - Eq10=(#1-#2)-(!1*#1-!2*#2)</t>
  </si>
  <si>
    <t>f_BPO,ST/BPO = Eq11/Eq9=[(#1-#2)-(!*#1-!2#2)]/[#1-#3-!1*#1]</t>
  </si>
  <si>
    <t>X_VSS,ST = Eq15-Eq17=(#22-#24)-(#23-#25)</t>
  </si>
  <si>
    <t>f_N/VSS,BPO</t>
  </si>
  <si>
    <t>f_P/VSS,BPO</t>
  </si>
  <si>
    <t>N concentration of the settleable BPO</t>
  </si>
  <si>
    <t>N_BPO,ST= #5 - #6 - !5/!3 * (!1*#1 - !2*#2)</t>
  </si>
  <si>
    <t>f_N/VSS,UPO = Eq19/Eq17=[#5 - #6 - !5/!3 * (!1*#1 - !2*#2)]/[(#22-#24)-(#23-#24)]-[!1*#1-!2*#2)/!3]</t>
  </si>
  <si>
    <t>N/VSS mass ratio of the settleable BPO</t>
  </si>
  <si>
    <t>P_BPO,ST= #11 - #12 - !6/!3 * (!1*#1 - !2*#2)</t>
  </si>
  <si>
    <t>f_P/VSS,BPO = [#11 - #12 - !6/!3 * (!1*#1 - !2*#2)]/[(#22-#24)-(#23-#24)]-[!1*#1-!2*#2)/!3]</t>
  </si>
  <si>
    <t>C_BPO,ST= #13 - #14 - !4/!3 * (!1*#1 - !2*#2)</t>
  </si>
  <si>
    <t>f_C/VSS,BPO = [#13 - #14 - !4/!3 * (!1*#1 - !2*#2)]/[(#22-#24)-(#23-#24)]-[!1*#1-!2*#2)/!3]</t>
  </si>
  <si>
    <t>Assumptions Marked !</t>
  </si>
  <si>
    <t>!1</t>
  </si>
  <si>
    <t>!2</t>
  </si>
  <si>
    <t>!3</t>
  </si>
  <si>
    <t>!4</t>
  </si>
  <si>
    <t>!5</t>
  </si>
  <si>
    <t>!6</t>
  </si>
  <si>
    <t>!7</t>
  </si>
  <si>
    <t>!8</t>
  </si>
  <si>
    <t>Marked #</t>
  </si>
  <si>
    <t>#5</t>
  </si>
  <si>
    <t>#11</t>
  </si>
  <si>
    <t>#17</t>
  </si>
  <si>
    <t>#22</t>
  </si>
  <si>
    <t>#24</t>
  </si>
  <si>
    <t>#2</t>
  </si>
  <si>
    <t>#6</t>
  </si>
  <si>
    <t>#12</t>
  </si>
  <si>
    <t>#18</t>
  </si>
  <si>
    <t>#23</t>
  </si>
  <si>
    <t>#25</t>
  </si>
  <si>
    <t>#3</t>
  </si>
  <si>
    <t>#7</t>
  </si>
  <si>
    <t>#9</t>
  </si>
  <si>
    <t>#13</t>
  </si>
  <si>
    <t>#15</t>
  </si>
  <si>
    <t>#19</t>
  </si>
  <si>
    <t>#21</t>
  </si>
  <si>
    <t>#4</t>
  </si>
  <si>
    <t>#8</t>
  </si>
  <si>
    <t>#10</t>
  </si>
  <si>
    <t>#14</t>
  </si>
  <si>
    <t>#16</t>
  </si>
  <si>
    <t>#20</t>
  </si>
  <si>
    <t>f_TKN/COD,set</t>
  </si>
  <si>
    <t>f_TP/COD,set</t>
  </si>
  <si>
    <t>f_OP/TP,set</t>
  </si>
  <si>
    <t>f_VFA/BSO</t>
  </si>
  <si>
    <t>= 1-(X_BPO,set)/X_BPO,raw</t>
  </si>
  <si>
    <t>Block diagram claculatedc from measurements &amp; assumptions</t>
  </si>
  <si>
    <t>Block diagram calculated from fractions &amp; assumptions</t>
  </si>
  <si>
    <t>Used</t>
  </si>
  <si>
    <t>VSS,raw</t>
  </si>
  <si>
    <t>ISS,raw</t>
  </si>
  <si>
    <t xml:space="preserve">have the same </t>
  </si>
  <si>
    <t>mass ratios</t>
  </si>
  <si>
    <t>Wastewater fractions - if only the COD_Tot,raw is known all concentrations can be calculated from these 11 fractions and all 16 mass ratios.</t>
  </si>
  <si>
    <t>Equations for unknowns in terms of 25 measurements (#, red), and 8 assumption (!, blue) and 4 knowns (green).</t>
  </si>
  <si>
    <t xml:space="preserve">I have used IWA notation, which is self explanatory. </t>
  </si>
  <si>
    <t>Unbiodegradable particulate organics (UPO) COD fraction of raw wastewater</t>
  </si>
  <si>
    <t>Unbiodegradable particulate organics (UPO) COD fraction of settled wastewater</t>
  </si>
  <si>
    <t>Unbiodegradable soluble organics (USO) COD fraction of raw wastewater</t>
  </si>
  <si>
    <t>Unbiodegradable soluble organics (USO) COD fraction of settled wastewater</t>
  </si>
  <si>
    <t>Readily biodegradable COD fraction of total biodegradable COD for settled wastewater</t>
  </si>
  <si>
    <t>Readily biodegradable COD fraction of total biodegradable COD for raw wastewater</t>
  </si>
  <si>
    <t>Calcu</t>
  </si>
  <si>
    <t>Wastewater component mass ratios - 6 assumed (blue), 4 known (green) and 10 calculated (orange) from 25 measured datas (red).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</si>
</sst>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6" fontId="0" fillId="0" borderId="0" xfId="0" applyNumberFormat="1"/>
    <xf numFmtId="0" fontId="3" fillId="0" borderId="0" xfId="0" applyFont="1"/>
    <xf numFmtId="2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165" fontId="6" fillId="0" borderId="0" xfId="0" applyNumberFormat="1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133350</xdr:rowOff>
    </xdr:from>
    <xdr:to>
      <xdr:col>15</xdr:col>
      <xdr:colOff>342900</xdr:colOff>
      <xdr:row>26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28E3F0-D1D3-49CA-A52A-0ED28788E8A1}"/>
            </a:ext>
          </a:extLst>
        </xdr:cNvPr>
        <xdr:cNvSpPr txBox="1"/>
      </xdr:nvSpPr>
      <xdr:spPr>
        <a:xfrm>
          <a:off x="1838325" y="895350"/>
          <a:ext cx="7648575" cy="423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Dear Chris,</a:t>
          </a:r>
        </a:p>
        <a:p>
          <a:r>
            <a:rPr lang="en-ZA" sz="1100"/>
            <a:t>We need to build a influent probabalistic wastewater fractionator that works like yours where there is missing information  to do a complete chaeracterization (see calc sheet). </a:t>
          </a:r>
        </a:p>
        <a:p>
          <a:r>
            <a:rPr lang="en-ZA" sz="1100"/>
            <a:t>(1) 19 measurements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 flow weighted composite wastewater sample  and 6 measurements on a membrane filtered effluent sample  (total measurements 25),</a:t>
          </a:r>
          <a:r>
            <a:rPr lang="en-ZA" sz="1100"/>
            <a:t> </a:t>
          </a:r>
          <a:r>
            <a:rPr lang="en-Z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assumed (blue) and 4 known (green) mass ratios and 2 assumptions (total 8 assumptions) </a:t>
          </a:r>
          <a:r>
            <a:rPr lang="en-ZA" sz="1100"/>
            <a:t>are required</a:t>
          </a:r>
          <a:r>
            <a:rPr lang="en-ZA" sz="1100" baseline="0"/>
            <a:t> to completely characterize the organics (COD) of the raw and settled wastewater as per our PWM (i.e. the 4 mass ratios of the FBSO, USO, BPO and UPO, where the COD/mass ratio of the 1st two have to be assumed). </a:t>
          </a:r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Wastewater COD concentrations and their COD, C, N and P mass ratios [6 assumed (blue), 4 known (green) and 10 calculated (orange) ] are calculated from the 25 measured concentrations (red) and the 8 assumptions (blue). </a:t>
          </a:r>
          <a:r>
            <a:rPr lang="en-ZA"/>
            <a:t> </a:t>
          </a:r>
        </a:p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On ther left hand side , all the 7 component COD concentrations and their 10 calculated mass ratios are calculated from the 25 measurements and 8 assumptions only. This  shows which measure ments and assumtptions are required for each  of the cmponent COD concentrations and mass ratios. </a:t>
          </a:r>
        </a:p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</a:t>
          </a:r>
          <a:r>
            <a:rPr lang="en-Z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ther right hand side , all the 7 component COD, C, N and P concentrations are calculated with 11 wastewater fractions and the 20 component mass ratios as knowns.  This shows that if the total raw wastewater COD concentration were the only measurement, these 7 fractions have to be guessed</a:t>
          </a: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the mass ratios assumed to completely fractionate the wastewater. </a:t>
          </a:r>
        </a:p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What I would like to do , and for which I would like to ask you r help, is build  WW fractionator where fewer than 25 measurements are available and obtain</a:t>
          </a:r>
          <a:r>
            <a:rPr lang="en-ZA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best WW characterization from the available measurements, e.g. none of the membrane filtered efflueunt concentrations are important because the USO is not that important.  Most important are </a:t>
          </a:r>
          <a:r>
            <a:rPr lang="en-ZA" sz="1100" baseline="0"/>
            <a:t> f_UPO,raw and f_UPO,set fractions, Raw WW COD_tot,raw, TKN_raw and TP_raw and the settleable  fractions of the BPO and UPO, which settle out in the PST to form primary sludge with the dissolved and non-settleable concentrations making up the settled WW.   </a:t>
          </a:r>
          <a:endParaRPr lang="en-ZA" sz="1100"/>
        </a:p>
        <a:p>
          <a:r>
            <a:rPr lang="en-ZA" sz="1100"/>
            <a:t>  </a:t>
          </a:r>
        </a:p>
        <a:p>
          <a:r>
            <a:rPr lang="en-ZA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5E7D-FB86-49E2-9359-D00BB9F72DB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34B9-1C73-4D65-8780-AA0F90179817}">
  <dimension ref="A2:T93"/>
  <sheetViews>
    <sheetView zoomScale="85" zoomScaleNormal="85" workbookViewId="0">
      <selection activeCell="P6" sqref="P6"/>
    </sheetView>
  </sheetViews>
  <sheetFormatPr defaultRowHeight="15" x14ac:dyDescent="0.25"/>
  <cols>
    <col min="2" max="2" width="3.85546875" customWidth="1"/>
    <col min="3" max="3" width="13.7109375" customWidth="1"/>
    <col min="4" max="4" width="9.5703125" customWidth="1"/>
    <col min="5" max="5" width="3.42578125" customWidth="1"/>
    <col min="6" max="6" width="14.140625" customWidth="1"/>
    <col min="7" max="7" width="13.42578125" customWidth="1"/>
    <col min="8" max="8" width="4.28515625" customWidth="1"/>
    <col min="9" max="9" width="13.28515625" customWidth="1"/>
    <col min="10" max="10" width="10.85546875" customWidth="1"/>
    <col min="11" max="11" width="5" customWidth="1"/>
    <col min="12" max="12" width="14.7109375" customWidth="1"/>
    <col min="13" max="13" width="12.5703125" customWidth="1"/>
    <col min="14" max="14" width="4" customWidth="1"/>
    <col min="15" max="15" width="18.140625" customWidth="1"/>
    <col min="16" max="16" width="10" customWidth="1"/>
    <col min="17" max="17" width="4.7109375" customWidth="1"/>
    <col min="18" max="18" width="88.7109375" customWidth="1"/>
    <col min="19" max="19" width="47.28515625" customWidth="1"/>
    <col min="20" max="20" width="35.28515625" customWidth="1"/>
  </cols>
  <sheetData>
    <row r="2" spans="2:20" x14ac:dyDescent="0.25">
      <c r="R2" t="s">
        <v>216</v>
      </c>
    </row>
    <row r="3" spans="2:20" x14ac:dyDescent="0.25">
      <c r="B3">
        <v>25</v>
      </c>
      <c r="C3" s="4" t="s">
        <v>0</v>
      </c>
      <c r="F3" t="s">
        <v>177</v>
      </c>
    </row>
    <row r="4" spans="2:20" x14ac:dyDescent="0.25">
      <c r="C4" t="s">
        <v>17</v>
      </c>
      <c r="N4">
        <v>8</v>
      </c>
      <c r="O4" s="11" t="s">
        <v>168</v>
      </c>
      <c r="R4" t="s">
        <v>214</v>
      </c>
    </row>
    <row r="5" spans="2:20" x14ac:dyDescent="0.25">
      <c r="C5" t="s">
        <v>1</v>
      </c>
      <c r="F5" t="s">
        <v>1</v>
      </c>
      <c r="I5" t="s">
        <v>1</v>
      </c>
      <c r="L5" t="s">
        <v>7</v>
      </c>
      <c r="N5" t="s">
        <v>169</v>
      </c>
      <c r="O5" t="s">
        <v>209</v>
      </c>
      <c r="P5" s="9">
        <v>0.13</v>
      </c>
      <c r="Q5">
        <v>1</v>
      </c>
      <c r="R5" t="s">
        <v>54</v>
      </c>
      <c r="S5" s="1" t="s">
        <v>56</v>
      </c>
      <c r="T5" t="s">
        <v>217</v>
      </c>
    </row>
    <row r="6" spans="2:20" x14ac:dyDescent="0.25">
      <c r="C6" t="s">
        <v>2</v>
      </c>
      <c r="F6" t="s">
        <v>3</v>
      </c>
      <c r="I6" t="s">
        <v>4</v>
      </c>
      <c r="L6" t="s">
        <v>4</v>
      </c>
      <c r="N6" t="s">
        <v>170</v>
      </c>
      <c r="P6" s="9">
        <v>3.2399999999999998E-2</v>
      </c>
      <c r="R6" t="s">
        <v>55</v>
      </c>
      <c r="S6" s="1" t="s">
        <v>57</v>
      </c>
      <c r="T6" t="s">
        <v>218</v>
      </c>
    </row>
    <row r="7" spans="2:20" x14ac:dyDescent="0.25">
      <c r="I7" t="s">
        <v>5</v>
      </c>
      <c r="L7" t="s">
        <v>5</v>
      </c>
      <c r="O7" t="s">
        <v>209</v>
      </c>
      <c r="P7" s="7">
        <f>M8/D8</f>
        <v>0.05</v>
      </c>
      <c r="Q7">
        <v>2</v>
      </c>
      <c r="R7" t="s">
        <v>103</v>
      </c>
      <c r="S7" s="1" t="s">
        <v>105</v>
      </c>
      <c r="T7" t="s">
        <v>219</v>
      </c>
    </row>
    <row r="8" spans="2:20" x14ac:dyDescent="0.25">
      <c r="B8" t="s">
        <v>128</v>
      </c>
      <c r="C8" t="s">
        <v>6</v>
      </c>
      <c r="D8" s="4">
        <v>1150</v>
      </c>
      <c r="E8" t="s">
        <v>183</v>
      </c>
      <c r="F8" t="s">
        <v>6</v>
      </c>
      <c r="G8" s="4">
        <v>614</v>
      </c>
      <c r="H8" t="s">
        <v>189</v>
      </c>
      <c r="I8" t="s">
        <v>6</v>
      </c>
      <c r="J8" s="4">
        <v>293</v>
      </c>
      <c r="K8" t="s">
        <v>196</v>
      </c>
      <c r="L8" t="s">
        <v>6</v>
      </c>
      <c r="M8" s="4">
        <v>57.5</v>
      </c>
      <c r="N8" s="4"/>
      <c r="P8" s="7">
        <f>+M8/G8</f>
        <v>9.3648208469055375E-2</v>
      </c>
      <c r="R8" t="s">
        <v>104</v>
      </c>
      <c r="S8" s="1" t="s">
        <v>106</v>
      </c>
      <c r="T8" t="s">
        <v>220</v>
      </c>
    </row>
    <row r="9" spans="2:20" x14ac:dyDescent="0.25">
      <c r="B9" t="s">
        <v>178</v>
      </c>
      <c r="C9" t="s">
        <v>8</v>
      </c>
      <c r="D9" s="5">
        <v>89.9</v>
      </c>
      <c r="E9" t="s">
        <v>184</v>
      </c>
      <c r="F9" t="s">
        <v>8</v>
      </c>
      <c r="G9" s="5">
        <v>71.900000000000006</v>
      </c>
      <c r="H9" t="s">
        <v>190</v>
      </c>
      <c r="I9" t="s">
        <v>8</v>
      </c>
      <c r="J9" s="5">
        <v>63.6</v>
      </c>
      <c r="K9" t="s">
        <v>197</v>
      </c>
      <c r="L9" t="s">
        <v>8</v>
      </c>
      <c r="M9" s="4">
        <v>1.37</v>
      </c>
      <c r="N9" s="4"/>
      <c r="O9" t="s">
        <v>209</v>
      </c>
      <c r="P9" s="7">
        <f>D9/D8</f>
        <v>7.817391304347826E-2</v>
      </c>
      <c r="Q9">
        <v>3</v>
      </c>
      <c r="R9" t="s">
        <v>58</v>
      </c>
      <c r="S9" s="1" t="s">
        <v>60</v>
      </c>
      <c r="T9" t="s">
        <v>67</v>
      </c>
    </row>
    <row r="10" spans="2:20" x14ac:dyDescent="0.25">
      <c r="D10" s="4"/>
      <c r="G10" s="4"/>
      <c r="H10" t="s">
        <v>191</v>
      </c>
      <c r="I10" t="s">
        <v>9</v>
      </c>
      <c r="J10" s="5">
        <v>59.6</v>
      </c>
      <c r="K10" t="s">
        <v>198</v>
      </c>
      <c r="L10" t="s">
        <v>9</v>
      </c>
      <c r="M10" s="4">
        <v>0.38</v>
      </c>
      <c r="N10" s="4"/>
      <c r="P10" s="7">
        <f>+D11/D8</f>
        <v>1.7452173913043479E-2</v>
      </c>
      <c r="Q10">
        <v>4</v>
      </c>
      <c r="R10" t="s">
        <v>59</v>
      </c>
      <c r="S10" s="1" t="s">
        <v>61</v>
      </c>
      <c r="T10" t="s">
        <v>68</v>
      </c>
    </row>
    <row r="11" spans="2:20" x14ac:dyDescent="0.25">
      <c r="B11" t="s">
        <v>179</v>
      </c>
      <c r="C11" t="s">
        <v>10</v>
      </c>
      <c r="D11" s="6">
        <v>20.07</v>
      </c>
      <c r="E11" t="s">
        <v>185</v>
      </c>
      <c r="F11" t="s">
        <v>10</v>
      </c>
      <c r="G11" s="6">
        <v>16.440000000000001</v>
      </c>
      <c r="H11" t="s">
        <v>192</v>
      </c>
      <c r="I11" t="s">
        <v>10</v>
      </c>
      <c r="J11" s="6">
        <v>15.04</v>
      </c>
      <c r="K11" t="s">
        <v>199</v>
      </c>
      <c r="L11" t="s">
        <v>10</v>
      </c>
      <c r="M11" s="6">
        <v>14.17</v>
      </c>
      <c r="N11" s="6"/>
      <c r="P11" s="7">
        <f>J10/D9</f>
        <v>0.66295884315906561</v>
      </c>
      <c r="R11" t="s">
        <v>62</v>
      </c>
      <c r="S11" s="1" t="s">
        <v>63</v>
      </c>
      <c r="T11" t="s">
        <v>69</v>
      </c>
    </row>
    <row r="12" spans="2:20" x14ac:dyDescent="0.25">
      <c r="D12" s="4"/>
      <c r="G12" s="4"/>
      <c r="H12" t="s">
        <v>193</v>
      </c>
      <c r="I12" t="s">
        <v>11</v>
      </c>
      <c r="J12" s="6">
        <v>14.15</v>
      </c>
      <c r="K12" t="s">
        <v>200</v>
      </c>
      <c r="L12" t="s">
        <v>11</v>
      </c>
      <c r="M12" s="6">
        <v>14.17</v>
      </c>
      <c r="N12" s="6"/>
      <c r="P12" s="7">
        <f>J12/D11</f>
        <v>0.7050323866467364</v>
      </c>
      <c r="Q12">
        <v>5</v>
      </c>
      <c r="R12" t="s">
        <v>65</v>
      </c>
      <c r="S12" s="1" t="s">
        <v>66</v>
      </c>
      <c r="T12" t="s">
        <v>70</v>
      </c>
    </row>
    <row r="13" spans="2:20" x14ac:dyDescent="0.25">
      <c r="B13" t="s">
        <v>180</v>
      </c>
      <c r="C13" t="s">
        <v>12</v>
      </c>
      <c r="D13" s="5">
        <v>383.1</v>
      </c>
      <c r="E13" t="s">
        <v>186</v>
      </c>
      <c r="F13" t="s">
        <v>12</v>
      </c>
      <c r="G13" s="5">
        <v>205</v>
      </c>
      <c r="H13" t="s">
        <v>194</v>
      </c>
      <c r="I13" t="s">
        <v>12</v>
      </c>
      <c r="J13" s="5">
        <v>99.5</v>
      </c>
      <c r="K13" t="s">
        <v>201</v>
      </c>
      <c r="L13" t="s">
        <v>12</v>
      </c>
      <c r="M13" s="5">
        <v>19.2</v>
      </c>
      <c r="N13" s="5"/>
      <c r="O13" t="s">
        <v>209</v>
      </c>
      <c r="P13" s="7">
        <f>(J8-M8)/(D8-P5*D8-M8)</f>
        <v>0.24973488865323437</v>
      </c>
      <c r="Q13">
        <v>6</v>
      </c>
      <c r="R13" t="s">
        <v>71</v>
      </c>
      <c r="S13" s="1" t="s">
        <v>86</v>
      </c>
      <c r="T13" t="s">
        <v>222</v>
      </c>
    </row>
    <row r="14" spans="2:20" x14ac:dyDescent="0.25">
      <c r="D14" s="4"/>
      <c r="G14" s="4"/>
      <c r="H14" t="s">
        <v>195</v>
      </c>
      <c r="I14" t="s">
        <v>13</v>
      </c>
      <c r="J14" s="4">
        <v>50</v>
      </c>
      <c r="P14" s="7">
        <f>G9/G8</f>
        <v>0.11710097719869708</v>
      </c>
      <c r="R14" t="s">
        <v>202</v>
      </c>
      <c r="S14" s="1" t="s">
        <v>60</v>
      </c>
      <c r="T14" t="s">
        <v>223</v>
      </c>
    </row>
    <row r="15" spans="2:20" x14ac:dyDescent="0.25">
      <c r="B15" t="s">
        <v>181</v>
      </c>
      <c r="C15" t="s">
        <v>14</v>
      </c>
      <c r="D15" s="4">
        <v>665.2</v>
      </c>
      <c r="E15" t="s">
        <v>187</v>
      </c>
      <c r="F15" t="s">
        <v>14</v>
      </c>
      <c r="G15" s="4">
        <v>245.5</v>
      </c>
      <c r="P15" s="7">
        <f>G11/G8</f>
        <v>2.6775244299674268E-2</v>
      </c>
      <c r="R15" t="s">
        <v>203</v>
      </c>
      <c r="S15" s="1" t="s">
        <v>61</v>
      </c>
      <c r="T15" t="s">
        <v>68</v>
      </c>
    </row>
    <row r="16" spans="2:20" x14ac:dyDescent="0.25">
      <c r="B16" t="s">
        <v>182</v>
      </c>
      <c r="C16" t="s">
        <v>15</v>
      </c>
      <c r="D16" s="5">
        <v>99.83</v>
      </c>
      <c r="E16" t="s">
        <v>188</v>
      </c>
      <c r="F16" t="s">
        <v>16</v>
      </c>
      <c r="G16" s="5">
        <v>34.270000000000003</v>
      </c>
      <c r="P16" s="7">
        <f>J10/G9</f>
        <v>0.82892906815020861</v>
      </c>
      <c r="R16" t="s">
        <v>64</v>
      </c>
      <c r="S16" s="1" t="s">
        <v>63</v>
      </c>
      <c r="T16" t="s">
        <v>69</v>
      </c>
    </row>
    <row r="17" spans="1:20" x14ac:dyDescent="0.25">
      <c r="P17" s="7">
        <f>J12/G11</f>
        <v>0.86070559610705588</v>
      </c>
      <c r="R17" t="s">
        <v>204</v>
      </c>
      <c r="S17" s="1" t="s">
        <v>66</v>
      </c>
      <c r="T17" t="s">
        <v>70</v>
      </c>
    </row>
    <row r="18" spans="1:20" x14ac:dyDescent="0.25">
      <c r="C18" t="s">
        <v>224</v>
      </c>
      <c r="P18" s="7">
        <f>(J8-M8)/(G8-P6*G8-M8)</f>
        <v>0.43886915996529297</v>
      </c>
      <c r="R18" t="s">
        <v>84</v>
      </c>
      <c r="S18" s="1" t="s">
        <v>85</v>
      </c>
      <c r="T18" t="s">
        <v>221</v>
      </c>
    </row>
    <row r="19" spans="1:20" x14ac:dyDescent="0.25">
      <c r="C19" t="s">
        <v>18</v>
      </c>
      <c r="O19" t="s">
        <v>209</v>
      </c>
      <c r="P19" s="7">
        <f>J14/(J8-M8)</f>
        <v>0.21231422505307856</v>
      </c>
      <c r="Q19">
        <v>7</v>
      </c>
      <c r="R19" t="s">
        <v>205</v>
      </c>
      <c r="S19" s="1" t="s">
        <v>72</v>
      </c>
      <c r="T19" t="s">
        <v>73</v>
      </c>
    </row>
    <row r="20" spans="1:20" x14ac:dyDescent="0.25">
      <c r="C20" t="s">
        <v>13</v>
      </c>
      <c r="D20" t="s">
        <v>47</v>
      </c>
      <c r="F20" t="s">
        <v>23</v>
      </c>
      <c r="G20" t="s">
        <v>49</v>
      </c>
      <c r="I20" t="s">
        <v>24</v>
      </c>
      <c r="J20" t="s">
        <v>49</v>
      </c>
      <c r="L20" t="s">
        <v>25</v>
      </c>
      <c r="M20" s="14" t="s">
        <v>49</v>
      </c>
      <c r="N20" s="14"/>
      <c r="O20" t="s">
        <v>26</v>
      </c>
      <c r="P20" s="11"/>
    </row>
    <row r="21" spans="1:20" x14ac:dyDescent="0.25">
      <c r="A21" t="s">
        <v>19</v>
      </c>
      <c r="C21" s="17" t="s">
        <v>27</v>
      </c>
      <c r="D21" s="8">
        <v>1.0669999999999999</v>
      </c>
      <c r="E21" s="11" t="s">
        <v>175</v>
      </c>
      <c r="F21" s="11" t="s">
        <v>31</v>
      </c>
      <c r="G21" s="9">
        <v>1.42</v>
      </c>
      <c r="H21" s="11" t="s">
        <v>176</v>
      </c>
      <c r="I21" s="11" t="s">
        <v>35</v>
      </c>
      <c r="J21" s="9">
        <v>1.4930000000000001</v>
      </c>
      <c r="L21" s="16" t="s">
        <v>43</v>
      </c>
      <c r="M21" s="15">
        <f>((1-P5)*D8-(1-P6)*G8)/((D15-D16)-(G15-G16)-(P5*D8-P6*G8)/P21)</f>
        <v>1.5242013625883679</v>
      </c>
      <c r="N21" s="11" t="s">
        <v>171</v>
      </c>
      <c r="O21" s="11" t="s">
        <v>39</v>
      </c>
      <c r="P21" s="9">
        <v>1.4810000000000001</v>
      </c>
    </row>
    <row r="22" spans="1:20" x14ac:dyDescent="0.25">
      <c r="A22" t="s">
        <v>20</v>
      </c>
      <c r="C22" s="17" t="s">
        <v>28</v>
      </c>
      <c r="D22" s="8">
        <v>0.4</v>
      </c>
      <c r="F22" s="16" t="s">
        <v>32</v>
      </c>
      <c r="G22" s="15">
        <f>(J13-D22/D21*J14-M13)/((J8-M8-J14)/G21)</f>
        <v>0.47120925990951279</v>
      </c>
      <c r="I22" s="16" t="s">
        <v>36</v>
      </c>
      <c r="J22" s="15">
        <f>M13/(M8/J21)</f>
        <v>0.4985321739130435</v>
      </c>
      <c r="L22" s="16" t="s">
        <v>44</v>
      </c>
      <c r="M22" s="15">
        <f>(D13-G13-P22/P21*(P5*D8-P6*G8))/((D15-D16)-(G15-G16)-(P5*D8-P6*G8)/P21)</f>
        <v>0.49795508623565737</v>
      </c>
      <c r="N22" s="11" t="s">
        <v>172</v>
      </c>
      <c r="O22" s="11" t="s">
        <v>40</v>
      </c>
      <c r="P22" s="9">
        <v>0.51800000000000002</v>
      </c>
    </row>
    <row r="23" spans="1:20" x14ac:dyDescent="0.25">
      <c r="A23" t="s">
        <v>21</v>
      </c>
      <c r="C23" s="17" t="s">
        <v>29</v>
      </c>
      <c r="D23" s="8">
        <v>0</v>
      </c>
      <c r="F23" s="16" t="s">
        <v>33</v>
      </c>
      <c r="G23" s="15">
        <f>(J9-J10-(M9-M10))/((J8-M8-J14)/G21)</f>
        <v>2.3041509433962264E-2</v>
      </c>
      <c r="I23" s="16" t="s">
        <v>37</v>
      </c>
      <c r="J23" s="15">
        <f>(M9-M10)/(M8/J21)</f>
        <v>2.5705565217391309E-2</v>
      </c>
      <c r="L23" s="16" t="s">
        <v>45</v>
      </c>
      <c r="M23" s="15">
        <f>(D9-G9-P23/P21*(P5*D8-P6*G8))/((D15-D16)-(G15-G16)-(P5*D8-P6*G8)/P21)</f>
        <v>3.4687843194100891E-2</v>
      </c>
      <c r="N23" s="11" t="s">
        <v>173</v>
      </c>
      <c r="O23" s="11" t="s">
        <v>41</v>
      </c>
      <c r="P23" s="9">
        <v>0.1</v>
      </c>
    </row>
    <row r="24" spans="1:20" x14ac:dyDescent="0.25">
      <c r="A24" t="s">
        <v>22</v>
      </c>
      <c r="C24" s="17" t="s">
        <v>30</v>
      </c>
      <c r="D24" s="8">
        <v>0</v>
      </c>
      <c r="F24" s="16" t="s">
        <v>34</v>
      </c>
      <c r="G24" s="15">
        <f>(J11-J12-(M11-M12))/((J8-M8-J14)/G21)</f>
        <v>6.812938005390826E-3</v>
      </c>
      <c r="I24" s="16" t="s">
        <v>38</v>
      </c>
      <c r="J24" s="15">
        <f>(M11-M12)/(M8/J21)</f>
        <v>0</v>
      </c>
      <c r="L24" s="16" t="s">
        <v>46</v>
      </c>
      <c r="M24" s="15">
        <f>(D11-G11-P24/P21*(P5*D8-P6*G8))/((D15-D16)-(G15-G16)-(P5*D8-P6*G8)/P21)</f>
        <v>5.4089783464101272E-3</v>
      </c>
      <c r="N24" s="11" t="s">
        <v>174</v>
      </c>
      <c r="O24" s="11" t="s">
        <v>42</v>
      </c>
      <c r="P24" s="9">
        <v>2.5000000000000001E-2</v>
      </c>
    </row>
    <row r="25" spans="1:20" x14ac:dyDescent="0.25">
      <c r="C25" s="17" t="s">
        <v>47</v>
      </c>
      <c r="F25" s="18" t="s">
        <v>48</v>
      </c>
      <c r="I25" s="18" t="s">
        <v>49</v>
      </c>
      <c r="L25" s="18" t="s">
        <v>49</v>
      </c>
      <c r="O25" s="11" t="s">
        <v>50</v>
      </c>
      <c r="P25" s="9"/>
      <c r="T25" t="s">
        <v>76</v>
      </c>
    </row>
    <row r="26" spans="1:20" x14ac:dyDescent="0.25">
      <c r="K26" t="s">
        <v>51</v>
      </c>
      <c r="L26" t="s">
        <v>52</v>
      </c>
      <c r="M26" t="s">
        <v>51</v>
      </c>
      <c r="O26" s="19" t="s">
        <v>209</v>
      </c>
      <c r="P26" s="7">
        <f>((1-P5)*D8-(1-P6)*G8)/((1-P5)*D8-J8)</f>
        <v>0.57440791519434631</v>
      </c>
      <c r="Q26">
        <v>8</v>
      </c>
      <c r="R26" t="s">
        <v>74</v>
      </c>
      <c r="S26" s="1" t="s">
        <v>206</v>
      </c>
      <c r="T26" t="s">
        <v>77</v>
      </c>
    </row>
    <row r="27" spans="1:20" x14ac:dyDescent="0.25">
      <c r="L27" t="s">
        <v>53</v>
      </c>
      <c r="O27" s="19" t="s">
        <v>209</v>
      </c>
      <c r="P27" s="7">
        <f>(P5*D8-P6*G8)/(P5*D8)</f>
        <v>0.866932441471572</v>
      </c>
      <c r="Q27">
        <v>9</v>
      </c>
      <c r="R27" t="s">
        <v>75</v>
      </c>
      <c r="S27" s="1" t="s">
        <v>90</v>
      </c>
      <c r="T27" t="s">
        <v>79</v>
      </c>
    </row>
    <row r="28" spans="1:20" x14ac:dyDescent="0.25">
      <c r="L28" t="s">
        <v>212</v>
      </c>
      <c r="O28" s="11" t="s">
        <v>209</v>
      </c>
      <c r="P28" s="7">
        <f>(D16-G16)/D16</f>
        <v>0.65671641791044777</v>
      </c>
      <c r="Q28">
        <v>10</v>
      </c>
      <c r="R28" t="s">
        <v>78</v>
      </c>
      <c r="S28" s="1" t="s">
        <v>89</v>
      </c>
      <c r="T28" t="s">
        <v>82</v>
      </c>
    </row>
    <row r="29" spans="1:20" x14ac:dyDescent="0.25">
      <c r="L29" t="s">
        <v>213</v>
      </c>
      <c r="O29" t="s">
        <v>209</v>
      </c>
      <c r="P29" s="7">
        <f>+D16/D8</f>
        <v>8.6808695652173917E-2</v>
      </c>
      <c r="Q29">
        <v>11</v>
      </c>
      <c r="R29" t="s">
        <v>80</v>
      </c>
      <c r="S29" s="1" t="s">
        <v>88</v>
      </c>
      <c r="T29" t="s">
        <v>83</v>
      </c>
    </row>
    <row r="30" spans="1:20" x14ac:dyDescent="0.25">
      <c r="P30" s="7">
        <f>+G16/G8</f>
        <v>5.5814332247557011E-2</v>
      </c>
      <c r="R30" t="s">
        <v>81</v>
      </c>
      <c r="S30" s="1" t="s">
        <v>87</v>
      </c>
    </row>
    <row r="31" spans="1:20" x14ac:dyDescent="0.25">
      <c r="C31" t="s">
        <v>207</v>
      </c>
      <c r="I31" t="s">
        <v>208</v>
      </c>
      <c r="P31" s="7"/>
    </row>
    <row r="32" spans="1:20" x14ac:dyDescent="0.25">
      <c r="C32" t="s">
        <v>6</v>
      </c>
      <c r="D32" t="s">
        <v>92</v>
      </c>
      <c r="I32" t="s">
        <v>6</v>
      </c>
      <c r="J32" t="s">
        <v>92</v>
      </c>
      <c r="P32" s="7"/>
    </row>
    <row r="33" spans="3:20" x14ac:dyDescent="0.25">
      <c r="C33" t="s">
        <v>148</v>
      </c>
      <c r="D33" s="4">
        <f>+D8</f>
        <v>1150</v>
      </c>
      <c r="I33" t="s">
        <v>148</v>
      </c>
      <c r="J33" s="4">
        <v>1150</v>
      </c>
      <c r="P33" s="7"/>
    </row>
    <row r="34" spans="3:20" x14ac:dyDescent="0.25">
      <c r="C34" t="s">
        <v>149</v>
      </c>
      <c r="D34" s="4">
        <f>+G8</f>
        <v>614</v>
      </c>
      <c r="I34" t="s">
        <v>149</v>
      </c>
      <c r="J34" s="20">
        <f>I36+J36+L36+J39+L39</f>
        <v>614</v>
      </c>
      <c r="P34" s="7"/>
      <c r="S34" s="1"/>
    </row>
    <row r="35" spans="3:20" x14ac:dyDescent="0.25">
      <c r="C35" t="s">
        <v>94</v>
      </c>
      <c r="D35" t="s">
        <v>95</v>
      </c>
      <c r="F35" t="s">
        <v>96</v>
      </c>
      <c r="G35" t="s">
        <v>5</v>
      </c>
      <c r="I35" t="s">
        <v>94</v>
      </c>
      <c r="J35" t="s">
        <v>95</v>
      </c>
      <c r="L35" t="s">
        <v>96</v>
      </c>
      <c r="M35" t="s">
        <v>5</v>
      </c>
      <c r="P35" s="7"/>
    </row>
    <row r="36" spans="3:20" x14ac:dyDescent="0.25">
      <c r="C36" s="4">
        <f>+J14</f>
        <v>50</v>
      </c>
      <c r="D36" s="2">
        <f>+G36-F36-C36</f>
        <v>185.5</v>
      </c>
      <c r="F36" s="4">
        <f>+M8</f>
        <v>57.5</v>
      </c>
      <c r="G36" s="4">
        <f>+J8</f>
        <v>293</v>
      </c>
      <c r="I36" s="20">
        <f>J33*(1-P5-P7)*P13*(P19)</f>
        <v>50</v>
      </c>
      <c r="J36" s="20">
        <f>J33*(1-P5-P7)*P13*(1-P19)</f>
        <v>185.5</v>
      </c>
      <c r="L36" s="19">
        <f>J33*P7</f>
        <v>57.5</v>
      </c>
      <c r="M36" s="19"/>
      <c r="P36" s="7"/>
    </row>
    <row r="37" spans="3:20" x14ac:dyDescent="0.25">
      <c r="C37" t="s">
        <v>151</v>
      </c>
      <c r="I37" t="s">
        <v>151</v>
      </c>
    </row>
    <row r="38" spans="3:20" x14ac:dyDescent="0.25">
      <c r="D38" t="s">
        <v>97</v>
      </c>
      <c r="F38" t="s">
        <v>98</v>
      </c>
      <c r="G38" t="s">
        <v>53</v>
      </c>
      <c r="J38" t="s">
        <v>97</v>
      </c>
      <c r="L38" t="s">
        <v>98</v>
      </c>
      <c r="M38" t="s">
        <v>53</v>
      </c>
    </row>
    <row r="39" spans="3:20" x14ac:dyDescent="0.25">
      <c r="C39" t="s">
        <v>6</v>
      </c>
      <c r="D39" s="2">
        <f>+G39-F39</f>
        <v>301.10640000000001</v>
      </c>
      <c r="F39" s="2">
        <f>+D34*P6</f>
        <v>19.893599999999999</v>
      </c>
      <c r="G39">
        <f>+D34-G36</f>
        <v>321</v>
      </c>
      <c r="I39" t="s">
        <v>6</v>
      </c>
      <c r="J39" s="2">
        <f>J33*(1-P5-P7)*(1-P13)*(1-P26)</f>
        <v>301.10640000000001</v>
      </c>
      <c r="L39" s="2">
        <f>J33*P5*(1-P27)</f>
        <v>19.893599999999985</v>
      </c>
    </row>
    <row r="40" spans="3:20" x14ac:dyDescent="0.25">
      <c r="C40" t="s">
        <v>16</v>
      </c>
      <c r="D40" s="2">
        <f>+G40-F40</f>
        <v>197.79745442268737</v>
      </c>
      <c r="F40" s="2">
        <f>+F39/P21</f>
        <v>13.432545577312625</v>
      </c>
      <c r="G40" s="2">
        <f>+G15-G16</f>
        <v>211.23</v>
      </c>
      <c r="I40" t="s">
        <v>16</v>
      </c>
      <c r="J40" s="2">
        <f>J39/M21</f>
        <v>197.55027609256771</v>
      </c>
      <c r="L40" s="2">
        <f>L39/P21</f>
        <v>13.432545577312617</v>
      </c>
      <c r="M40" s="2"/>
      <c r="O40" t="s">
        <v>133</v>
      </c>
      <c r="R40" t="s">
        <v>215</v>
      </c>
    </row>
    <row r="41" spans="3:20" x14ac:dyDescent="0.25">
      <c r="D41" t="s">
        <v>99</v>
      </c>
      <c r="F41" t="s">
        <v>100</v>
      </c>
      <c r="G41" t="s">
        <v>93</v>
      </c>
      <c r="J41" t="s">
        <v>99</v>
      </c>
      <c r="L41" t="s">
        <v>100</v>
      </c>
      <c r="M41" t="s">
        <v>93</v>
      </c>
      <c r="O41">
        <f>+M8</f>
        <v>57.5</v>
      </c>
      <c r="Q41">
        <v>1</v>
      </c>
      <c r="R41" t="s">
        <v>101</v>
      </c>
    </row>
    <row r="42" spans="3:20" x14ac:dyDescent="0.25">
      <c r="C42" t="s">
        <v>6</v>
      </c>
      <c r="D42" s="2">
        <f>+G42-F42</f>
        <v>406.39359999999999</v>
      </c>
      <c r="F42" s="2">
        <f>+D33*P5-F39</f>
        <v>129.60640000000001</v>
      </c>
      <c r="G42">
        <f>+D33-D34</f>
        <v>536</v>
      </c>
      <c r="I42" t="s">
        <v>6</v>
      </c>
      <c r="J42" s="2">
        <f>J33*(1-P5-P7)*(1-P13)*(P26)</f>
        <v>406.39359999999999</v>
      </c>
      <c r="L42" s="2">
        <f>J33*P5*(P27)</f>
        <v>129.60640000000001</v>
      </c>
      <c r="O42">
        <f>+M8</f>
        <v>57.5</v>
      </c>
      <c r="Q42">
        <v>2</v>
      </c>
      <c r="R42" t="s">
        <v>102</v>
      </c>
    </row>
    <row r="43" spans="3:20" x14ac:dyDescent="0.25">
      <c r="C43" t="s">
        <v>16</v>
      </c>
      <c r="D43" s="2">
        <f>+G43-F43</f>
        <v>266.62723835246453</v>
      </c>
      <c r="F43" s="2">
        <f>+F42/P21</f>
        <v>87.512761647535456</v>
      </c>
      <c r="G43" s="2">
        <f>+D15-D16-G40</f>
        <v>354.14</v>
      </c>
      <c r="I43" t="s">
        <v>16</v>
      </c>
      <c r="J43" s="2">
        <f>J42/M21</f>
        <v>266.62723835246453</v>
      </c>
      <c r="L43" s="2">
        <f>L42/P21</f>
        <v>87.512761647535456</v>
      </c>
      <c r="M43" s="2"/>
      <c r="O43">
        <f>+J8-M8-J14</f>
        <v>185.5</v>
      </c>
      <c r="Q43">
        <v>3</v>
      </c>
      <c r="R43" t="s">
        <v>107</v>
      </c>
      <c r="S43" s="1" t="s">
        <v>108</v>
      </c>
      <c r="T43" t="s">
        <v>109</v>
      </c>
    </row>
    <row r="44" spans="3:20" x14ac:dyDescent="0.25">
      <c r="C44" t="s">
        <v>150</v>
      </c>
      <c r="D44" s="7">
        <f>+D39/D40</f>
        <v>1.5222966386440164</v>
      </c>
      <c r="I44" t="s">
        <v>150</v>
      </c>
      <c r="J44" s="7"/>
      <c r="L44" t="s">
        <v>210</v>
      </c>
      <c r="M44" s="2">
        <f>+J40+L40+J43+L43</f>
        <v>565.1228216698803</v>
      </c>
      <c r="O44">
        <f>J8-M8</f>
        <v>235.5</v>
      </c>
      <c r="Q44">
        <v>4</v>
      </c>
      <c r="R44" t="s">
        <v>110</v>
      </c>
      <c r="S44" s="1" t="s">
        <v>111</v>
      </c>
      <c r="T44" t="s">
        <v>112</v>
      </c>
    </row>
    <row r="45" spans="3:20" x14ac:dyDescent="0.25">
      <c r="C45" t="s">
        <v>150</v>
      </c>
      <c r="D45" s="7">
        <f>+D42/D43</f>
        <v>1.5242013625883679</v>
      </c>
      <c r="I45" t="s">
        <v>150</v>
      </c>
      <c r="J45" s="7"/>
      <c r="L45" t="s">
        <v>211</v>
      </c>
      <c r="M45">
        <f>+J33*P29</f>
        <v>99.83</v>
      </c>
      <c r="O45" s="2">
        <f>P5*D8</f>
        <v>149.5</v>
      </c>
      <c r="P45" t="s">
        <v>117</v>
      </c>
      <c r="Q45">
        <v>5</v>
      </c>
      <c r="R45" t="s">
        <v>115</v>
      </c>
      <c r="S45" s="1" t="s">
        <v>113</v>
      </c>
      <c r="T45" t="s">
        <v>121</v>
      </c>
    </row>
    <row r="46" spans="3:20" x14ac:dyDescent="0.25">
      <c r="O46" s="2">
        <f>P6*G8</f>
        <v>19.893599999999999</v>
      </c>
      <c r="P46" t="s">
        <v>118</v>
      </c>
      <c r="Q46">
        <v>6</v>
      </c>
      <c r="R46" t="s">
        <v>114</v>
      </c>
      <c r="S46" s="1" t="s">
        <v>116</v>
      </c>
      <c r="T46" t="s">
        <v>122</v>
      </c>
    </row>
    <row r="47" spans="3:20" x14ac:dyDescent="0.25">
      <c r="C47" t="s">
        <v>91</v>
      </c>
      <c r="I47" t="s">
        <v>91</v>
      </c>
      <c r="O47" s="2">
        <f>P5*D8-P6*G8</f>
        <v>129.60640000000001</v>
      </c>
      <c r="P47" t="s">
        <v>119</v>
      </c>
      <c r="Q47">
        <v>7</v>
      </c>
      <c r="R47" t="s">
        <v>154</v>
      </c>
      <c r="S47" s="1" t="s">
        <v>120</v>
      </c>
      <c r="T47" t="s">
        <v>123</v>
      </c>
    </row>
    <row r="48" spans="3:20" x14ac:dyDescent="0.25">
      <c r="C48" t="s">
        <v>8</v>
      </c>
      <c r="D48" t="s">
        <v>92</v>
      </c>
      <c r="I48" t="s">
        <v>8</v>
      </c>
      <c r="J48" t="s">
        <v>92</v>
      </c>
      <c r="O48" s="10">
        <f>(P5*D8-P6*G8)/(P5*D8)</f>
        <v>0.866932441471572</v>
      </c>
      <c r="Q48">
        <v>8</v>
      </c>
      <c r="R48" t="s">
        <v>153</v>
      </c>
      <c r="T48" t="s">
        <v>134</v>
      </c>
    </row>
    <row r="49" spans="3:20" x14ac:dyDescent="0.25">
      <c r="C49" t="s">
        <v>148</v>
      </c>
      <c r="D49" s="5">
        <f>+D9</f>
        <v>89.9</v>
      </c>
      <c r="I49" t="s">
        <v>148</v>
      </c>
      <c r="J49" s="20">
        <f>+J33*P9</f>
        <v>89.9</v>
      </c>
      <c r="O49" s="2">
        <f>D8-J8-D8*P5</f>
        <v>707.5</v>
      </c>
      <c r="P49" t="s">
        <v>124</v>
      </c>
      <c r="Q49">
        <v>9</v>
      </c>
      <c r="R49" t="s">
        <v>132</v>
      </c>
      <c r="T49" t="s">
        <v>125</v>
      </c>
    </row>
    <row r="50" spans="3:20" x14ac:dyDescent="0.25">
      <c r="C50" t="s">
        <v>149</v>
      </c>
      <c r="D50" s="5">
        <f>+G9</f>
        <v>71.900000000000006</v>
      </c>
      <c r="I50" t="s">
        <v>149</v>
      </c>
      <c r="J50" s="20">
        <f>I52+J52+L52+J55+L55</f>
        <v>71.795847557781585</v>
      </c>
      <c r="O50" s="2">
        <f>G8-J8-G8*P6</f>
        <v>301.10640000000001</v>
      </c>
      <c r="P50" t="s">
        <v>127</v>
      </c>
      <c r="Q50">
        <v>10</v>
      </c>
      <c r="R50" t="s">
        <v>129</v>
      </c>
      <c r="T50" t="s">
        <v>126</v>
      </c>
    </row>
    <row r="51" spans="3:20" x14ac:dyDescent="0.25">
      <c r="C51" t="s">
        <v>9</v>
      </c>
      <c r="D51" t="s">
        <v>95</v>
      </c>
      <c r="F51" t="s">
        <v>96</v>
      </c>
      <c r="G51" t="s">
        <v>5</v>
      </c>
      <c r="I51" t="s">
        <v>9</v>
      </c>
      <c r="J51" t="s">
        <v>95</v>
      </c>
      <c r="L51" t="s">
        <v>96</v>
      </c>
      <c r="M51" t="s">
        <v>5</v>
      </c>
      <c r="O51" s="2">
        <f>(D8-G8)-(D8*P5-G8*P6)</f>
        <v>406.39359999999999</v>
      </c>
      <c r="P51" t="s">
        <v>131</v>
      </c>
      <c r="Q51">
        <v>11</v>
      </c>
      <c r="R51" t="s">
        <v>155</v>
      </c>
      <c r="T51" t="s">
        <v>130</v>
      </c>
    </row>
    <row r="52" spans="3:20" x14ac:dyDescent="0.25">
      <c r="C52" s="5">
        <f>+J10</f>
        <v>59.6</v>
      </c>
      <c r="D52" s="2">
        <f>+G52-F52-C52</f>
        <v>3.009999999999998</v>
      </c>
      <c r="F52" s="13">
        <f>+M9-M10</f>
        <v>0.9900000000000001</v>
      </c>
      <c r="G52" s="5">
        <f>+J9</f>
        <v>63.6</v>
      </c>
      <c r="I52" s="20">
        <f>J33*P11*P9</f>
        <v>59.6</v>
      </c>
      <c r="J52" s="2">
        <f>(J33*(1-P5-P7)*P13*(1-P19))*G23/G21</f>
        <v>3.01</v>
      </c>
      <c r="L52" s="13">
        <f>+L36/J21*J23</f>
        <v>0.9900000000000001</v>
      </c>
      <c r="M52" s="20"/>
      <c r="O52" s="10">
        <f>((D8-G8)-(D8*P5-G8*P6))/(D8-J8-D8*P5)</f>
        <v>0.57440791519434631</v>
      </c>
      <c r="Q52">
        <v>12</v>
      </c>
      <c r="R52" t="s">
        <v>156</v>
      </c>
      <c r="T52" t="s">
        <v>134</v>
      </c>
    </row>
    <row r="53" spans="3:20" x14ac:dyDescent="0.25">
      <c r="O53" s="2">
        <f>+D16</f>
        <v>99.83</v>
      </c>
      <c r="Q53">
        <v>13</v>
      </c>
      <c r="R53" t="s">
        <v>138</v>
      </c>
      <c r="T53" t="s">
        <v>135</v>
      </c>
    </row>
    <row r="54" spans="3:20" x14ac:dyDescent="0.25">
      <c r="D54" t="s">
        <v>97</v>
      </c>
      <c r="F54" t="s">
        <v>98</v>
      </c>
      <c r="G54" t="s">
        <v>53</v>
      </c>
      <c r="J54" t="s">
        <v>97</v>
      </c>
      <c r="L54" t="s">
        <v>98</v>
      </c>
      <c r="M54" t="s">
        <v>53</v>
      </c>
      <c r="O54" s="2">
        <f>+G16</f>
        <v>34.270000000000003</v>
      </c>
      <c r="Q54">
        <v>14</v>
      </c>
      <c r="R54" t="s">
        <v>137</v>
      </c>
      <c r="T54" t="s">
        <v>136</v>
      </c>
    </row>
    <row r="55" spans="3:20" x14ac:dyDescent="0.25">
      <c r="C55" t="s">
        <v>152</v>
      </c>
      <c r="D55" s="2">
        <f>+G55-F55</f>
        <v>6.9567454422687414</v>
      </c>
      <c r="F55" s="2">
        <f>F40*P23</f>
        <v>1.3432545577312627</v>
      </c>
      <c r="G55" s="2">
        <f>+D50-G52</f>
        <v>8.3000000000000043</v>
      </c>
      <c r="I55" t="s">
        <v>152</v>
      </c>
      <c r="J55" s="2">
        <f>(J33*(1-P5-P7)*(1-P13)*(1-P26))*M23/M21</f>
        <v>6.8525930000503266</v>
      </c>
      <c r="L55" s="2">
        <f>(J33*P5*(1-P27))*P23/P21</f>
        <v>1.3432545577312618</v>
      </c>
      <c r="M55" s="2"/>
      <c r="O55" s="2">
        <f>D15-D16</f>
        <v>565.37</v>
      </c>
      <c r="Q55">
        <v>15</v>
      </c>
      <c r="R55" t="s">
        <v>139</v>
      </c>
      <c r="S55" s="1" t="s">
        <v>141</v>
      </c>
      <c r="T55" t="s">
        <v>143</v>
      </c>
    </row>
    <row r="56" spans="3:20" x14ac:dyDescent="0.25">
      <c r="C56" t="s">
        <v>16</v>
      </c>
      <c r="D56" s="2">
        <f>+G56-F56</f>
        <v>197.79745442268737</v>
      </c>
      <c r="F56" s="2">
        <f>+F40</f>
        <v>13.432545577312625</v>
      </c>
      <c r="G56" s="2">
        <f>+G15-G16</f>
        <v>211.23</v>
      </c>
      <c r="I56" t="s">
        <v>16</v>
      </c>
      <c r="J56" s="2"/>
      <c r="L56" s="2"/>
      <c r="M56" s="2"/>
      <c r="O56" s="2">
        <f>G15-G16</f>
        <v>211.23</v>
      </c>
      <c r="Q56">
        <v>16</v>
      </c>
      <c r="R56" t="s">
        <v>140</v>
      </c>
      <c r="S56" s="1" t="s">
        <v>142</v>
      </c>
      <c r="T56" t="s">
        <v>144</v>
      </c>
    </row>
    <row r="57" spans="3:20" x14ac:dyDescent="0.25">
      <c r="D57" t="s">
        <v>99</v>
      </c>
      <c r="F57" t="s">
        <v>100</v>
      </c>
      <c r="G57" t="s">
        <v>93</v>
      </c>
      <c r="J57" t="s">
        <v>99</v>
      </c>
      <c r="L57" t="s">
        <v>100</v>
      </c>
      <c r="M57" t="s">
        <v>93</v>
      </c>
      <c r="O57" s="2">
        <f>(D15-D16)-(G15-G16)</f>
        <v>354.14</v>
      </c>
      <c r="Q57">
        <v>17</v>
      </c>
      <c r="R57" t="s">
        <v>157</v>
      </c>
      <c r="S57" s="1" t="s">
        <v>146</v>
      </c>
      <c r="T57" t="s">
        <v>145</v>
      </c>
    </row>
    <row r="58" spans="3:20" x14ac:dyDescent="0.25">
      <c r="C58" t="s">
        <v>152</v>
      </c>
      <c r="D58" s="2">
        <f>+G58-F58</f>
        <v>9.2487238352464534</v>
      </c>
      <c r="F58" s="2">
        <f>+F43*P23</f>
        <v>8.7512761647535466</v>
      </c>
      <c r="G58" s="2">
        <f>+D49-D50</f>
        <v>18</v>
      </c>
      <c r="I58" t="s">
        <v>152</v>
      </c>
      <c r="J58" s="2">
        <f>(J33*(1-P5-P7)*(1-P13)*(P26))*M23/M21</f>
        <v>9.2487238352464534</v>
      </c>
      <c r="L58" s="2">
        <f>J33*P5*(P27)*P23/P21</f>
        <v>8.7512761647535449</v>
      </c>
      <c r="M58" s="2"/>
      <c r="O58" s="7">
        <f>((1-P5)*D8-(1-P6)*G8)/((D15-D16)-(G15-G16)-(P5*D8-P6*G8)/P21)</f>
        <v>1.5242013625883679</v>
      </c>
      <c r="Q58">
        <v>18</v>
      </c>
      <c r="R58" t="s">
        <v>147</v>
      </c>
    </row>
    <row r="59" spans="3:20" x14ac:dyDescent="0.25">
      <c r="C59" t="s">
        <v>16</v>
      </c>
      <c r="D59" s="2">
        <f>+G59-F59</f>
        <v>266.62723835246453</v>
      </c>
      <c r="F59" s="2">
        <f>+F43</f>
        <v>87.512761647535456</v>
      </c>
      <c r="G59" s="2">
        <f>+D15-D16-G40</f>
        <v>354.14</v>
      </c>
      <c r="I59" t="s">
        <v>16</v>
      </c>
      <c r="J59" s="2"/>
      <c r="L59" s="2"/>
      <c r="M59" s="2"/>
      <c r="O59" s="2">
        <f>D9-G9-P23/P21*(P5*D8-P6*G8)</f>
        <v>9.2487238352464534</v>
      </c>
      <c r="Q59">
        <v>19</v>
      </c>
      <c r="R59" t="s">
        <v>161</v>
      </c>
      <c r="T59" t="s">
        <v>160</v>
      </c>
    </row>
    <row r="60" spans="3:20" x14ac:dyDescent="0.25">
      <c r="C60" t="s">
        <v>158</v>
      </c>
      <c r="D60" s="7">
        <f>+D55/D56</f>
        <v>3.5171056485905933E-2</v>
      </c>
      <c r="I60" t="s">
        <v>158</v>
      </c>
      <c r="J60" s="7"/>
      <c r="O60" s="7">
        <f>(D9-G9-P23/P21*(P5*D8-P6*G8))/((D15-D16)-(G15-G16)-(P5*D8-P6*G8)/P21)</f>
        <v>3.4687843194100891E-2</v>
      </c>
      <c r="Q60">
        <v>20</v>
      </c>
      <c r="R60" t="s">
        <v>162</v>
      </c>
      <c r="T60" t="s">
        <v>163</v>
      </c>
    </row>
    <row r="61" spans="3:20" x14ac:dyDescent="0.25">
      <c r="C61" t="s">
        <v>158</v>
      </c>
      <c r="D61" s="7">
        <f>+D58/D59</f>
        <v>3.4687843194100891E-2</v>
      </c>
      <c r="I61" t="s">
        <v>158</v>
      </c>
      <c r="J61" s="7"/>
      <c r="O61" s="3">
        <f>D11-G11-P24/P21*(P5*D8-P6*G8)</f>
        <v>1.4421809588116123</v>
      </c>
      <c r="Q61">
        <v>21</v>
      </c>
      <c r="R61" t="s">
        <v>164</v>
      </c>
      <c r="T61" t="s">
        <v>160</v>
      </c>
    </row>
    <row r="62" spans="3:20" x14ac:dyDescent="0.25">
      <c r="O62" s="7">
        <f>(D11-G11-P24/P21*(P5*D8-P6*G8))/((D15-D16)-(G15-G16)-(P5*D8-P6*G8)/P21)</f>
        <v>5.4089783464101272E-3</v>
      </c>
      <c r="Q62">
        <v>22</v>
      </c>
      <c r="R62" t="s">
        <v>165</v>
      </c>
      <c r="T62" t="s">
        <v>163</v>
      </c>
    </row>
    <row r="63" spans="3:20" x14ac:dyDescent="0.25">
      <c r="C63" t="s">
        <v>91</v>
      </c>
      <c r="I63" t="s">
        <v>91</v>
      </c>
      <c r="O63" s="2">
        <f>D13-G13-P22/P21*(P5*D8-P6*G8)</f>
        <v>132.76838946657665</v>
      </c>
      <c r="Q63">
        <v>23</v>
      </c>
      <c r="R63" t="s">
        <v>166</v>
      </c>
    </row>
    <row r="64" spans="3:20" x14ac:dyDescent="0.25">
      <c r="C64" t="s">
        <v>10</v>
      </c>
      <c r="D64" t="s">
        <v>92</v>
      </c>
      <c r="I64" t="s">
        <v>10</v>
      </c>
      <c r="J64" t="s">
        <v>92</v>
      </c>
      <c r="O64" s="7">
        <f>(D13-G13-P22/P21*(P5*D8-P6*G8))/((D15-D16)-(G15-G16)-(P5*D8-P6*G8)/P21)</f>
        <v>0.49795508623565737</v>
      </c>
      <c r="Q64">
        <v>24</v>
      </c>
      <c r="R64" t="s">
        <v>167</v>
      </c>
    </row>
    <row r="65" spans="3:13" x14ac:dyDescent="0.25">
      <c r="C65" t="s">
        <v>148</v>
      </c>
      <c r="D65" s="6">
        <f>+D11</f>
        <v>20.07</v>
      </c>
      <c r="I65" t="s">
        <v>148</v>
      </c>
      <c r="J65" s="21">
        <f>+J33*P10</f>
        <v>20.07</v>
      </c>
    </row>
    <row r="66" spans="3:13" x14ac:dyDescent="0.25">
      <c r="C66" t="s">
        <v>149</v>
      </c>
      <c r="D66" s="6">
        <f>+G11</f>
        <v>16.440000000000001</v>
      </c>
      <c r="I66" t="s">
        <v>149</v>
      </c>
      <c r="J66" s="20">
        <f>I68+J68+L68+J71+L71</f>
        <v>16.444358805144855</v>
      </c>
    </row>
    <row r="67" spans="3:13" x14ac:dyDescent="0.25">
      <c r="C67" t="s">
        <v>11</v>
      </c>
      <c r="D67" t="s">
        <v>95</v>
      </c>
      <c r="F67" t="s">
        <v>96</v>
      </c>
      <c r="G67" t="s">
        <v>5</v>
      </c>
      <c r="I67" t="s">
        <v>11</v>
      </c>
      <c r="J67" t="s">
        <v>95</v>
      </c>
      <c r="L67" t="s">
        <v>96</v>
      </c>
      <c r="M67" t="s">
        <v>5</v>
      </c>
    </row>
    <row r="68" spans="3:13" x14ac:dyDescent="0.25">
      <c r="C68" s="6">
        <f>+J12</f>
        <v>14.15</v>
      </c>
      <c r="D68" s="3">
        <f>+G68-F68-C68</f>
        <v>0.88999999999999879</v>
      </c>
      <c r="F68" s="12">
        <f>+M11-M12</f>
        <v>0</v>
      </c>
      <c r="G68" s="6">
        <f>+J11</f>
        <v>15.04</v>
      </c>
      <c r="I68" s="20">
        <f>J33*P10*P12</f>
        <v>14.15</v>
      </c>
      <c r="J68" s="21">
        <f>(J33*(1-P5-P7)*P13*(1-P19))*G24/G21</f>
        <v>0.88999999999999879</v>
      </c>
      <c r="L68" s="21">
        <f>+L36/J21*J24</f>
        <v>0</v>
      </c>
      <c r="M68" s="21"/>
    </row>
    <row r="70" spans="3:13" x14ac:dyDescent="0.25">
      <c r="D70" t="s">
        <v>97</v>
      </c>
      <c r="F70" t="s">
        <v>98</v>
      </c>
      <c r="G70" t="s">
        <v>53</v>
      </c>
      <c r="J70" t="s">
        <v>97</v>
      </c>
      <c r="L70" t="s">
        <v>98</v>
      </c>
      <c r="M70" t="s">
        <v>53</v>
      </c>
    </row>
    <row r="71" spans="3:13" x14ac:dyDescent="0.25">
      <c r="C71" t="s">
        <v>152</v>
      </c>
      <c r="D71" s="3">
        <f>+G71-F71</f>
        <v>1.0641863605671864</v>
      </c>
      <c r="F71" s="3">
        <f>F56*P24</f>
        <v>0.33581363943281567</v>
      </c>
      <c r="G71" s="3">
        <f>+D66-G68</f>
        <v>1.4000000000000021</v>
      </c>
      <c r="I71" t="s">
        <v>152</v>
      </c>
      <c r="J71" s="3">
        <f>(J33*(1-P5-P7)*(1-P13)*(1-P26))*M24/M21</f>
        <v>1.0685451657120411</v>
      </c>
      <c r="L71" s="3">
        <f>(J33*P5*(1-P27))*P24/P21</f>
        <v>0.33581363943281545</v>
      </c>
      <c r="M71" s="3"/>
    </row>
    <row r="72" spans="3:13" x14ac:dyDescent="0.25">
      <c r="C72" t="s">
        <v>16</v>
      </c>
      <c r="D72" s="2">
        <f>+G72-F72</f>
        <v>197.79745442268737</v>
      </c>
      <c r="F72" s="2">
        <f>+F56</f>
        <v>13.432545577312625</v>
      </c>
      <c r="G72" s="2">
        <f>+G15-G16</f>
        <v>211.23</v>
      </c>
      <c r="I72" t="s">
        <v>16</v>
      </c>
      <c r="J72" s="2"/>
      <c r="L72" s="2"/>
      <c r="M72" s="2"/>
    </row>
    <row r="73" spans="3:13" x14ac:dyDescent="0.25">
      <c r="D73" t="s">
        <v>99</v>
      </c>
      <c r="F73" t="s">
        <v>100</v>
      </c>
      <c r="G73" t="s">
        <v>93</v>
      </c>
      <c r="J73" t="s">
        <v>99</v>
      </c>
      <c r="L73" t="s">
        <v>100</v>
      </c>
      <c r="M73" t="s">
        <v>93</v>
      </c>
    </row>
    <row r="74" spans="3:13" x14ac:dyDescent="0.25">
      <c r="C74" t="s">
        <v>152</v>
      </c>
      <c r="D74" s="3">
        <f>+G74-F74</f>
        <v>1.4421809588116123</v>
      </c>
      <c r="F74" s="3">
        <f>+F59*P24</f>
        <v>2.1878190411883867</v>
      </c>
      <c r="G74" s="3">
        <f>+D65-D66</f>
        <v>3.629999999999999</v>
      </c>
      <c r="I74" t="s">
        <v>152</v>
      </c>
      <c r="J74" s="3">
        <f>(J33*(1-P5-P7)*(1-P13)*(P26))*M24/M21</f>
        <v>1.4421809588116126</v>
      </c>
      <c r="L74" s="3">
        <f>L90</f>
        <v>45.331610533423365</v>
      </c>
      <c r="M74" s="3"/>
    </row>
    <row r="75" spans="3:13" x14ac:dyDescent="0.25">
      <c r="C75" t="s">
        <v>16</v>
      </c>
      <c r="D75" s="2">
        <f>+G75-F75</f>
        <v>266.62723835246453</v>
      </c>
      <c r="F75" s="2">
        <f>+F59</f>
        <v>87.512761647535456</v>
      </c>
      <c r="G75" s="2">
        <f>+D15-D16-G40</f>
        <v>354.14</v>
      </c>
      <c r="I75" t="s">
        <v>16</v>
      </c>
      <c r="J75" s="2"/>
      <c r="L75" s="2"/>
      <c r="M75" s="2"/>
    </row>
    <row r="76" spans="3:13" x14ac:dyDescent="0.25">
      <c r="C76" t="s">
        <v>159</v>
      </c>
      <c r="D76" s="7">
        <f>+D71/D72</f>
        <v>5.3801822863354517E-3</v>
      </c>
      <c r="I76" t="s">
        <v>159</v>
      </c>
      <c r="J76" s="7"/>
    </row>
    <row r="77" spans="3:13" x14ac:dyDescent="0.25">
      <c r="C77" t="s">
        <v>159</v>
      </c>
      <c r="D77" s="7">
        <f>+D74/D75</f>
        <v>5.4089783464101272E-3</v>
      </c>
      <c r="I77" t="s">
        <v>159</v>
      </c>
      <c r="J77" s="7"/>
    </row>
    <row r="79" spans="3:13" x14ac:dyDescent="0.25">
      <c r="C79" t="s">
        <v>91</v>
      </c>
      <c r="I79" t="s">
        <v>91</v>
      </c>
    </row>
    <row r="80" spans="3:13" x14ac:dyDescent="0.25">
      <c r="C80" t="s">
        <v>12</v>
      </c>
      <c r="D80" t="s">
        <v>92</v>
      </c>
      <c r="I80" t="s">
        <v>12</v>
      </c>
      <c r="J80" t="s">
        <v>92</v>
      </c>
    </row>
    <row r="81" spans="3:13" x14ac:dyDescent="0.25">
      <c r="C81" t="s">
        <v>148</v>
      </c>
      <c r="D81" s="6">
        <f>+D13</f>
        <v>383.1</v>
      </c>
      <c r="I81" t="s">
        <v>148</v>
      </c>
      <c r="J81" s="21">
        <f>I84+J84+L84+J87+L87+J90+L90</f>
        <v>382.92922337660042</v>
      </c>
    </row>
    <row r="82" spans="3:13" x14ac:dyDescent="0.25">
      <c r="C82" t="s">
        <v>149</v>
      </c>
      <c r="D82" s="6">
        <f>+G13</f>
        <v>205</v>
      </c>
      <c r="I82" t="s">
        <v>149</v>
      </c>
      <c r="J82" s="20">
        <f>I84+J84+L84+J87+L87</f>
        <v>204.8292233766004</v>
      </c>
    </row>
    <row r="83" spans="3:13" x14ac:dyDescent="0.25">
      <c r="C83" t="s">
        <v>13</v>
      </c>
      <c r="D83" t="s">
        <v>95</v>
      </c>
      <c r="F83" t="s">
        <v>96</v>
      </c>
      <c r="G83" t="s">
        <v>5</v>
      </c>
      <c r="I83" t="s">
        <v>13</v>
      </c>
      <c r="J83" t="s">
        <v>95</v>
      </c>
      <c r="L83" t="s">
        <v>96</v>
      </c>
      <c r="M83" t="s">
        <v>5</v>
      </c>
    </row>
    <row r="84" spans="3:13" x14ac:dyDescent="0.25">
      <c r="C84" s="6">
        <f>+J14/D21*D22</f>
        <v>18.744142455482663</v>
      </c>
      <c r="D84" s="3">
        <f>+G84-F84-C84</f>
        <v>61.555857544517337</v>
      </c>
      <c r="F84" s="6">
        <f>+M13</f>
        <v>19.2</v>
      </c>
      <c r="G84" s="6">
        <f>+J13</f>
        <v>99.5</v>
      </c>
      <c r="I84" s="21">
        <f>J33*(1-P5-P7)*P13*(P19)*D22/D21</f>
        <v>18.744142455482663</v>
      </c>
      <c r="J84" s="3">
        <f>(J33*(1-P5-P7)*P13*(1-P19))*G22/G21</f>
        <v>61.555857544517337</v>
      </c>
      <c r="L84" s="21">
        <f>+L36/J21*J22</f>
        <v>19.2</v>
      </c>
      <c r="M84" s="21"/>
    </row>
    <row r="85" spans="3:13" x14ac:dyDescent="0.25">
      <c r="I85" s="19"/>
    </row>
    <row r="86" spans="3:13" x14ac:dyDescent="0.25">
      <c r="D86" t="s">
        <v>97</v>
      </c>
      <c r="F86" t="s">
        <v>98</v>
      </c>
      <c r="G86" t="s">
        <v>53</v>
      </c>
      <c r="J86" t="s">
        <v>97</v>
      </c>
      <c r="L86" t="s">
        <v>98</v>
      </c>
      <c r="M86" t="s">
        <v>53</v>
      </c>
    </row>
    <row r="87" spans="3:13" x14ac:dyDescent="0.25">
      <c r="C87" t="s">
        <v>152</v>
      </c>
      <c r="D87" s="3">
        <f>+G87-F87</f>
        <v>98.541941390952061</v>
      </c>
      <c r="F87" s="3">
        <f>F72*P22</f>
        <v>6.9580586090479404</v>
      </c>
      <c r="G87" s="3">
        <f>+D82-G84</f>
        <v>105.5</v>
      </c>
      <c r="I87" t="s">
        <v>152</v>
      </c>
      <c r="J87" s="3">
        <f>(J33*(1-P5-P7)*(1-P13)*(1-P26))*M22/M21</f>
        <v>98.371164767552472</v>
      </c>
      <c r="L87" s="3">
        <f>(J33*P5*(1-P27))*P22/P21</f>
        <v>6.9580586090479351</v>
      </c>
      <c r="M87" s="3"/>
    </row>
    <row r="88" spans="3:13" x14ac:dyDescent="0.25">
      <c r="C88" t="s">
        <v>16</v>
      </c>
      <c r="D88" s="2">
        <f>+G88-F88</f>
        <v>197.79745442268737</v>
      </c>
      <c r="F88" s="2">
        <f>+F72</f>
        <v>13.432545577312625</v>
      </c>
      <c r="G88" s="2">
        <f>+G15-G16</f>
        <v>211.23</v>
      </c>
      <c r="I88" t="s">
        <v>16</v>
      </c>
      <c r="J88" s="2"/>
      <c r="L88" s="2"/>
      <c r="M88" s="2"/>
    </row>
    <row r="89" spans="3:13" x14ac:dyDescent="0.25">
      <c r="D89" t="s">
        <v>99</v>
      </c>
      <c r="F89" t="s">
        <v>100</v>
      </c>
      <c r="G89" t="s">
        <v>93</v>
      </c>
      <c r="J89" t="s">
        <v>99</v>
      </c>
      <c r="L89" t="s">
        <v>100</v>
      </c>
      <c r="M89" t="s">
        <v>93</v>
      </c>
    </row>
    <row r="90" spans="3:13" x14ac:dyDescent="0.25">
      <c r="C90" t="s">
        <v>152</v>
      </c>
      <c r="D90" s="3">
        <f>+G90-F90</f>
        <v>132.76838946657665</v>
      </c>
      <c r="F90" s="3">
        <f>+F75*P22</f>
        <v>45.331610533423365</v>
      </c>
      <c r="G90" s="3">
        <f>+D81-D82</f>
        <v>178.10000000000002</v>
      </c>
      <c r="I90" t="s">
        <v>152</v>
      </c>
      <c r="J90" s="3">
        <f>(J33*(1-P5-P7)*(1-P13)*(P26))*M22/M21</f>
        <v>132.76838946657665</v>
      </c>
      <c r="L90" s="3">
        <f>J33*P5*(P27)*P22/P21</f>
        <v>45.331610533423365</v>
      </c>
      <c r="M90" s="3"/>
    </row>
    <row r="91" spans="3:13" x14ac:dyDescent="0.25">
      <c r="C91" t="s">
        <v>16</v>
      </c>
      <c r="D91" s="2">
        <f>+G91-F91</f>
        <v>266.62723835246453</v>
      </c>
      <c r="F91" s="2">
        <f>+F75</f>
        <v>87.512761647535456</v>
      </c>
      <c r="G91" s="2">
        <f>+D15-D16-G56</f>
        <v>354.14</v>
      </c>
      <c r="I91" t="s">
        <v>16</v>
      </c>
      <c r="J91" s="2"/>
      <c r="L91" s="2"/>
      <c r="M91" s="2"/>
    </row>
    <row r="92" spans="3:13" x14ac:dyDescent="0.25">
      <c r="C92" t="s">
        <v>159</v>
      </c>
      <c r="D92" s="7">
        <f>+D87/D88</f>
        <v>0.49819620620784544</v>
      </c>
      <c r="I92" t="s">
        <v>159</v>
      </c>
      <c r="J92" s="7"/>
    </row>
    <row r="93" spans="3:13" x14ac:dyDescent="0.25">
      <c r="C93" t="s">
        <v>159</v>
      </c>
      <c r="D93" s="7">
        <f>+D90/D91</f>
        <v>0.49795508623565737</v>
      </c>
      <c r="I93" t="s">
        <v>159</v>
      </c>
      <c r="J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2018-07-31T07:22:55Z</dcterms:created>
  <dcterms:modified xsi:type="dcterms:W3CDTF">2018-07-31T20:11:14Z</dcterms:modified>
</cp:coreProperties>
</file>