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V\Data_REDCLUWE\SULSEL\dataPrep\"/>
    </mc:Choice>
  </mc:AlternateContent>
  <xr:revisionPtr revIDLastSave="0" documentId="13_ncr:1_{6786AC6F-8DFF-46F5-A4B4-B5CA4DAE7648}" xr6:coauthVersionLast="44" xr6:coauthVersionMax="44" xr10:uidLastSave="{00000000-0000-0000-0000-000000000000}"/>
  <bookViews>
    <workbookView xWindow="-108" yWindow="-108" windowWidth="23256" windowHeight="12576" activeTab="2" xr2:uid="{B9213D7E-46CE-48EB-B09E-B197C9300E17}"/>
  </bookViews>
  <sheets>
    <sheet name="historis_2014-2019" sheetId="2" r:id="rId1"/>
    <sheet name="proyeksi_2009" sheetId="5" r:id="rId2"/>
    <sheet name="pupuk_sektor_sulsel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4" i="9" l="1"/>
  <c r="C83" i="9"/>
  <c r="L15" i="9"/>
  <c r="K27" i="9" s="1"/>
  <c r="K38" i="9" s="1"/>
  <c r="K86" i="9" s="1"/>
  <c r="M15" i="9"/>
  <c r="L26" i="9" s="1"/>
  <c r="L37" i="9" s="1"/>
  <c r="N15" i="9"/>
  <c r="M25" i="9" s="1"/>
  <c r="M36" i="9" s="1"/>
  <c r="O15" i="9"/>
  <c r="N28" i="9" s="1"/>
  <c r="N39" i="9" s="1"/>
  <c r="N93" i="9" s="1"/>
  <c r="K15" i="9"/>
  <c r="J25" i="9" s="1"/>
  <c r="J36" i="9" s="1"/>
  <c r="C17" i="9"/>
  <c r="B35" i="9" s="1"/>
  <c r="C29" i="9"/>
  <c r="D29" i="9"/>
  <c r="E29" i="9"/>
  <c r="F29" i="9"/>
  <c r="B29" i="9"/>
  <c r="L45" i="9"/>
  <c r="L47" i="9"/>
  <c r="L49" i="9"/>
  <c r="L50" i="9"/>
  <c r="L51" i="9"/>
  <c r="L44" i="9"/>
  <c r="K46" i="9"/>
  <c r="K87" i="9" l="1"/>
  <c r="K85" i="9"/>
  <c r="K83" i="9"/>
  <c r="K84" i="9"/>
  <c r="K24" i="9"/>
  <c r="K35" i="9" s="1"/>
  <c r="K28" i="9"/>
  <c r="K39" i="9" s="1"/>
  <c r="K93" i="9" s="1"/>
  <c r="J24" i="9"/>
  <c r="J35" i="9" s="1"/>
  <c r="K26" i="9"/>
  <c r="K37" i="9" s="1"/>
  <c r="J28" i="9"/>
  <c r="J39" i="9" s="1"/>
  <c r="J93" i="9" s="1"/>
  <c r="K25" i="9"/>
  <c r="K36" i="9" s="1"/>
  <c r="J27" i="9"/>
  <c r="J38" i="9" s="1"/>
  <c r="B36" i="9"/>
  <c r="J26" i="9"/>
  <c r="J37" i="9" s="1"/>
  <c r="B38" i="9"/>
  <c r="L27" i="9"/>
  <c r="L38" i="9" s="1"/>
  <c r="M26" i="9"/>
  <c r="M37" i="9" s="1"/>
  <c r="L24" i="9"/>
  <c r="L35" i="9" s="1"/>
  <c r="N24" i="9"/>
  <c r="N35" i="9" s="1"/>
  <c r="M24" i="9"/>
  <c r="M35" i="9" s="1"/>
  <c r="N26" i="9"/>
  <c r="N37" i="9" s="1"/>
  <c r="M28" i="9"/>
  <c r="M39" i="9" s="1"/>
  <c r="M93" i="9" s="1"/>
  <c r="N25" i="9"/>
  <c r="N36" i="9" s="1"/>
  <c r="L25" i="9"/>
  <c r="L36" i="9" s="1"/>
  <c r="N27" i="9"/>
  <c r="N38" i="9" s="1"/>
  <c r="M27" i="9"/>
  <c r="M38" i="9" s="1"/>
  <c r="L28" i="9"/>
  <c r="L39" i="9" s="1"/>
  <c r="L93" i="9" s="1"/>
  <c r="K52" i="9"/>
  <c r="K53" i="9" s="1"/>
  <c r="J48" i="9"/>
  <c r="L48" i="9" s="1"/>
  <c r="J46" i="9"/>
  <c r="C52" i="9"/>
  <c r="C51" i="9"/>
  <c r="C43" i="9"/>
  <c r="G17" i="9"/>
  <c r="F38" i="9" s="1"/>
  <c r="F17" i="9"/>
  <c r="E38" i="9" s="1"/>
  <c r="E17" i="9"/>
  <c r="D35" i="9" s="1"/>
  <c r="D17" i="9"/>
  <c r="C39" i="9" s="1"/>
  <c r="B37" i="9"/>
  <c r="N85" i="9" l="1"/>
  <c r="N87" i="9"/>
  <c r="N83" i="9"/>
  <c r="N84" i="9"/>
  <c r="N86" i="9"/>
  <c r="L85" i="9"/>
  <c r="L87" i="9"/>
  <c r="L83" i="9"/>
  <c r="L86" i="9"/>
  <c r="L84" i="9"/>
  <c r="M83" i="9"/>
  <c r="M84" i="9"/>
  <c r="M86" i="9"/>
  <c r="M87" i="9"/>
  <c r="M85" i="9"/>
  <c r="J92" i="9"/>
  <c r="J91" i="9"/>
  <c r="J82" i="9"/>
  <c r="J90" i="9"/>
  <c r="J88" i="9"/>
  <c r="J89" i="9"/>
  <c r="J72" i="9"/>
  <c r="K88" i="9"/>
  <c r="K91" i="9"/>
  <c r="K90" i="9"/>
  <c r="K82" i="9"/>
  <c r="K89" i="9"/>
  <c r="K72" i="9"/>
  <c r="K92" i="9"/>
  <c r="L91" i="9"/>
  <c r="L72" i="9"/>
  <c r="L88" i="9"/>
  <c r="L90" i="9"/>
  <c r="L82" i="9"/>
  <c r="L89" i="9"/>
  <c r="L92" i="9"/>
  <c r="M89" i="9"/>
  <c r="M72" i="9"/>
  <c r="M91" i="9"/>
  <c r="M92" i="9"/>
  <c r="M88" i="9"/>
  <c r="M90" i="9"/>
  <c r="M82" i="9"/>
  <c r="J84" i="9"/>
  <c r="J85" i="9"/>
  <c r="J86" i="9"/>
  <c r="J87" i="9"/>
  <c r="J83" i="9"/>
  <c r="N92" i="9"/>
  <c r="N88" i="9"/>
  <c r="N89" i="9"/>
  <c r="N72" i="9"/>
  <c r="N91" i="9"/>
  <c r="N82" i="9"/>
  <c r="N90" i="9"/>
  <c r="J52" i="9"/>
  <c r="J53" i="9" s="1"/>
  <c r="L53" i="9" s="1"/>
  <c r="M48" i="9" s="1"/>
  <c r="C77" i="9" s="1"/>
  <c r="L77" i="9" s="1"/>
  <c r="L46" i="9"/>
  <c r="C53" i="9"/>
  <c r="D53" i="9" s="1"/>
  <c r="C50" i="9"/>
  <c r="D37" i="9"/>
  <c r="B39" i="9"/>
  <c r="E35" i="9"/>
  <c r="F35" i="9"/>
  <c r="D36" i="9"/>
  <c r="E39" i="9"/>
  <c r="C35" i="9"/>
  <c r="D38" i="9"/>
  <c r="F36" i="9"/>
  <c r="C36" i="9"/>
  <c r="D39" i="9"/>
  <c r="F37" i="9"/>
  <c r="C37" i="9"/>
  <c r="C38" i="9"/>
  <c r="E36" i="9"/>
  <c r="F39" i="9"/>
  <c r="E37" i="9"/>
  <c r="N77" i="9" l="1"/>
  <c r="M77" i="9"/>
  <c r="K77" i="9"/>
  <c r="J77" i="9"/>
  <c r="M46" i="9"/>
  <c r="C75" i="9" s="1"/>
  <c r="M51" i="9"/>
  <c r="C80" i="9" s="1"/>
  <c r="M44" i="9"/>
  <c r="C73" i="9" s="1"/>
  <c r="M50" i="9"/>
  <c r="C79" i="9" s="1"/>
  <c r="M47" i="9"/>
  <c r="C76" i="9" s="1"/>
  <c r="M49" i="9"/>
  <c r="C78" i="9" s="1"/>
  <c r="M45" i="9"/>
  <c r="C74" i="9" s="1"/>
  <c r="L52" i="9"/>
  <c r="M52" i="9" s="1"/>
  <c r="C81" i="9" s="1"/>
  <c r="D51" i="9"/>
  <c r="C70" i="9" s="1"/>
  <c r="D52" i="9"/>
  <c r="C71" i="9" s="1"/>
  <c r="D46" i="9"/>
  <c r="C66" i="9" s="1"/>
  <c r="D47" i="9"/>
  <c r="C67" i="9" s="1"/>
  <c r="D48" i="9"/>
  <c r="C68" i="9" s="1"/>
  <c r="D49" i="9"/>
  <c r="C69" i="9" s="1"/>
  <c r="D50" i="9"/>
  <c r="D44" i="9"/>
  <c r="C64" i="9" s="1"/>
  <c r="D45" i="9"/>
  <c r="C65" i="9" s="1"/>
  <c r="D43" i="9"/>
  <c r="C63" i="9" s="1"/>
  <c r="K69" i="9" l="1"/>
  <c r="N69" i="9"/>
  <c r="J69" i="9"/>
  <c r="L69" i="9"/>
  <c r="M69" i="9"/>
  <c r="L78" i="9"/>
  <c r="N78" i="9"/>
  <c r="K78" i="9"/>
  <c r="M78" i="9"/>
  <c r="J78" i="9"/>
  <c r="L76" i="9"/>
  <c r="N76" i="9"/>
  <c r="M76" i="9"/>
  <c r="J76" i="9"/>
  <c r="K76" i="9"/>
  <c r="M67" i="9"/>
  <c r="K67" i="9"/>
  <c r="L67" i="9"/>
  <c r="J67" i="9"/>
  <c r="N67" i="9"/>
  <c r="L79" i="9"/>
  <c r="J79" i="9"/>
  <c r="N79" i="9"/>
  <c r="K79" i="9"/>
  <c r="M79" i="9"/>
  <c r="L74" i="9"/>
  <c r="M74" i="9"/>
  <c r="K74" i="9"/>
  <c r="J74" i="9"/>
  <c r="N74" i="9"/>
  <c r="M68" i="9"/>
  <c r="K68" i="9"/>
  <c r="N68" i="9"/>
  <c r="L68" i="9"/>
  <c r="J68" i="9"/>
  <c r="J66" i="9"/>
  <c r="L66" i="9"/>
  <c r="K66" i="9"/>
  <c r="M66" i="9"/>
  <c r="N66" i="9"/>
  <c r="L73" i="9"/>
  <c r="M73" i="9"/>
  <c r="N73" i="9"/>
  <c r="J73" i="9"/>
  <c r="K73" i="9"/>
  <c r="L63" i="9"/>
  <c r="N63" i="9"/>
  <c r="J63" i="9"/>
  <c r="M63" i="9"/>
  <c r="K63" i="9"/>
  <c r="M71" i="9"/>
  <c r="J71" i="9"/>
  <c r="L71" i="9"/>
  <c r="K71" i="9"/>
  <c r="N71" i="9"/>
  <c r="L80" i="9"/>
  <c r="K80" i="9"/>
  <c r="N80" i="9"/>
  <c r="M80" i="9"/>
  <c r="J80" i="9"/>
  <c r="L65" i="9"/>
  <c r="N65" i="9"/>
  <c r="J65" i="9"/>
  <c r="M65" i="9"/>
  <c r="K65" i="9"/>
  <c r="J70" i="9"/>
  <c r="M70" i="9"/>
  <c r="K70" i="9"/>
  <c r="N70" i="9"/>
  <c r="L70" i="9"/>
  <c r="L75" i="9"/>
  <c r="J75" i="9"/>
  <c r="K75" i="9"/>
  <c r="M75" i="9"/>
  <c r="N75" i="9"/>
  <c r="M64" i="9"/>
  <c r="N64" i="9"/>
  <c r="J64" i="9"/>
  <c r="K64" i="9"/>
  <c r="L64" i="9"/>
  <c r="L81" i="9"/>
  <c r="K81" i="9"/>
  <c r="J81" i="9"/>
  <c r="N81" i="9"/>
  <c r="M81" i="9"/>
  <c r="M53" i="9"/>
  <c r="N15" i="5"/>
  <c r="J15" i="5"/>
  <c r="F15" i="5"/>
  <c r="B15" i="5"/>
  <c r="R14" i="5"/>
  <c r="B14" i="5"/>
  <c r="B12" i="5"/>
  <c r="N11" i="5"/>
  <c r="J11" i="5"/>
  <c r="B11" i="5"/>
  <c r="R10" i="5"/>
  <c r="J10" i="5"/>
  <c r="F10" i="5"/>
  <c r="B10" i="5"/>
  <c r="O11" i="5" l="1"/>
  <c r="N14" i="5" s="1"/>
  <c r="G10" i="5"/>
  <c r="F8" i="5" s="1"/>
  <c r="K10" i="5"/>
  <c r="J5" i="5" s="1"/>
  <c r="S10" i="5"/>
  <c r="R23" i="5" s="1"/>
  <c r="C10" i="5"/>
  <c r="B9" i="5" s="1"/>
  <c r="J23" i="5"/>
  <c r="J7" i="5"/>
  <c r="F24" i="5"/>
  <c r="N24" i="5"/>
  <c r="N5" i="5"/>
  <c r="R18" i="5"/>
  <c r="N20" i="5" l="1"/>
  <c r="N25" i="5"/>
  <c r="N6" i="5"/>
  <c r="N13" i="5"/>
  <c r="N12" i="5"/>
  <c r="R21" i="5"/>
  <c r="N22" i="5"/>
  <c r="N26" i="5"/>
  <c r="N16" i="5"/>
  <c r="N18" i="5"/>
  <c r="N17" i="5"/>
  <c r="N21" i="5"/>
  <c r="N8" i="5"/>
  <c r="N19" i="5"/>
  <c r="N7" i="5"/>
  <c r="R24" i="5"/>
  <c r="N9" i="5"/>
  <c r="R19" i="5"/>
  <c r="N10" i="5"/>
  <c r="N23" i="5"/>
  <c r="D37" i="5"/>
  <c r="J6" i="5"/>
  <c r="B18" i="5"/>
  <c r="J19" i="5"/>
  <c r="E37" i="5"/>
  <c r="J24" i="5"/>
  <c r="J21" i="5"/>
  <c r="J9" i="5"/>
  <c r="R13" i="5"/>
  <c r="J17" i="5"/>
  <c r="J25" i="5"/>
  <c r="J18" i="5"/>
  <c r="J20" i="5"/>
  <c r="J22" i="5"/>
  <c r="R26" i="5"/>
  <c r="B8" i="5"/>
  <c r="R9" i="5"/>
  <c r="B23" i="5"/>
  <c r="B26" i="5"/>
  <c r="R12" i="5"/>
  <c r="R22" i="5"/>
  <c r="B25" i="5"/>
  <c r="B20" i="5"/>
  <c r="B22" i="5"/>
  <c r="R5" i="5"/>
  <c r="B19" i="5"/>
  <c r="B7" i="5"/>
  <c r="B6" i="5"/>
  <c r="F25" i="5"/>
  <c r="R7" i="5"/>
  <c r="F22" i="5"/>
  <c r="B16" i="5"/>
  <c r="B21" i="5"/>
  <c r="R11" i="5"/>
  <c r="R8" i="5"/>
  <c r="R25" i="5"/>
  <c r="R17" i="5"/>
  <c r="F19" i="5"/>
  <c r="J26" i="5"/>
  <c r="B24" i="5"/>
  <c r="B5" i="5"/>
  <c r="R16" i="5"/>
  <c r="F26" i="5"/>
  <c r="R15" i="5"/>
  <c r="R6" i="5"/>
  <c r="R20" i="5"/>
  <c r="J8" i="5"/>
  <c r="B17" i="5"/>
  <c r="F14" i="5"/>
  <c r="F13" i="5"/>
  <c r="F16" i="5"/>
  <c r="F12" i="5"/>
  <c r="F11" i="5"/>
  <c r="F5" i="5"/>
  <c r="F23" i="5"/>
  <c r="F21" i="5"/>
  <c r="F20" i="5"/>
  <c r="F9" i="5"/>
  <c r="F17" i="5"/>
  <c r="J16" i="5"/>
  <c r="J12" i="5"/>
  <c r="J14" i="5"/>
  <c r="J13" i="5"/>
  <c r="F6" i="5"/>
  <c r="F7" i="5"/>
  <c r="F18" i="5"/>
  <c r="C37" i="5" l="1"/>
  <c r="B37" i="5"/>
  <c r="F37" i="5"/>
  <c r="E10" i="2"/>
  <c r="D10" i="2"/>
  <c r="C10" i="2"/>
  <c r="B10" i="2"/>
  <c r="B13" i="5" l="1"/>
</calcChain>
</file>

<file path=xl/sharedStrings.xml><?xml version="1.0" encoding="utf-8"?>
<sst xmlns="http://schemas.openxmlformats.org/spreadsheetml/2006/main" count="248" uniqueCount="80">
  <si>
    <t>Urea</t>
  </si>
  <si>
    <t>SP-36</t>
  </si>
  <si>
    <t>ZA</t>
  </si>
  <si>
    <t>NPK</t>
  </si>
  <si>
    <t>Organik</t>
  </si>
  <si>
    <t>Sulawesi Selatan</t>
  </si>
  <si>
    <t>Tahun</t>
  </si>
  <si>
    <t>Alokasi pupuk bersubsidi Tahun 2015-2019 (Ton)</t>
  </si>
  <si>
    <t>Jenis Pupuk (Ton)</t>
  </si>
  <si>
    <t>Provinsi Sulawesi Selatan</t>
  </si>
  <si>
    <t>Eksponential rate</t>
  </si>
  <si>
    <t>Alokasi penggunaan pupuk urea</t>
  </si>
  <si>
    <t>Jumlah (ton)</t>
  </si>
  <si>
    <t>Alokasi penggunaan pupuk SP-36</t>
  </si>
  <si>
    <t>Alokasi penggunaan pupuk ZA</t>
  </si>
  <si>
    <t>Alokasi penggunaan pupuk NPK</t>
  </si>
  <si>
    <t>Alokasi penggunaan pupuk organik</t>
  </si>
  <si>
    <t xml:space="preserve">Presentase penggunaan jenis pupuk per sektor </t>
  </si>
  <si>
    <t>Sub Sektor</t>
  </si>
  <si>
    <t>Tanaman pangan</t>
  </si>
  <si>
    <t>Hortikultura</t>
  </si>
  <si>
    <t>Perkebunan</t>
  </si>
  <si>
    <t>Peternakan</t>
  </si>
  <si>
    <t>Perikanan budidaya</t>
  </si>
  <si>
    <t>Lingkup</t>
  </si>
  <si>
    <t>Nasional</t>
  </si>
  <si>
    <t>Presentase</t>
  </si>
  <si>
    <t>Sektor</t>
  </si>
  <si>
    <t>Padi</t>
  </si>
  <si>
    <t>Kopi</t>
  </si>
  <si>
    <t>Karet</t>
  </si>
  <si>
    <t>Kelapa sawit</t>
  </si>
  <si>
    <t>Perikanan</t>
  </si>
  <si>
    <t>Luasan (ha)</t>
  </si>
  <si>
    <t>Jagung</t>
  </si>
  <si>
    <t>Ketela pohon</t>
  </si>
  <si>
    <t>Umbi-umbian lainnya</t>
  </si>
  <si>
    <t>Kacang tanah</t>
  </si>
  <si>
    <t>Kedelai</t>
  </si>
  <si>
    <t>Kacang-kacangan lainnya</t>
  </si>
  <si>
    <t>Sayur-sayuran</t>
  </si>
  <si>
    <t>Buah-buahan</t>
  </si>
  <si>
    <t>Tebu</t>
  </si>
  <si>
    <t>Kelapa</t>
  </si>
  <si>
    <t>Cengkeh</t>
  </si>
  <si>
    <t>Kakao</t>
  </si>
  <si>
    <t>Hasil perkebunan lainnya</t>
  </si>
  <si>
    <t>Sapi</t>
  </si>
  <si>
    <t>Ternak lainnya dan hasil-hasilnya</t>
  </si>
  <si>
    <t>Ikan darat dan hasil perairan darat lainnya</t>
  </si>
  <si>
    <t>Jambu mete</t>
  </si>
  <si>
    <t>Total</t>
  </si>
  <si>
    <t>Swasta</t>
  </si>
  <si>
    <t>Smallholder</t>
  </si>
  <si>
    <t>Padi-padian dan bahan makanan lainnya</t>
  </si>
  <si>
    <t>Hasil pertanian lainnya</t>
  </si>
  <si>
    <t>Unggas dan hasil-hasilnya</t>
  </si>
  <si>
    <t>Ulat sutera</t>
  </si>
  <si>
    <t>Hasil pemeliharaan hewan lainnya</t>
  </si>
  <si>
    <t>Kayu</t>
  </si>
  <si>
    <t>Hasil hutan lainnya</t>
  </si>
  <si>
    <t>Ikan laut dan hasil lainnya</t>
  </si>
  <si>
    <t>Budidaya udang</t>
  </si>
  <si>
    <t>Budidaya bandeng</t>
  </si>
  <si>
    <t>Sub sektor</t>
  </si>
  <si>
    <t>Kehutanan</t>
  </si>
  <si>
    <t>Note: Dikarenakan tidak ada data yg tersedia utk mengetahui alokasi penyaluran pupuk bersubsidi di tahun 2009 (periode IO)</t>
  </si>
  <si>
    <t>Maka dilakukan proyeksi menggunakan perhitungan eksponential dari data historis alokasi penyaluran pupuk bersubsidi dari tahun 2014-2019</t>
  </si>
  <si>
    <t>Kompilasi proyeksi alokasi penggunaan pupuk bersubsidi tahun 2009</t>
  </si>
  <si>
    <t>Dikarenakan data alokasi penyaluran subsidi hanya sampai tahun 2014, tidak ada tahun-tahun sebelumnya termasuk tahun 2009 (Tahun periode IO)</t>
  </si>
  <si>
    <t>Maka dilakukan benchmarking/proporsi menggunakan data 2014 untuk memproporsi alokasi penyaluran pupuk bersubsidi tiap sektornya di tahun 2009</t>
  </si>
  <si>
    <t>1. Mengitung presentase alokasi penyaluran pupuk bersubsidi di Sulsel terhadap Nasional di tahun 2014</t>
  </si>
  <si>
    <t>2. Mengitung presentase alokasi penyaluran pupuk bersubsidi di Sulsel terhadap Nasional di tahun 2009 menggunakan proporsi di tahun 2014</t>
  </si>
  <si>
    <t>Sumber: Kementan (Petunjuk Pelaksanaan Penyediaan dan Penyaluran Pupuk Bersubsidi TA 2014)</t>
  </si>
  <si>
    <t>3. Menghitung kebutuhan pupuk per sub sektor skala nasional 2014</t>
  </si>
  <si>
    <t>4. Menghitung kebutuhan pupuk per sub sektor skala nasional tahun 2009 menggunakan proporsi di tahun 2014</t>
  </si>
  <si>
    <t>5. Menghitung kebutuhan pupuk per sub sektor lingkup Provinsi Sulawesi Selatan 2014</t>
  </si>
  <si>
    <t>6. Menghitung kebutuhan pupuk per sub sektor lingkup Provinsi Sulawesi Selatan tahun 2009 menggunakan proporsi di tahun 2014</t>
  </si>
  <si>
    <t>7. Tabel Rekapitulasi presentase luasan sektor 2009</t>
  </si>
  <si>
    <t>8. Mengitung konsumsi jenis pupuk per sektor tahun IO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</si>
</sst>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6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0" fillId="0" borderId="3" xfId="0" applyFill="1" applyBorder="1"/>
    <xf numFmtId="1" fontId="0" fillId="0" borderId="0" xfId="0" applyNumberFormat="1"/>
    <xf numFmtId="1" fontId="0" fillId="0" borderId="3" xfId="0" applyNumberFormat="1" applyBorder="1"/>
    <xf numFmtId="1" fontId="0" fillId="0" borderId="0" xfId="0" applyNumberFormat="1" applyBorder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1" fontId="0" fillId="0" borderId="1" xfId="0" applyNumberFormat="1" applyBorder="1"/>
    <xf numFmtId="0" fontId="0" fillId="3" borderId="0" xfId="0" applyFill="1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/>
    <xf numFmtId="0" fontId="0" fillId="3" borderId="0" xfId="0" applyFill="1" applyBorder="1" applyAlignment="1">
      <alignment horizontal="center" vertical="center"/>
    </xf>
    <xf numFmtId="0" fontId="0" fillId="0" borderId="2" xfId="0" applyFill="1" applyBorder="1"/>
    <xf numFmtId="0" fontId="3" fillId="0" borderId="0" xfId="0" applyFont="1"/>
    <xf numFmtId="0" fontId="1" fillId="0" borderId="3" xfId="0" applyFont="1" applyBorder="1"/>
    <xf numFmtId="0" fontId="3" fillId="0" borderId="3" xfId="0" applyFont="1" applyBorder="1"/>
    <xf numFmtId="9" fontId="0" fillId="0" borderId="1" xfId="0" applyNumberFormat="1" applyBorder="1"/>
    <xf numFmtId="9" fontId="0" fillId="0" borderId="3" xfId="0" applyNumberFormat="1" applyBorder="1"/>
    <xf numFmtId="0" fontId="0" fillId="0" borderId="0" xfId="0" applyBorder="1" applyAlignment="1">
      <alignment vertical="center"/>
    </xf>
    <xf numFmtId="0" fontId="3" fillId="3" borderId="2" xfId="0" applyFont="1" applyFill="1" applyBorder="1"/>
    <xf numFmtId="0" fontId="1" fillId="3" borderId="2" xfId="0" applyFont="1" applyFill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3" fillId="0" borderId="0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10" fontId="4" fillId="2" borderId="0" xfId="1" applyNumberFormat="1" applyFont="1" applyFill="1" applyBorder="1" applyAlignment="1">
      <alignment horizontal="center" vertical="center"/>
    </xf>
    <xf numFmtId="10" fontId="4" fillId="2" borderId="3" xfId="1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0" xfId="0" applyFill="1"/>
    <xf numFmtId="10" fontId="0" fillId="0" borderId="0" xfId="1" applyNumberFormat="1" applyFont="1" applyBorder="1" applyAlignment="1">
      <alignment horizontal="center"/>
    </xf>
    <xf numFmtId="1" fontId="0" fillId="2" borderId="0" xfId="0" applyNumberFormat="1" applyFill="1" applyBorder="1"/>
    <xf numFmtId="1" fontId="0" fillId="2" borderId="3" xfId="0" applyNumberFormat="1" applyFill="1" applyBorder="1"/>
    <xf numFmtId="10" fontId="4" fillId="3" borderId="1" xfId="1" applyNumberFormat="1" applyFont="1" applyFill="1" applyBorder="1" applyAlignment="1">
      <alignment horizontal="center" vertical="center"/>
    </xf>
    <xf numFmtId="10" fontId="4" fillId="3" borderId="0" xfId="1" applyNumberFormat="1" applyFont="1" applyFill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10" fontId="4" fillId="3" borderId="1" xfId="1" applyNumberFormat="1" applyFont="1" applyFill="1" applyBorder="1" applyAlignment="1">
      <alignment vertical="center"/>
    </xf>
    <xf numFmtId="10" fontId="4" fillId="3" borderId="0" xfId="1" applyNumberFormat="1" applyFont="1" applyFill="1" applyBorder="1" applyAlignment="1">
      <alignment vertical="center"/>
    </xf>
    <xf numFmtId="1" fontId="0" fillId="2" borderId="0" xfId="0" applyNumberFormat="1" applyFill="1"/>
    <xf numFmtId="10" fontId="4" fillId="2" borderId="0" xfId="1" applyNumberFormat="1" applyFont="1" applyFill="1" applyBorder="1" applyAlignment="1">
      <alignment vertical="center"/>
    </xf>
    <xf numFmtId="10" fontId="4" fillId="2" borderId="3" xfId="1" applyNumberFormat="1" applyFont="1" applyFill="1" applyBorder="1" applyAlignment="1">
      <alignment vertical="center"/>
    </xf>
    <xf numFmtId="1" fontId="0" fillId="0" borderId="2" xfId="0" applyNumberFormat="1" applyBorder="1"/>
    <xf numFmtId="0" fontId="5" fillId="0" borderId="0" xfId="0" applyFont="1"/>
  </cellXfs>
  <cellStyles count="3">
    <cellStyle name="Normal" xfId="0" builtinId="0"/>
    <cellStyle name="Normal 2" xfId="2" xr:uid="{8D58651A-D3B1-41CF-BB98-C68A6095C57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8B40-A609-4359-9F33-1C7AE24E4F50}">
  <dimension ref="A1:F12"/>
  <sheetViews>
    <sheetView workbookViewId="0">
      <selection activeCell="D8" sqref="D8"/>
    </sheetView>
  </sheetViews>
  <sheetFormatPr defaultRowHeight="14.4" x14ac:dyDescent="0.3"/>
  <cols>
    <col min="2" max="2" width="10.33203125" customWidth="1"/>
    <col min="3" max="3" width="10.77734375" customWidth="1"/>
    <col min="4" max="4" width="12.6640625" customWidth="1"/>
    <col min="5" max="5" width="13.33203125" customWidth="1"/>
    <col min="6" max="6" width="14.5546875" customWidth="1"/>
  </cols>
  <sheetData>
    <row r="1" spans="1:6" x14ac:dyDescent="0.3">
      <c r="A1" t="s">
        <v>7</v>
      </c>
    </row>
    <row r="2" spans="1:6" x14ac:dyDescent="0.3">
      <c r="A2" t="s">
        <v>9</v>
      </c>
    </row>
    <row r="5" spans="1:6" x14ac:dyDescent="0.3">
      <c r="A5" s="31" t="s">
        <v>6</v>
      </c>
      <c r="B5" s="30" t="s">
        <v>8</v>
      </c>
      <c r="C5" s="30"/>
      <c r="D5" s="30"/>
      <c r="E5" s="30"/>
      <c r="F5" s="30"/>
    </row>
    <row r="6" spans="1:6" x14ac:dyDescent="0.3">
      <c r="A6" s="32"/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x14ac:dyDescent="0.3">
      <c r="A7">
        <v>2014</v>
      </c>
      <c r="B7">
        <v>211400</v>
      </c>
      <c r="C7">
        <v>34200</v>
      </c>
      <c r="D7">
        <v>49600</v>
      </c>
      <c r="E7">
        <v>67000</v>
      </c>
      <c r="F7">
        <v>24800</v>
      </c>
    </row>
    <row r="8" spans="1:6" x14ac:dyDescent="0.3">
      <c r="A8">
        <v>2015</v>
      </c>
      <c r="B8">
        <v>248400</v>
      </c>
      <c r="C8">
        <v>40000</v>
      </c>
      <c r="D8">
        <v>52400</v>
      </c>
      <c r="E8">
        <v>118000</v>
      </c>
      <c r="F8">
        <v>34000</v>
      </c>
    </row>
    <row r="9" spans="1:6" x14ac:dyDescent="0.3">
      <c r="A9">
        <v>2016</v>
      </c>
      <c r="B9">
        <v>267470</v>
      </c>
      <c r="C9">
        <v>39180</v>
      </c>
      <c r="D9">
        <v>63280</v>
      </c>
      <c r="E9">
        <v>115220</v>
      </c>
      <c r="F9">
        <v>29890</v>
      </c>
    </row>
    <row r="10" spans="1:6" x14ac:dyDescent="0.3">
      <c r="A10">
        <v>2017</v>
      </c>
      <c r="B10">
        <f>259264+39420</f>
        <v>298684</v>
      </c>
      <c r="C10">
        <f>44136+2210</f>
        <v>46346</v>
      </c>
      <c r="D10">
        <f>59198+7075</f>
        <v>66273</v>
      </c>
      <c r="E10">
        <f>109701+16900</f>
        <v>126601</v>
      </c>
      <c r="F10">
        <v>13517</v>
      </c>
    </row>
    <row r="11" spans="1:6" x14ac:dyDescent="0.3">
      <c r="A11" s="2">
        <v>2018</v>
      </c>
      <c r="B11" s="2">
        <v>277880</v>
      </c>
      <c r="C11" s="2">
        <v>41100</v>
      </c>
      <c r="D11" s="2">
        <v>64380</v>
      </c>
      <c r="E11" s="2">
        <v>112800</v>
      </c>
      <c r="F11" s="2">
        <v>25140</v>
      </c>
    </row>
    <row r="12" spans="1:6" x14ac:dyDescent="0.3">
      <c r="A12" s="3">
        <v>2019</v>
      </c>
      <c r="B12" s="3">
        <v>305534</v>
      </c>
      <c r="C12" s="3">
        <v>48803</v>
      </c>
      <c r="D12" s="3">
        <v>72740</v>
      </c>
      <c r="E12" s="3">
        <v>136666</v>
      </c>
      <c r="F12" s="3">
        <v>23493</v>
      </c>
    </row>
  </sheetData>
  <mergeCells count="2">
    <mergeCell ref="A5:A6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E23E-1317-432A-8828-A18AEC52B73D}">
  <dimension ref="A1:S37"/>
  <sheetViews>
    <sheetView workbookViewId="0">
      <selection activeCell="G30" sqref="G30"/>
    </sheetView>
  </sheetViews>
  <sheetFormatPr defaultRowHeight="14.4" x14ac:dyDescent="0.3"/>
  <cols>
    <col min="2" max="2" width="11.6640625" customWidth="1"/>
    <col min="3" max="3" width="15.21875" bestFit="1" customWidth="1"/>
    <col min="7" max="7" width="15.21875" bestFit="1" customWidth="1"/>
    <col min="11" max="11" width="15.21875" bestFit="1" customWidth="1"/>
    <col min="15" max="15" width="15.21875" bestFit="1" customWidth="1"/>
    <col min="18" max="18" width="9.5546875" bestFit="1" customWidth="1"/>
    <col min="19" max="19" width="15.21875" bestFit="1" customWidth="1"/>
  </cols>
  <sheetData>
    <row r="1" spans="1:19" x14ac:dyDescent="0.3">
      <c r="A1" t="s">
        <v>5</v>
      </c>
    </row>
    <row r="2" spans="1:19" x14ac:dyDescent="0.3">
      <c r="A2" t="s">
        <v>11</v>
      </c>
      <c r="E2" t="s">
        <v>13</v>
      </c>
      <c r="I2" t="s">
        <v>14</v>
      </c>
      <c r="M2" s="51" t="s">
        <v>15</v>
      </c>
      <c r="N2" s="51"/>
      <c r="O2" s="51"/>
      <c r="Q2" t="s">
        <v>16</v>
      </c>
    </row>
    <row r="4" spans="1:19" x14ac:dyDescent="0.3">
      <c r="A4" s="4" t="s">
        <v>6</v>
      </c>
      <c r="B4" s="4" t="s">
        <v>12</v>
      </c>
      <c r="C4" s="4" t="s">
        <v>10</v>
      </c>
      <c r="E4" s="1" t="s">
        <v>6</v>
      </c>
      <c r="F4" s="1" t="s">
        <v>12</v>
      </c>
      <c r="G4" s="1" t="s">
        <v>10</v>
      </c>
      <c r="I4" s="1" t="s">
        <v>6</v>
      </c>
      <c r="J4" s="1" t="s">
        <v>12</v>
      </c>
      <c r="K4" s="1" t="s">
        <v>10</v>
      </c>
      <c r="M4" s="4" t="s">
        <v>6</v>
      </c>
      <c r="N4" s="4" t="s">
        <v>12</v>
      </c>
      <c r="O4" s="4" t="s">
        <v>10</v>
      </c>
      <c r="Q4" s="4" t="s">
        <v>6</v>
      </c>
      <c r="R4" s="4" t="s">
        <v>12</v>
      </c>
      <c r="S4" s="4" t="s">
        <v>10</v>
      </c>
    </row>
    <row r="5" spans="1:19" x14ac:dyDescent="0.3">
      <c r="A5">
        <v>2009</v>
      </c>
      <c r="B5" s="7">
        <f>(EXP($C$10*-5))*$B$10</f>
        <v>146268.36947770132</v>
      </c>
      <c r="C5" s="37"/>
      <c r="E5" s="2">
        <v>2009</v>
      </c>
      <c r="F5" s="9">
        <f>(EXP($G$10*-5))*$F$10</f>
        <v>23966.559432821748</v>
      </c>
      <c r="G5" s="52"/>
      <c r="I5" s="2">
        <v>2009</v>
      </c>
      <c r="J5" s="9">
        <f>(EXP($K$10*-5))*$J$10</f>
        <v>33821.281275776739</v>
      </c>
      <c r="K5" s="52"/>
      <c r="M5">
        <v>2009</v>
      </c>
      <c r="N5" s="7">
        <f>(EXP($O$11*-6))*$N$11</f>
        <v>94670.417644159766</v>
      </c>
      <c r="O5" s="59"/>
      <c r="Q5">
        <v>2009</v>
      </c>
      <c r="R5" s="7">
        <f>(EXP($S$10*-5))*$R$10</f>
        <v>24381.458982564993</v>
      </c>
      <c r="S5" s="55"/>
    </row>
    <row r="6" spans="1:19" x14ac:dyDescent="0.3">
      <c r="A6">
        <v>2010</v>
      </c>
      <c r="B6" s="7">
        <f>(EXP($C$10*-4))*$B$10</f>
        <v>157449.51699655436</v>
      </c>
      <c r="C6" s="38"/>
      <c r="E6" s="2">
        <v>2010</v>
      </c>
      <c r="F6" s="9">
        <f>(EXP($G$10*-4))*$F$10</f>
        <v>25732.961794475781</v>
      </c>
      <c r="G6" s="52"/>
      <c r="I6" s="2">
        <v>2010</v>
      </c>
      <c r="J6" s="9">
        <f>(EXP($K$10*-4))*$J$10</f>
        <v>36513.072569951109</v>
      </c>
      <c r="K6" s="52"/>
      <c r="M6">
        <v>2010</v>
      </c>
      <c r="N6" s="7">
        <f>(EXP($O$11*-5))*$N$11</f>
        <v>98210.723875785974</v>
      </c>
      <c r="O6" s="60"/>
      <c r="Q6">
        <v>2010</v>
      </c>
      <c r="R6" s="7">
        <f>(EXP($S$10*-4))*$R$10</f>
        <v>24464.598249801114</v>
      </c>
      <c r="S6" s="56"/>
    </row>
    <row r="7" spans="1:19" x14ac:dyDescent="0.3">
      <c r="A7">
        <v>2011</v>
      </c>
      <c r="B7" s="7">
        <f>(EXP($C$10*-3))*$B$10</f>
        <v>169485.38150093725</v>
      </c>
      <c r="C7" s="38"/>
      <c r="E7" s="2">
        <v>2011</v>
      </c>
      <c r="F7" s="9">
        <f>(EXP($G$10*-3))*$F$10</f>
        <v>27629.55294321887</v>
      </c>
      <c r="G7" s="52"/>
      <c r="I7" s="2">
        <v>2011</v>
      </c>
      <c r="J7" s="9">
        <f>(EXP($K$10*-3))*$J$10</f>
        <v>39419.099992919997</v>
      </c>
      <c r="K7" s="52"/>
      <c r="M7">
        <v>2011</v>
      </c>
      <c r="N7" s="7">
        <f>(EXP($O$11*-4))*$N$11</f>
        <v>101883.42382157962</v>
      </c>
      <c r="O7" s="60"/>
      <c r="Q7">
        <v>2011</v>
      </c>
      <c r="R7" s="7">
        <f>(EXP($S$10*-3))*$R$10</f>
        <v>24548.021016796683</v>
      </c>
      <c r="S7" s="56"/>
    </row>
    <row r="8" spans="1:19" x14ac:dyDescent="0.3">
      <c r="A8">
        <v>2012</v>
      </c>
      <c r="B8" s="7">
        <f>(EXP($C$10*-2))*$B$10</f>
        <v>182441.29985579359</v>
      </c>
      <c r="C8" s="38"/>
      <c r="E8" s="2">
        <v>2012</v>
      </c>
      <c r="F8" s="9">
        <f>(EXP($G$10*-2))*$F$10</f>
        <v>29665.928156237951</v>
      </c>
      <c r="G8" s="52"/>
      <c r="I8" s="2">
        <v>2012</v>
      </c>
      <c r="J8" s="9">
        <f>(EXP($K$10*-2))*$J$10</f>
        <v>42556.414316405637</v>
      </c>
      <c r="K8" s="52"/>
      <c r="M8">
        <v>2012</v>
      </c>
      <c r="N8" s="7">
        <f>(EXP($O$11*-3))*$N$11</f>
        <v>105693.46849266917</v>
      </c>
      <c r="O8" s="60"/>
      <c r="Q8">
        <v>2012</v>
      </c>
      <c r="R8" s="7">
        <f>(EXP($S$10*-2))*$R$10</f>
        <v>24631.728250268345</v>
      </c>
      <c r="S8" s="56"/>
    </row>
    <row r="9" spans="1:19" x14ac:dyDescent="0.3">
      <c r="A9">
        <v>2013</v>
      </c>
      <c r="B9" s="7">
        <f>(EXP($C$10*-1))*$B$10</f>
        <v>196387.60345173205</v>
      </c>
      <c r="C9" s="52"/>
      <c r="E9" s="2">
        <v>2013</v>
      </c>
      <c r="F9" s="9">
        <f>(EXP($G$10*-1))*$F$10</f>
        <v>31852.389909445381</v>
      </c>
      <c r="G9" s="52"/>
      <c r="I9" s="2">
        <v>2013</v>
      </c>
      <c r="J9" s="9">
        <f>(EXP($K$10*-1))*$J$10</f>
        <v>45943.423360626053</v>
      </c>
      <c r="K9" s="52"/>
      <c r="M9">
        <v>2013</v>
      </c>
      <c r="N9" s="7">
        <f>(EXP($O$11*-2))*$N$11</f>
        <v>109645.99404878591</v>
      </c>
      <c r="O9" s="60"/>
      <c r="Q9">
        <v>2013</v>
      </c>
      <c r="R9" s="7">
        <f>(EXP($S$10*-1))*$R$10</f>
        <v>24715.720920229192</v>
      </c>
      <c r="S9" s="56"/>
    </row>
    <row r="10" spans="1:19" x14ac:dyDescent="0.3">
      <c r="A10" s="11">
        <v>2014</v>
      </c>
      <c r="B10" s="11">
        <f>'historis_2014-2019'!B7</f>
        <v>211400</v>
      </c>
      <c r="C10" s="35">
        <f>((LN(B15/B10))*(1/5))</f>
        <v>7.3661798389053457E-2</v>
      </c>
      <c r="E10" s="11">
        <v>2014</v>
      </c>
      <c r="F10" s="11">
        <f>'historis_2014-2019'!C7</f>
        <v>34200</v>
      </c>
      <c r="G10" s="35">
        <f>((LN(F15/F10))*(1/5))</f>
        <v>7.1113228462168526E-2</v>
      </c>
      <c r="I10" s="11">
        <v>2014</v>
      </c>
      <c r="J10" s="53">
        <f>'historis_2014-2019'!D7</f>
        <v>49600</v>
      </c>
      <c r="K10" s="35">
        <f>((LN(J15/J10))*(1/5))</f>
        <v>7.6580121165592249E-2</v>
      </c>
      <c r="M10" s="11">
        <v>2014</v>
      </c>
      <c r="N10" s="61">
        <f>(EXP($O$11*-1))*$N$11</f>
        <v>113746.32872210311</v>
      </c>
      <c r="O10" s="62"/>
      <c r="Q10" s="11">
        <v>2014</v>
      </c>
      <c r="R10" s="53">
        <f>'historis_2014-2019'!F7</f>
        <v>24800</v>
      </c>
      <c r="S10" s="35">
        <f>((LN(R14/R10))*(1/4))</f>
        <v>3.40413749779121E-3</v>
      </c>
    </row>
    <row r="11" spans="1:19" x14ac:dyDescent="0.3">
      <c r="A11" s="11">
        <v>2015</v>
      </c>
      <c r="B11" s="11">
        <f>'historis_2014-2019'!B8</f>
        <v>248400</v>
      </c>
      <c r="C11" s="35"/>
      <c r="E11" s="11">
        <v>2015</v>
      </c>
      <c r="F11" s="53">
        <f>(EXP($G$10*1))*$F$10</f>
        <v>36720.635510403554</v>
      </c>
      <c r="G11" s="35"/>
      <c r="I11" s="11">
        <v>2015</v>
      </c>
      <c r="J11" s="53">
        <f>'historis_2014-2019'!D8</f>
        <v>52400</v>
      </c>
      <c r="K11" s="35"/>
      <c r="M11" s="11">
        <v>2015</v>
      </c>
      <c r="N11" s="53">
        <f>'historis_2014-2019'!E8</f>
        <v>118000</v>
      </c>
      <c r="O11" s="62">
        <f>((LN(N15/N11))*(1/4))</f>
        <v>3.6713842125975199E-2</v>
      </c>
      <c r="Q11" s="11">
        <v>2015</v>
      </c>
      <c r="R11" s="53">
        <f>(EXP($S$10*1))*$R$10</f>
        <v>24884.566466220505</v>
      </c>
      <c r="S11" s="35"/>
    </row>
    <row r="12" spans="1:19" x14ac:dyDescent="0.3">
      <c r="A12" s="11">
        <v>2016</v>
      </c>
      <c r="B12" s="11">
        <f>'historis_2014-2019'!B9</f>
        <v>267470</v>
      </c>
      <c r="C12" s="35"/>
      <c r="E12" s="11">
        <v>2016</v>
      </c>
      <c r="F12" s="53">
        <f>(EXP($G$10*2))*$F$10</f>
        <v>39427.04889730733</v>
      </c>
      <c r="G12" s="35"/>
      <c r="I12" s="11">
        <v>2016</v>
      </c>
      <c r="J12" s="53">
        <f>(EXP($K$10*2))*$J$10</f>
        <v>57809.381723487917</v>
      </c>
      <c r="K12" s="35"/>
      <c r="M12" s="11">
        <v>2016</v>
      </c>
      <c r="N12" s="53">
        <f>(EXP($O$11*1))*$N$11</f>
        <v>122412.74207643326</v>
      </c>
      <c r="O12" s="62"/>
      <c r="Q12" s="11">
        <v>2016</v>
      </c>
      <c r="R12" s="53">
        <f>(EXP($S$10*2))*$R$10</f>
        <v>24969.421298860732</v>
      </c>
      <c r="S12" s="35"/>
    </row>
    <row r="13" spans="1:19" x14ac:dyDescent="0.3">
      <c r="A13" s="11">
        <v>2017</v>
      </c>
      <c r="B13" s="11">
        <f>'historis_2014-2019'!B10</f>
        <v>298684</v>
      </c>
      <c r="C13" s="35"/>
      <c r="E13" s="11">
        <v>2017</v>
      </c>
      <c r="F13" s="53">
        <f>(EXP($G$10*3))*$F$10</f>
        <v>42332.932509031605</v>
      </c>
      <c r="G13" s="35"/>
      <c r="I13" s="11">
        <v>2017</v>
      </c>
      <c r="J13" s="53">
        <f>(EXP($K$10*3))*$J$10</f>
        <v>62410.354382567471</v>
      </c>
      <c r="K13" s="35"/>
      <c r="M13" s="11">
        <v>2017</v>
      </c>
      <c r="N13" s="53">
        <f>(EXP($O$11*2))*$N$11</f>
        <v>126990.5035819608</v>
      </c>
      <c r="O13" s="62"/>
      <c r="Q13" s="11">
        <v>2017</v>
      </c>
      <c r="R13" s="53">
        <f>(EXP($S$10*3))*$R$10</f>
        <v>25054.565481232334</v>
      </c>
      <c r="S13" s="35"/>
    </row>
    <row r="14" spans="1:19" x14ac:dyDescent="0.3">
      <c r="A14" s="11">
        <v>2018</v>
      </c>
      <c r="B14" s="11">
        <f>'historis_2014-2019'!B11</f>
        <v>277880</v>
      </c>
      <c r="C14" s="35"/>
      <c r="E14" s="11">
        <v>2018</v>
      </c>
      <c r="F14" s="53">
        <f>(EXP($G$10*4))*$F$10</f>
        <v>45452.987858206521</v>
      </c>
      <c r="G14" s="35"/>
      <c r="I14" s="11">
        <v>2018</v>
      </c>
      <c r="J14" s="53">
        <f>(EXP($K$10*4))*$J$10</f>
        <v>67377.512404272973</v>
      </c>
      <c r="K14" s="35"/>
      <c r="M14" s="11">
        <v>2018</v>
      </c>
      <c r="N14" s="53">
        <f>(EXP($O$11*3))*$N$11</f>
        <v>131739.45560283848</v>
      </c>
      <c r="O14" s="62"/>
      <c r="Q14" s="11">
        <v>2018</v>
      </c>
      <c r="R14" s="53">
        <f>'historis_2014-2019'!F11</f>
        <v>25140</v>
      </c>
      <c r="S14" s="35"/>
    </row>
    <row r="15" spans="1:19" x14ac:dyDescent="0.3">
      <c r="A15" s="12">
        <v>2019</v>
      </c>
      <c r="B15" s="12">
        <f>'historis_2014-2019'!B12</f>
        <v>305534</v>
      </c>
      <c r="C15" s="36"/>
      <c r="E15" s="12">
        <v>2019</v>
      </c>
      <c r="F15" s="12">
        <f>'historis_2014-2019'!C12</f>
        <v>48803</v>
      </c>
      <c r="G15" s="36"/>
      <c r="I15" s="12">
        <v>2019</v>
      </c>
      <c r="J15" s="54">
        <f>'historis_2014-2019'!D12</f>
        <v>72740</v>
      </c>
      <c r="K15" s="36"/>
      <c r="M15" s="12">
        <v>2019</v>
      </c>
      <c r="N15" s="54">
        <f>'historis_2014-2019'!E12</f>
        <v>136666</v>
      </c>
      <c r="O15" s="63"/>
      <c r="Q15" s="12">
        <v>2019</v>
      </c>
      <c r="R15" s="53">
        <f>(EXP($S$10*5))*$R$10</f>
        <v>25225.725845192886</v>
      </c>
      <c r="S15" s="57"/>
    </row>
    <row r="16" spans="1:19" hidden="1" x14ac:dyDescent="0.3">
      <c r="A16" s="5">
        <v>2020</v>
      </c>
      <c r="B16" s="9">
        <f>(EXP($C$10*6))*$B$10</f>
        <v>328889.84062517388</v>
      </c>
      <c r="C16" s="33">
        <v>7.3661798389053457E-2</v>
      </c>
      <c r="E16" s="5">
        <v>2020</v>
      </c>
      <c r="F16" s="9">
        <f>(EXP($G$10*6))*$F$10</f>
        <v>52399.917392228796</v>
      </c>
      <c r="G16" s="33">
        <v>7.1113228462168526E-2</v>
      </c>
      <c r="I16" s="5">
        <v>2020</v>
      </c>
      <c r="J16" s="9">
        <f>(EXP($K$10*6))*$J$10</f>
        <v>78529.280930597961</v>
      </c>
      <c r="K16" s="33">
        <v>7.6580121165592249E-2</v>
      </c>
      <c r="M16" s="5">
        <v>2020</v>
      </c>
      <c r="N16" s="9">
        <f>(EXP($O$11*5))*$N$11</f>
        <v>141776.77803913414</v>
      </c>
      <c r="O16" s="33">
        <v>3.6713842125975199E-2</v>
      </c>
      <c r="Q16" s="10">
        <v>2020</v>
      </c>
      <c r="R16" s="16">
        <f>(EXP($S$10*6))*$R$10</f>
        <v>25311.744010216084</v>
      </c>
      <c r="S16" s="57"/>
    </row>
    <row r="17" spans="1:19" hidden="1" x14ac:dyDescent="0.3">
      <c r="A17" s="5">
        <v>2021</v>
      </c>
      <c r="B17" s="9">
        <f>(EXP($C$10*7))*$B$10</f>
        <v>354031.06451803155</v>
      </c>
      <c r="C17" s="33"/>
      <c r="E17" s="5">
        <v>2021</v>
      </c>
      <c r="F17" s="13">
        <f>(EXP($G$10*7))*$F$10</f>
        <v>56261.937641382749</v>
      </c>
      <c r="G17" s="33"/>
      <c r="I17" s="5">
        <v>2021</v>
      </c>
      <c r="J17" s="13">
        <f>(EXP($K$10*7))*$J$10</f>
        <v>84779.323116260319</v>
      </c>
      <c r="K17" s="33"/>
      <c r="M17" s="5">
        <v>2021</v>
      </c>
      <c r="N17" s="13">
        <f t="shared" ref="N17" si="0">(EXP($O$11*6))*$N$11</f>
        <v>147078.67934349368</v>
      </c>
      <c r="O17" s="33"/>
      <c r="Q17" s="11">
        <v>2021</v>
      </c>
      <c r="R17" s="16">
        <f>(EXP($S$10*7))*$R$10</f>
        <v>25398.055491862131</v>
      </c>
      <c r="S17" s="57"/>
    </row>
    <row r="18" spans="1:19" hidden="1" x14ac:dyDescent="0.3">
      <c r="A18" s="5">
        <v>2022</v>
      </c>
      <c r="B18" s="9">
        <f>(EXP($C$10*8))*$B$10</f>
        <v>381094.1511769428</v>
      </c>
      <c r="C18" s="33"/>
      <c r="E18" s="5">
        <v>2022</v>
      </c>
      <c r="F18" s="13">
        <f>(EXP($G$10*8))*$F$10</f>
        <v>60408.599568370453</v>
      </c>
      <c r="G18" s="33"/>
      <c r="I18" s="5">
        <v>2022</v>
      </c>
      <c r="J18" s="13">
        <f>(EXP($K$10*8))*$J$10</f>
        <v>91526.797939273354</v>
      </c>
      <c r="K18" s="33"/>
      <c r="M18" s="5">
        <v>2022</v>
      </c>
      <c r="N18" s="13">
        <f>(EXP($O$11*7))*$N$11</f>
        <v>152578.85118150443</v>
      </c>
      <c r="O18" s="33"/>
      <c r="Q18" s="11">
        <v>2022</v>
      </c>
      <c r="R18" s="16">
        <f>(EXP($S$10*8))*$R$10</f>
        <v>25484.66129032258</v>
      </c>
      <c r="S18" s="57"/>
    </row>
    <row r="19" spans="1:19" hidden="1" x14ac:dyDescent="0.3">
      <c r="A19" s="5">
        <v>2023</v>
      </c>
      <c r="B19" s="9">
        <f>(EXP($C$10*9))*$B$10</f>
        <v>410226.01296016364</v>
      </c>
      <c r="C19" s="33"/>
      <c r="E19" s="5">
        <v>2023</v>
      </c>
      <c r="F19" s="13">
        <f>(EXP($G$10*9))*$F$10</f>
        <v>64860.882059767639</v>
      </c>
      <c r="G19" s="33"/>
      <c r="I19" s="5">
        <v>2023</v>
      </c>
      <c r="J19" s="13">
        <f>(EXP($K$10*9))*$J$10</f>
        <v>98811.29540900838</v>
      </c>
      <c r="K19" s="33"/>
      <c r="M19" s="5">
        <v>2023</v>
      </c>
      <c r="N19" s="13">
        <f>(EXP($O$11*8))*$N$11</f>
        <v>158284.70810169491</v>
      </c>
      <c r="O19" s="33"/>
      <c r="Q19" s="11">
        <v>2023</v>
      </c>
      <c r="R19" s="16">
        <f>(EXP($S$10*9))*$R$10</f>
        <v>25571.56240919956</v>
      </c>
      <c r="S19" s="57"/>
    </row>
    <row r="20" spans="1:19" hidden="1" x14ac:dyDescent="0.3">
      <c r="A20" s="5">
        <v>2024</v>
      </c>
      <c r="B20" s="9">
        <f>(EXP($C$10*10))*$B$10</f>
        <v>441584.79260170297</v>
      </c>
      <c r="C20" s="33"/>
      <c r="E20" s="5">
        <v>2024</v>
      </c>
      <c r="F20" s="13">
        <f>(EXP($G$10*10))*$F$10</f>
        <v>69641.310204678375</v>
      </c>
      <c r="G20" s="33"/>
      <c r="I20" s="5">
        <v>2024</v>
      </c>
      <c r="J20" s="13">
        <f>(EXP($K$10*10))*$J$10</f>
        <v>106675.55645161292</v>
      </c>
      <c r="K20" s="33"/>
      <c r="M20" s="5">
        <v>2024</v>
      </c>
      <c r="N20" s="13">
        <f>(EXP($O$11*9))*$N$11</f>
        <v>164203.94192793479</v>
      </c>
      <c r="O20" s="33"/>
      <c r="Q20" s="11">
        <v>2024</v>
      </c>
      <c r="R20" s="16">
        <f>(EXP($S$10*10))*$R$10</f>
        <v>25658.75985551743</v>
      </c>
      <c r="S20" s="57"/>
    </row>
    <row r="21" spans="1:19" hidden="1" x14ac:dyDescent="0.3">
      <c r="A21" s="5">
        <v>2025</v>
      </c>
      <c r="B21" s="9">
        <f>(EXP($C$10*11))*$B$10</f>
        <v>475340.72169144684</v>
      </c>
      <c r="C21" s="33"/>
      <c r="E21" s="5">
        <v>2025</v>
      </c>
      <c r="F21" s="13">
        <f>(EXP($G$10*11))*$F$10</f>
        <v>74774.069254179602</v>
      </c>
      <c r="G21" s="33"/>
      <c r="I21" s="5">
        <v>2025</v>
      </c>
      <c r="J21" s="13">
        <f>(EXP($K$10*11))*$J$10</f>
        <v>115165.72368733257</v>
      </c>
      <c r="K21" s="33"/>
      <c r="M21" s="5">
        <v>2025</v>
      </c>
      <c r="N21" s="13">
        <f>(EXP($O$11*10))*$N$11</f>
        <v>170344.53212845683</v>
      </c>
      <c r="O21" s="33"/>
      <c r="Q21" s="11">
        <v>2025</v>
      </c>
      <c r="R21" s="16">
        <f>(EXP($S$10*11))*$R$10</f>
        <v>25746.254639734434</v>
      </c>
      <c r="S21" s="57"/>
    </row>
    <row r="22" spans="1:19" hidden="1" x14ac:dyDescent="0.3">
      <c r="A22" s="5">
        <v>2026</v>
      </c>
      <c r="B22" s="9">
        <f>(EXP($C$10*12))*$B$10</f>
        <v>511677.04477981199</v>
      </c>
      <c r="C22" s="33"/>
      <c r="E22" s="5">
        <v>2026</v>
      </c>
      <c r="F22" s="13">
        <f>(EXP($G$10*12))*$F$10</f>
        <v>80285.126979894805</v>
      </c>
      <c r="G22" s="33"/>
      <c r="I22" s="5">
        <v>2026</v>
      </c>
      <c r="J22" s="13">
        <f>(EXP($K$10*12))*$J$10</f>
        <v>124331.61216687049</v>
      </c>
      <c r="K22" s="33"/>
      <c r="M22" s="5">
        <v>2026</v>
      </c>
      <c r="N22" s="13">
        <f>(EXP($O$11*11))*$N$11</f>
        <v>176714.75657263972</v>
      </c>
      <c r="O22" s="33"/>
      <c r="Q22" s="11">
        <v>2026</v>
      </c>
      <c r="R22" s="16">
        <f>(EXP($S$10*12))*$R$10</f>
        <v>25834.047775754418</v>
      </c>
      <c r="S22" s="57"/>
    </row>
    <row r="23" spans="1:19" hidden="1" x14ac:dyDescent="0.3">
      <c r="A23" s="5">
        <v>2027</v>
      </c>
      <c r="B23" s="9">
        <f>(EXP($C$10*13))*$B$10</f>
        <v>550791.01412344398</v>
      </c>
      <c r="C23" s="33"/>
      <c r="E23" s="5">
        <v>2027</v>
      </c>
      <c r="F23" s="13">
        <f>(EXP($G$10*13))*$F$10</f>
        <v>86202.365050736364</v>
      </c>
      <c r="G23" s="33"/>
      <c r="I23" s="5">
        <v>2027</v>
      </c>
      <c r="J23" s="13">
        <f>(EXP($K$10*13))*$J$10</f>
        <v>134227.00165529727</v>
      </c>
      <c r="K23" s="33"/>
      <c r="M23" s="5">
        <v>2027</v>
      </c>
      <c r="N23" s="13">
        <f>(EXP($O$11*12))*$N$11</f>
        <v>183323.20269005283</v>
      </c>
      <c r="O23" s="33"/>
      <c r="Q23" s="11">
        <v>2027</v>
      </c>
      <c r="R23" s="16">
        <f>(EXP($S$10*13))*$R$10</f>
        <v>25922.140280938584</v>
      </c>
      <c r="S23" s="57"/>
    </row>
    <row r="24" spans="1:19" hidden="1" x14ac:dyDescent="0.3">
      <c r="A24" s="5">
        <v>2028</v>
      </c>
      <c r="B24" s="9">
        <f>(EXP($C$10*14))*$B$10</f>
        <v>592894.96047195175</v>
      </c>
      <c r="C24" s="33"/>
      <c r="E24" s="5">
        <v>2028</v>
      </c>
      <c r="F24" s="13">
        <f>(EXP($G$10*14))*$F$10</f>
        <v>92555.720092480711</v>
      </c>
      <c r="G24" s="33"/>
      <c r="I24" s="5">
        <v>2028</v>
      </c>
      <c r="J24" s="13">
        <f>(EXP($K$10*14))*$J$10</f>
        <v>144909.95217845307</v>
      </c>
      <c r="K24" s="33"/>
      <c r="M24" s="5">
        <v>2028</v>
      </c>
      <c r="N24" s="13">
        <f>(EXP($O$11*13))*$N$11</f>
        <v>190178.77904680622</v>
      </c>
      <c r="O24" s="33"/>
      <c r="Q24" s="11">
        <v>2028</v>
      </c>
      <c r="R24" s="16">
        <f>(EXP($S$10*14))*$R$10</f>
        <v>26010.533176117264</v>
      </c>
      <c r="S24" s="57"/>
    </row>
    <row r="25" spans="1:19" hidden="1" x14ac:dyDescent="0.3">
      <c r="A25" s="5">
        <v>2029</v>
      </c>
      <c r="B25" s="9">
        <f>(EXP($C$10*15))*$B$10</f>
        <v>638217.44570846122</v>
      </c>
      <c r="C25" s="33"/>
      <c r="E25" s="5">
        <v>2029</v>
      </c>
      <c r="F25" s="13">
        <f>(EXP($G$10*15))*$F$10</f>
        <v>99377.335143828052</v>
      </c>
      <c r="G25" s="33"/>
      <c r="I25" s="5">
        <v>2029</v>
      </c>
      <c r="J25" s="13">
        <f>(EXP($K$10*15))*$J$10</f>
        <v>156443.14468327267</v>
      </c>
      <c r="K25" s="33"/>
      <c r="M25" s="5">
        <v>2029</v>
      </c>
      <c r="N25" s="13">
        <f>(EXP($O$11*14))*$N$11</f>
        <v>197290.72735481086</v>
      </c>
      <c r="O25" s="33"/>
      <c r="Q25" s="11">
        <v>2029</v>
      </c>
      <c r="R25" s="16">
        <f>(EXP($S$10*15))*$R$10</f>
        <v>26099.227485601758</v>
      </c>
      <c r="S25" s="57"/>
    </row>
    <row r="26" spans="1:19" hidden="1" x14ac:dyDescent="0.3">
      <c r="A26" s="6">
        <v>2030</v>
      </c>
      <c r="B26" s="8">
        <f>(EXP($C$10*16))*$B$10</f>
        <v>687004.50360110938</v>
      </c>
      <c r="C26" s="34"/>
      <c r="E26" s="6">
        <v>2030</v>
      </c>
      <c r="F26" s="13">
        <f>(EXP($G$10*16))*$F$10</f>
        <v>106701.72227519672</v>
      </c>
      <c r="G26" s="34"/>
      <c r="I26" s="6">
        <v>2030</v>
      </c>
      <c r="J26" s="13">
        <f>(EXP($K$10*16))*$J$10</f>
        <v>168894.24881081798</v>
      </c>
      <c r="K26" s="34"/>
      <c r="M26" s="6">
        <v>2030</v>
      </c>
      <c r="N26" s="13">
        <f>(EXP($O$11*15))*$N$11</f>
        <v>204668.6349301388</v>
      </c>
      <c r="O26" s="34"/>
      <c r="Q26" s="12">
        <v>2030</v>
      </c>
      <c r="R26" s="16">
        <f>(EXP($S$10*16))*$R$10</f>
        <v>26188.224237196217</v>
      </c>
      <c r="S26" s="58"/>
    </row>
    <row r="29" spans="1:19" x14ac:dyDescent="0.3">
      <c r="A29" s="19" t="s">
        <v>66</v>
      </c>
    </row>
    <row r="30" spans="1:19" x14ac:dyDescent="0.3">
      <c r="A30" s="19" t="s">
        <v>67</v>
      </c>
    </row>
    <row r="33" spans="1:6" x14ac:dyDescent="0.3">
      <c r="A33" s="19" t="s">
        <v>68</v>
      </c>
    </row>
    <row r="35" spans="1:6" x14ac:dyDescent="0.3">
      <c r="A35" s="31" t="s">
        <v>6</v>
      </c>
      <c r="B35" s="30" t="s">
        <v>8</v>
      </c>
      <c r="C35" s="30"/>
      <c r="D35" s="30"/>
      <c r="E35" s="30"/>
      <c r="F35" s="30"/>
    </row>
    <row r="36" spans="1:6" x14ac:dyDescent="0.3">
      <c r="A36" s="32"/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</row>
    <row r="37" spans="1:6" x14ac:dyDescent="0.3">
      <c r="A37" s="4">
        <v>2009</v>
      </c>
      <c r="B37" s="64">
        <f>B5</f>
        <v>146268.36947770132</v>
      </c>
      <c r="C37" s="64">
        <f>F5</f>
        <v>23966.559432821748</v>
      </c>
      <c r="D37" s="64">
        <f>J5</f>
        <v>33821.281275776739</v>
      </c>
      <c r="E37" s="64">
        <f>N5</f>
        <v>94670.417644159766</v>
      </c>
      <c r="F37" s="64">
        <f>R5</f>
        <v>24381.458982564993</v>
      </c>
    </row>
  </sheetData>
  <mergeCells count="15">
    <mergeCell ref="A35:A36"/>
    <mergeCell ref="B35:F35"/>
    <mergeCell ref="C5:C9"/>
    <mergeCell ref="G5:G9"/>
    <mergeCell ref="K5:K9"/>
    <mergeCell ref="S5:S9"/>
    <mergeCell ref="S10:S14"/>
    <mergeCell ref="S15:S26"/>
    <mergeCell ref="C10:C15"/>
    <mergeCell ref="G10:G15"/>
    <mergeCell ref="K10:K15"/>
    <mergeCell ref="C16:C26"/>
    <mergeCell ref="G16:G26"/>
    <mergeCell ref="K16:K26"/>
    <mergeCell ref="O16:O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B2C9-4473-4CB8-B306-7B6AB6A9D03F}">
  <dimension ref="A1:O94"/>
  <sheetViews>
    <sheetView tabSelected="1" zoomScale="90" zoomScaleNormal="90" workbookViewId="0">
      <selection activeCell="F11" sqref="F11"/>
    </sheetView>
  </sheetViews>
  <sheetFormatPr defaultRowHeight="14.4" x14ac:dyDescent="0.3"/>
  <cols>
    <col min="1" max="1" width="18.109375" customWidth="1"/>
    <col min="2" max="2" width="35.6640625" bestFit="1" customWidth="1"/>
    <col min="3" max="3" width="15" customWidth="1"/>
    <col min="8" max="8" width="16.21875" customWidth="1"/>
    <col min="9" max="9" width="34.44140625" customWidth="1"/>
    <col min="10" max="10" width="16.44140625" customWidth="1"/>
    <col min="13" max="13" width="10.77734375" customWidth="1"/>
  </cols>
  <sheetData>
    <row r="1" spans="1:15" x14ac:dyDescent="0.3">
      <c r="A1" s="19" t="s">
        <v>69</v>
      </c>
    </row>
    <row r="2" spans="1:15" x14ac:dyDescent="0.3">
      <c r="A2" s="19" t="s">
        <v>70</v>
      </c>
    </row>
    <row r="3" spans="1:15" x14ac:dyDescent="0.3">
      <c r="A3" s="19"/>
    </row>
    <row r="4" spans="1:15" x14ac:dyDescent="0.3">
      <c r="A4" s="19" t="s">
        <v>73</v>
      </c>
    </row>
    <row r="6" spans="1:15" ht="21" x14ac:dyDescent="0.4">
      <c r="A6" s="65" t="s">
        <v>17</v>
      </c>
      <c r="B6" s="19"/>
      <c r="I6" s="65" t="s">
        <v>17</v>
      </c>
      <c r="J6" s="19"/>
    </row>
    <row r="7" spans="1:15" x14ac:dyDescent="0.3">
      <c r="A7" s="19"/>
      <c r="B7" s="19"/>
      <c r="I7" s="19"/>
      <c r="J7" s="19"/>
    </row>
    <row r="8" spans="1:15" x14ac:dyDescent="0.3">
      <c r="A8" s="19"/>
      <c r="B8" s="19"/>
      <c r="I8" s="19"/>
      <c r="J8" s="19"/>
    </row>
    <row r="9" spans="1:15" x14ac:dyDescent="0.3">
      <c r="A9" s="19"/>
      <c r="B9" s="19"/>
      <c r="I9" s="19"/>
      <c r="J9" s="19"/>
    </row>
    <row r="10" spans="1:15" x14ac:dyDescent="0.3">
      <c r="A10" s="19" t="s">
        <v>71</v>
      </c>
      <c r="B10" s="19"/>
      <c r="I10" s="19" t="s">
        <v>72</v>
      </c>
      <c r="J10" s="19"/>
    </row>
    <row r="12" spans="1:15" x14ac:dyDescent="0.3">
      <c r="A12" s="31" t="s">
        <v>6</v>
      </c>
      <c r="B12" s="31" t="s">
        <v>24</v>
      </c>
      <c r="C12" s="30" t="s">
        <v>8</v>
      </c>
      <c r="D12" s="30"/>
      <c r="E12" s="30"/>
      <c r="F12" s="30"/>
      <c r="G12" s="30"/>
      <c r="I12" s="31" t="s">
        <v>6</v>
      </c>
      <c r="J12" s="31" t="s">
        <v>24</v>
      </c>
      <c r="K12" s="30" t="s">
        <v>8</v>
      </c>
      <c r="L12" s="30"/>
      <c r="M12" s="30"/>
      <c r="N12" s="30"/>
      <c r="O12" s="30"/>
    </row>
    <row r="13" spans="1:15" x14ac:dyDescent="0.3">
      <c r="A13" s="32"/>
      <c r="B13" s="3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I13" s="32"/>
      <c r="J13" s="32"/>
      <c r="K13" s="3" t="s">
        <v>0</v>
      </c>
      <c r="L13" s="3" t="s">
        <v>1</v>
      </c>
      <c r="M13" s="3" t="s">
        <v>2</v>
      </c>
      <c r="N13" s="3" t="s">
        <v>3</v>
      </c>
      <c r="O13" s="3" t="s">
        <v>4</v>
      </c>
    </row>
    <row r="14" spans="1:15" x14ac:dyDescent="0.3">
      <c r="A14" s="15">
        <v>2009</v>
      </c>
      <c r="B14" t="s">
        <v>5</v>
      </c>
      <c r="C14" s="9">
        <v>146268.36947770132</v>
      </c>
      <c r="D14" s="9">
        <v>23966.559432821748</v>
      </c>
      <c r="E14" s="9">
        <v>33821.281275776739</v>
      </c>
      <c r="F14" s="9">
        <v>94670.417644159766</v>
      </c>
      <c r="G14" s="9">
        <v>24381.458982564993</v>
      </c>
      <c r="I14" s="15">
        <v>2009</v>
      </c>
      <c r="J14" t="s">
        <v>5</v>
      </c>
      <c r="K14" s="9">
        <v>146268.36947770132</v>
      </c>
      <c r="L14" s="9">
        <v>23966.559432821748</v>
      </c>
      <c r="M14" s="9">
        <v>33821.281275776739</v>
      </c>
      <c r="N14" s="9">
        <v>94670.417644159766</v>
      </c>
      <c r="O14" s="9">
        <v>24381.458982564993</v>
      </c>
    </row>
    <row r="15" spans="1:15" x14ac:dyDescent="0.3">
      <c r="A15" s="17">
        <v>2014</v>
      </c>
      <c r="B15" t="s">
        <v>5</v>
      </c>
      <c r="C15">
        <v>211400</v>
      </c>
      <c r="D15">
        <v>34200</v>
      </c>
      <c r="E15">
        <v>49600</v>
      </c>
      <c r="F15">
        <v>67000</v>
      </c>
      <c r="G15">
        <v>24800</v>
      </c>
      <c r="I15" s="27">
        <v>2009</v>
      </c>
      <c r="J15" s="28" t="s">
        <v>25</v>
      </c>
      <c r="K15" s="28">
        <f>K14/K16</f>
        <v>2364925.6711200713</v>
      </c>
      <c r="L15" s="28">
        <f>L14/L16</f>
        <v>532590.20961826108</v>
      </c>
      <c r="M15" s="28">
        <f t="shared" ref="M15:O15" si="0">M14/M16</f>
        <v>545504.53670607647</v>
      </c>
      <c r="N15" s="28">
        <f t="shared" si="0"/>
        <v>28259826.162435751</v>
      </c>
      <c r="O15" s="28">
        <f t="shared" si="0"/>
        <v>786498.67685693526</v>
      </c>
    </row>
    <row r="16" spans="1:15" x14ac:dyDescent="0.3">
      <c r="A16" s="17">
        <v>2014</v>
      </c>
      <c r="B16" s="14" t="s">
        <v>25</v>
      </c>
      <c r="C16" s="14">
        <v>3418000</v>
      </c>
      <c r="D16" s="14">
        <v>760000</v>
      </c>
      <c r="E16" s="14">
        <v>800000</v>
      </c>
      <c r="F16" s="14">
        <v>20000000</v>
      </c>
      <c r="G16" s="14">
        <v>800000</v>
      </c>
      <c r="I16" s="40" t="s">
        <v>26</v>
      </c>
      <c r="J16" s="40"/>
      <c r="K16" s="26">
        <v>6.1849034523112932E-2</v>
      </c>
      <c r="L16" s="26">
        <v>4.4999999999999998E-2</v>
      </c>
      <c r="M16" s="26">
        <v>6.2E-2</v>
      </c>
      <c r="N16" s="26">
        <v>3.3500000000000001E-3</v>
      </c>
      <c r="O16" s="26">
        <v>3.1E-2</v>
      </c>
    </row>
    <row r="17" spans="1:14" x14ac:dyDescent="0.3">
      <c r="A17" s="39" t="s">
        <v>26</v>
      </c>
      <c r="B17" s="39"/>
      <c r="C17" s="25">
        <f>(C15/C16)</f>
        <v>6.1849034523112932E-2</v>
      </c>
      <c r="D17" s="25">
        <f t="shared" ref="D17:G17" si="1">(D15/D16)</f>
        <v>4.4999999999999998E-2</v>
      </c>
      <c r="E17" s="25">
        <f t="shared" si="1"/>
        <v>6.2E-2</v>
      </c>
      <c r="F17" s="25">
        <f t="shared" si="1"/>
        <v>3.3500000000000001E-3</v>
      </c>
      <c r="G17" s="25">
        <f t="shared" si="1"/>
        <v>3.1E-2</v>
      </c>
    </row>
    <row r="18" spans="1:14" x14ac:dyDescent="0.3">
      <c r="A18" s="27"/>
      <c r="B18" s="27"/>
      <c r="C18" s="28"/>
      <c r="D18" s="28"/>
      <c r="E18" s="28"/>
      <c r="F18" s="28"/>
      <c r="G18" s="28"/>
    </row>
    <row r="21" spans="1:14" x14ac:dyDescent="0.3">
      <c r="A21" s="19" t="s">
        <v>74</v>
      </c>
      <c r="I21" s="19" t="s">
        <v>75</v>
      </c>
    </row>
    <row r="23" spans="1:14" x14ac:dyDescent="0.3">
      <c r="A23" s="4" t="s">
        <v>18</v>
      </c>
      <c r="B23" s="4" t="s">
        <v>0</v>
      </c>
      <c r="C23" s="4" t="s">
        <v>1</v>
      </c>
      <c r="D23" s="4" t="s">
        <v>2</v>
      </c>
      <c r="E23" s="4" t="s">
        <v>3</v>
      </c>
      <c r="F23" s="4" t="s">
        <v>4</v>
      </c>
      <c r="I23" s="4" t="s">
        <v>18</v>
      </c>
      <c r="J23" s="4" t="s">
        <v>0</v>
      </c>
      <c r="K23" s="4" t="s">
        <v>1</v>
      </c>
      <c r="L23" s="4" t="s">
        <v>2</v>
      </c>
      <c r="M23" s="4" t="s">
        <v>3</v>
      </c>
      <c r="N23" s="4" t="s">
        <v>4</v>
      </c>
    </row>
    <row r="24" spans="1:14" x14ac:dyDescent="0.3">
      <c r="A24" t="s">
        <v>19</v>
      </c>
      <c r="B24">
        <v>2481552</v>
      </c>
      <c r="C24">
        <v>520639</v>
      </c>
      <c r="D24">
        <v>514103</v>
      </c>
      <c r="E24">
        <v>1362272</v>
      </c>
      <c r="F24">
        <v>595989</v>
      </c>
      <c r="I24" t="s">
        <v>19</v>
      </c>
      <c r="J24">
        <f>(B24/$C$16)*$K$15</f>
        <v>1716994.1571150834</v>
      </c>
      <c r="K24">
        <f>(C24/$D$16)*$L$15</f>
        <v>364851.62387558131</v>
      </c>
      <c r="L24">
        <f>(D24/$E$16)*$M$15</f>
        <v>350556.89854275505</v>
      </c>
      <c r="M24">
        <f>(E24/$F$16)*$N$15</f>
        <v>1924878.4952976836</v>
      </c>
      <c r="N24">
        <f>(F24/$G$16)*$O$15</f>
        <v>585930.69990160991</v>
      </c>
    </row>
    <row r="25" spans="1:14" x14ac:dyDescent="0.3">
      <c r="A25" t="s">
        <v>20</v>
      </c>
      <c r="B25">
        <v>195819</v>
      </c>
      <c r="C25">
        <v>41930</v>
      </c>
      <c r="D25">
        <v>40154</v>
      </c>
      <c r="E25">
        <v>206077</v>
      </c>
      <c r="F25">
        <v>71884</v>
      </c>
      <c r="I25" t="s">
        <v>20</v>
      </c>
      <c r="J25">
        <f t="shared" ref="J25:J28" si="2">(B25/$C$16)*$K$15</f>
        <v>135487.82328644273</v>
      </c>
      <c r="K25">
        <f t="shared" ref="K25:K28" si="3">(C25/$D$16)*$L$15</f>
        <v>29383.562485912746</v>
      </c>
      <c r="L25">
        <f t="shared" ref="L25:L28" si="4">(D25/$E$16)*$M$15</f>
        <v>27380.236458619744</v>
      </c>
      <c r="M25">
        <f t="shared" ref="M25:M28" si="5">(E25/$F$16)*$N$15</f>
        <v>291185.00980381359</v>
      </c>
      <c r="N25">
        <f t="shared" ref="N25:N28" si="6">(F25/$G$16)*$O$15</f>
        <v>70670.838608979917</v>
      </c>
    </row>
    <row r="26" spans="1:14" x14ac:dyDescent="0.3">
      <c r="A26" t="s">
        <v>21</v>
      </c>
      <c r="B26">
        <v>521113</v>
      </c>
      <c r="C26">
        <v>136461</v>
      </c>
      <c r="D26">
        <v>224922</v>
      </c>
      <c r="E26">
        <v>389288</v>
      </c>
      <c r="F26">
        <v>109859</v>
      </c>
      <c r="I26" t="s">
        <v>21</v>
      </c>
      <c r="J26">
        <f t="shared" si="2"/>
        <v>360559.83360280679</v>
      </c>
      <c r="K26">
        <f t="shared" si="3"/>
        <v>95628.674466733588</v>
      </c>
      <c r="L26">
        <f t="shared" si="4"/>
        <v>153369.96425625519</v>
      </c>
      <c r="M26">
        <f t="shared" si="5"/>
        <v>550060.56035611441</v>
      </c>
      <c r="N26">
        <f t="shared" si="6"/>
        <v>108004.94767603256</v>
      </c>
    </row>
    <row r="27" spans="1:14" x14ac:dyDescent="0.3">
      <c r="A27" t="s">
        <v>22</v>
      </c>
      <c r="B27">
        <v>102663</v>
      </c>
      <c r="C27">
        <v>20960</v>
      </c>
      <c r="D27">
        <v>20821</v>
      </c>
      <c r="E27">
        <v>42362</v>
      </c>
      <c r="F27">
        <v>22268</v>
      </c>
      <c r="I27" t="s">
        <v>22</v>
      </c>
      <c r="J27">
        <f t="shared" si="2"/>
        <v>71032.874246401363</v>
      </c>
      <c r="K27">
        <f t="shared" si="3"/>
        <v>14688.277359998359</v>
      </c>
      <c r="L27">
        <f t="shared" si="4"/>
        <v>14197.437448446522</v>
      </c>
      <c r="M27">
        <f t="shared" si="5"/>
        <v>59857.137794655166</v>
      </c>
      <c r="N27">
        <f t="shared" si="6"/>
        <v>21892.190670312793</v>
      </c>
    </row>
    <row r="28" spans="1:14" x14ac:dyDescent="0.3">
      <c r="A28" s="3" t="s">
        <v>23</v>
      </c>
      <c r="B28" s="3">
        <v>116853</v>
      </c>
      <c r="C28" s="3">
        <v>40010</v>
      </c>
      <c r="D28" s="3">
        <v>0</v>
      </c>
      <c r="E28" s="3">
        <v>0</v>
      </c>
      <c r="F28" s="3">
        <v>0</v>
      </c>
      <c r="I28" s="3" t="s">
        <v>23</v>
      </c>
      <c r="J28" s="3">
        <f t="shared" si="2"/>
        <v>80850.982869336949</v>
      </c>
      <c r="K28" s="3">
        <f t="shared" si="3"/>
        <v>28038.071430035034</v>
      </c>
      <c r="L28" s="3">
        <f t="shared" si="4"/>
        <v>0</v>
      </c>
      <c r="M28" s="3">
        <f t="shared" si="5"/>
        <v>0</v>
      </c>
      <c r="N28" s="3">
        <f t="shared" si="6"/>
        <v>0</v>
      </c>
    </row>
    <row r="29" spans="1:14" x14ac:dyDescent="0.3">
      <c r="B29">
        <f>SUM(B24:B28)</f>
        <v>3418000</v>
      </c>
      <c r="C29">
        <f t="shared" ref="C29:F29" si="7">SUM(C24:C28)</f>
        <v>760000</v>
      </c>
      <c r="D29">
        <f t="shared" si="7"/>
        <v>800000</v>
      </c>
      <c r="E29">
        <f t="shared" si="7"/>
        <v>1999999</v>
      </c>
      <c r="F29">
        <f t="shared" si="7"/>
        <v>800000</v>
      </c>
    </row>
    <row r="32" spans="1:14" x14ac:dyDescent="0.3">
      <c r="A32" s="19" t="s">
        <v>76</v>
      </c>
      <c r="I32" s="19" t="s">
        <v>77</v>
      </c>
    </row>
    <row r="34" spans="1:14" x14ac:dyDescent="0.3">
      <c r="A34" s="4" t="s">
        <v>18</v>
      </c>
      <c r="B34" s="4" t="s">
        <v>0</v>
      </c>
      <c r="C34" s="4" t="s">
        <v>1</v>
      </c>
      <c r="D34" s="4" t="s">
        <v>2</v>
      </c>
      <c r="E34" s="4" t="s">
        <v>3</v>
      </c>
      <c r="F34" s="4" t="s">
        <v>4</v>
      </c>
      <c r="I34" s="4" t="s">
        <v>18</v>
      </c>
      <c r="J34" s="4" t="s">
        <v>0</v>
      </c>
      <c r="K34" s="4" t="s">
        <v>1</v>
      </c>
      <c r="L34" s="4" t="s">
        <v>2</v>
      </c>
      <c r="M34" s="4" t="s">
        <v>3</v>
      </c>
      <c r="N34" s="4" t="s">
        <v>4</v>
      </c>
    </row>
    <row r="35" spans="1:14" x14ac:dyDescent="0.3">
      <c r="A35" t="s">
        <v>19</v>
      </c>
      <c r="B35">
        <f>$C$17*B24</f>
        <v>153481.59531889996</v>
      </c>
      <c r="C35">
        <f>$D$17*C24</f>
        <v>23428.754999999997</v>
      </c>
      <c r="D35">
        <f>$E$17*D24</f>
        <v>31874.385999999999</v>
      </c>
      <c r="E35">
        <f>$F$17*E24</f>
        <v>4563.6112000000003</v>
      </c>
      <c r="F35">
        <f>$G$17*F24</f>
        <v>18475.659</v>
      </c>
      <c r="I35" t="s">
        <v>19</v>
      </c>
      <c r="J35">
        <f>K$16*J24</f>
        <v>106194.43089939398</v>
      </c>
      <c r="K35">
        <f>L$16*K24</f>
        <v>16418.32307440116</v>
      </c>
      <c r="L35">
        <f>M$16*L24</f>
        <v>21734.527709650814</v>
      </c>
      <c r="M35">
        <f t="shared" ref="M35:N35" si="8">N$16*M24</f>
        <v>6448.3429592472403</v>
      </c>
      <c r="N35">
        <f t="shared" si="8"/>
        <v>18163.851696949907</v>
      </c>
    </row>
    <row r="36" spans="1:14" x14ac:dyDescent="0.3">
      <c r="A36" t="s">
        <v>20</v>
      </c>
      <c r="B36">
        <f>$C$17*B25</f>
        <v>12111.216091281451</v>
      </c>
      <c r="C36">
        <f>$D$17*C25</f>
        <v>1886.85</v>
      </c>
      <c r="D36">
        <f>$E$17*D25</f>
        <v>2489.5479999999998</v>
      </c>
      <c r="E36">
        <f>$F$17*E25</f>
        <v>690.35795000000007</v>
      </c>
      <c r="F36">
        <f>$G$17*F25</f>
        <v>2228.404</v>
      </c>
      <c r="I36" t="s">
        <v>20</v>
      </c>
      <c r="J36">
        <f>K$16*J25</f>
        <v>8379.7910599046209</v>
      </c>
      <c r="K36">
        <f>L$16*K25</f>
        <v>1322.2603118660736</v>
      </c>
      <c r="L36">
        <f>M$16*L25</f>
        <v>1697.574660434424</v>
      </c>
      <c r="M36">
        <f>N$16*M25</f>
        <v>975.46978284277554</v>
      </c>
      <c r="N36">
        <f>O$16*N25</f>
        <v>2190.7959968783775</v>
      </c>
    </row>
    <row r="37" spans="1:14" x14ac:dyDescent="0.3">
      <c r="A37" t="s">
        <v>21</v>
      </c>
      <c r="B37">
        <f>$C$17*B26</f>
        <v>32230.335927442949</v>
      </c>
      <c r="C37">
        <f>$D$17*C26</f>
        <v>6140.7449999999999</v>
      </c>
      <c r="D37">
        <f>$E$17*D26</f>
        <v>13945.164000000001</v>
      </c>
      <c r="E37">
        <f>$F$17*E26</f>
        <v>1304.1148000000001</v>
      </c>
      <c r="F37">
        <f>$G$17*F26</f>
        <v>3405.6289999999999</v>
      </c>
      <c r="I37" t="s">
        <v>21</v>
      </c>
      <c r="J37">
        <f>K$16*J26</f>
        <v>22300.277596147851</v>
      </c>
      <c r="K37">
        <f>L$16*K26</f>
        <v>4303.290351003011</v>
      </c>
      <c r="L37">
        <f>M$16*L26</f>
        <v>9508.9377838878208</v>
      </c>
      <c r="M37">
        <f>N$16*M26</f>
        <v>1842.7028771929834</v>
      </c>
      <c r="N37">
        <f>O$16*N26</f>
        <v>3348.1533779570095</v>
      </c>
    </row>
    <row r="38" spans="1:14" x14ac:dyDescent="0.3">
      <c r="A38" t="s">
        <v>22</v>
      </c>
      <c r="B38">
        <f>$C$17*B27</f>
        <v>6349.6074312463434</v>
      </c>
      <c r="C38">
        <f>$D$17*C27</f>
        <v>943.19999999999993</v>
      </c>
      <c r="D38">
        <f>$E$17*D27</f>
        <v>1290.902</v>
      </c>
      <c r="E38">
        <f>$F$17*E27</f>
        <v>141.9127</v>
      </c>
      <c r="F38">
        <f>$G$17*F27</f>
        <v>690.30799999999999</v>
      </c>
      <c r="I38" s="2" t="s">
        <v>22</v>
      </c>
      <c r="J38" s="2">
        <f>K$16*J27</f>
        <v>4393.3146915416173</v>
      </c>
      <c r="K38" s="2">
        <f>L$16*K27</f>
        <v>660.97248119992616</v>
      </c>
      <c r="L38" s="2">
        <f>M$16*L27</f>
        <v>880.24112180368434</v>
      </c>
      <c r="M38" s="2">
        <f>N$16*M27</f>
        <v>200.52141161209482</v>
      </c>
      <c r="N38" s="2">
        <f>O$16*N27</f>
        <v>678.65791077969664</v>
      </c>
    </row>
    <row r="39" spans="1:14" x14ac:dyDescent="0.3">
      <c r="A39" s="3" t="s">
        <v>23</v>
      </c>
      <c r="B39" s="3">
        <f>$C$17*B28</f>
        <v>7227.2452311293155</v>
      </c>
      <c r="C39" s="3">
        <f>$D$17*C28</f>
        <v>1800.45</v>
      </c>
      <c r="D39" s="3">
        <f>$E$17*D28</f>
        <v>0</v>
      </c>
      <c r="E39" s="3">
        <f>$F$17*E28</f>
        <v>0</v>
      </c>
      <c r="F39" s="3">
        <f>$G$17*F28</f>
        <v>0</v>
      </c>
      <c r="I39" s="3" t="s">
        <v>23</v>
      </c>
      <c r="J39" s="3">
        <f>K$16*J28</f>
        <v>5000.555230713233</v>
      </c>
      <c r="K39" s="3">
        <f>L$16*K28</f>
        <v>1261.7132143515764</v>
      </c>
      <c r="L39" s="3">
        <f>M$16*L28</f>
        <v>0</v>
      </c>
      <c r="M39" s="3">
        <f>N$16*M28</f>
        <v>0</v>
      </c>
      <c r="N39" s="3">
        <f>O$16*N28</f>
        <v>0</v>
      </c>
    </row>
    <row r="42" spans="1:14" x14ac:dyDescent="0.3">
      <c r="A42" s="4" t="s">
        <v>18</v>
      </c>
      <c r="B42" s="4" t="s">
        <v>27</v>
      </c>
      <c r="C42" s="4" t="s">
        <v>33</v>
      </c>
      <c r="D42" s="18" t="s">
        <v>26</v>
      </c>
      <c r="H42" s="43" t="s">
        <v>18</v>
      </c>
      <c r="I42" s="31" t="s">
        <v>27</v>
      </c>
      <c r="J42" s="30" t="s">
        <v>33</v>
      </c>
      <c r="K42" s="30"/>
      <c r="L42" s="41" t="s">
        <v>51</v>
      </c>
      <c r="M42" s="43" t="s">
        <v>26</v>
      </c>
    </row>
    <row r="43" spans="1:14" x14ac:dyDescent="0.3">
      <c r="A43" s="1" t="s">
        <v>19</v>
      </c>
      <c r="B43" s="1" t="s">
        <v>28</v>
      </c>
      <c r="C43" s="1">
        <f>853676+8341</f>
        <v>862017</v>
      </c>
      <c r="D43" s="1">
        <f>C43/$C$50</f>
        <v>0.68222213252734576</v>
      </c>
      <c r="H43" s="44"/>
      <c r="I43" s="32"/>
      <c r="J43" s="20" t="s">
        <v>53</v>
      </c>
      <c r="K43" s="20" t="s">
        <v>52</v>
      </c>
      <c r="L43" s="42"/>
      <c r="M43" s="44"/>
    </row>
    <row r="44" spans="1:14" x14ac:dyDescent="0.3">
      <c r="A44" s="2"/>
      <c r="B44" s="2" t="s">
        <v>34</v>
      </c>
      <c r="C44" s="2">
        <v>299669</v>
      </c>
      <c r="D44" s="2">
        <f t="shared" ref="D44:D49" si="9">C44/$C$50</f>
        <v>0.23716565245504109</v>
      </c>
      <c r="H44" t="s">
        <v>21</v>
      </c>
      <c r="I44" t="s">
        <v>30</v>
      </c>
      <c r="J44">
        <v>0</v>
      </c>
      <c r="K44">
        <v>9144.74</v>
      </c>
      <c r="L44">
        <f>J44+K44</f>
        <v>9144.74</v>
      </c>
      <c r="M44">
        <f>L44/$L$53</f>
        <v>1.3245130758866332E-2</v>
      </c>
    </row>
    <row r="45" spans="1:14" x14ac:dyDescent="0.3">
      <c r="A45" s="2"/>
      <c r="B45" s="2" t="s">
        <v>35</v>
      </c>
      <c r="C45" s="2">
        <v>26944</v>
      </c>
      <c r="D45" s="2">
        <f t="shared" si="9"/>
        <v>2.1324165461721525E-2</v>
      </c>
      <c r="I45" t="s">
        <v>42</v>
      </c>
      <c r="J45">
        <v>1712.41</v>
      </c>
      <c r="K45">
        <v>0</v>
      </c>
      <c r="L45">
        <f t="shared" ref="L45:L52" si="10">J45+K45</f>
        <v>1712.41</v>
      </c>
      <c r="M45">
        <f t="shared" ref="M45:M52" si="11">L45/$L$53</f>
        <v>2.480233922756721E-3</v>
      </c>
    </row>
    <row r="46" spans="1:14" x14ac:dyDescent="0.3">
      <c r="A46" s="2"/>
      <c r="B46" s="2" t="s">
        <v>36</v>
      </c>
      <c r="C46" s="2">
        <v>5370</v>
      </c>
      <c r="D46" s="2">
        <f t="shared" si="9"/>
        <v>4.2499542951842557E-3</v>
      </c>
      <c r="I46" t="s">
        <v>43</v>
      </c>
      <c r="J46">
        <f>95053.66+16770.38</f>
        <v>111824.04000000001</v>
      </c>
      <c r="K46">
        <f>609.99+625</f>
        <v>1234.99</v>
      </c>
      <c r="L46">
        <f t="shared" si="10"/>
        <v>113059.03000000001</v>
      </c>
      <c r="M46">
        <f t="shared" si="11"/>
        <v>0.16375333096628134</v>
      </c>
    </row>
    <row r="47" spans="1:14" x14ac:dyDescent="0.3">
      <c r="A47" s="2"/>
      <c r="B47" s="2" t="s">
        <v>37</v>
      </c>
      <c r="C47" s="2">
        <v>25785</v>
      </c>
      <c r="D47" s="2">
        <f t="shared" si="9"/>
        <v>2.0406903445312111E-2</v>
      </c>
      <c r="I47" t="s">
        <v>31</v>
      </c>
      <c r="J47">
        <v>8854.15</v>
      </c>
      <c r="K47">
        <v>1478.5</v>
      </c>
      <c r="L47">
        <f t="shared" si="10"/>
        <v>10332.65</v>
      </c>
      <c r="M47">
        <f t="shared" si="11"/>
        <v>1.4965685228404548E-2</v>
      </c>
    </row>
    <row r="48" spans="1:14" x14ac:dyDescent="0.3">
      <c r="A48" s="2"/>
      <c r="B48" s="2" t="s">
        <v>38</v>
      </c>
      <c r="C48" s="2">
        <v>25792</v>
      </c>
      <c r="D48" s="2">
        <f t="shared" si="9"/>
        <v>2.0412443422978085E-2</v>
      </c>
      <c r="I48" t="s">
        <v>29</v>
      </c>
      <c r="J48">
        <f>26360.2+43766.75</f>
        <v>70126.95</v>
      </c>
      <c r="K48">
        <v>2887.46</v>
      </c>
      <c r="L48">
        <f t="shared" si="10"/>
        <v>73014.41</v>
      </c>
      <c r="M48">
        <f t="shared" si="11"/>
        <v>0.10575318792349236</v>
      </c>
    </row>
    <row r="49" spans="1:14" x14ac:dyDescent="0.3">
      <c r="A49" s="2"/>
      <c r="B49" s="2" t="s">
        <v>39</v>
      </c>
      <c r="C49" s="2">
        <v>17966</v>
      </c>
      <c r="D49" s="2">
        <f t="shared" si="9"/>
        <v>1.4218748392417196E-2</v>
      </c>
      <c r="I49" t="s">
        <v>44</v>
      </c>
      <c r="J49">
        <v>44000.2</v>
      </c>
      <c r="K49">
        <v>0</v>
      </c>
      <c r="L49">
        <f t="shared" si="10"/>
        <v>44000.2</v>
      </c>
      <c r="M49">
        <f t="shared" si="11"/>
        <v>6.372935724977094E-2</v>
      </c>
    </row>
    <row r="50" spans="1:14" x14ac:dyDescent="0.3">
      <c r="A50" s="3"/>
      <c r="B50" s="21" t="s">
        <v>51</v>
      </c>
      <c r="C50" s="21">
        <f>SUM(C43:C49)</f>
        <v>1263543</v>
      </c>
      <c r="D50" s="3">
        <f>C50/$C$50</f>
        <v>1</v>
      </c>
      <c r="I50" t="s">
        <v>45</v>
      </c>
      <c r="J50">
        <v>263153.05</v>
      </c>
      <c r="K50">
        <v>4575.83</v>
      </c>
      <c r="L50">
        <f t="shared" si="10"/>
        <v>267728.88</v>
      </c>
      <c r="M50">
        <f t="shared" si="11"/>
        <v>0.38777527010334173</v>
      </c>
    </row>
    <row r="51" spans="1:14" x14ac:dyDescent="0.3">
      <c r="A51" s="1" t="s">
        <v>20</v>
      </c>
      <c r="B51" s="1" t="s">
        <v>40</v>
      </c>
      <c r="C51" s="1">
        <f>9367+85+7482+4382+9089+24850+8261+29092</f>
        <v>92608</v>
      </c>
      <c r="D51" s="1">
        <f>C51/$C$53</f>
        <v>0.16639565324416541</v>
      </c>
      <c r="I51" t="s">
        <v>50</v>
      </c>
      <c r="J51">
        <v>64346.7</v>
      </c>
      <c r="K51">
        <v>766</v>
      </c>
      <c r="L51">
        <f t="shared" si="10"/>
        <v>65112.7</v>
      </c>
      <c r="M51">
        <f t="shared" si="11"/>
        <v>9.4308446775177399E-2</v>
      </c>
    </row>
    <row r="52" spans="1:14" x14ac:dyDescent="0.3">
      <c r="A52" s="2"/>
      <c r="B52" s="2" t="s">
        <v>41</v>
      </c>
      <c r="C52" s="2">
        <f>11136+21635+14161+25609+18954+1902+146573+195614+28361</f>
        <v>463945</v>
      </c>
      <c r="D52" s="2">
        <f t="shared" ref="D52:D53" si="12">C52/$C$53</f>
        <v>0.83360434675583461</v>
      </c>
      <c r="I52" t="s">
        <v>46</v>
      </c>
      <c r="J52">
        <f>669438.71-J45-J46-J47-J48-J49-J50-J51</f>
        <v>105421.20999999986</v>
      </c>
      <c r="K52">
        <f>20218.07-K44-K46-K47-K48-K50</f>
        <v>896.55000000000018</v>
      </c>
      <c r="L52">
        <f t="shared" si="10"/>
        <v>106317.75999999986</v>
      </c>
      <c r="M52">
        <f t="shared" si="11"/>
        <v>0.15398935707190875</v>
      </c>
    </row>
    <row r="53" spans="1:14" x14ac:dyDescent="0.3">
      <c r="A53" s="3"/>
      <c r="B53" s="21" t="s">
        <v>51</v>
      </c>
      <c r="C53" s="21">
        <f>SUM(C51:C52)</f>
        <v>556553</v>
      </c>
      <c r="D53" s="21">
        <f t="shared" si="12"/>
        <v>1</v>
      </c>
      <c r="H53" s="45" t="s">
        <v>51</v>
      </c>
      <c r="I53" s="45"/>
      <c r="J53" s="21">
        <f>SUM(J44:J52)</f>
        <v>669438.70999999985</v>
      </c>
      <c r="K53" s="21">
        <f>SUM(K44:K52)</f>
        <v>20984.069999999996</v>
      </c>
      <c r="L53" s="21">
        <f>J53+K53</f>
        <v>690422.7799999998</v>
      </c>
      <c r="M53" s="3">
        <f>SUM(M44:M52)</f>
        <v>1</v>
      </c>
    </row>
    <row r="54" spans="1:14" x14ac:dyDescent="0.3">
      <c r="A54" s="1" t="s">
        <v>22</v>
      </c>
      <c r="B54" s="1" t="s">
        <v>47</v>
      </c>
      <c r="C54" s="22">
        <v>0.2</v>
      </c>
      <c r="D54" s="1">
        <v>0.2</v>
      </c>
    </row>
    <row r="55" spans="1:14" x14ac:dyDescent="0.3">
      <c r="A55" s="3"/>
      <c r="B55" s="3" t="s">
        <v>48</v>
      </c>
      <c r="C55" s="23">
        <v>0.8</v>
      </c>
      <c r="D55" s="3">
        <v>0.8</v>
      </c>
    </row>
    <row r="56" spans="1:14" x14ac:dyDescent="0.3">
      <c r="A56" s="4" t="s">
        <v>23</v>
      </c>
      <c r="B56" s="4" t="s">
        <v>49</v>
      </c>
      <c r="C56" s="4">
        <v>1</v>
      </c>
      <c r="D56" s="4">
        <v>1</v>
      </c>
    </row>
    <row r="60" spans="1:14" x14ac:dyDescent="0.3">
      <c r="A60" s="19" t="s">
        <v>78</v>
      </c>
      <c r="H60" s="29" t="s">
        <v>79</v>
      </c>
    </row>
    <row r="62" spans="1:14" x14ac:dyDescent="0.3">
      <c r="A62" s="4" t="s">
        <v>64</v>
      </c>
      <c r="B62" s="4" t="s">
        <v>27</v>
      </c>
      <c r="C62" s="4" t="s">
        <v>26</v>
      </c>
      <c r="H62" s="4" t="s">
        <v>64</v>
      </c>
      <c r="I62" s="4" t="s">
        <v>27</v>
      </c>
      <c r="J62" s="4" t="s">
        <v>0</v>
      </c>
      <c r="K62" s="4" t="s">
        <v>1</v>
      </c>
      <c r="L62" s="4" t="s">
        <v>2</v>
      </c>
      <c r="M62" s="4" t="s">
        <v>3</v>
      </c>
      <c r="N62" s="4" t="s">
        <v>4</v>
      </c>
    </row>
    <row r="63" spans="1:14" x14ac:dyDescent="0.3">
      <c r="A63" s="31" t="s">
        <v>19</v>
      </c>
      <c r="B63" t="s">
        <v>28</v>
      </c>
      <c r="C63">
        <f>D43</f>
        <v>0.68222213252734576</v>
      </c>
      <c r="H63" s="31" t="s">
        <v>19</v>
      </c>
      <c r="I63" t="s">
        <v>28</v>
      </c>
      <c r="J63">
        <f>J$35*$C63</f>
        <v>72448.191110712418</v>
      </c>
      <c r="K63">
        <f>K$35*$C63</f>
        <v>11200.943380340887</v>
      </c>
      <c r="L63">
        <f t="shared" ref="L63:N63" si="13">L$35*$C63</f>
        <v>14827.775843552667</v>
      </c>
      <c r="M63">
        <f t="shared" si="13"/>
        <v>4399.2022849253481</v>
      </c>
      <c r="N63">
        <f t="shared" si="13"/>
        <v>12391.781639603614</v>
      </c>
    </row>
    <row r="64" spans="1:14" x14ac:dyDescent="0.3">
      <c r="A64" s="49"/>
      <c r="B64" t="s">
        <v>34</v>
      </c>
      <c r="C64">
        <f t="shared" ref="C64:C69" si="14">D44</f>
        <v>0.23716565245504109</v>
      </c>
      <c r="H64" s="49"/>
      <c r="I64" t="s">
        <v>34</v>
      </c>
      <c r="J64">
        <f t="shared" ref="J64:N72" si="15">J$35*$C64</f>
        <v>25185.671491346548</v>
      </c>
      <c r="K64">
        <f t="shared" si="15"/>
        <v>3893.8623041580072</v>
      </c>
      <c r="L64">
        <f t="shared" si="15"/>
        <v>5154.6834450615052</v>
      </c>
      <c r="M64">
        <f t="shared" si="15"/>
        <v>1529.3254651837422</v>
      </c>
      <c r="N64">
        <f t="shared" si="15"/>
        <v>4307.8417388037296</v>
      </c>
    </row>
    <row r="65" spans="1:14" x14ac:dyDescent="0.3">
      <c r="A65" s="49"/>
      <c r="B65" t="s">
        <v>35</v>
      </c>
      <c r="C65">
        <f t="shared" si="14"/>
        <v>2.1324165461721525E-2</v>
      </c>
      <c r="H65" s="49"/>
      <c r="I65" t="s">
        <v>35</v>
      </c>
      <c r="J65">
        <f t="shared" si="15"/>
        <v>2264.5076156120303</v>
      </c>
      <c r="K65">
        <f t="shared" si="15"/>
        <v>350.10703784253076</v>
      </c>
      <c r="L65">
        <f t="shared" si="15"/>
        <v>463.47066511296532</v>
      </c>
      <c r="M65">
        <f t="shared" si="15"/>
        <v>137.50553221691516</v>
      </c>
      <c r="N65">
        <f t="shared" si="15"/>
        <v>387.32897900793114</v>
      </c>
    </row>
    <row r="66" spans="1:14" x14ac:dyDescent="0.3">
      <c r="A66" s="49"/>
      <c r="B66" t="s">
        <v>36</v>
      </c>
      <c r="C66">
        <f t="shared" si="14"/>
        <v>4.2499542951842557E-3</v>
      </c>
      <c r="H66" s="49"/>
      <c r="I66" t="s">
        <v>36</v>
      </c>
      <c r="J66">
        <f>J$35*$C66</f>
        <v>451.32147772552707</v>
      </c>
      <c r="K66">
        <f>K$35*$C66</f>
        <v>69.777122669773988</v>
      </c>
      <c r="L66">
        <f t="shared" si="15"/>
        <v>92.370749393431709</v>
      </c>
      <c r="M66">
        <f t="shared" si="15"/>
        <v>27.405162856473964</v>
      </c>
      <c r="N66">
        <f t="shared" si="15"/>
        <v>77.195539536542086</v>
      </c>
    </row>
    <row r="67" spans="1:14" x14ac:dyDescent="0.3">
      <c r="A67" s="49"/>
      <c r="B67" t="s">
        <v>37</v>
      </c>
      <c r="C67">
        <f t="shared" si="14"/>
        <v>2.0406903445312111E-2</v>
      </c>
      <c r="H67" s="49"/>
      <c r="I67" t="s">
        <v>37</v>
      </c>
      <c r="J67">
        <f t="shared" si="15"/>
        <v>2167.0994977938017</v>
      </c>
      <c r="K67">
        <f t="shared" si="15"/>
        <v>335.04713371324436</v>
      </c>
      <c r="L67">
        <f t="shared" si="15"/>
        <v>443.53440840030476</v>
      </c>
      <c r="M67">
        <f t="shared" si="15"/>
        <v>131.5907121516166</v>
      </c>
      <c r="N67">
        <f t="shared" si="15"/>
        <v>370.66796777462531</v>
      </c>
    </row>
    <row r="68" spans="1:14" x14ac:dyDescent="0.3">
      <c r="A68" s="49"/>
      <c r="B68" t="s">
        <v>38</v>
      </c>
      <c r="C68">
        <f t="shared" si="14"/>
        <v>2.0412443422978085E-2</v>
      </c>
      <c r="H68" s="49"/>
      <c r="I68" t="s">
        <v>38</v>
      </c>
      <c r="J68">
        <f t="shared" si="15"/>
        <v>2167.6878125692356</v>
      </c>
      <c r="K68">
        <f t="shared" si="15"/>
        <v>335.13809085638928</v>
      </c>
      <c r="L68">
        <f t="shared" si="15"/>
        <v>443.6548171983967</v>
      </c>
      <c r="M68">
        <f t="shared" si="15"/>
        <v>131.62643582759338</v>
      </c>
      <c r="N68">
        <f t="shared" si="15"/>
        <v>370.76859510735449</v>
      </c>
    </row>
    <row r="69" spans="1:14" x14ac:dyDescent="0.3">
      <c r="A69" s="49"/>
      <c r="B69" t="s">
        <v>39</v>
      </c>
      <c r="C69">
        <f t="shared" si="14"/>
        <v>1.4218748392417196E-2</v>
      </c>
      <c r="H69" s="49"/>
      <c r="I69" t="s">
        <v>39</v>
      </c>
      <c r="J69">
        <f t="shared" si="15"/>
        <v>1509.951893634417</v>
      </c>
      <c r="K69">
        <f t="shared" si="15"/>
        <v>233.44800482032764</v>
      </c>
      <c r="L69">
        <f t="shared" si="15"/>
        <v>309.03778093154449</v>
      </c>
      <c r="M69">
        <f t="shared" si="15"/>
        <v>91.687366085551446</v>
      </c>
      <c r="N69">
        <f t="shared" si="15"/>
        <v>258.26723711611083</v>
      </c>
    </row>
    <row r="70" spans="1:14" x14ac:dyDescent="0.3">
      <c r="A70" s="49" t="s">
        <v>20</v>
      </c>
      <c r="B70" t="s">
        <v>40</v>
      </c>
      <c r="C70">
        <f>D51</f>
        <v>0.16639565324416541</v>
      </c>
      <c r="H70" s="49" t="s">
        <v>20</v>
      </c>
      <c r="I70" t="s">
        <v>40</v>
      </c>
      <c r="J70">
        <f>J$36*$C70</f>
        <v>1394.3608074624467</v>
      </c>
      <c r="K70">
        <f>K$36*$C70</f>
        <v>220.01836835178921</v>
      </c>
      <c r="L70">
        <f t="shared" ref="L70:N71" si="16">L$36*$C70</f>
        <v>282.46904455372828</v>
      </c>
      <c r="M70">
        <f t="shared" si="16"/>
        <v>162.31393173606781</v>
      </c>
      <c r="N70">
        <f t="shared" si="16"/>
        <v>364.53893102528019</v>
      </c>
    </row>
    <row r="71" spans="1:14" x14ac:dyDescent="0.3">
      <c r="A71" s="49"/>
      <c r="B71" t="s">
        <v>41</v>
      </c>
      <c r="C71">
        <f>D52</f>
        <v>0.83360434675583461</v>
      </c>
      <c r="H71" s="49"/>
      <c r="I71" t="s">
        <v>41</v>
      </c>
      <c r="J71">
        <f>J$36*$C71</f>
        <v>6985.4302524421746</v>
      </c>
      <c r="K71">
        <f>K$36*$C71</f>
        <v>1102.2419435142845</v>
      </c>
      <c r="L71">
        <f t="shared" si="16"/>
        <v>1415.1056158806957</v>
      </c>
      <c r="M71">
        <f t="shared" si="16"/>
        <v>813.1558511067077</v>
      </c>
      <c r="N71">
        <f t="shared" si="16"/>
        <v>1826.2570658530974</v>
      </c>
    </row>
    <row r="72" spans="1:14" x14ac:dyDescent="0.3">
      <c r="A72" s="24" t="s">
        <v>19</v>
      </c>
      <c r="B72" t="s">
        <v>54</v>
      </c>
      <c r="C72">
        <v>0</v>
      </c>
      <c r="H72" s="24" t="s">
        <v>19</v>
      </c>
      <c r="I72" t="s">
        <v>54</v>
      </c>
      <c r="J72">
        <f t="shared" si="15"/>
        <v>0</v>
      </c>
      <c r="K72">
        <f t="shared" si="15"/>
        <v>0</v>
      </c>
      <c r="L72">
        <f t="shared" si="15"/>
        <v>0</v>
      </c>
      <c r="M72">
        <f t="shared" si="15"/>
        <v>0</v>
      </c>
      <c r="N72">
        <f t="shared" si="15"/>
        <v>0</v>
      </c>
    </row>
    <row r="73" spans="1:14" x14ac:dyDescent="0.3">
      <c r="A73" s="49" t="s">
        <v>21</v>
      </c>
      <c r="B73" t="s">
        <v>30</v>
      </c>
      <c r="C73">
        <f>M44</f>
        <v>1.3245130758866332E-2</v>
      </c>
      <c r="H73" s="49" t="s">
        <v>21</v>
      </c>
      <c r="I73" t="s">
        <v>30</v>
      </c>
      <c r="J73">
        <f>J$37*$C73</f>
        <v>295.37009271999563</v>
      </c>
      <c r="K73">
        <f t="shared" ref="K73:N73" si="17">K$37*$C73</f>
        <v>56.997643392402672</v>
      </c>
      <c r="L73">
        <f t="shared" si="17"/>
        <v>125.94712432551883</v>
      </c>
      <c r="M73">
        <f t="shared" si="17"/>
        <v>24.406840558160273</v>
      </c>
      <c r="N73">
        <f t="shared" si="17"/>
        <v>44.346729291780598</v>
      </c>
    </row>
    <row r="74" spans="1:14" x14ac:dyDescent="0.3">
      <c r="A74" s="49"/>
      <c r="B74" t="s">
        <v>42</v>
      </c>
      <c r="C74">
        <f t="shared" ref="C74:C81" si="18">M45</f>
        <v>2.480233922756721E-3</v>
      </c>
      <c r="H74" s="49"/>
      <c r="I74" t="s">
        <v>42</v>
      </c>
      <c r="J74">
        <f t="shared" ref="J74:N81" si="19">J$37*$C74</f>
        <v>55.309904980857603</v>
      </c>
      <c r="K74">
        <f t="shared" si="19"/>
        <v>10.673166708029344</v>
      </c>
      <c r="L74">
        <f t="shared" si="19"/>
        <v>23.58439006098169</v>
      </c>
      <c r="M74">
        <f t="shared" si="19"/>
        <v>4.5703341855754491</v>
      </c>
      <c r="N74">
        <f t="shared" si="19"/>
        <v>8.3042035866014796</v>
      </c>
    </row>
    <row r="75" spans="1:14" x14ac:dyDescent="0.3">
      <c r="A75" s="49"/>
      <c r="B75" t="s">
        <v>43</v>
      </c>
      <c r="C75">
        <f t="shared" si="18"/>
        <v>0.16375333096628134</v>
      </c>
      <c r="H75" s="49"/>
      <c r="I75" t="s">
        <v>43</v>
      </c>
      <c r="J75">
        <f t="shared" si="19"/>
        <v>3651.7447378419479</v>
      </c>
      <c r="K75">
        <f>K$37*$C75</f>
        <v>704.678129091801</v>
      </c>
      <c r="L75">
        <f t="shared" si="19"/>
        <v>1557.1202360627601</v>
      </c>
      <c r="M75">
        <f t="shared" si="19"/>
        <v>301.74873412150146</v>
      </c>
      <c r="N75">
        <f t="shared" si="19"/>
        <v>548.27126822646699</v>
      </c>
    </row>
    <row r="76" spans="1:14" x14ac:dyDescent="0.3">
      <c r="A76" s="49"/>
      <c r="B76" t="s">
        <v>31</v>
      </c>
      <c r="C76">
        <f t="shared" si="18"/>
        <v>1.4965685228404548E-2</v>
      </c>
      <c r="H76" s="49"/>
      <c r="I76" t="s">
        <v>31</v>
      </c>
      <c r="J76">
        <f t="shared" si="19"/>
        <v>333.73893500999077</v>
      </c>
      <c r="K76">
        <f t="shared" si="19"/>
        <v>64.401688839541578</v>
      </c>
      <c r="L76">
        <f t="shared" si="19"/>
        <v>142.30776973014784</v>
      </c>
      <c r="M76">
        <f t="shared" si="19"/>
        <v>27.57731122954559</v>
      </c>
      <c r="N76">
        <f t="shared" si="19"/>
        <v>50.107409550924011</v>
      </c>
    </row>
    <row r="77" spans="1:14" x14ac:dyDescent="0.3">
      <c r="A77" s="49"/>
      <c r="B77" t="s">
        <v>29</v>
      </c>
      <c r="C77">
        <f t="shared" si="18"/>
        <v>0.10575318792349236</v>
      </c>
      <c r="H77" s="49"/>
      <c r="I77" t="s">
        <v>29</v>
      </c>
      <c r="J77">
        <f t="shared" si="19"/>
        <v>2358.3254473714701</v>
      </c>
      <c r="K77">
        <f t="shared" si="19"/>
        <v>455.08667317897283</v>
      </c>
      <c r="L77">
        <f t="shared" si="19"/>
        <v>1005.6004844122857</v>
      </c>
      <c r="M77">
        <f t="shared" si="19"/>
        <v>194.87170365894963</v>
      </c>
      <c r="N77">
        <f t="shared" si="19"/>
        <v>354.07789337576338</v>
      </c>
    </row>
    <row r="78" spans="1:14" x14ac:dyDescent="0.3">
      <c r="A78" s="49"/>
      <c r="B78" t="s">
        <v>44</v>
      </c>
      <c r="C78">
        <f t="shared" si="18"/>
        <v>6.372935724977094E-2</v>
      </c>
      <c r="H78" s="49"/>
      <c r="I78" t="s">
        <v>44</v>
      </c>
      <c r="J78">
        <f t="shared" si="19"/>
        <v>1421.1823576939696</v>
      </c>
      <c r="K78">
        <f t="shared" si="19"/>
        <v>274.24592812856309</v>
      </c>
      <c r="L78">
        <f t="shared" si="19"/>
        <v>605.99849309523211</v>
      </c>
      <c r="M78">
        <f t="shared" si="19"/>
        <v>117.43426996581242</v>
      </c>
      <c r="N78">
        <f t="shared" si="19"/>
        <v>213.37566275084961</v>
      </c>
    </row>
    <row r="79" spans="1:14" x14ac:dyDescent="0.3">
      <c r="A79" s="49"/>
      <c r="B79" t="s">
        <v>45</v>
      </c>
      <c r="C79">
        <f t="shared" si="18"/>
        <v>0.38777527010334173</v>
      </c>
      <c r="H79" s="49"/>
      <c r="I79" t="s">
        <v>45</v>
      </c>
      <c r="J79">
        <f t="shared" si="19"/>
        <v>8647.4961682257326</v>
      </c>
      <c r="K79">
        <f t="shared" si="19"/>
        <v>1668.7095781932969</v>
      </c>
      <c r="L79">
        <f t="shared" si="19"/>
        <v>3687.3309175429713</v>
      </c>
      <c r="M79">
        <f t="shared" si="19"/>
        <v>714.55460592371401</v>
      </c>
      <c r="N79">
        <f t="shared" si="19"/>
        <v>1298.3310804846953</v>
      </c>
    </row>
    <row r="80" spans="1:14" x14ac:dyDescent="0.3">
      <c r="A80" s="49"/>
      <c r="B80" t="s">
        <v>50</v>
      </c>
      <c r="C80">
        <f t="shared" si="18"/>
        <v>9.4308446775177399E-2</v>
      </c>
      <c r="H80" s="49"/>
      <c r="I80" t="s">
        <v>50</v>
      </c>
      <c r="J80">
        <f t="shared" si="19"/>
        <v>2103.1045427479908</v>
      </c>
      <c r="K80">
        <f t="shared" si="19"/>
        <v>405.83662902570194</v>
      </c>
      <c r="L80">
        <f t="shared" si="19"/>
        <v>896.77315288025784</v>
      </c>
      <c r="M80">
        <f t="shared" si="19"/>
        <v>173.78244621622073</v>
      </c>
      <c r="N80">
        <f t="shared" si="19"/>
        <v>315.75914464018905</v>
      </c>
    </row>
    <row r="81" spans="1:14" x14ac:dyDescent="0.3">
      <c r="A81" s="49"/>
      <c r="B81" t="s">
        <v>46</v>
      </c>
      <c r="C81">
        <f t="shared" si="18"/>
        <v>0.15398935707190875</v>
      </c>
      <c r="H81" s="49"/>
      <c r="I81" t="s">
        <v>46</v>
      </c>
      <c r="J81">
        <f t="shared" si="19"/>
        <v>3434.0054095558985</v>
      </c>
      <c r="K81">
        <f t="shared" si="19"/>
        <v>662.66091444470214</v>
      </c>
      <c r="L81">
        <f t="shared" si="19"/>
        <v>1464.2752157776663</v>
      </c>
      <c r="M81">
        <f t="shared" si="19"/>
        <v>283.75663133350395</v>
      </c>
      <c r="N81">
        <f t="shared" si="19"/>
        <v>515.57998604973943</v>
      </c>
    </row>
    <row r="82" spans="1:14" x14ac:dyDescent="0.3">
      <c r="A82" t="s">
        <v>19</v>
      </c>
      <c r="B82" t="s">
        <v>55</v>
      </c>
      <c r="C82">
        <v>0</v>
      </c>
      <c r="H82" t="s">
        <v>19</v>
      </c>
      <c r="I82" t="s">
        <v>55</v>
      </c>
      <c r="J82">
        <f>J$35*$C82</f>
        <v>0</v>
      </c>
      <c r="K82">
        <f t="shared" ref="K82:N82" si="20">K$35*$C82</f>
        <v>0</v>
      </c>
      <c r="L82">
        <f t="shared" si="20"/>
        <v>0</v>
      </c>
      <c r="M82">
        <f t="shared" si="20"/>
        <v>0</v>
      </c>
      <c r="N82">
        <f t="shared" si="20"/>
        <v>0</v>
      </c>
    </row>
    <row r="83" spans="1:14" x14ac:dyDescent="0.3">
      <c r="A83" s="50" t="s">
        <v>22</v>
      </c>
      <c r="B83" t="s">
        <v>47</v>
      </c>
      <c r="C83">
        <f>D54</f>
        <v>0.2</v>
      </c>
      <c r="H83" s="50" t="s">
        <v>22</v>
      </c>
      <c r="I83" t="s">
        <v>47</v>
      </c>
      <c r="J83">
        <f>J$38*$C83</f>
        <v>878.66293830832353</v>
      </c>
      <c r="K83">
        <f t="shared" ref="K83:N83" si="21">K$38*$C83</f>
        <v>132.19449623998523</v>
      </c>
      <c r="L83">
        <f t="shared" si="21"/>
        <v>176.04822436073687</v>
      </c>
      <c r="M83">
        <f t="shared" si="21"/>
        <v>40.104282322418968</v>
      </c>
      <c r="N83">
        <f t="shared" si="21"/>
        <v>135.73158215593932</v>
      </c>
    </row>
    <row r="84" spans="1:14" x14ac:dyDescent="0.3">
      <c r="A84" s="50"/>
      <c r="B84" t="s">
        <v>48</v>
      </c>
      <c r="C84">
        <f>D55</f>
        <v>0.8</v>
      </c>
      <c r="H84" s="50"/>
      <c r="I84" t="s">
        <v>48</v>
      </c>
      <c r="J84">
        <f t="shared" ref="J84:N87" si="22">J$38*$C84</f>
        <v>3514.6517532332941</v>
      </c>
      <c r="K84">
        <f t="shared" si="22"/>
        <v>528.77798495994091</v>
      </c>
      <c r="L84">
        <f>L$38*$C84</f>
        <v>704.19289744294747</v>
      </c>
      <c r="M84">
        <f t="shared" si="22"/>
        <v>160.41712928967587</v>
      </c>
      <c r="N84">
        <f t="shared" si="22"/>
        <v>542.92632862375729</v>
      </c>
    </row>
    <row r="85" spans="1:14" x14ac:dyDescent="0.3">
      <c r="A85" s="50"/>
      <c r="B85" t="s">
        <v>56</v>
      </c>
      <c r="C85">
        <v>0</v>
      </c>
      <c r="H85" s="50"/>
      <c r="I85" t="s">
        <v>56</v>
      </c>
      <c r="J85">
        <f t="shared" si="22"/>
        <v>0</v>
      </c>
      <c r="K85">
        <f t="shared" si="22"/>
        <v>0</v>
      </c>
      <c r="L85">
        <f t="shared" si="22"/>
        <v>0</v>
      </c>
      <c r="M85">
        <f t="shared" si="22"/>
        <v>0</v>
      </c>
      <c r="N85">
        <f t="shared" si="22"/>
        <v>0</v>
      </c>
    </row>
    <row r="86" spans="1:14" x14ac:dyDescent="0.3">
      <c r="A86" s="50"/>
      <c r="B86" s="2" t="s">
        <v>57</v>
      </c>
      <c r="C86">
        <v>0</v>
      </c>
      <c r="H86" s="50"/>
      <c r="I86" s="2" t="s">
        <v>57</v>
      </c>
      <c r="J86">
        <f t="shared" si="22"/>
        <v>0</v>
      </c>
      <c r="K86">
        <f t="shared" si="22"/>
        <v>0</v>
      </c>
      <c r="L86">
        <f t="shared" si="22"/>
        <v>0</v>
      </c>
      <c r="M86">
        <f t="shared" si="22"/>
        <v>0</v>
      </c>
      <c r="N86">
        <f t="shared" si="22"/>
        <v>0</v>
      </c>
    </row>
    <row r="87" spans="1:14" x14ac:dyDescent="0.3">
      <c r="A87" s="50"/>
      <c r="B87" s="5" t="s">
        <v>58</v>
      </c>
      <c r="C87">
        <v>0</v>
      </c>
      <c r="H87" s="50"/>
      <c r="I87" s="5" t="s">
        <v>58</v>
      </c>
      <c r="J87">
        <f t="shared" si="22"/>
        <v>0</v>
      </c>
      <c r="K87">
        <f t="shared" si="22"/>
        <v>0</v>
      </c>
      <c r="L87">
        <f t="shared" si="22"/>
        <v>0</v>
      </c>
      <c r="M87">
        <f t="shared" si="22"/>
        <v>0</v>
      </c>
      <c r="N87">
        <f t="shared" si="22"/>
        <v>0</v>
      </c>
    </row>
    <row r="88" spans="1:14" x14ac:dyDescent="0.3">
      <c r="A88" s="46" t="s">
        <v>65</v>
      </c>
      <c r="B88" s="5" t="s">
        <v>59</v>
      </c>
      <c r="C88" s="2">
        <v>0</v>
      </c>
      <c r="H88" s="46" t="s">
        <v>65</v>
      </c>
      <c r="I88" s="5" t="s">
        <v>59</v>
      </c>
      <c r="J88">
        <f>J$35*$C88</f>
        <v>0</v>
      </c>
      <c r="K88">
        <f t="shared" ref="K88:N92" si="23">K$35*$C88</f>
        <v>0</v>
      </c>
      <c r="L88">
        <f t="shared" si="23"/>
        <v>0</v>
      </c>
      <c r="M88">
        <f t="shared" si="23"/>
        <v>0</v>
      </c>
      <c r="N88">
        <f t="shared" si="23"/>
        <v>0</v>
      </c>
    </row>
    <row r="89" spans="1:14" x14ac:dyDescent="0.3">
      <c r="A89" s="46"/>
      <c r="B89" s="5" t="s">
        <v>60</v>
      </c>
      <c r="C89" s="2">
        <v>0</v>
      </c>
      <c r="H89" s="46"/>
      <c r="I89" s="5" t="s">
        <v>60</v>
      </c>
      <c r="J89">
        <f t="shared" ref="J89:J92" si="24">J$35*$C89</f>
        <v>0</v>
      </c>
      <c r="K89">
        <f t="shared" si="23"/>
        <v>0</v>
      </c>
      <c r="L89">
        <f t="shared" si="23"/>
        <v>0</v>
      </c>
      <c r="M89">
        <f t="shared" si="23"/>
        <v>0</v>
      </c>
      <c r="N89">
        <f t="shared" si="23"/>
        <v>0</v>
      </c>
    </row>
    <row r="90" spans="1:14" x14ac:dyDescent="0.3">
      <c r="A90" s="47" t="s">
        <v>32</v>
      </c>
      <c r="B90" s="5" t="s">
        <v>61</v>
      </c>
      <c r="C90" s="2">
        <v>0</v>
      </c>
      <c r="H90" s="47" t="s">
        <v>32</v>
      </c>
      <c r="I90" s="5" t="s">
        <v>61</v>
      </c>
      <c r="J90">
        <f>J$35*$C90</f>
        <v>0</v>
      </c>
      <c r="K90">
        <f t="shared" si="23"/>
        <v>0</v>
      </c>
      <c r="L90">
        <f t="shared" si="23"/>
        <v>0</v>
      </c>
      <c r="M90">
        <f t="shared" si="23"/>
        <v>0</v>
      </c>
      <c r="N90">
        <f t="shared" si="23"/>
        <v>0</v>
      </c>
    </row>
    <row r="91" spans="1:14" x14ac:dyDescent="0.3">
      <c r="A91" s="47"/>
      <c r="B91" s="5" t="s">
        <v>62</v>
      </c>
      <c r="C91" s="2">
        <v>0</v>
      </c>
      <c r="H91" s="47"/>
      <c r="I91" s="5" t="s">
        <v>62</v>
      </c>
      <c r="J91">
        <f t="shared" si="24"/>
        <v>0</v>
      </c>
      <c r="K91">
        <f t="shared" si="23"/>
        <v>0</v>
      </c>
      <c r="L91">
        <f t="shared" si="23"/>
        <v>0</v>
      </c>
      <c r="M91">
        <f t="shared" si="23"/>
        <v>0</v>
      </c>
      <c r="N91">
        <f t="shared" si="23"/>
        <v>0</v>
      </c>
    </row>
    <row r="92" spans="1:14" x14ac:dyDescent="0.3">
      <c r="A92" s="47"/>
      <c r="B92" s="5" t="s">
        <v>63</v>
      </c>
      <c r="C92" s="2">
        <v>0</v>
      </c>
      <c r="H92" s="47"/>
      <c r="I92" s="5" t="s">
        <v>63</v>
      </c>
      <c r="J92">
        <f t="shared" si="24"/>
        <v>0</v>
      </c>
      <c r="K92">
        <f t="shared" si="23"/>
        <v>0</v>
      </c>
      <c r="L92">
        <f t="shared" si="23"/>
        <v>0</v>
      </c>
      <c r="M92">
        <f t="shared" si="23"/>
        <v>0</v>
      </c>
      <c r="N92">
        <f t="shared" si="23"/>
        <v>0</v>
      </c>
    </row>
    <row r="93" spans="1:14" x14ac:dyDescent="0.3">
      <c r="A93" s="48"/>
      <c r="B93" s="3" t="s">
        <v>49</v>
      </c>
      <c r="C93" s="3">
        <v>1</v>
      </c>
      <c r="H93" s="48"/>
      <c r="I93" s="3" t="s">
        <v>49</v>
      </c>
      <c r="J93" s="3">
        <f>J$39*$C93</f>
        <v>5000.555230713233</v>
      </c>
      <c r="K93" s="3">
        <f>K$39*$C93</f>
        <v>1261.7132143515764</v>
      </c>
      <c r="L93" s="3">
        <f t="shared" ref="L93:N93" si="25">L$39*$C93</f>
        <v>0</v>
      </c>
      <c r="M93" s="3">
        <f t="shared" si="25"/>
        <v>0</v>
      </c>
      <c r="N93" s="3">
        <f t="shared" si="25"/>
        <v>0</v>
      </c>
    </row>
    <row r="94" spans="1:14" x14ac:dyDescent="0.3">
      <c r="B94" s="2"/>
    </row>
  </sheetData>
  <mergeCells count="26">
    <mergeCell ref="H53:I53"/>
    <mergeCell ref="A88:A89"/>
    <mergeCell ref="A90:A93"/>
    <mergeCell ref="H63:H69"/>
    <mergeCell ref="H70:H71"/>
    <mergeCell ref="H73:H81"/>
    <mergeCell ref="H83:H87"/>
    <mergeCell ref="H88:H89"/>
    <mergeCell ref="H90:H93"/>
    <mergeCell ref="A63:A69"/>
    <mergeCell ref="A70:A71"/>
    <mergeCell ref="A73:A81"/>
    <mergeCell ref="A83:A87"/>
    <mergeCell ref="A12:A13"/>
    <mergeCell ref="B12:B13"/>
    <mergeCell ref="C12:G12"/>
    <mergeCell ref="J42:K42"/>
    <mergeCell ref="I12:I13"/>
    <mergeCell ref="J12:J13"/>
    <mergeCell ref="K12:O12"/>
    <mergeCell ref="A17:B17"/>
    <mergeCell ref="I16:J16"/>
    <mergeCell ref="L42:L43"/>
    <mergeCell ref="M42:M43"/>
    <mergeCell ref="H42:H43"/>
    <mergeCell ref="I42:I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historis_2014-2019</vt:lpstr>
      <vt:lpstr>proyeksi_2009</vt:lpstr>
      <vt:lpstr>pupuk_sektor_sulsel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Soraya, Dayu Kemalasari   (ICRAF)</dc:creator>
  <cp:lastModifiedBy>Soraya, Dayu Kemalasari   (ICRAF)</cp:lastModifiedBy>
  <dcterms:created xsi:type="dcterms:W3CDTF">2020-04-21T14:56:46Z</dcterms:created>
  <dcterms:modified xsi:type="dcterms:W3CDTF">2020-04-23T08:21:03Z</dcterms:modified>
</cp:coreProperties>
</file>