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comments6.xml" ContentType="application/vnd.openxmlformats-officedocument.spreadsheetml.comments+xml"/>
  <Override PartName="/xl/charts/chart12.xml" ContentType="application/vnd.openxmlformats-officedocument.drawingml.chart+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7\1 KEGIATAN\2017.05.0810 8-10 Mei WORKSHOP NAS_BALI 2017\Hasil Perhitungan BAU BASELINE\"/>
    </mc:Choice>
  </mc:AlternateContent>
  <bookViews>
    <workbookView xWindow="0" yWindow="0" windowWidth="20490" windowHeight="7755" tabRatio="906" firstSheet="8" activeTab="12"/>
  </bookViews>
  <sheets>
    <sheet name="Horti dominan sayur buah" sheetId="16" r:id="rId1"/>
    <sheet name="data" sheetId="14" r:id="rId2"/>
    <sheet name="EF peternakan" sheetId="6" r:id="rId3"/>
    <sheet name="Peternakan-CH4" sheetId="1" r:id="rId4"/>
    <sheet name="Peternakan-N2O" sheetId="7" r:id="rId5"/>
    <sheet name="EF&amp;SF lahan sawah" sheetId="8" r:id="rId6"/>
    <sheet name="proses bau baseline pertanian" sheetId="15" r:id="rId7"/>
    <sheet name="Lahan sawah" sheetId="2" r:id="rId8"/>
    <sheet name="EF pupuk-kapur" sheetId="10" r:id="rId9"/>
    <sheet name="Kapur pertanian-CO2" sheetId="9" r:id="rId10"/>
    <sheet name="Pupuk Urea-CO2" sheetId="5" r:id="rId11"/>
    <sheet name="Direct N2O" sheetId="13" r:id="rId12"/>
    <sheet name="Perhitungan ke CO2-eq" sheetId="12" r:id="rId13"/>
    <sheet name="Sheet2" sheetId="17" r:id="rId14"/>
  </sheets>
  <calcPr calcId="152511"/>
</workbook>
</file>

<file path=xl/calcChain.xml><?xml version="1.0" encoding="utf-8"?>
<calcChain xmlns="http://schemas.openxmlformats.org/spreadsheetml/2006/main">
  <c r="AF17" i="12" l="1"/>
  <c r="AF18" i="12"/>
  <c r="AF19" i="12"/>
  <c r="AF20" i="12"/>
  <c r="AF21" i="12"/>
  <c r="AF16" i="12"/>
  <c r="C23" i="12" l="1"/>
  <c r="AE23" i="12" s="1"/>
  <c r="P82" i="13" l="1"/>
  <c r="C37" i="12" l="1"/>
  <c r="D37" i="12"/>
  <c r="G37" i="12"/>
  <c r="H37" i="12"/>
  <c r="K37" i="12"/>
  <c r="L37" i="12"/>
  <c r="O37" i="12"/>
  <c r="P37" i="12"/>
  <c r="S37" i="12"/>
  <c r="T37" i="12"/>
  <c r="W37" i="12"/>
  <c r="X37" i="12"/>
  <c r="AA37" i="12"/>
  <c r="AB37" i="12"/>
  <c r="D38" i="12"/>
  <c r="E38" i="12"/>
  <c r="H38" i="12"/>
  <c r="I38" i="12"/>
  <c r="L38" i="12"/>
  <c r="M38" i="12"/>
  <c r="P38" i="12"/>
  <c r="Q38" i="12"/>
  <c r="T38" i="12"/>
  <c r="U38" i="12"/>
  <c r="X38" i="12"/>
  <c r="Y38" i="12"/>
  <c r="AB38" i="12"/>
  <c r="AC38" i="12"/>
  <c r="E39" i="12"/>
  <c r="F39" i="12"/>
  <c r="I39" i="12"/>
  <c r="J39" i="12"/>
  <c r="M39" i="12"/>
  <c r="N39" i="12"/>
  <c r="Q39" i="12"/>
  <c r="R39" i="12"/>
  <c r="U39" i="12"/>
  <c r="V39" i="12"/>
  <c r="Y39" i="12"/>
  <c r="Z39" i="12"/>
  <c r="AC39" i="12"/>
  <c r="AD39" i="12"/>
  <c r="F40" i="12"/>
  <c r="G40" i="12"/>
  <c r="J40" i="12"/>
  <c r="K40" i="12"/>
  <c r="N40" i="12"/>
  <c r="O40" i="12"/>
  <c r="R40" i="12"/>
  <c r="S40" i="12"/>
  <c r="V40" i="12"/>
  <c r="W40" i="12"/>
  <c r="Z40" i="12"/>
  <c r="AA40" i="12"/>
  <c r="AD40" i="12"/>
  <c r="D41" i="12"/>
  <c r="G41" i="12"/>
  <c r="H41" i="12"/>
  <c r="K41" i="12"/>
  <c r="L41" i="12"/>
  <c r="O41" i="12"/>
  <c r="P41" i="12"/>
  <c r="S41" i="12"/>
  <c r="T41" i="12"/>
  <c r="W41" i="12"/>
  <c r="X41" i="12"/>
  <c r="AA41" i="12"/>
  <c r="AB41" i="12"/>
  <c r="C40" i="12"/>
  <c r="C39" i="12"/>
  <c r="D28" i="12"/>
  <c r="E28" i="12"/>
  <c r="E37" i="12" s="1"/>
  <c r="F28" i="12"/>
  <c r="F37" i="12" s="1"/>
  <c r="G28" i="12"/>
  <c r="H28" i="12"/>
  <c r="I28" i="12"/>
  <c r="I37" i="12" s="1"/>
  <c r="J28" i="12"/>
  <c r="J37" i="12" s="1"/>
  <c r="K28" i="12"/>
  <c r="L28" i="12"/>
  <c r="M28" i="12"/>
  <c r="M37" i="12" s="1"/>
  <c r="N28" i="12"/>
  <c r="N37" i="12" s="1"/>
  <c r="O28" i="12"/>
  <c r="P28" i="12"/>
  <c r="Q28" i="12"/>
  <c r="Q37" i="12" s="1"/>
  <c r="R28" i="12"/>
  <c r="R37" i="12" s="1"/>
  <c r="S28" i="12"/>
  <c r="T28" i="12"/>
  <c r="U28" i="12"/>
  <c r="U37" i="12" s="1"/>
  <c r="V28" i="12"/>
  <c r="V37" i="12" s="1"/>
  <c r="W28" i="12"/>
  <c r="X28" i="12"/>
  <c r="Y28" i="12"/>
  <c r="Y37" i="12" s="1"/>
  <c r="Z28" i="12"/>
  <c r="Z37" i="12" s="1"/>
  <c r="AA28" i="12"/>
  <c r="AB28" i="12"/>
  <c r="AC28" i="12"/>
  <c r="AC37" i="12" s="1"/>
  <c r="AD28" i="12"/>
  <c r="AD37" i="12" s="1"/>
  <c r="D29" i="12"/>
  <c r="E29" i="12"/>
  <c r="F29" i="12"/>
  <c r="F38" i="12" s="1"/>
  <c r="G29" i="12"/>
  <c r="G38" i="12" s="1"/>
  <c r="H29" i="12"/>
  <c r="I29" i="12"/>
  <c r="J29" i="12"/>
  <c r="J38" i="12" s="1"/>
  <c r="K29" i="12"/>
  <c r="K38" i="12" s="1"/>
  <c r="L29" i="12"/>
  <c r="M29" i="12"/>
  <c r="N29" i="12"/>
  <c r="N38" i="12" s="1"/>
  <c r="O29" i="12"/>
  <c r="O38" i="12" s="1"/>
  <c r="P29" i="12"/>
  <c r="Q29" i="12"/>
  <c r="R29" i="12"/>
  <c r="R38" i="12" s="1"/>
  <c r="S29" i="12"/>
  <c r="S38" i="12" s="1"/>
  <c r="T29" i="12"/>
  <c r="U29" i="12"/>
  <c r="V29" i="12"/>
  <c r="V38" i="12" s="1"/>
  <c r="W29" i="12"/>
  <c r="W38" i="12" s="1"/>
  <c r="X29" i="12"/>
  <c r="Y29" i="12"/>
  <c r="Z29" i="12"/>
  <c r="Z38" i="12" s="1"/>
  <c r="AA29" i="12"/>
  <c r="AA38" i="12" s="1"/>
  <c r="AB29" i="12"/>
  <c r="AC29" i="12"/>
  <c r="AD29" i="12"/>
  <c r="AD38" i="12" s="1"/>
  <c r="D30" i="12"/>
  <c r="D39" i="12" s="1"/>
  <c r="E30" i="12"/>
  <c r="F30" i="12"/>
  <c r="G30" i="12"/>
  <c r="G39" i="12" s="1"/>
  <c r="H30" i="12"/>
  <c r="H39" i="12" s="1"/>
  <c r="I30" i="12"/>
  <c r="J30" i="12"/>
  <c r="K30" i="12"/>
  <c r="K39" i="12" s="1"/>
  <c r="L30" i="12"/>
  <c r="L39" i="12" s="1"/>
  <c r="M30" i="12"/>
  <c r="N30" i="12"/>
  <c r="O30" i="12"/>
  <c r="O39" i="12" s="1"/>
  <c r="P30" i="12"/>
  <c r="P39" i="12" s="1"/>
  <c r="Q30" i="12"/>
  <c r="R30" i="12"/>
  <c r="S30" i="12"/>
  <c r="S39" i="12" s="1"/>
  <c r="T30" i="12"/>
  <c r="T39" i="12" s="1"/>
  <c r="U30" i="12"/>
  <c r="V30" i="12"/>
  <c r="W30" i="12"/>
  <c r="W39" i="12" s="1"/>
  <c r="X30" i="12"/>
  <c r="X39" i="12" s="1"/>
  <c r="Y30" i="12"/>
  <c r="Z30" i="12"/>
  <c r="AA30" i="12"/>
  <c r="AA39" i="12" s="1"/>
  <c r="AB30" i="12"/>
  <c r="AB39" i="12" s="1"/>
  <c r="AC30" i="12"/>
  <c r="AD30" i="12"/>
  <c r="D31" i="12"/>
  <c r="D40" i="12" s="1"/>
  <c r="E31" i="12"/>
  <c r="E40" i="12" s="1"/>
  <c r="F31" i="12"/>
  <c r="G31" i="12"/>
  <c r="H31" i="12"/>
  <c r="H40" i="12" s="1"/>
  <c r="I31" i="12"/>
  <c r="I40" i="12" s="1"/>
  <c r="J31" i="12"/>
  <c r="K31" i="12"/>
  <c r="L31" i="12"/>
  <c r="L40" i="12" s="1"/>
  <c r="M31" i="12"/>
  <c r="M40" i="12" s="1"/>
  <c r="N31" i="12"/>
  <c r="O31" i="12"/>
  <c r="P31" i="12"/>
  <c r="P40" i="12" s="1"/>
  <c r="Q31" i="12"/>
  <c r="Q40" i="12" s="1"/>
  <c r="R31" i="12"/>
  <c r="S31" i="12"/>
  <c r="T31" i="12"/>
  <c r="T40" i="12" s="1"/>
  <c r="U31" i="12"/>
  <c r="U40" i="12" s="1"/>
  <c r="V31" i="12"/>
  <c r="W31" i="12"/>
  <c r="X31" i="12"/>
  <c r="X40" i="12" s="1"/>
  <c r="Y31" i="12"/>
  <c r="Y40" i="12" s="1"/>
  <c r="Z31" i="12"/>
  <c r="AA31" i="12"/>
  <c r="AB31" i="12"/>
  <c r="AB40" i="12" s="1"/>
  <c r="AC31" i="12"/>
  <c r="AC40" i="12" s="1"/>
  <c r="AD31" i="12"/>
  <c r="D32" i="12"/>
  <c r="E32" i="12"/>
  <c r="E41" i="12" s="1"/>
  <c r="F32" i="12"/>
  <c r="F41" i="12" s="1"/>
  <c r="G32" i="12"/>
  <c r="H32" i="12"/>
  <c r="I32" i="12"/>
  <c r="I41" i="12" s="1"/>
  <c r="J32" i="12"/>
  <c r="J41" i="12" s="1"/>
  <c r="K32" i="12"/>
  <c r="L32" i="12"/>
  <c r="M32" i="12"/>
  <c r="M41" i="12" s="1"/>
  <c r="N32" i="12"/>
  <c r="N41" i="12" s="1"/>
  <c r="O32" i="12"/>
  <c r="P32" i="12"/>
  <c r="Q32" i="12"/>
  <c r="Q41" i="12" s="1"/>
  <c r="R32" i="12"/>
  <c r="R41" i="12" s="1"/>
  <c r="S32" i="12"/>
  <c r="T32" i="12"/>
  <c r="U32" i="12"/>
  <c r="U41" i="12" s="1"/>
  <c r="V32" i="12"/>
  <c r="V41" i="12" s="1"/>
  <c r="W32" i="12"/>
  <c r="X32" i="12"/>
  <c r="Y32" i="12"/>
  <c r="Y41" i="12" s="1"/>
  <c r="Z32" i="12"/>
  <c r="Z41" i="12" s="1"/>
  <c r="AA32" i="12"/>
  <c r="AB32" i="12"/>
  <c r="AC32" i="12"/>
  <c r="AC41" i="12" s="1"/>
  <c r="AD32" i="12"/>
  <c r="AD41" i="12" s="1"/>
  <c r="C32" i="12"/>
  <c r="C41" i="12" s="1"/>
  <c r="C31" i="12"/>
  <c r="C30" i="12"/>
  <c r="C29" i="12"/>
  <c r="C38" i="12" s="1"/>
  <c r="C28" i="12"/>
  <c r="F116"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87" i="2"/>
  <c r="Y42" i="12" l="1"/>
  <c r="Q42" i="12"/>
  <c r="I42" i="12"/>
  <c r="P42" i="12"/>
  <c r="W42" i="12"/>
  <c r="O42" i="12"/>
  <c r="G42" i="12"/>
  <c r="AC42" i="12"/>
  <c r="U42" i="12"/>
  <c r="M42" i="12"/>
  <c r="E42" i="12"/>
  <c r="X42" i="12"/>
  <c r="H42" i="12"/>
  <c r="AB42" i="12"/>
  <c r="T42" i="12"/>
  <c r="L42" i="12"/>
  <c r="D42" i="12"/>
  <c r="AD42" i="12"/>
  <c r="Z42" i="12"/>
  <c r="V42" i="12"/>
  <c r="R42" i="12"/>
  <c r="N42" i="12"/>
  <c r="J42" i="12"/>
  <c r="F42" i="12"/>
  <c r="AA42" i="12"/>
  <c r="S42" i="12"/>
  <c r="K42" i="12"/>
  <c r="C42" i="12"/>
  <c r="C19" i="12"/>
  <c r="C21" i="12"/>
  <c r="D19" i="12" l="1"/>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B16" i="12" l="1"/>
  <c r="AC16" i="12"/>
  <c r="AD16" i="12"/>
  <c r="AB17" i="12"/>
  <c r="AC17" i="12"/>
  <c r="AD17" i="12"/>
  <c r="AB18" i="12"/>
  <c r="AC18" i="12"/>
  <c r="AD18" i="12"/>
  <c r="AB21" i="12"/>
  <c r="AC21" i="12"/>
  <c r="AD21" i="12"/>
  <c r="D16" i="12"/>
  <c r="E16" i="12"/>
  <c r="F16" i="12"/>
  <c r="G16" i="12"/>
  <c r="H16" i="12"/>
  <c r="I16" i="12"/>
  <c r="J16" i="12"/>
  <c r="K16" i="12"/>
  <c r="L16" i="12"/>
  <c r="M16" i="12"/>
  <c r="N16" i="12"/>
  <c r="O16" i="12"/>
  <c r="P16" i="12"/>
  <c r="Q16" i="12"/>
  <c r="R16" i="12"/>
  <c r="S16" i="12"/>
  <c r="T16" i="12"/>
  <c r="U16" i="12"/>
  <c r="V16" i="12"/>
  <c r="W16" i="12"/>
  <c r="X16" i="12"/>
  <c r="Y16" i="12"/>
  <c r="Z16" i="12"/>
  <c r="AA16" i="12"/>
  <c r="D17" i="12"/>
  <c r="E17" i="12"/>
  <c r="F17" i="12"/>
  <c r="G17" i="12"/>
  <c r="H17" i="12"/>
  <c r="I17" i="12"/>
  <c r="J17" i="12"/>
  <c r="K17" i="12"/>
  <c r="L17" i="12"/>
  <c r="M17" i="12"/>
  <c r="N17" i="12"/>
  <c r="O17" i="12"/>
  <c r="P17" i="12"/>
  <c r="Q17" i="12"/>
  <c r="R17" i="12"/>
  <c r="S17" i="12"/>
  <c r="T17" i="12"/>
  <c r="U17" i="12"/>
  <c r="V17" i="12"/>
  <c r="W17" i="12"/>
  <c r="X17" i="12"/>
  <c r="Y17" i="12"/>
  <c r="Z17" i="12"/>
  <c r="AA17" i="12"/>
  <c r="D18" i="12"/>
  <c r="E18" i="12"/>
  <c r="F18" i="12"/>
  <c r="G18" i="12"/>
  <c r="H18" i="12"/>
  <c r="I18" i="12"/>
  <c r="J18" i="12"/>
  <c r="K18" i="12"/>
  <c r="L18" i="12"/>
  <c r="M18" i="12"/>
  <c r="N18" i="12"/>
  <c r="O18" i="12"/>
  <c r="P18" i="12"/>
  <c r="Q18" i="12"/>
  <c r="R18" i="12"/>
  <c r="S18" i="12"/>
  <c r="T18" i="12"/>
  <c r="U18" i="12"/>
  <c r="V18" i="12"/>
  <c r="W18" i="12"/>
  <c r="X18" i="12"/>
  <c r="Y18" i="12"/>
  <c r="Z18" i="12"/>
  <c r="AA18" i="12"/>
  <c r="D21" i="12"/>
  <c r="E21" i="12"/>
  <c r="F21" i="12"/>
  <c r="G21" i="12"/>
  <c r="H21" i="12"/>
  <c r="I21" i="12"/>
  <c r="J21" i="12"/>
  <c r="K21" i="12"/>
  <c r="L21" i="12"/>
  <c r="M21" i="12"/>
  <c r="N21" i="12"/>
  <c r="O21" i="12"/>
  <c r="P21" i="12"/>
  <c r="Q21" i="12"/>
  <c r="R21" i="12"/>
  <c r="S21" i="12"/>
  <c r="T21" i="12"/>
  <c r="U21" i="12"/>
  <c r="V21" i="12"/>
  <c r="W21" i="12"/>
  <c r="X21" i="12"/>
  <c r="Y21" i="12"/>
  <c r="Z21" i="12"/>
  <c r="AA21" i="12"/>
  <c r="C18" i="12"/>
  <c r="C17" i="12"/>
  <c r="C16" i="12"/>
  <c r="AC23" i="12" l="1"/>
  <c r="AD23" i="12"/>
  <c r="AB23" i="12"/>
  <c r="D53" i="1"/>
  <c r="D23" i="12"/>
  <c r="E23" i="12"/>
  <c r="F23" i="12"/>
  <c r="G23" i="12"/>
  <c r="H23" i="12"/>
  <c r="I23" i="12"/>
  <c r="J23" i="12"/>
  <c r="K23" i="12"/>
  <c r="L23" i="12"/>
  <c r="M23" i="12"/>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D42" i="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AF44" i="1"/>
  <c r="AG44" i="1"/>
  <c r="AH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AF45" i="1"/>
  <c r="AG45" i="1"/>
  <c r="AH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AF46" i="1"/>
  <c r="AG46" i="1"/>
  <c r="AH46" i="1"/>
  <c r="D47" i="1"/>
  <c r="E47" i="1"/>
  <c r="F47" i="1"/>
  <c r="G47" i="1"/>
  <c r="H47" i="1"/>
  <c r="I47" i="1"/>
  <c r="J47" i="1"/>
  <c r="K47" i="1"/>
  <c r="L47" i="1"/>
  <c r="M47" i="1"/>
  <c r="N47" i="1"/>
  <c r="O47" i="1"/>
  <c r="P47" i="1"/>
  <c r="Q47" i="1"/>
  <c r="R47" i="1"/>
  <c r="S47" i="1"/>
  <c r="T47" i="1"/>
  <c r="U47" i="1"/>
  <c r="V47" i="1"/>
  <c r="W47" i="1"/>
  <c r="X47" i="1"/>
  <c r="Y47" i="1"/>
  <c r="Z47" i="1"/>
  <c r="AA47" i="1"/>
  <c r="AB47"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D50" i="1"/>
  <c r="E50" i="1"/>
  <c r="F50" i="1"/>
  <c r="G50" i="1"/>
  <c r="H50" i="1"/>
  <c r="I50" i="1"/>
  <c r="J50" i="1"/>
  <c r="K50" i="1"/>
  <c r="L50" i="1"/>
  <c r="M50" i="1"/>
  <c r="N50" i="1"/>
  <c r="O50" i="1"/>
  <c r="P50" i="1"/>
  <c r="Q50" i="1"/>
  <c r="R50" i="1"/>
  <c r="S50" i="1"/>
  <c r="T50" i="1"/>
  <c r="U50" i="1"/>
  <c r="V50" i="1"/>
  <c r="W50" i="1"/>
  <c r="X50" i="1"/>
  <c r="Y50" i="1"/>
  <c r="Z50" i="1"/>
  <c r="AA50" i="1"/>
  <c r="AB50" i="1"/>
  <c r="AC50" i="1"/>
  <c r="AD50" i="1"/>
  <c r="AE50" i="1"/>
  <c r="AF50" i="1"/>
  <c r="AG50" i="1"/>
  <c r="AH50" i="1"/>
  <c r="D51" i="1"/>
  <c r="E51" i="1"/>
  <c r="F51" i="1"/>
  <c r="G51" i="1"/>
  <c r="H51" i="1"/>
  <c r="I51" i="1"/>
  <c r="J51" i="1"/>
  <c r="K51" i="1"/>
  <c r="L51" i="1"/>
  <c r="M51" i="1"/>
  <c r="N51" i="1"/>
  <c r="O51" i="1"/>
  <c r="P51" i="1"/>
  <c r="Q51" i="1"/>
  <c r="R51" i="1"/>
  <c r="S51" i="1"/>
  <c r="T51" i="1"/>
  <c r="U51" i="1"/>
  <c r="V51" i="1"/>
  <c r="W51" i="1"/>
  <c r="X51" i="1"/>
  <c r="Y51" i="1"/>
  <c r="Z51" i="1"/>
  <c r="AA51" i="1"/>
  <c r="AB51" i="1"/>
  <c r="AC51" i="1"/>
  <c r="AD51" i="1"/>
  <c r="AE51" i="1"/>
  <c r="AF51" i="1"/>
  <c r="AG51" i="1"/>
  <c r="AH51"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E41" i="1"/>
  <c r="D41" i="1"/>
  <c r="E18" i="1"/>
  <c r="E19" i="1"/>
  <c r="E20" i="1"/>
  <c r="E21" i="1"/>
  <c r="G113" i="13"/>
  <c r="H113" i="13" s="1"/>
  <c r="I113" i="13" s="1"/>
  <c r="G117" i="13"/>
  <c r="H117" i="13" s="1"/>
  <c r="I117" i="13" s="1"/>
  <c r="G121" i="13"/>
  <c r="H121" i="13" s="1"/>
  <c r="I121" i="13" s="1"/>
  <c r="G125" i="13"/>
  <c r="H125" i="13" s="1"/>
  <c r="I125" i="13" s="1"/>
  <c r="G129" i="13"/>
  <c r="H129" i="13" s="1"/>
  <c r="I129" i="13" s="1"/>
  <c r="D112" i="13"/>
  <c r="G112" i="13" s="1"/>
  <c r="H112" i="13" s="1"/>
  <c r="I112" i="13" s="1"/>
  <c r="D113" i="13"/>
  <c r="D114" i="13"/>
  <c r="G114" i="13" s="1"/>
  <c r="H114" i="13" s="1"/>
  <c r="I114" i="13" s="1"/>
  <c r="D115" i="13"/>
  <c r="G115" i="13" s="1"/>
  <c r="H115" i="13" s="1"/>
  <c r="I115" i="13" s="1"/>
  <c r="D116" i="13"/>
  <c r="G116" i="13" s="1"/>
  <c r="H116" i="13" s="1"/>
  <c r="I116" i="13" s="1"/>
  <c r="D117" i="13"/>
  <c r="D118" i="13"/>
  <c r="G118" i="13" s="1"/>
  <c r="H118" i="13" s="1"/>
  <c r="I118" i="13" s="1"/>
  <c r="D119" i="13"/>
  <c r="G119" i="13" s="1"/>
  <c r="H119" i="13" s="1"/>
  <c r="I119" i="13" s="1"/>
  <c r="D120" i="13"/>
  <c r="G120" i="13" s="1"/>
  <c r="H120" i="13" s="1"/>
  <c r="I120" i="13" s="1"/>
  <c r="D121" i="13"/>
  <c r="D122" i="13"/>
  <c r="G122" i="13" s="1"/>
  <c r="H122" i="13" s="1"/>
  <c r="I122" i="13" s="1"/>
  <c r="D123" i="13"/>
  <c r="G123" i="13" s="1"/>
  <c r="H123" i="13" s="1"/>
  <c r="I123" i="13" s="1"/>
  <c r="D124" i="13"/>
  <c r="G124" i="13" s="1"/>
  <c r="H124" i="13" s="1"/>
  <c r="I124" i="13" s="1"/>
  <c r="D125" i="13"/>
  <c r="D126" i="13"/>
  <c r="G126" i="13" s="1"/>
  <c r="H126" i="13" s="1"/>
  <c r="I126" i="13" s="1"/>
  <c r="D127" i="13"/>
  <c r="G127" i="13" s="1"/>
  <c r="H127" i="13" s="1"/>
  <c r="I127" i="13" s="1"/>
  <c r="D128" i="13"/>
  <c r="G128" i="13" s="1"/>
  <c r="H128" i="13" s="1"/>
  <c r="I128" i="13" s="1"/>
  <c r="D129" i="13"/>
  <c r="D54" i="13"/>
  <c r="D55" i="13"/>
  <c r="D56" i="13"/>
  <c r="D57" i="13"/>
  <c r="D58" i="13"/>
  <c r="D59" i="13"/>
  <c r="D60" i="13"/>
  <c r="D61" i="13"/>
  <c r="D62" i="13"/>
  <c r="D63" i="13"/>
  <c r="D64" i="13"/>
  <c r="D65" i="13"/>
  <c r="D66" i="13"/>
  <c r="D67" i="13"/>
  <c r="D68" i="13"/>
  <c r="D69" i="13"/>
  <c r="D70" i="13"/>
  <c r="D71" i="13"/>
  <c r="D37" i="16" l="1"/>
  <c r="G43" i="13" l="1"/>
  <c r="H43" i="13" s="1"/>
  <c r="I43" i="13" s="1"/>
  <c r="G54" i="13"/>
  <c r="H54" i="13" s="1"/>
  <c r="I54" i="13" s="1"/>
  <c r="G55" i="13"/>
  <c r="H55" i="13" s="1"/>
  <c r="I55" i="13" s="1"/>
  <c r="G56" i="13"/>
  <c r="H56" i="13" s="1"/>
  <c r="I56"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Q82" i="13"/>
  <c r="R82" i="13"/>
  <c r="P83" i="13"/>
  <c r="Q83" i="13"/>
  <c r="R83" i="13"/>
  <c r="S83" i="13"/>
  <c r="P84" i="13"/>
  <c r="Q84" i="13"/>
  <c r="R84" i="13"/>
  <c r="S84" i="13"/>
  <c r="P85" i="13"/>
  <c r="Q85" i="13"/>
  <c r="R85" i="13"/>
  <c r="S85" i="13"/>
  <c r="P86" i="13"/>
  <c r="Q86" i="13"/>
  <c r="R86" i="13"/>
  <c r="S86" i="13"/>
  <c r="P87" i="13"/>
  <c r="Q87" i="13"/>
  <c r="R87" i="13"/>
  <c r="S87" i="13"/>
  <c r="P88" i="13"/>
  <c r="Q88" i="13"/>
  <c r="R88" i="13"/>
  <c r="S88" i="13"/>
  <c r="P89" i="13"/>
  <c r="Q89" i="13"/>
  <c r="R89" i="13"/>
  <c r="S89" i="13"/>
  <c r="P90" i="13"/>
  <c r="Q90" i="13"/>
  <c r="R90" i="13"/>
  <c r="S90" i="13"/>
  <c r="P91" i="13"/>
  <c r="Q91" i="13"/>
  <c r="R91" i="13"/>
  <c r="S91" i="13"/>
  <c r="P92" i="13"/>
  <c r="Q92" i="13"/>
  <c r="R92" i="13"/>
  <c r="S92" i="13"/>
  <c r="P93" i="13"/>
  <c r="Q93" i="13"/>
  <c r="R93" i="13"/>
  <c r="S93" i="13"/>
  <c r="P94" i="13"/>
  <c r="Q94" i="13"/>
  <c r="R94" i="13"/>
  <c r="S94" i="13"/>
  <c r="P95" i="13"/>
  <c r="Q95" i="13"/>
  <c r="R95" i="13"/>
  <c r="S95" i="13"/>
  <c r="P96" i="13"/>
  <c r="Q96" i="13"/>
  <c r="R96" i="13"/>
  <c r="S96" i="13"/>
  <c r="P97" i="13"/>
  <c r="Q97" i="13"/>
  <c r="R97" i="13"/>
  <c r="S97" i="13"/>
  <c r="P98" i="13"/>
  <c r="Q98" i="13"/>
  <c r="R98" i="13"/>
  <c r="S98" i="13"/>
  <c r="P99" i="13"/>
  <c r="Q99" i="13"/>
  <c r="R99" i="13"/>
  <c r="S99" i="13"/>
  <c r="P100" i="13"/>
  <c r="Q100" i="13"/>
  <c r="R100" i="13"/>
  <c r="S100" i="13"/>
  <c r="P101" i="13"/>
  <c r="Q101" i="13"/>
  <c r="R101" i="13"/>
  <c r="S101" i="13"/>
  <c r="P102" i="13"/>
  <c r="Q102" i="13"/>
  <c r="R102" i="13"/>
  <c r="S102" i="13"/>
  <c r="P103" i="13"/>
  <c r="Q103" i="13"/>
  <c r="R103" i="13"/>
  <c r="S103" i="13"/>
  <c r="P104" i="13"/>
  <c r="Q104" i="13"/>
  <c r="R104" i="13"/>
  <c r="S104" i="13"/>
  <c r="P105" i="13"/>
  <c r="Q105" i="13"/>
  <c r="R105" i="13"/>
  <c r="S105" i="13"/>
  <c r="P106" i="13"/>
  <c r="Q106" i="13"/>
  <c r="R106" i="13"/>
  <c r="S106" i="13"/>
  <c r="P107" i="13"/>
  <c r="Q107" i="13"/>
  <c r="R107" i="13"/>
  <c r="S107" i="13"/>
  <c r="P108" i="13"/>
  <c r="Q108" i="13"/>
  <c r="R108" i="13"/>
  <c r="S108" i="13"/>
  <c r="P109" i="13"/>
  <c r="Q109" i="13"/>
  <c r="R109" i="13"/>
  <c r="S109" i="13"/>
  <c r="D21" i="2"/>
  <c r="D22" i="2"/>
  <c r="D23" i="2"/>
  <c r="D24" i="2"/>
  <c r="D25" i="2"/>
  <c r="D26" i="2"/>
  <c r="D27" i="2"/>
  <c r="D28" i="2"/>
  <c r="D29" i="2"/>
  <c r="D30" i="2"/>
  <c r="D31" i="2"/>
  <c r="D32" i="2"/>
  <c r="D33" i="2"/>
  <c r="D34" i="2"/>
  <c r="D35" i="2"/>
  <c r="D36" i="2"/>
  <c r="D37" i="2"/>
  <c r="D38" i="2"/>
  <c r="D39" i="2"/>
  <c r="D40" i="2"/>
  <c r="G68" i="14"/>
  <c r="I68" i="14" s="1"/>
  <c r="G69" i="14"/>
  <c r="G70" i="14"/>
  <c r="I70" i="14" s="1"/>
  <c r="G71" i="14"/>
  <c r="I71" i="14" s="1"/>
  <c r="B104" i="14" s="1"/>
  <c r="G72" i="14"/>
  <c r="I72" i="14" s="1"/>
  <c r="G73" i="14"/>
  <c r="G74" i="14"/>
  <c r="I74" i="14" s="1"/>
  <c r="G75" i="14"/>
  <c r="I75" i="14" s="1"/>
  <c r="G76" i="14"/>
  <c r="I76" i="14" s="1"/>
  <c r="G77" i="14"/>
  <c r="G78" i="14"/>
  <c r="I78" i="14" s="1"/>
  <c r="B111" i="14" s="1"/>
  <c r="G79" i="14"/>
  <c r="I79" i="14" s="1"/>
  <c r="B112" i="14" s="1"/>
  <c r="G80" i="14"/>
  <c r="I80" i="14" s="1"/>
  <c r="G81" i="14"/>
  <c r="G82" i="14"/>
  <c r="I82" i="14" s="1"/>
  <c r="G83" i="14"/>
  <c r="G84" i="14"/>
  <c r="I84" i="14" s="1"/>
  <c r="G85" i="14"/>
  <c r="G86" i="14"/>
  <c r="I86" i="14" s="1"/>
  <c r="B119" i="14" s="1"/>
  <c r="C119" i="14" s="1"/>
  <c r="D41" i="13" s="1"/>
  <c r="G41" i="13" s="1"/>
  <c r="H41" i="13" s="1"/>
  <c r="I41" i="13" s="1"/>
  <c r="G87" i="14"/>
  <c r="I87" i="14" s="1"/>
  <c r="B88" i="14" s="1"/>
  <c r="B101" i="14"/>
  <c r="B103" i="14"/>
  <c r="B105" i="14"/>
  <c r="B107" i="14"/>
  <c r="B109" i="14"/>
  <c r="B113" i="14"/>
  <c r="B115" i="14"/>
  <c r="B117" i="14"/>
  <c r="B59" i="14"/>
  <c r="B60" i="14"/>
  <c r="B61" i="14"/>
  <c r="B62" i="14"/>
  <c r="B63" i="14"/>
  <c r="B64" i="14"/>
  <c r="B65" i="14"/>
  <c r="B66" i="14"/>
  <c r="B67" i="14"/>
  <c r="B58" i="14"/>
  <c r="C111" i="14" l="1"/>
  <c r="D33" i="13" s="1"/>
  <c r="G33" i="13" s="1"/>
  <c r="H33" i="13" s="1"/>
  <c r="I33" i="13" s="1"/>
  <c r="D93" i="13"/>
  <c r="G93" i="13" s="1"/>
  <c r="H93" i="13" s="1"/>
  <c r="C112" i="14"/>
  <c r="D34" i="13" s="1"/>
  <c r="G34" i="13" s="1"/>
  <c r="H34" i="13" s="1"/>
  <c r="I34" i="13" s="1"/>
  <c r="D94" i="13"/>
  <c r="G94" i="13" s="1"/>
  <c r="H94" i="13" s="1"/>
  <c r="C104" i="14"/>
  <c r="D26" i="13" s="1"/>
  <c r="G26" i="13" s="1"/>
  <c r="H26" i="13" s="1"/>
  <c r="I26" i="13" s="1"/>
  <c r="D86" i="13"/>
  <c r="G86" i="13" s="1"/>
  <c r="H86" i="13" s="1"/>
  <c r="D104" i="13"/>
  <c r="G104" i="13" s="1"/>
  <c r="H104" i="13" s="1"/>
  <c r="I104" i="13" s="1"/>
  <c r="C107" i="14"/>
  <c r="D29" i="13" s="1"/>
  <c r="G29" i="13" s="1"/>
  <c r="H29" i="13" s="1"/>
  <c r="I29" i="13" s="1"/>
  <c r="D89" i="13"/>
  <c r="G89" i="13" s="1"/>
  <c r="H89" i="13" s="1"/>
  <c r="L32" i="2"/>
  <c r="K32" i="2"/>
  <c r="D16" i="2"/>
  <c r="D107" i="13"/>
  <c r="G107" i="13" s="1"/>
  <c r="H107" i="13" s="1"/>
  <c r="I107" i="13" s="1"/>
  <c r="C105" i="14"/>
  <c r="D27" i="13" s="1"/>
  <c r="G27" i="13" s="1"/>
  <c r="H27" i="13" s="1"/>
  <c r="I27" i="13" s="1"/>
  <c r="D87" i="13"/>
  <c r="G87" i="13" s="1"/>
  <c r="H87" i="13" s="1"/>
  <c r="L39" i="2"/>
  <c r="K39" i="2"/>
  <c r="L35" i="2"/>
  <c r="K35" i="2"/>
  <c r="L31" i="2"/>
  <c r="K31" i="2"/>
  <c r="L27" i="2"/>
  <c r="K27" i="2"/>
  <c r="L23" i="2"/>
  <c r="K23" i="2"/>
  <c r="S82" i="13"/>
  <c r="D102" i="13"/>
  <c r="G102" i="13" s="1"/>
  <c r="H102" i="13" s="1"/>
  <c r="I102" i="13" s="1"/>
  <c r="L40" i="2"/>
  <c r="K40" i="2"/>
  <c r="L28" i="2"/>
  <c r="K28" i="2"/>
  <c r="B120" i="14"/>
  <c r="C120" i="14" s="1"/>
  <c r="D42" i="13" s="1"/>
  <c r="G42" i="13" s="1"/>
  <c r="H42" i="13" s="1"/>
  <c r="D20" i="2"/>
  <c r="D111" i="13"/>
  <c r="G111" i="13" s="1"/>
  <c r="H111" i="13" s="1"/>
  <c r="I111" i="13" s="1"/>
  <c r="D12" i="2"/>
  <c r="D103" i="13"/>
  <c r="G103" i="13" s="1"/>
  <c r="H103" i="13" s="1"/>
  <c r="I103" i="13" s="1"/>
  <c r="C113" i="14"/>
  <c r="D35" i="13" s="1"/>
  <c r="G35" i="13" s="1"/>
  <c r="H35" i="13" s="1"/>
  <c r="I35" i="13" s="1"/>
  <c r="D95" i="13"/>
  <c r="G95" i="13" s="1"/>
  <c r="H95" i="13" s="1"/>
  <c r="D19" i="2"/>
  <c r="D110" i="13"/>
  <c r="G110" i="13" s="1"/>
  <c r="H110" i="13" s="1"/>
  <c r="I110" i="13" s="1"/>
  <c r="D106" i="13"/>
  <c r="G106" i="13" s="1"/>
  <c r="H106" i="13" s="1"/>
  <c r="I106" i="13" s="1"/>
  <c r="C103" i="14"/>
  <c r="D25" i="13" s="1"/>
  <c r="G25" i="13" s="1"/>
  <c r="H25" i="13" s="1"/>
  <c r="I25" i="13" s="1"/>
  <c r="D85" i="13"/>
  <c r="G85" i="13" s="1"/>
  <c r="H85" i="13" s="1"/>
  <c r="B118" i="14"/>
  <c r="I85" i="14"/>
  <c r="I81" i="14"/>
  <c r="B114" i="14" s="1"/>
  <c r="B110" i="14"/>
  <c r="I77" i="14"/>
  <c r="I73" i="14"/>
  <c r="B106" i="14" s="1"/>
  <c r="B102" i="14"/>
  <c r="I69" i="14"/>
  <c r="L38" i="2"/>
  <c r="K38" i="2"/>
  <c r="L34" i="2"/>
  <c r="K34" i="2"/>
  <c r="L30" i="2"/>
  <c r="K30" i="2"/>
  <c r="L26" i="2"/>
  <c r="K26" i="2"/>
  <c r="L22" i="2"/>
  <c r="K22" i="2"/>
  <c r="D108" i="13"/>
  <c r="G108" i="13" s="1"/>
  <c r="H108" i="13" s="1"/>
  <c r="I108" i="13" s="1"/>
  <c r="C115" i="14"/>
  <c r="D37" i="13" s="1"/>
  <c r="G37" i="13" s="1"/>
  <c r="H37" i="13" s="1"/>
  <c r="I37" i="13" s="1"/>
  <c r="D97" i="13"/>
  <c r="G97" i="13" s="1"/>
  <c r="H97" i="13" s="1"/>
  <c r="B116" i="14"/>
  <c r="I83" i="14"/>
  <c r="L36" i="2"/>
  <c r="K36" i="2"/>
  <c r="L24" i="2"/>
  <c r="K24" i="2"/>
  <c r="D18" i="2"/>
  <c r="D109" i="13"/>
  <c r="G109" i="13" s="1"/>
  <c r="H109" i="13" s="1"/>
  <c r="I109" i="13" s="1"/>
  <c r="D14" i="2"/>
  <c r="D105" i="13"/>
  <c r="G105" i="13" s="1"/>
  <c r="H105" i="13" s="1"/>
  <c r="I105" i="13" s="1"/>
  <c r="C117" i="14"/>
  <c r="D39" i="13" s="1"/>
  <c r="G39" i="13" s="1"/>
  <c r="H39" i="13" s="1"/>
  <c r="I39" i="13" s="1"/>
  <c r="D99" i="13"/>
  <c r="G99" i="13" s="1"/>
  <c r="H99" i="13" s="1"/>
  <c r="C109" i="14"/>
  <c r="D31" i="13" s="1"/>
  <c r="G31" i="13" s="1"/>
  <c r="H31" i="13" s="1"/>
  <c r="I31" i="13" s="1"/>
  <c r="D91" i="13"/>
  <c r="G91" i="13" s="1"/>
  <c r="H91" i="13" s="1"/>
  <c r="C101" i="14"/>
  <c r="D23" i="13" s="1"/>
  <c r="G23" i="13" s="1"/>
  <c r="H23" i="13" s="1"/>
  <c r="I23" i="13" s="1"/>
  <c r="D83" i="13"/>
  <c r="G83" i="13" s="1"/>
  <c r="H83" i="13" s="1"/>
  <c r="L37" i="2"/>
  <c r="K37" i="2"/>
  <c r="L33" i="2"/>
  <c r="K33" i="2"/>
  <c r="L29" i="2"/>
  <c r="K29" i="2"/>
  <c r="L25" i="2"/>
  <c r="K25" i="2"/>
  <c r="L21" i="2"/>
  <c r="K21" i="2"/>
  <c r="B108" i="14"/>
  <c r="D11" i="2"/>
  <c r="D17" i="2"/>
  <c r="D15" i="2"/>
  <c r="D13" i="2"/>
  <c r="C114" i="14" l="1"/>
  <c r="D36" i="13" s="1"/>
  <c r="G36" i="13" s="1"/>
  <c r="H36" i="13" s="1"/>
  <c r="I36" i="13" s="1"/>
  <c r="D96" i="13"/>
  <c r="G96" i="13" s="1"/>
  <c r="H96" i="13" s="1"/>
  <c r="C106" i="14"/>
  <c r="D28" i="13" s="1"/>
  <c r="G28" i="13" s="1"/>
  <c r="H28" i="13" s="1"/>
  <c r="I28" i="13" s="1"/>
  <c r="D88" i="13"/>
  <c r="G88" i="13" s="1"/>
  <c r="H88" i="13" s="1"/>
  <c r="L11" i="2"/>
  <c r="K11" i="2"/>
  <c r="C87" i="2" s="1"/>
  <c r="D87" i="2" s="1"/>
  <c r="C110" i="14"/>
  <c r="D32" i="13" s="1"/>
  <c r="G32" i="13" s="1"/>
  <c r="H32" i="13" s="1"/>
  <c r="I32" i="13" s="1"/>
  <c r="D92" i="13"/>
  <c r="G92" i="13" s="1"/>
  <c r="H92" i="13" s="1"/>
  <c r="L36" i="13"/>
  <c r="M36" i="13" s="1"/>
  <c r="I94" i="13"/>
  <c r="C89" i="2"/>
  <c r="D89" i="2" s="1"/>
  <c r="L13" i="2"/>
  <c r="K13" i="2"/>
  <c r="C91" i="2"/>
  <c r="D91" i="2" s="1"/>
  <c r="L15" i="2"/>
  <c r="K15" i="2"/>
  <c r="L18" i="2"/>
  <c r="K18" i="2"/>
  <c r="L31" i="13"/>
  <c r="M31" i="13" s="1"/>
  <c r="I89" i="13"/>
  <c r="I86" i="13"/>
  <c r="L35" i="13"/>
  <c r="M35" i="13" s="1"/>
  <c r="I93" i="13"/>
  <c r="C116" i="14"/>
  <c r="D38" i="13" s="1"/>
  <c r="G38" i="13" s="1"/>
  <c r="H38" i="13" s="1"/>
  <c r="I38" i="13" s="1"/>
  <c r="D98" i="13"/>
  <c r="G98" i="13" s="1"/>
  <c r="H98" i="13" s="1"/>
  <c r="C102" i="14"/>
  <c r="D24" i="13" s="1"/>
  <c r="G24" i="13" s="1"/>
  <c r="H24" i="13" s="1"/>
  <c r="I24" i="13" s="1"/>
  <c r="D84" i="13"/>
  <c r="G84" i="13" s="1"/>
  <c r="H84" i="13" s="1"/>
  <c r="C118" i="14"/>
  <c r="D40" i="13" s="1"/>
  <c r="G40" i="13" s="1"/>
  <c r="H40" i="13" s="1"/>
  <c r="I40" i="13" s="1"/>
  <c r="D100" i="13"/>
  <c r="G100" i="13" s="1"/>
  <c r="H100" i="13" s="1"/>
  <c r="I100" i="13" s="1"/>
  <c r="L37" i="13"/>
  <c r="M37" i="13" s="1"/>
  <c r="I95" i="13"/>
  <c r="L12" i="2"/>
  <c r="K12" i="2"/>
  <c r="C88" i="2" s="1"/>
  <c r="D88" i="2" s="1"/>
  <c r="I42" i="13"/>
  <c r="C108" i="14"/>
  <c r="D30" i="13" s="1"/>
  <c r="G30" i="13" s="1"/>
  <c r="H30" i="13" s="1"/>
  <c r="I30" i="13" s="1"/>
  <c r="D90" i="13"/>
  <c r="G90" i="13" s="1"/>
  <c r="H90" i="13" s="1"/>
  <c r="L33" i="13"/>
  <c r="M33" i="13" s="1"/>
  <c r="I91" i="13"/>
  <c r="L39" i="13"/>
  <c r="M39" i="13" s="1"/>
  <c r="I97" i="13"/>
  <c r="L27" i="13"/>
  <c r="M27" i="13" s="1"/>
  <c r="I85" i="13"/>
  <c r="H140" i="14"/>
  <c r="L17" i="2"/>
  <c r="K17" i="2"/>
  <c r="L25" i="13"/>
  <c r="M25" i="13" s="1"/>
  <c r="I83" i="13"/>
  <c r="L41" i="13"/>
  <c r="M41" i="13" s="1"/>
  <c r="I99" i="13"/>
  <c r="L14" i="2"/>
  <c r="K14" i="2"/>
  <c r="C90" i="2" s="1"/>
  <c r="D90" i="2" s="1"/>
  <c r="L19" i="2"/>
  <c r="K19" i="2"/>
  <c r="L20" i="2"/>
  <c r="K20" i="2"/>
  <c r="L29" i="13"/>
  <c r="M29" i="13" s="1"/>
  <c r="I87" i="13"/>
  <c r="L16" i="2"/>
  <c r="K16" i="2"/>
  <c r="G41" i="5"/>
  <c r="G46" i="5"/>
  <c r="G45" i="5"/>
  <c r="G44" i="5"/>
  <c r="G43" i="5"/>
  <c r="L32" i="13" l="1"/>
  <c r="M32" i="13" s="1"/>
  <c r="I90" i="13"/>
  <c r="L40" i="13"/>
  <c r="M40" i="13" s="1"/>
  <c r="I98" i="13"/>
  <c r="L42" i="13"/>
  <c r="M42" i="13" s="1"/>
  <c r="L28" i="13"/>
  <c r="M28" i="13" s="1"/>
  <c r="L38" i="13"/>
  <c r="M38" i="13" s="1"/>
  <c r="I96" i="13"/>
  <c r="L30" i="13"/>
  <c r="M30" i="13" s="1"/>
  <c r="I88" i="13"/>
  <c r="L26" i="13"/>
  <c r="M26" i="13" s="1"/>
  <c r="I84" i="13"/>
  <c r="L34" i="13"/>
  <c r="M34" i="13" s="1"/>
  <c r="I92" i="13"/>
  <c r="O23" i="12"/>
  <c r="P23" i="12"/>
  <c r="Q23" i="12"/>
  <c r="R23" i="12"/>
  <c r="S23" i="12"/>
  <c r="T23" i="12"/>
  <c r="U23" i="12"/>
  <c r="V23" i="12"/>
  <c r="W23" i="12"/>
  <c r="X23" i="12"/>
  <c r="Y23" i="12"/>
  <c r="Z23" i="12"/>
  <c r="AA23" i="12"/>
  <c r="A206" i="13" l="1"/>
  <c r="A207" i="13"/>
  <c r="A199" i="13"/>
  <c r="A200" i="13"/>
  <c r="A201" i="13"/>
  <c r="A202" i="13"/>
  <c r="A203" i="13"/>
  <c r="A204" i="13"/>
  <c r="A205" i="13"/>
  <c r="A195" i="13"/>
  <c r="A196" i="13"/>
  <c r="A197" i="13"/>
  <c r="A198" i="13"/>
  <c r="A179" i="13"/>
  <c r="A180" i="13"/>
  <c r="A181" i="13"/>
  <c r="A182" i="13"/>
  <c r="A183" i="13"/>
  <c r="A184" i="13"/>
  <c r="A185" i="13"/>
  <c r="A186" i="13"/>
  <c r="A187" i="13"/>
  <c r="A188" i="13"/>
  <c r="A189" i="13"/>
  <c r="A190" i="13"/>
  <c r="A191" i="13"/>
  <c r="A192" i="13"/>
  <c r="A193" i="13"/>
  <c r="A194" i="13"/>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C17" i="5" l="1"/>
  <c r="E17" i="5" s="1"/>
  <c r="F17" i="5" s="1"/>
  <c r="C18" i="5"/>
  <c r="E18" i="5" s="1"/>
  <c r="F18" i="5" s="1"/>
  <c r="C19" i="5"/>
  <c r="E19" i="5" s="1"/>
  <c r="F19" i="5" s="1"/>
  <c r="C20" i="5"/>
  <c r="E20" i="5" s="1"/>
  <c r="F20" i="5" s="1"/>
  <c r="C21" i="5"/>
  <c r="E21" i="5" s="1"/>
  <c r="F21" i="5" s="1"/>
  <c r="C22" i="5"/>
  <c r="E22" i="5" s="1"/>
  <c r="F22" i="5" s="1"/>
  <c r="C23" i="5"/>
  <c r="E23" i="5" s="1"/>
  <c r="F23" i="5" s="1"/>
  <c r="C24" i="5"/>
  <c r="E24" i="5" s="1"/>
  <c r="F24" i="5" s="1"/>
  <c r="C25" i="5"/>
  <c r="E25" i="5" s="1"/>
  <c r="F25" i="5" s="1"/>
  <c r="C26" i="5"/>
  <c r="E26" i="5" s="1"/>
  <c r="F26" i="5" s="1"/>
  <c r="C27" i="5"/>
  <c r="E27" i="5" s="1"/>
  <c r="F27" i="5" s="1"/>
  <c r="C28" i="5"/>
  <c r="E28" i="5" s="1"/>
  <c r="F28" i="5" s="1"/>
  <c r="C29" i="5"/>
  <c r="E29" i="5" s="1"/>
  <c r="F29" i="5" s="1"/>
  <c r="C30" i="5"/>
  <c r="E30" i="5" s="1"/>
  <c r="F30" i="5" s="1"/>
  <c r="C31" i="5"/>
  <c r="E31" i="5" s="1"/>
  <c r="F31" i="5" s="1"/>
  <c r="C32" i="5"/>
  <c r="E32" i="5" s="1"/>
  <c r="F32" i="5" s="1"/>
  <c r="C33" i="5"/>
  <c r="E33" i="5" s="1"/>
  <c r="F33" i="5" s="1"/>
  <c r="C34" i="5"/>
  <c r="E34" i="5" s="1"/>
  <c r="F34" i="5" s="1"/>
  <c r="C35" i="5"/>
  <c r="E35" i="5" s="1"/>
  <c r="F35" i="5" s="1"/>
  <c r="C36" i="5"/>
  <c r="E36" i="5" s="1"/>
  <c r="F36" i="5" s="1"/>
  <c r="C16" i="5"/>
  <c r="E16" i="5" s="1"/>
  <c r="F16" i="5" s="1"/>
  <c r="C10" i="5"/>
  <c r="E10" i="5" s="1"/>
  <c r="F10" i="5" s="1"/>
  <c r="C11" i="5"/>
  <c r="E11" i="5" s="1"/>
  <c r="F11" i="5" s="1"/>
  <c r="C12" i="5"/>
  <c r="E12" i="5" s="1"/>
  <c r="F12" i="5" s="1"/>
  <c r="C13" i="5"/>
  <c r="E13" i="5" s="1"/>
  <c r="F13" i="5" s="1"/>
  <c r="C14" i="5"/>
  <c r="E14" i="5" s="1"/>
  <c r="F14" i="5" s="1"/>
  <c r="C15" i="5"/>
  <c r="E15" i="5" s="1"/>
  <c r="F15" i="5" s="1"/>
  <c r="C9" i="5"/>
  <c r="E9" i="5" s="1"/>
  <c r="F9" i="5" s="1"/>
  <c r="K67" i="2"/>
  <c r="K68" i="2"/>
  <c r="K69" i="2"/>
  <c r="K70" i="2"/>
  <c r="K71" i="2"/>
  <c r="K72" i="2"/>
  <c r="K73" i="2"/>
  <c r="K74" i="2"/>
  <c r="K75" i="2"/>
  <c r="K76" i="2"/>
  <c r="K77" i="2"/>
  <c r="K78" i="2"/>
  <c r="K79" i="2"/>
  <c r="K80" i="2"/>
  <c r="C103" i="2"/>
  <c r="D103" i="2" s="1"/>
  <c r="C104" i="2"/>
  <c r="D104" i="2" s="1"/>
  <c r="C105" i="2"/>
  <c r="D105" i="2" s="1"/>
  <c r="C106" i="2"/>
  <c r="D106" i="2" s="1"/>
  <c r="C107" i="2"/>
  <c r="D107" i="2" s="1"/>
  <c r="C108" i="2"/>
  <c r="D108" i="2" s="1"/>
  <c r="C109" i="2"/>
  <c r="D109" i="2" s="1"/>
  <c r="C110" i="2"/>
  <c r="D110" i="2" s="1"/>
  <c r="C111" i="2"/>
  <c r="D111" i="2" s="1"/>
  <c r="C112" i="2"/>
  <c r="D112" i="2" s="1"/>
  <c r="C113" i="2"/>
  <c r="D113" i="2" s="1"/>
  <c r="C114" i="2"/>
  <c r="D114" i="2" s="1"/>
  <c r="C115" i="2"/>
  <c r="D115" i="2" s="1"/>
  <c r="C116" i="2"/>
  <c r="D116" i="2" s="1"/>
  <c r="F37" i="5" l="1"/>
  <c r="E37" i="5"/>
  <c r="AM37" i="7"/>
  <c r="AN37" i="7" s="1"/>
  <c r="AO37" i="7" s="1"/>
  <c r="AP37" i="7" s="1"/>
  <c r="AQ37" i="7" s="1"/>
  <c r="AR37" i="7" s="1"/>
  <c r="AS37" i="7" s="1"/>
  <c r="AT37" i="7" s="1"/>
  <c r="AU37" i="7" s="1"/>
  <c r="AV37" i="7" s="1"/>
  <c r="F15" i="1"/>
  <c r="G15" i="1" s="1"/>
  <c r="C23" i="1"/>
  <c r="M143" i="14"/>
  <c r="M144" i="14"/>
  <c r="M145" i="14"/>
  <c r="M146" i="14"/>
  <c r="M147" i="14"/>
  <c r="M148" i="14"/>
  <c r="M149" i="14"/>
  <c r="M150" i="14"/>
  <c r="M151" i="14"/>
  <c r="M152" i="14"/>
  <c r="G148" i="14"/>
  <c r="G149" i="14"/>
  <c r="G150" i="14"/>
  <c r="G151" i="14"/>
  <c r="G152" i="14"/>
  <c r="K136" i="14" l="1"/>
  <c r="B149" i="13" s="1"/>
  <c r="B185" i="13" s="1"/>
  <c r="J136" i="14"/>
  <c r="H136" i="14"/>
  <c r="C149" i="13" s="1"/>
  <c r="C185" i="13" s="1"/>
  <c r="I136" i="14"/>
  <c r="D149" i="13" s="1"/>
  <c r="D185" i="13" s="1"/>
  <c r="K140" i="14"/>
  <c r="B153" i="13" s="1"/>
  <c r="B189" i="13" s="1"/>
  <c r="J140" i="14"/>
  <c r="C153" i="13"/>
  <c r="C189" i="13" s="1"/>
  <c r="I140" i="14"/>
  <c r="D153" i="13" s="1"/>
  <c r="D189" i="13" s="1"/>
  <c r="K144" i="14"/>
  <c r="B157" i="13" s="1"/>
  <c r="B193" i="13" s="1"/>
  <c r="J144" i="14"/>
  <c r="H144" i="14"/>
  <c r="C157" i="13" s="1"/>
  <c r="C193" i="13" s="1"/>
  <c r="I144" i="14"/>
  <c r="D157" i="13" s="1"/>
  <c r="D193" i="13" s="1"/>
  <c r="K148" i="14"/>
  <c r="B161" i="13" s="1"/>
  <c r="B197" i="13" s="1"/>
  <c r="J148" i="14"/>
  <c r="H148" i="14"/>
  <c r="C161" i="13" s="1"/>
  <c r="C197" i="13" s="1"/>
  <c r="I148" i="14"/>
  <c r="D161" i="13" s="1"/>
  <c r="D197" i="13" s="1"/>
  <c r="K152" i="14"/>
  <c r="B165" i="13" s="1"/>
  <c r="B201" i="13" s="1"/>
  <c r="H152" i="14"/>
  <c r="C165" i="13" s="1"/>
  <c r="C201" i="13" s="1"/>
  <c r="I152" i="14"/>
  <c r="D165" i="13" s="1"/>
  <c r="D201" i="13" s="1"/>
  <c r="J152" i="14"/>
  <c r="K134" i="14"/>
  <c r="B147" i="13" s="1"/>
  <c r="B183" i="13" s="1"/>
  <c r="J134" i="14"/>
  <c r="H134" i="14"/>
  <c r="C147" i="13" s="1"/>
  <c r="C183" i="13" s="1"/>
  <c r="I134" i="14"/>
  <c r="D147" i="13" s="1"/>
  <c r="D183" i="13" s="1"/>
  <c r="K138" i="14"/>
  <c r="B151" i="13" s="1"/>
  <c r="B187" i="13" s="1"/>
  <c r="J138" i="14"/>
  <c r="H138" i="14"/>
  <c r="C151" i="13" s="1"/>
  <c r="C187" i="13" s="1"/>
  <c r="I138" i="14"/>
  <c r="D151" i="13" s="1"/>
  <c r="D187" i="13" s="1"/>
  <c r="K142" i="14"/>
  <c r="B155" i="13" s="1"/>
  <c r="B191" i="13" s="1"/>
  <c r="J142" i="14"/>
  <c r="H142" i="14"/>
  <c r="C155" i="13" s="1"/>
  <c r="C191" i="13" s="1"/>
  <c r="I142" i="14"/>
  <c r="D155" i="13" s="1"/>
  <c r="D191" i="13" s="1"/>
  <c r="K146" i="14"/>
  <c r="B159" i="13" s="1"/>
  <c r="B195" i="13" s="1"/>
  <c r="J146" i="14"/>
  <c r="H146" i="14"/>
  <c r="C159" i="13" s="1"/>
  <c r="C195" i="13" s="1"/>
  <c r="I146" i="14"/>
  <c r="D159" i="13" s="1"/>
  <c r="D195" i="13" s="1"/>
  <c r="K150" i="14"/>
  <c r="B163" i="13" s="1"/>
  <c r="B199" i="13" s="1"/>
  <c r="J150" i="14"/>
  <c r="H150" i="14"/>
  <c r="C163" i="13" s="1"/>
  <c r="C199" i="13" s="1"/>
  <c r="I150" i="14"/>
  <c r="D163" i="13" s="1"/>
  <c r="D199" i="13" s="1"/>
  <c r="I133" i="14"/>
  <c r="D146" i="13" s="1"/>
  <c r="D182" i="13" s="1"/>
  <c r="J133" i="14"/>
  <c r="H133" i="14"/>
  <c r="C146" i="13" s="1"/>
  <c r="C182" i="13" s="1"/>
  <c r="K133" i="14"/>
  <c r="B146" i="13" s="1"/>
  <c r="B182" i="13" s="1"/>
  <c r="I151" i="14"/>
  <c r="D164" i="13" s="1"/>
  <c r="D200" i="13" s="1"/>
  <c r="K151" i="14"/>
  <c r="B164" i="13" s="1"/>
  <c r="B200" i="13" s="1"/>
  <c r="J151" i="14"/>
  <c r="H151" i="14"/>
  <c r="C164" i="13" s="1"/>
  <c r="C200" i="13" s="1"/>
  <c r="R135" i="14"/>
  <c r="K148" i="13" s="1"/>
  <c r="N184" i="13" s="1"/>
  <c r="Q135" i="14"/>
  <c r="G148" i="13" s="1"/>
  <c r="G184" i="13" s="1"/>
  <c r="P135" i="14"/>
  <c r="O135" i="14"/>
  <c r="I148" i="13" s="1"/>
  <c r="I184" i="13" s="1"/>
  <c r="N135" i="14"/>
  <c r="H148" i="13" s="1"/>
  <c r="H184" i="13" s="1"/>
  <c r="R139" i="14"/>
  <c r="K152" i="13" s="1"/>
  <c r="N188" i="13" s="1"/>
  <c r="Q139" i="14"/>
  <c r="G152" i="13" s="1"/>
  <c r="G188" i="13" s="1"/>
  <c r="P139" i="14"/>
  <c r="O139" i="14"/>
  <c r="I152" i="13" s="1"/>
  <c r="I188" i="13" s="1"/>
  <c r="N139" i="14"/>
  <c r="H152" i="13" s="1"/>
  <c r="H188" i="13" s="1"/>
  <c r="R143" i="14"/>
  <c r="K156" i="13" s="1"/>
  <c r="N192" i="13" s="1"/>
  <c r="Q143" i="14"/>
  <c r="G156" i="13" s="1"/>
  <c r="G192" i="13" s="1"/>
  <c r="P143" i="14"/>
  <c r="O143" i="14"/>
  <c r="I156" i="13" s="1"/>
  <c r="I192" i="13" s="1"/>
  <c r="N143" i="14"/>
  <c r="H156" i="13" s="1"/>
  <c r="H192" i="13" s="1"/>
  <c r="R147" i="14"/>
  <c r="K160" i="13" s="1"/>
  <c r="N196" i="13" s="1"/>
  <c r="Q147" i="14"/>
  <c r="G160" i="13" s="1"/>
  <c r="G196" i="13" s="1"/>
  <c r="P147" i="14"/>
  <c r="O147" i="14"/>
  <c r="I160" i="13" s="1"/>
  <c r="I196" i="13" s="1"/>
  <c r="N147" i="14"/>
  <c r="H160" i="13" s="1"/>
  <c r="H196" i="13" s="1"/>
  <c r="R151" i="14"/>
  <c r="K164" i="13" s="1"/>
  <c r="N200" i="13" s="1"/>
  <c r="Q151" i="14"/>
  <c r="G164" i="13" s="1"/>
  <c r="G200" i="13" s="1"/>
  <c r="P151" i="14"/>
  <c r="O151" i="14"/>
  <c r="I164" i="13" s="1"/>
  <c r="I200" i="13" s="1"/>
  <c r="N151" i="14"/>
  <c r="H164" i="13" s="1"/>
  <c r="H200" i="13" s="1"/>
  <c r="I135" i="14"/>
  <c r="D148" i="13" s="1"/>
  <c r="D184" i="13" s="1"/>
  <c r="K135" i="14"/>
  <c r="B148" i="13" s="1"/>
  <c r="B184" i="13" s="1"/>
  <c r="J135" i="14"/>
  <c r="H135" i="14"/>
  <c r="C148" i="13" s="1"/>
  <c r="C184" i="13" s="1"/>
  <c r="I137" i="14"/>
  <c r="D150" i="13" s="1"/>
  <c r="D186" i="13" s="1"/>
  <c r="K137" i="14"/>
  <c r="B150" i="13" s="1"/>
  <c r="B186" i="13" s="1"/>
  <c r="J137" i="14"/>
  <c r="H137" i="14"/>
  <c r="C150" i="13" s="1"/>
  <c r="C186" i="13" s="1"/>
  <c r="I139" i="14"/>
  <c r="D152" i="13" s="1"/>
  <c r="D188" i="13" s="1"/>
  <c r="K139" i="14"/>
  <c r="B152" i="13" s="1"/>
  <c r="B188" i="13" s="1"/>
  <c r="J139" i="14"/>
  <c r="H139" i="14"/>
  <c r="C152" i="13" s="1"/>
  <c r="C188" i="13" s="1"/>
  <c r="I141" i="14"/>
  <c r="D154" i="13" s="1"/>
  <c r="D190" i="13" s="1"/>
  <c r="J141" i="14"/>
  <c r="H141" i="14"/>
  <c r="C154" i="13" s="1"/>
  <c r="C190" i="13" s="1"/>
  <c r="K141" i="14"/>
  <c r="B154" i="13" s="1"/>
  <c r="B190" i="13" s="1"/>
  <c r="I143" i="14"/>
  <c r="D156" i="13" s="1"/>
  <c r="D192" i="13" s="1"/>
  <c r="K143" i="14"/>
  <c r="B156" i="13" s="1"/>
  <c r="B192" i="13" s="1"/>
  <c r="J143" i="14"/>
  <c r="H143" i="14"/>
  <c r="C156" i="13" s="1"/>
  <c r="C192" i="13" s="1"/>
  <c r="I145" i="14"/>
  <c r="D158" i="13" s="1"/>
  <c r="D194" i="13" s="1"/>
  <c r="K145" i="14"/>
  <c r="B158" i="13" s="1"/>
  <c r="B194" i="13" s="1"/>
  <c r="J145" i="14"/>
  <c r="H145" i="14"/>
  <c r="C158" i="13" s="1"/>
  <c r="C194" i="13" s="1"/>
  <c r="I147" i="14"/>
  <c r="D160" i="13" s="1"/>
  <c r="D196" i="13" s="1"/>
  <c r="K147" i="14"/>
  <c r="B160" i="13" s="1"/>
  <c r="B196" i="13" s="1"/>
  <c r="J147" i="14"/>
  <c r="H147" i="14"/>
  <c r="C160" i="13" s="1"/>
  <c r="C196" i="13" s="1"/>
  <c r="I149" i="14"/>
  <c r="D162" i="13" s="1"/>
  <c r="D198" i="13" s="1"/>
  <c r="J149" i="14"/>
  <c r="H149" i="14"/>
  <c r="C162" i="13" s="1"/>
  <c r="C198" i="13" s="1"/>
  <c r="K149" i="14"/>
  <c r="B162" i="13" s="1"/>
  <c r="B198" i="13" s="1"/>
  <c r="R137" i="14"/>
  <c r="K150" i="13" s="1"/>
  <c r="N186" i="13" s="1"/>
  <c r="O137" i="14"/>
  <c r="I150" i="13" s="1"/>
  <c r="I186" i="13" s="1"/>
  <c r="Q137" i="14"/>
  <c r="G150" i="13" s="1"/>
  <c r="G186" i="13" s="1"/>
  <c r="P137" i="14"/>
  <c r="N137" i="14"/>
  <c r="H150" i="13" s="1"/>
  <c r="H186" i="13" s="1"/>
  <c r="Q141" i="14"/>
  <c r="G154" i="13" s="1"/>
  <c r="G190" i="13" s="1"/>
  <c r="P141" i="14"/>
  <c r="N141" i="14"/>
  <c r="H154" i="13" s="1"/>
  <c r="H190" i="13" s="1"/>
  <c r="R141" i="14"/>
  <c r="K154" i="13" s="1"/>
  <c r="N190" i="13" s="1"/>
  <c r="O141" i="14"/>
  <c r="I154" i="13" s="1"/>
  <c r="I190" i="13" s="1"/>
  <c r="R145" i="14"/>
  <c r="K158" i="13" s="1"/>
  <c r="N194" i="13" s="1"/>
  <c r="O145" i="14"/>
  <c r="I158" i="13" s="1"/>
  <c r="I194" i="13" s="1"/>
  <c r="Q145" i="14"/>
  <c r="G158" i="13" s="1"/>
  <c r="G194" i="13" s="1"/>
  <c r="P145" i="14"/>
  <c r="N145" i="14"/>
  <c r="H158" i="13" s="1"/>
  <c r="H194" i="13" s="1"/>
  <c r="P149" i="14"/>
  <c r="N149" i="14"/>
  <c r="H162" i="13" s="1"/>
  <c r="H198" i="13" s="1"/>
  <c r="R149" i="14"/>
  <c r="K162" i="13" s="1"/>
  <c r="N198" i="13" s="1"/>
  <c r="Q149" i="14"/>
  <c r="G162" i="13" s="1"/>
  <c r="G198" i="13" s="1"/>
  <c r="O149" i="14"/>
  <c r="I162" i="13" s="1"/>
  <c r="I198" i="13" s="1"/>
  <c r="P37" i="16"/>
  <c r="O37" i="16"/>
  <c r="P28" i="16"/>
  <c r="O28" i="16"/>
  <c r="S28" i="16" s="1"/>
  <c r="P14" i="16"/>
  <c r="O14" i="16"/>
  <c r="S14" i="16" s="1"/>
  <c r="S42" i="16" l="1"/>
  <c r="O38" i="16"/>
  <c r="P38" i="16"/>
  <c r="S43" i="16"/>
  <c r="K198" i="13"/>
  <c r="L198" i="13" s="1"/>
  <c r="K190" i="13"/>
  <c r="L190" i="13" s="1"/>
  <c r="Q133" i="14"/>
  <c r="G146" i="13" s="1"/>
  <c r="G182" i="13" s="1"/>
  <c r="P133" i="14"/>
  <c r="N133" i="14"/>
  <c r="H146" i="13" s="1"/>
  <c r="H182" i="13" s="1"/>
  <c r="R133" i="14"/>
  <c r="K146" i="13" s="1"/>
  <c r="N182" i="13" s="1"/>
  <c r="O133" i="14"/>
  <c r="I146" i="13" s="1"/>
  <c r="I182" i="13" s="1"/>
  <c r="R146" i="14"/>
  <c r="K159" i="13" s="1"/>
  <c r="N195" i="13" s="1"/>
  <c r="Q146" i="14"/>
  <c r="G159" i="13" s="1"/>
  <c r="G195" i="13" s="1"/>
  <c r="P146" i="14"/>
  <c r="O146" i="14"/>
  <c r="I159" i="13" s="1"/>
  <c r="I195" i="13" s="1"/>
  <c r="N146" i="14"/>
  <c r="H159" i="13" s="1"/>
  <c r="H195" i="13" s="1"/>
  <c r="R138" i="14"/>
  <c r="K151" i="13" s="1"/>
  <c r="N187" i="13" s="1"/>
  <c r="Q138" i="14"/>
  <c r="G151" i="13" s="1"/>
  <c r="G187" i="13" s="1"/>
  <c r="P138" i="14"/>
  <c r="O138" i="14"/>
  <c r="I151" i="13" s="1"/>
  <c r="I187" i="13" s="1"/>
  <c r="N138" i="14"/>
  <c r="H151" i="13" s="1"/>
  <c r="H187" i="13" s="1"/>
  <c r="E198" i="13"/>
  <c r="F198" i="13" s="1"/>
  <c r="E196" i="13"/>
  <c r="F196" i="13" s="1"/>
  <c r="E194" i="13"/>
  <c r="F194" i="13" s="1"/>
  <c r="E192" i="13"/>
  <c r="F192" i="13" s="1"/>
  <c r="E190" i="13"/>
  <c r="F190" i="13" s="1"/>
  <c r="E188" i="13"/>
  <c r="F188" i="13" s="1"/>
  <c r="E186" i="13"/>
  <c r="F186" i="13" s="1"/>
  <c r="E184" i="13"/>
  <c r="F184" i="13" s="1"/>
  <c r="K196" i="13"/>
  <c r="L196" i="13" s="1"/>
  <c r="K188" i="13"/>
  <c r="L188" i="13" s="1"/>
  <c r="R148" i="14"/>
  <c r="K161" i="13" s="1"/>
  <c r="N197" i="13" s="1"/>
  <c r="Q148" i="14"/>
  <c r="G161" i="13" s="1"/>
  <c r="G197" i="13" s="1"/>
  <c r="P148" i="14"/>
  <c r="O148" i="14"/>
  <c r="I161" i="13" s="1"/>
  <c r="I197" i="13" s="1"/>
  <c r="N148" i="14"/>
  <c r="H161" i="13" s="1"/>
  <c r="H197" i="13" s="1"/>
  <c r="R140" i="14"/>
  <c r="K153" i="13" s="1"/>
  <c r="N189" i="13" s="1"/>
  <c r="Q140" i="14"/>
  <c r="G153" i="13" s="1"/>
  <c r="G189" i="13" s="1"/>
  <c r="P140" i="14"/>
  <c r="O140" i="14"/>
  <c r="I153" i="13" s="1"/>
  <c r="I189" i="13" s="1"/>
  <c r="N140" i="14"/>
  <c r="H153" i="13" s="1"/>
  <c r="H189" i="13" s="1"/>
  <c r="E200" i="13"/>
  <c r="F200" i="13" s="1"/>
  <c r="E182" i="13"/>
  <c r="F182" i="13" s="1"/>
  <c r="K194" i="13"/>
  <c r="L194" i="13" s="1"/>
  <c r="K186" i="13"/>
  <c r="R150" i="14"/>
  <c r="K163" i="13" s="1"/>
  <c r="N199" i="13" s="1"/>
  <c r="Q150" i="14"/>
  <c r="G163" i="13" s="1"/>
  <c r="G199" i="13" s="1"/>
  <c r="P150" i="14"/>
  <c r="O150" i="14"/>
  <c r="I163" i="13" s="1"/>
  <c r="I199" i="13" s="1"/>
  <c r="N150" i="14"/>
  <c r="H163" i="13" s="1"/>
  <c r="H199" i="13" s="1"/>
  <c r="R142" i="14"/>
  <c r="K155" i="13" s="1"/>
  <c r="N191" i="13" s="1"/>
  <c r="Q142" i="14"/>
  <c r="G155" i="13" s="1"/>
  <c r="G191" i="13" s="1"/>
  <c r="P142" i="14"/>
  <c r="O142" i="14"/>
  <c r="I155" i="13" s="1"/>
  <c r="I191" i="13" s="1"/>
  <c r="N142" i="14"/>
  <c r="H155" i="13" s="1"/>
  <c r="H191" i="13" s="1"/>
  <c r="R134" i="14"/>
  <c r="K147" i="13" s="1"/>
  <c r="N183" i="13" s="1"/>
  <c r="Q134" i="14"/>
  <c r="G147" i="13" s="1"/>
  <c r="G183" i="13" s="1"/>
  <c r="P134" i="14"/>
  <c r="O134" i="14"/>
  <c r="I147" i="13" s="1"/>
  <c r="I183" i="13" s="1"/>
  <c r="N134" i="14"/>
  <c r="H147" i="13" s="1"/>
  <c r="H183" i="13" s="1"/>
  <c r="K200" i="13"/>
  <c r="L200" i="13" s="1"/>
  <c r="K192" i="13"/>
  <c r="L192" i="13" s="1"/>
  <c r="K184" i="13"/>
  <c r="R152" i="14"/>
  <c r="K165" i="13" s="1"/>
  <c r="N201" i="13" s="1"/>
  <c r="Q152" i="14"/>
  <c r="G165" i="13" s="1"/>
  <c r="G201" i="13" s="1"/>
  <c r="P152" i="14"/>
  <c r="O152" i="14"/>
  <c r="I165" i="13" s="1"/>
  <c r="I201" i="13" s="1"/>
  <c r="N152" i="14"/>
  <c r="H165" i="13" s="1"/>
  <c r="H201" i="13" s="1"/>
  <c r="R144" i="14"/>
  <c r="K157" i="13" s="1"/>
  <c r="N193" i="13" s="1"/>
  <c r="Q144" i="14"/>
  <c r="G157" i="13" s="1"/>
  <c r="G193" i="13" s="1"/>
  <c r="P144" i="14"/>
  <c r="O144" i="14"/>
  <c r="I157" i="13" s="1"/>
  <c r="I193" i="13" s="1"/>
  <c r="N144" i="14"/>
  <c r="H157" i="13" s="1"/>
  <c r="H193" i="13" s="1"/>
  <c r="R136" i="14"/>
  <c r="K149" i="13" s="1"/>
  <c r="N185" i="13" s="1"/>
  <c r="Q136" i="14"/>
  <c r="G149" i="13" s="1"/>
  <c r="G185" i="13" s="1"/>
  <c r="P136" i="14"/>
  <c r="O136" i="14"/>
  <c r="I149" i="13" s="1"/>
  <c r="I185" i="13" s="1"/>
  <c r="N136" i="14"/>
  <c r="H149" i="13" s="1"/>
  <c r="H185" i="13" s="1"/>
  <c r="E199" i="13"/>
  <c r="F199" i="13" s="1"/>
  <c r="E195" i="13"/>
  <c r="F195" i="13" s="1"/>
  <c r="E191" i="13"/>
  <c r="F191" i="13" s="1"/>
  <c r="E187" i="13"/>
  <c r="F187" i="13" s="1"/>
  <c r="E183" i="13"/>
  <c r="F183" i="13" s="1"/>
  <c r="E201" i="13"/>
  <c r="F201" i="13" s="1"/>
  <c r="E197" i="13"/>
  <c r="F197" i="13" s="1"/>
  <c r="E193" i="13"/>
  <c r="F193" i="13" s="1"/>
  <c r="E189" i="13"/>
  <c r="F189" i="13" s="1"/>
  <c r="E185" i="13"/>
  <c r="F185" i="13" s="1"/>
  <c r="N37" i="16"/>
  <c r="M37" i="16"/>
  <c r="L37" i="16"/>
  <c r="L38" i="16" s="1"/>
  <c r="K37" i="16"/>
  <c r="K38" i="16" s="1"/>
  <c r="J37" i="16"/>
  <c r="I37" i="16"/>
  <c r="H37" i="16"/>
  <c r="G37" i="16"/>
  <c r="G38" i="16" s="1"/>
  <c r="F37" i="16"/>
  <c r="E37" i="16"/>
  <c r="S31" i="16"/>
  <c r="M28" i="16"/>
  <c r="S26" i="16" s="1"/>
  <c r="D66" i="14" s="1"/>
  <c r="L28" i="16"/>
  <c r="S25" i="16" s="1"/>
  <c r="D65" i="14" s="1"/>
  <c r="K28" i="16"/>
  <c r="S24" i="16" s="1"/>
  <c r="D64" i="14" s="1"/>
  <c r="J28" i="16"/>
  <c r="S23" i="16" s="1"/>
  <c r="D63" i="14" s="1"/>
  <c r="I28" i="16"/>
  <c r="S22" i="16" s="1"/>
  <c r="D62" i="14" s="1"/>
  <c r="H28" i="16"/>
  <c r="S21" i="16" s="1"/>
  <c r="D61" i="14" s="1"/>
  <c r="G28" i="16"/>
  <c r="S20" i="16" s="1"/>
  <c r="D60" i="14" s="1"/>
  <c r="F28" i="16"/>
  <c r="S19" i="16" s="1"/>
  <c r="D59" i="14" s="1"/>
  <c r="E28" i="16"/>
  <c r="S18" i="16" s="1"/>
  <c r="D58" i="14" s="1"/>
  <c r="D28" i="16"/>
  <c r="N21" i="16"/>
  <c r="N28" i="16" s="1"/>
  <c r="S27" i="16" s="1"/>
  <c r="D67" i="14" s="1"/>
  <c r="N14" i="16"/>
  <c r="S13" i="16" s="1"/>
  <c r="E67" i="14" s="1"/>
  <c r="D53" i="13" s="1"/>
  <c r="G53" i="13" s="1"/>
  <c r="H53" i="13" s="1"/>
  <c r="I53" i="13" s="1"/>
  <c r="M14" i="16"/>
  <c r="S12" i="16" s="1"/>
  <c r="E66" i="14" s="1"/>
  <c r="D52" i="13" s="1"/>
  <c r="G52" i="13" s="1"/>
  <c r="H52" i="13" s="1"/>
  <c r="I52" i="13" s="1"/>
  <c r="L14" i="16"/>
  <c r="S11" i="16" s="1"/>
  <c r="E65" i="14" s="1"/>
  <c r="D51" i="13" s="1"/>
  <c r="G51" i="13" s="1"/>
  <c r="H51" i="13" s="1"/>
  <c r="I51" i="13" s="1"/>
  <c r="K14" i="16"/>
  <c r="S10" i="16" s="1"/>
  <c r="E64" i="14" s="1"/>
  <c r="D50" i="13" s="1"/>
  <c r="G50" i="13" s="1"/>
  <c r="H50" i="13" s="1"/>
  <c r="I50" i="13" s="1"/>
  <c r="J14" i="16"/>
  <c r="S9" i="16" s="1"/>
  <c r="E63" i="14" s="1"/>
  <c r="D49" i="13" s="1"/>
  <c r="G49" i="13" s="1"/>
  <c r="H49" i="13" s="1"/>
  <c r="I49" i="13" s="1"/>
  <c r="I14" i="16"/>
  <c r="S8" i="16" s="1"/>
  <c r="E62" i="14" s="1"/>
  <c r="D48" i="13" s="1"/>
  <c r="G48" i="13" s="1"/>
  <c r="H48" i="13" s="1"/>
  <c r="I48" i="13" s="1"/>
  <c r="H14" i="16"/>
  <c r="S7" i="16" s="1"/>
  <c r="E61" i="14" s="1"/>
  <c r="D47" i="13" s="1"/>
  <c r="G47" i="13" s="1"/>
  <c r="H47" i="13" s="1"/>
  <c r="I47" i="13" s="1"/>
  <c r="G14" i="16"/>
  <c r="S6" i="16" s="1"/>
  <c r="E60" i="14" s="1"/>
  <c r="D46" i="13" s="1"/>
  <c r="G46" i="13" s="1"/>
  <c r="H46" i="13" s="1"/>
  <c r="I46" i="13" s="1"/>
  <c r="F14" i="16"/>
  <c r="S5" i="16" s="1"/>
  <c r="E59" i="14" s="1"/>
  <c r="D45" i="13" s="1"/>
  <c r="G45" i="13" s="1"/>
  <c r="H45" i="13" s="1"/>
  <c r="I45" i="13" s="1"/>
  <c r="E14" i="16"/>
  <c r="S4" i="16" s="1"/>
  <c r="E58" i="14" s="1"/>
  <c r="D44" i="13" s="1"/>
  <c r="G44" i="13" s="1"/>
  <c r="H44" i="13" s="1"/>
  <c r="I44" i="13" s="1"/>
  <c r="D14" i="16"/>
  <c r="S3" i="16" s="1"/>
  <c r="S35" i="16" l="1"/>
  <c r="H38" i="16"/>
  <c r="E38" i="16"/>
  <c r="I38" i="16"/>
  <c r="M38" i="16"/>
  <c r="G58" i="14"/>
  <c r="I58" i="14" s="1"/>
  <c r="B91" i="14" s="1"/>
  <c r="D73" i="13" s="1"/>
  <c r="G73" i="13" s="1"/>
  <c r="H73" i="13" s="1"/>
  <c r="I73" i="13" s="1"/>
  <c r="S17" i="16"/>
  <c r="D38" i="16"/>
  <c r="F38" i="16"/>
  <c r="J38" i="16"/>
  <c r="N38" i="16"/>
  <c r="S32" i="16"/>
  <c r="S34" i="16"/>
  <c r="S36" i="16"/>
  <c r="S38" i="16"/>
  <c r="S40" i="16"/>
  <c r="S33" i="16"/>
  <c r="S37" i="16"/>
  <c r="S39" i="16"/>
  <c r="S41" i="16"/>
  <c r="G60" i="14"/>
  <c r="G62" i="14"/>
  <c r="G64" i="14"/>
  <c r="I64" i="14" s="1"/>
  <c r="B97" i="14" s="1"/>
  <c r="D79" i="13" s="1"/>
  <c r="G79" i="13" s="1"/>
  <c r="H79" i="13" s="1"/>
  <c r="G66" i="14"/>
  <c r="I66" i="14" s="1"/>
  <c r="G59" i="14"/>
  <c r="G61" i="14"/>
  <c r="G63" i="14"/>
  <c r="I63" i="14" s="1"/>
  <c r="G65" i="14"/>
  <c r="G67" i="14"/>
  <c r="I67" i="14" s="1"/>
  <c r="K185" i="13"/>
  <c r="K201" i="13"/>
  <c r="L201" i="13" s="1"/>
  <c r="K183" i="13"/>
  <c r="K199" i="13"/>
  <c r="L199" i="13" s="1"/>
  <c r="K197" i="13"/>
  <c r="L197" i="13" s="1"/>
  <c r="K195" i="13"/>
  <c r="L195" i="13" s="1"/>
  <c r="K182" i="13"/>
  <c r="K193" i="13"/>
  <c r="L193" i="13" s="1"/>
  <c r="K191" i="13"/>
  <c r="L191" i="13" s="1"/>
  <c r="K189" i="13"/>
  <c r="L189" i="13" s="1"/>
  <c r="K187" i="13"/>
  <c r="B99" i="14"/>
  <c r="D81" i="13" s="1"/>
  <c r="G81" i="13" s="1"/>
  <c r="H81" i="13" s="1"/>
  <c r="B100" i="14"/>
  <c r="B176" i="13"/>
  <c r="D176" i="13"/>
  <c r="I79" i="13" l="1"/>
  <c r="C100" i="14"/>
  <c r="D22" i="13" s="1"/>
  <c r="G22" i="13" s="1"/>
  <c r="H22" i="13" s="1"/>
  <c r="I22" i="13" s="1"/>
  <c r="D82" i="13"/>
  <c r="G82" i="13" s="1"/>
  <c r="H82" i="13" s="1"/>
  <c r="L23" i="13"/>
  <c r="M23" i="13" s="1"/>
  <c r="I81" i="13"/>
  <c r="I61" i="14"/>
  <c r="B94" i="14" s="1"/>
  <c r="I59" i="14"/>
  <c r="B92" i="14" s="1"/>
  <c r="I60" i="14"/>
  <c r="B93" i="14" s="1"/>
  <c r="I62" i="14"/>
  <c r="B95" i="14" s="1"/>
  <c r="I65" i="14"/>
  <c r="B98" i="14" s="1"/>
  <c r="C91" i="14"/>
  <c r="C97" i="14"/>
  <c r="D19" i="13" s="1"/>
  <c r="G19" i="13" s="1"/>
  <c r="H19" i="13" s="1"/>
  <c r="I19" i="13" s="1"/>
  <c r="H129" i="14"/>
  <c r="C99" i="14"/>
  <c r="D21" i="13" s="1"/>
  <c r="G21" i="13" s="1"/>
  <c r="H21" i="13" s="1"/>
  <c r="I21" i="13" s="1"/>
  <c r="H131" i="14"/>
  <c r="B96" i="14"/>
  <c r="C92" i="14" l="1"/>
  <c r="D74" i="13"/>
  <c r="G74" i="13" s="1"/>
  <c r="H74" i="13" s="1"/>
  <c r="I74" i="13" s="1"/>
  <c r="C93" i="14"/>
  <c r="J125" i="14"/>
  <c r="K125" i="14"/>
  <c r="H125" i="14"/>
  <c r="I125" i="14"/>
  <c r="D75" i="13"/>
  <c r="G75" i="13" s="1"/>
  <c r="H75" i="13" s="1"/>
  <c r="C98" i="14"/>
  <c r="D80" i="13"/>
  <c r="G80" i="13" s="1"/>
  <c r="H80" i="13" s="1"/>
  <c r="C94" i="14"/>
  <c r="K126" i="14"/>
  <c r="I126" i="14"/>
  <c r="J126" i="14"/>
  <c r="H126" i="14"/>
  <c r="D76" i="13"/>
  <c r="G76" i="13" s="1"/>
  <c r="H76" i="13" s="1"/>
  <c r="C95" i="14"/>
  <c r="J127" i="14"/>
  <c r="H127" i="14"/>
  <c r="K127" i="14"/>
  <c r="I127" i="14"/>
  <c r="D77" i="13"/>
  <c r="G77" i="13" s="1"/>
  <c r="H77" i="13" s="1"/>
  <c r="H128" i="14"/>
  <c r="K128" i="14"/>
  <c r="I128" i="14"/>
  <c r="D78" i="13"/>
  <c r="G78" i="13" s="1"/>
  <c r="H78" i="13" s="1"/>
  <c r="L24" i="13"/>
  <c r="M24" i="13" s="1"/>
  <c r="I82" i="13"/>
  <c r="L21" i="13"/>
  <c r="M21" i="13" s="1"/>
  <c r="C96" i="14"/>
  <c r="D18" i="13" s="1"/>
  <c r="G18" i="13" s="1"/>
  <c r="H18" i="13" s="1"/>
  <c r="I18" i="13" s="1"/>
  <c r="D141" i="13"/>
  <c r="C141" i="13"/>
  <c r="C177" i="13" s="1"/>
  <c r="H132" i="14"/>
  <c r="C145" i="13" s="1"/>
  <c r="C181" i="13" s="1"/>
  <c r="K132" i="14"/>
  <c r="B145" i="13" s="1"/>
  <c r="B181" i="13" s="1"/>
  <c r="I132" i="14"/>
  <c r="D145" i="13" s="1"/>
  <c r="D181" i="13" s="1"/>
  <c r="J132" i="14"/>
  <c r="K131" i="14"/>
  <c r="B144" i="13" s="1"/>
  <c r="B180" i="13" s="1"/>
  <c r="J131" i="14"/>
  <c r="I131" i="14"/>
  <c r="D144" i="13" s="1"/>
  <c r="D180" i="13" s="1"/>
  <c r="C144" i="13"/>
  <c r="C180" i="13" s="1"/>
  <c r="I130" i="14"/>
  <c r="D143" i="13" s="1"/>
  <c r="D179" i="13" s="1"/>
  <c r="K130" i="14"/>
  <c r="B143" i="13" s="1"/>
  <c r="B179" i="13" s="1"/>
  <c r="J130" i="14"/>
  <c r="H130" i="14"/>
  <c r="C143" i="13" s="1"/>
  <c r="C179" i="13" s="1"/>
  <c r="C142" i="13"/>
  <c r="C178" i="13" s="1"/>
  <c r="K129" i="14"/>
  <c r="B142" i="13" s="1"/>
  <c r="B178" i="13" s="1"/>
  <c r="I129" i="14"/>
  <c r="D142" i="13" s="1"/>
  <c r="D178" i="13" s="1"/>
  <c r="J129" i="14"/>
  <c r="Q128" i="14"/>
  <c r="G141" i="13" s="1"/>
  <c r="G72" i="13"/>
  <c r="H72" i="13" s="1"/>
  <c r="I72" i="13" s="1"/>
  <c r="G14" i="13"/>
  <c r="I176" i="13"/>
  <c r="H176" i="13"/>
  <c r="G176" i="13"/>
  <c r="A177" i="13"/>
  <c r="C176" i="13"/>
  <c r="A178" i="13"/>
  <c r="M125" i="14"/>
  <c r="M126" i="14"/>
  <c r="M127" i="14"/>
  <c r="M128" i="14"/>
  <c r="M129" i="14"/>
  <c r="M130" i="14"/>
  <c r="M131" i="14"/>
  <c r="M132" i="14"/>
  <c r="M133" i="14"/>
  <c r="M134" i="14"/>
  <c r="M135" i="14"/>
  <c r="M136" i="14"/>
  <c r="M137" i="14"/>
  <c r="M138" i="14"/>
  <c r="M139" i="14"/>
  <c r="M140" i="14"/>
  <c r="M141" i="14"/>
  <c r="M142" i="14"/>
  <c r="Q124" i="14"/>
  <c r="N124" i="14"/>
  <c r="O124" i="14"/>
  <c r="P124" i="14"/>
  <c r="H124" i="14"/>
  <c r="I124" i="14"/>
  <c r="J124" i="14"/>
  <c r="K124" i="14"/>
  <c r="A124" i="14"/>
  <c r="G124" i="14" s="1"/>
  <c r="A96" i="14"/>
  <c r="A64" i="14"/>
  <c r="A97" i="14" s="1"/>
  <c r="C92" i="2"/>
  <c r="D92" i="2" s="1"/>
  <c r="D16" i="13" l="1"/>
  <c r="G16" i="13" s="1"/>
  <c r="H16" i="13" s="1"/>
  <c r="O126" i="14"/>
  <c r="N126" i="14"/>
  <c r="P126" i="14"/>
  <c r="Q126" i="14"/>
  <c r="N125" i="14"/>
  <c r="P125" i="14"/>
  <c r="O125" i="14"/>
  <c r="Q125" i="14"/>
  <c r="D15" i="13"/>
  <c r="G15" i="13" s="1"/>
  <c r="L20" i="13"/>
  <c r="M20" i="13" s="1"/>
  <c r="I78" i="13"/>
  <c r="L19" i="13"/>
  <c r="M19" i="13" s="1"/>
  <c r="I77" i="13"/>
  <c r="L22" i="13"/>
  <c r="M22" i="13" s="1"/>
  <c r="I80" i="13"/>
  <c r="L18" i="13"/>
  <c r="M18" i="13" s="1"/>
  <c r="I76" i="13"/>
  <c r="L17" i="13"/>
  <c r="M17" i="13" s="1"/>
  <c r="I75" i="13"/>
  <c r="D17" i="13"/>
  <c r="G17" i="13" s="1"/>
  <c r="H17" i="13" s="1"/>
  <c r="I17" i="13" s="1"/>
  <c r="O127" i="14"/>
  <c r="P127" i="14"/>
  <c r="Q127" i="14"/>
  <c r="N127" i="14"/>
  <c r="D20" i="13"/>
  <c r="G20" i="13" s="1"/>
  <c r="H20" i="13" s="1"/>
  <c r="I20" i="13" s="1"/>
  <c r="R130" i="14"/>
  <c r="N128" i="14"/>
  <c r="H141" i="13" s="1"/>
  <c r="H177" i="13" s="1"/>
  <c r="P128" i="14"/>
  <c r="O128" i="14"/>
  <c r="I141" i="13" s="1"/>
  <c r="J128" i="14"/>
  <c r="B141" i="13"/>
  <c r="B177" i="13" s="1"/>
  <c r="P129" i="14"/>
  <c r="O129" i="14"/>
  <c r="I142" i="13" s="1"/>
  <c r="I178" i="13" s="1"/>
  <c r="N129" i="14"/>
  <c r="H142" i="13" s="1"/>
  <c r="H178" i="13" s="1"/>
  <c r="Q129" i="14"/>
  <c r="G142" i="13" s="1"/>
  <c r="G178" i="13" s="1"/>
  <c r="R132" i="14"/>
  <c r="K145" i="13" s="1"/>
  <c r="N181" i="13" s="1"/>
  <c r="Q132" i="14"/>
  <c r="G145" i="13" s="1"/>
  <c r="G181" i="13" s="1"/>
  <c r="P132" i="14"/>
  <c r="O132" i="14"/>
  <c r="I145" i="13" s="1"/>
  <c r="I181" i="13" s="1"/>
  <c r="N132" i="14"/>
  <c r="H145" i="13" s="1"/>
  <c r="H181" i="13" s="1"/>
  <c r="R131" i="14"/>
  <c r="K144" i="13" s="1"/>
  <c r="N180" i="13" s="1"/>
  <c r="Q131" i="14"/>
  <c r="G144" i="13" s="1"/>
  <c r="G180" i="13" s="1"/>
  <c r="P131" i="14"/>
  <c r="O131" i="14"/>
  <c r="I144" i="13" s="1"/>
  <c r="I180" i="13" s="1"/>
  <c r="N131" i="14"/>
  <c r="H144" i="13" s="1"/>
  <c r="H180" i="13" s="1"/>
  <c r="K143" i="13"/>
  <c r="N179" i="13" s="1"/>
  <c r="O130" i="14"/>
  <c r="I143" i="13" s="1"/>
  <c r="I179" i="13" s="1"/>
  <c r="N130" i="14"/>
  <c r="H143" i="13" s="1"/>
  <c r="H179" i="13" s="1"/>
  <c r="Q130" i="14"/>
  <c r="G143" i="13" s="1"/>
  <c r="G179" i="13" s="1"/>
  <c r="P130" i="14"/>
  <c r="E180" i="13"/>
  <c r="F180" i="13" s="1"/>
  <c r="E178" i="13"/>
  <c r="F178" i="13" s="1"/>
  <c r="E179" i="13"/>
  <c r="F179" i="13" s="1"/>
  <c r="E181" i="13"/>
  <c r="F181" i="13" s="1"/>
  <c r="A65" i="14"/>
  <c r="M124" i="14"/>
  <c r="H15" i="13" l="1"/>
  <c r="G130" i="13"/>
  <c r="I16" i="13"/>
  <c r="L16" i="13"/>
  <c r="M16" i="13" s="1"/>
  <c r="K179" i="13"/>
  <c r="K181" i="13"/>
  <c r="K180" i="13"/>
  <c r="L180" i="13" s="1"/>
  <c r="K178" i="13"/>
  <c r="D177" i="13"/>
  <c r="E177" i="13" s="1"/>
  <c r="F177" i="13" s="1"/>
  <c r="A66" i="14"/>
  <c r="A98" i="14"/>
  <c r="I177" i="13"/>
  <c r="G177" i="13"/>
  <c r="L183" i="13"/>
  <c r="H131" i="13" l="1"/>
  <c r="G132" i="13" s="1"/>
  <c r="D10" i="12" s="1"/>
  <c r="I15" i="13"/>
  <c r="L15" i="13"/>
  <c r="M15" i="13" s="1"/>
  <c r="K177" i="13"/>
  <c r="L179" i="13"/>
  <c r="L184" i="13"/>
  <c r="L181" i="13"/>
  <c r="L186" i="13"/>
  <c r="A67" i="14"/>
  <c r="A99" i="14"/>
  <c r="L178" i="13"/>
  <c r="F17" i="7"/>
  <c r="E18" i="7"/>
  <c r="K57" i="2"/>
  <c r="K58" i="2"/>
  <c r="K59" i="2"/>
  <c r="K60" i="2"/>
  <c r="K61" i="2"/>
  <c r="K62" i="2"/>
  <c r="K63" i="2"/>
  <c r="K64" i="2"/>
  <c r="K65" i="2"/>
  <c r="K66" i="2"/>
  <c r="C93" i="2"/>
  <c r="D93" i="2" s="1"/>
  <c r="C94" i="2"/>
  <c r="D94" i="2" s="1"/>
  <c r="C95" i="2"/>
  <c r="D95" i="2" s="1"/>
  <c r="C96" i="2"/>
  <c r="D96" i="2" s="1"/>
  <c r="C97" i="2"/>
  <c r="D97" i="2" s="1"/>
  <c r="C98" i="2"/>
  <c r="D98" i="2" s="1"/>
  <c r="C99" i="2"/>
  <c r="D99" i="2" s="1"/>
  <c r="C100" i="2"/>
  <c r="D100" i="2" s="1"/>
  <c r="C101" i="2"/>
  <c r="D101" i="2" s="1"/>
  <c r="C102" i="2"/>
  <c r="D102" i="2" s="1"/>
  <c r="K56" i="2"/>
  <c r="AF8" i="2"/>
  <c r="AF9" i="2"/>
  <c r="AF10" i="2"/>
  <c r="AF38" i="2"/>
  <c r="AF39" i="2"/>
  <c r="AF40" i="2"/>
  <c r="AF7" i="2"/>
  <c r="AE8" i="2"/>
  <c r="AE9" i="2"/>
  <c r="AE10" i="2"/>
  <c r="AE38" i="2"/>
  <c r="AE39" i="2"/>
  <c r="AE40" i="2"/>
  <c r="AE7" i="2"/>
  <c r="AD7" i="2"/>
  <c r="L177" i="13" l="1"/>
  <c r="L182" i="13"/>
  <c r="L185" i="13"/>
  <c r="L187" i="13"/>
  <c r="A68" i="14"/>
  <c r="A100" i="14"/>
  <c r="A69" i="14" l="1"/>
  <c r="A101" i="14"/>
  <c r="Z8" i="2"/>
  <c r="AD8" i="2" s="1"/>
  <c r="AM51" i="7"/>
  <c r="AO51" i="7"/>
  <c r="AP51" i="7"/>
  <c r="AQ51" i="7"/>
  <c r="AR51" i="7"/>
  <c r="AS51" i="7"/>
  <c r="AT51" i="7"/>
  <c r="AU51" i="7"/>
  <c r="AV51" i="7"/>
  <c r="AL51" i="7"/>
  <c r="AN50" i="7"/>
  <c r="AN51" i="7" s="1"/>
  <c r="D21" i="7"/>
  <c r="AO10" i="7"/>
  <c r="H10" i="7"/>
  <c r="E17" i="7"/>
  <c r="G17" i="7" s="1"/>
  <c r="E19" i="7"/>
  <c r="F18" i="7"/>
  <c r="G18" i="7" s="1"/>
  <c r="F19" i="7"/>
  <c r="F20" i="7"/>
  <c r="H17" i="7"/>
  <c r="H18" i="7"/>
  <c r="H19" i="7"/>
  <c r="H20" i="7"/>
  <c r="H16" i="7"/>
  <c r="H15" i="7"/>
  <c r="F16" i="7"/>
  <c r="E16" i="7"/>
  <c r="E20" i="7"/>
  <c r="E15" i="7"/>
  <c r="E10" i="7"/>
  <c r="F21" i="1"/>
  <c r="G21" i="1" s="1"/>
  <c r="F19" i="1"/>
  <c r="G19" i="1" s="1"/>
  <c r="F20" i="1"/>
  <c r="G20" i="1" s="1"/>
  <c r="F18" i="1"/>
  <c r="G18" i="1" s="1"/>
  <c r="F17" i="1"/>
  <c r="G17" i="1" s="1"/>
  <c r="D17" i="1"/>
  <c r="E17" i="1" s="1"/>
  <c r="F16" i="1"/>
  <c r="G16" i="1" s="1"/>
  <c r="G16" i="7" l="1"/>
  <c r="I16" i="7" s="1"/>
  <c r="K16" i="7" s="1"/>
  <c r="L16" i="7" s="1"/>
  <c r="Z9" i="2"/>
  <c r="Z10" i="2" s="1"/>
  <c r="I18" i="7"/>
  <c r="K18" i="7" s="1"/>
  <c r="L18" i="7" s="1"/>
  <c r="G20" i="7"/>
  <c r="I20" i="7" s="1"/>
  <c r="K20" i="7" s="1"/>
  <c r="L20" i="7" s="1"/>
  <c r="G19" i="7"/>
  <c r="I19" i="7" s="1"/>
  <c r="K19" i="7" s="1"/>
  <c r="L19" i="7" s="1"/>
  <c r="I17" i="7"/>
  <c r="K17" i="7" s="1"/>
  <c r="L17" i="7" s="1"/>
  <c r="A70" i="14"/>
  <c r="A102" i="14"/>
  <c r="H18" i="1"/>
  <c r="D22" i="7"/>
  <c r="H20" i="1"/>
  <c r="H21" i="1"/>
  <c r="H19" i="1"/>
  <c r="H17" i="1"/>
  <c r="G42" i="5"/>
  <c r="E11" i="9"/>
  <c r="G11" i="9" s="1"/>
  <c r="G15" i="9"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F11" i="7"/>
  <c r="G11" i="7" s="1"/>
  <c r="I11" i="7" s="1"/>
  <c r="K11" i="7" s="1"/>
  <c r="L11" i="7" s="1"/>
  <c r="F12" i="7"/>
  <c r="F13" i="7"/>
  <c r="F14" i="7"/>
  <c r="F15" i="7"/>
  <c r="G15" i="7" s="1"/>
  <c r="I15" i="7" s="1"/>
  <c r="K15" i="7" s="1"/>
  <c r="L15" i="7" s="1"/>
  <c r="F10" i="7"/>
  <c r="G10" i="7" s="1"/>
  <c r="I10" i="7" s="1"/>
  <c r="AO11" i="7"/>
  <c r="AO12" i="7"/>
  <c r="AO13" i="7"/>
  <c r="AO14" i="7"/>
  <c r="AO15" i="7"/>
  <c r="AM11" i="7"/>
  <c r="AM12" i="7"/>
  <c r="AM13" i="7"/>
  <c r="AM14" i="7"/>
  <c r="AM15" i="7"/>
  <c r="AM10" i="7"/>
  <c r="E11" i="7"/>
  <c r="E12" i="7"/>
  <c r="G12" i="7" s="1"/>
  <c r="E13" i="7"/>
  <c r="E14" i="7"/>
  <c r="H11" i="7"/>
  <c r="H12" i="7"/>
  <c r="H13" i="7"/>
  <c r="H14" i="7"/>
  <c r="F14" i="1"/>
  <c r="G14" i="1" s="1"/>
  <c r="F13" i="1"/>
  <c r="G13" i="1" s="1"/>
  <c r="D16" i="1"/>
  <c r="E16" i="1" s="1"/>
  <c r="D15" i="1"/>
  <c r="E15" i="1" s="1"/>
  <c r="D14" i="1"/>
  <c r="E14" i="1" s="1"/>
  <c r="D13" i="1"/>
  <c r="E13" i="1" s="1"/>
  <c r="F12" i="1"/>
  <c r="G12" i="1" s="1"/>
  <c r="D12" i="1"/>
  <c r="E12" i="1" s="1"/>
  <c r="F11" i="1"/>
  <c r="G11" i="1" s="1"/>
  <c r="D11" i="1"/>
  <c r="E11" i="1" s="1"/>
  <c r="H11" i="1" l="1"/>
  <c r="G13" i="7"/>
  <c r="AD9" i="2"/>
  <c r="K10" i="7"/>
  <c r="L10" i="7" s="1"/>
  <c r="AL10" i="7"/>
  <c r="AN10" i="7" s="1"/>
  <c r="AP10" i="7" s="1"/>
  <c r="I13" i="7"/>
  <c r="K13" i="7" s="1"/>
  <c r="L13" i="7" s="1"/>
  <c r="A71" i="14"/>
  <c r="A103" i="14"/>
  <c r="Z38" i="2"/>
  <c r="AD10" i="2"/>
  <c r="I12" i="7"/>
  <c r="K12" i="7" s="1"/>
  <c r="L12" i="7" s="1"/>
  <c r="F22" i="7"/>
  <c r="AL15" i="7"/>
  <c r="AN15" i="7" s="1"/>
  <c r="AP15" i="7" s="1"/>
  <c r="G14" i="7"/>
  <c r="I14" i="7" s="1"/>
  <c r="K14" i="7" s="1"/>
  <c r="L14" i="7" s="1"/>
  <c r="H13" i="1"/>
  <c r="AL11" i="7"/>
  <c r="AN11" i="7" s="1"/>
  <c r="AP11" i="7" s="1"/>
  <c r="AL13" i="7" l="1"/>
  <c r="AN13" i="7" s="1"/>
  <c r="AP13" i="7" s="1"/>
  <c r="L22" i="7"/>
  <c r="E23" i="1"/>
  <c r="AL12" i="7"/>
  <c r="AN12" i="7" s="1"/>
  <c r="AP12" i="7" s="1"/>
  <c r="Z39" i="2"/>
  <c r="AD38" i="2"/>
  <c r="A72" i="14"/>
  <c r="A104" i="14"/>
  <c r="N22" i="12"/>
  <c r="N23" i="12" s="1"/>
  <c r="AL14" i="7"/>
  <c r="AN14" i="7" s="1"/>
  <c r="AP14" i="7" s="1"/>
  <c r="I22" i="7"/>
  <c r="G22" i="7"/>
  <c r="H15" i="1"/>
  <c r="H16" i="1"/>
  <c r="H12" i="1"/>
  <c r="G23" i="1"/>
  <c r="H14" i="1"/>
  <c r="H23" i="1" l="1"/>
  <c r="A73" i="14"/>
  <c r="A105" i="14"/>
  <c r="Z40" i="2"/>
  <c r="AD39" i="2"/>
  <c r="K22" i="7"/>
  <c r="AL22" i="7"/>
  <c r="AD40" i="2" l="1"/>
  <c r="A74" i="14"/>
  <c r="A106" i="14"/>
  <c r="AN22" i="7"/>
  <c r="AP22" i="7"/>
  <c r="A75" i="14" l="1"/>
  <c r="A107" i="14"/>
  <c r="A76" i="14" l="1"/>
  <c r="A108" i="14"/>
  <c r="A77" i="14" l="1"/>
  <c r="A109" i="14"/>
  <c r="A110" i="14" l="1"/>
  <c r="A78" i="14"/>
  <c r="A79" i="14" l="1"/>
  <c r="A111" i="14"/>
  <c r="A80" i="14" l="1"/>
  <c r="A112" i="14"/>
  <c r="A81" i="14" l="1"/>
  <c r="A113" i="14"/>
  <c r="A82" i="14" l="1"/>
  <c r="A114" i="14"/>
  <c r="A83" i="14" l="1"/>
  <c r="A115" i="14"/>
  <c r="A84" i="14" l="1"/>
  <c r="A116" i="14"/>
  <c r="A85" i="14" l="1"/>
  <c r="A117" i="14"/>
  <c r="A86" i="14" l="1"/>
  <c r="A118" i="14"/>
  <c r="A87" i="14" l="1"/>
  <c r="A120" i="14" s="1"/>
  <c r="A119" i="14"/>
</calcChain>
</file>

<file path=xl/comments1.xml><?xml version="1.0" encoding="utf-8"?>
<comments xmlns="http://schemas.openxmlformats.org/spreadsheetml/2006/main">
  <authors>
    <author>Putri</author>
  </authors>
  <commentList>
    <comment ref="F136" authorId="0" shapeId="0">
      <text>
        <r>
          <rPr>
            <b/>
            <sz val="9"/>
            <color indexed="81"/>
            <rFont val="Tahoma"/>
            <family val="2"/>
          </rPr>
          <t>Putri:</t>
        </r>
        <r>
          <rPr>
            <sz val="9"/>
            <color indexed="81"/>
            <rFont val="Tahoma"/>
            <family val="2"/>
          </rPr>
          <t xml:space="preserve">
data realisasi pupuk organik bersubsidi 2008-2014 (data digunakan u/ keperluan proyeksi data)</t>
        </r>
      </text>
    </comment>
  </commentList>
</comments>
</file>

<file path=xl/comments2.xml><?xml version="1.0" encoding="utf-8"?>
<comments xmlns="http://schemas.openxmlformats.org/spreadsheetml/2006/main">
  <authors>
    <author>GIGABYTE</author>
  </authors>
  <commentList>
    <comment ref="G11" authorId="0" shapeId="0">
      <text>
        <r>
          <rPr>
            <b/>
            <sz val="9"/>
            <color indexed="81"/>
            <rFont val="Tahoma"/>
            <family val="2"/>
          </rPr>
          <t>GIGABYTE:</t>
        </r>
        <r>
          <rPr>
            <sz val="9"/>
            <color indexed="81"/>
            <rFont val="Tahoma"/>
            <family val="2"/>
          </rPr>
          <t xml:space="preserve">
satuan sudah disesuaikan sudah dikali 1000 ekor</t>
        </r>
      </text>
    </comment>
    <comment ref="G12" authorId="0" shapeId="0">
      <text>
        <r>
          <rPr>
            <b/>
            <sz val="9"/>
            <color indexed="81"/>
            <rFont val="Tahoma"/>
            <family val="2"/>
          </rPr>
          <t>GIGABYTE:</t>
        </r>
        <r>
          <rPr>
            <sz val="9"/>
            <color indexed="81"/>
            <rFont val="Tahoma"/>
            <family val="2"/>
          </rPr>
          <t xml:space="preserve">
satuan sudah disesuaikan sudah dikali 1000 ekor</t>
        </r>
      </text>
    </comment>
    <comment ref="G13" authorId="0" shapeId="0">
      <text>
        <r>
          <rPr>
            <b/>
            <sz val="9"/>
            <color indexed="81"/>
            <rFont val="Tahoma"/>
            <family val="2"/>
          </rPr>
          <t>GIGABYTE:</t>
        </r>
        <r>
          <rPr>
            <sz val="9"/>
            <color indexed="81"/>
            <rFont val="Tahoma"/>
            <family val="2"/>
          </rPr>
          <t xml:space="preserve">
satuan sudah disesuaikan sudah dikali 1000 ekor</t>
        </r>
      </text>
    </comment>
    <comment ref="G15" authorId="0" shapeId="0">
      <text>
        <r>
          <rPr>
            <b/>
            <sz val="9"/>
            <color indexed="81"/>
            <rFont val="Tahoma"/>
            <family val="2"/>
          </rPr>
          <t>GIGABYTE:</t>
        </r>
        <r>
          <rPr>
            <sz val="9"/>
            <color indexed="81"/>
            <rFont val="Tahoma"/>
            <family val="2"/>
          </rPr>
          <t xml:space="preserve">
satuan sudah disesuaikan sudah dikali 1000 ekor</t>
        </r>
      </text>
    </comment>
    <comment ref="G16" authorId="0" shapeId="0">
      <text>
        <r>
          <rPr>
            <b/>
            <sz val="9"/>
            <color indexed="81"/>
            <rFont val="Tahoma"/>
            <family val="2"/>
          </rPr>
          <t>GIGABYTE:</t>
        </r>
        <r>
          <rPr>
            <sz val="9"/>
            <color indexed="81"/>
            <rFont val="Tahoma"/>
            <family val="2"/>
          </rPr>
          <t xml:space="preserve">
satuan sudah disesuaikan sudah dikali 1000 ekor</t>
        </r>
      </text>
    </comment>
    <comment ref="G17" authorId="0" shapeId="0">
      <text>
        <r>
          <rPr>
            <b/>
            <sz val="9"/>
            <color indexed="81"/>
            <rFont val="Tahoma"/>
            <family val="2"/>
          </rPr>
          <t>GIGABYTE:</t>
        </r>
        <r>
          <rPr>
            <sz val="9"/>
            <color indexed="81"/>
            <rFont val="Tahoma"/>
            <family val="2"/>
          </rPr>
          <t xml:space="preserve">
satuan sudah disesuaikan sudah dikali 1000 ekor</t>
        </r>
      </text>
    </comment>
    <comment ref="G18" authorId="0" shapeId="0">
      <text>
        <r>
          <rPr>
            <b/>
            <sz val="9"/>
            <color indexed="81"/>
            <rFont val="Tahoma"/>
            <family val="2"/>
          </rPr>
          <t>GIGABYTE:</t>
        </r>
        <r>
          <rPr>
            <sz val="9"/>
            <color indexed="81"/>
            <rFont val="Tahoma"/>
            <family val="2"/>
          </rPr>
          <t xml:space="preserve">
satuan sudah disesuaikan sudah dikali 1000 ekor</t>
        </r>
      </text>
    </comment>
    <comment ref="G19" authorId="0" shapeId="0">
      <text>
        <r>
          <rPr>
            <b/>
            <sz val="9"/>
            <color indexed="81"/>
            <rFont val="Tahoma"/>
            <family val="2"/>
          </rPr>
          <t>GIGABYTE:</t>
        </r>
        <r>
          <rPr>
            <sz val="9"/>
            <color indexed="81"/>
            <rFont val="Tahoma"/>
            <family val="2"/>
          </rPr>
          <t xml:space="preserve">
satuan sudah disesuaikan sudah dikali 1000 ekor</t>
        </r>
      </text>
    </comment>
    <comment ref="G20" authorId="0" shapeId="0">
      <text>
        <r>
          <rPr>
            <b/>
            <sz val="9"/>
            <color indexed="81"/>
            <rFont val="Tahoma"/>
            <family val="2"/>
          </rPr>
          <t>GIGABYTE:</t>
        </r>
        <r>
          <rPr>
            <sz val="9"/>
            <color indexed="81"/>
            <rFont val="Tahoma"/>
            <family val="2"/>
          </rPr>
          <t xml:space="preserve">
satuan sudah disesuaikan sudah dikali 1000 ekor</t>
        </r>
      </text>
    </comment>
    <comment ref="G21" authorId="0" shapeId="0">
      <text>
        <r>
          <rPr>
            <b/>
            <sz val="9"/>
            <color indexed="81"/>
            <rFont val="Tahoma"/>
            <family val="2"/>
          </rPr>
          <t>GIGABYTE:</t>
        </r>
        <r>
          <rPr>
            <sz val="9"/>
            <color indexed="81"/>
            <rFont val="Tahoma"/>
            <family val="2"/>
          </rPr>
          <t xml:space="preserve">
satuan sudah disesuaikan sudah dikali 1000 ekor</t>
        </r>
      </text>
    </comment>
  </commentList>
</comments>
</file>

<file path=xl/comments3.xml><?xml version="1.0" encoding="utf-8"?>
<comments xmlns="http://schemas.openxmlformats.org/spreadsheetml/2006/main">
  <authors>
    <author>GIGABYTE</author>
  </authors>
  <commentList>
    <comment ref="I10" authorId="0" shapeId="0">
      <text>
        <r>
          <rPr>
            <b/>
            <sz val="9"/>
            <color indexed="81"/>
            <rFont val="Tahoma"/>
            <family val="2"/>
          </rPr>
          <t>GIGABYTE:</t>
        </r>
        <r>
          <rPr>
            <sz val="9"/>
            <color indexed="81"/>
            <rFont val="Tahoma"/>
            <family val="2"/>
          </rPr>
          <t xml:space="preserve">
satuan sudah disesuaikan sudah dikali 1000 ekor</t>
        </r>
      </text>
    </comment>
    <comment ref="I11" authorId="0" shapeId="0">
      <text>
        <r>
          <rPr>
            <b/>
            <sz val="9"/>
            <color indexed="81"/>
            <rFont val="Tahoma"/>
            <family val="2"/>
          </rPr>
          <t>GIGABYTE:</t>
        </r>
        <r>
          <rPr>
            <sz val="9"/>
            <color indexed="81"/>
            <rFont val="Tahoma"/>
            <family val="2"/>
          </rPr>
          <t xml:space="preserve">
satuan sudah disesuaikan sudah dikali 1000 ekor</t>
        </r>
      </text>
    </comment>
    <comment ref="I12" authorId="0" shapeId="0">
      <text>
        <r>
          <rPr>
            <b/>
            <sz val="9"/>
            <color indexed="81"/>
            <rFont val="Tahoma"/>
            <family val="2"/>
          </rPr>
          <t>GIGABYTE:</t>
        </r>
        <r>
          <rPr>
            <sz val="9"/>
            <color indexed="81"/>
            <rFont val="Tahoma"/>
            <family val="2"/>
          </rPr>
          <t xml:space="preserve">
satuan sudah disesuaikan sudah dikali 1000 ekor</t>
        </r>
      </text>
    </comment>
    <comment ref="I13" authorId="0" shapeId="0">
      <text>
        <r>
          <rPr>
            <b/>
            <sz val="9"/>
            <color indexed="81"/>
            <rFont val="Tahoma"/>
            <family val="2"/>
          </rPr>
          <t>GIGABYTE:</t>
        </r>
        <r>
          <rPr>
            <sz val="9"/>
            <color indexed="81"/>
            <rFont val="Tahoma"/>
            <family val="2"/>
          </rPr>
          <t xml:space="preserve">
satuan sudah disesuaikan sudah dikali 1000 ekor</t>
        </r>
      </text>
    </comment>
    <comment ref="I14" authorId="0" shapeId="0">
      <text>
        <r>
          <rPr>
            <b/>
            <sz val="9"/>
            <color indexed="81"/>
            <rFont val="Tahoma"/>
            <family val="2"/>
          </rPr>
          <t>GIGABYTE:</t>
        </r>
        <r>
          <rPr>
            <sz val="9"/>
            <color indexed="81"/>
            <rFont val="Tahoma"/>
            <family val="2"/>
          </rPr>
          <t xml:space="preserve">
satuan sudah disesuaikan sudah dikali 1000 ekor</t>
        </r>
      </text>
    </comment>
    <comment ref="I15" authorId="0" shapeId="0">
      <text>
        <r>
          <rPr>
            <b/>
            <sz val="9"/>
            <color indexed="81"/>
            <rFont val="Tahoma"/>
            <family val="2"/>
          </rPr>
          <t>GIGABYTE:</t>
        </r>
        <r>
          <rPr>
            <sz val="9"/>
            <color indexed="81"/>
            <rFont val="Tahoma"/>
            <family val="2"/>
          </rPr>
          <t xml:space="preserve">
satuan sudah disesuaikan sudah dikali 1000 ekor</t>
        </r>
      </text>
    </comment>
    <comment ref="I16" authorId="0" shapeId="0">
      <text>
        <r>
          <rPr>
            <b/>
            <sz val="9"/>
            <color indexed="81"/>
            <rFont val="Tahoma"/>
            <family val="2"/>
          </rPr>
          <t>GIGABYTE:</t>
        </r>
        <r>
          <rPr>
            <sz val="9"/>
            <color indexed="81"/>
            <rFont val="Tahoma"/>
            <family val="2"/>
          </rPr>
          <t xml:space="preserve">
satuan sudah disesuaikan sudah dikali 1000 ekor</t>
        </r>
      </text>
    </comment>
    <comment ref="I17" authorId="0" shapeId="0">
      <text>
        <r>
          <rPr>
            <b/>
            <sz val="9"/>
            <color indexed="81"/>
            <rFont val="Tahoma"/>
            <family val="2"/>
          </rPr>
          <t>GIGABYTE:</t>
        </r>
        <r>
          <rPr>
            <sz val="9"/>
            <color indexed="81"/>
            <rFont val="Tahoma"/>
            <family val="2"/>
          </rPr>
          <t xml:space="preserve">
satuan sudah disesuaikan sudah dikali 1000 ekor</t>
        </r>
      </text>
    </comment>
    <comment ref="I18" authorId="0" shapeId="0">
      <text>
        <r>
          <rPr>
            <b/>
            <sz val="9"/>
            <color indexed="81"/>
            <rFont val="Tahoma"/>
            <family val="2"/>
          </rPr>
          <t>GIGABYTE:</t>
        </r>
        <r>
          <rPr>
            <sz val="9"/>
            <color indexed="81"/>
            <rFont val="Tahoma"/>
            <family val="2"/>
          </rPr>
          <t xml:space="preserve">
satuan sudah disesuaikan sudah dikali 1000 ekor</t>
        </r>
      </text>
    </comment>
    <comment ref="I19" authorId="0" shapeId="0">
      <text>
        <r>
          <rPr>
            <b/>
            <sz val="9"/>
            <color indexed="81"/>
            <rFont val="Tahoma"/>
            <family val="2"/>
          </rPr>
          <t>GIGABYTE:</t>
        </r>
        <r>
          <rPr>
            <sz val="9"/>
            <color indexed="81"/>
            <rFont val="Tahoma"/>
            <family val="2"/>
          </rPr>
          <t xml:space="preserve">
satuan sudah disesuaikan sudah dikali 1000 ekor</t>
        </r>
      </text>
    </comment>
    <comment ref="I20" authorId="0" shapeId="0">
      <text>
        <r>
          <rPr>
            <b/>
            <sz val="9"/>
            <color indexed="81"/>
            <rFont val="Tahoma"/>
            <family val="2"/>
          </rPr>
          <t>GIGABYTE:</t>
        </r>
        <r>
          <rPr>
            <sz val="9"/>
            <color indexed="81"/>
            <rFont val="Tahoma"/>
            <family val="2"/>
          </rPr>
          <t xml:space="preserve">
</t>
        </r>
      </text>
    </comment>
  </commentList>
</comments>
</file>

<file path=xl/comments4.xml><?xml version="1.0" encoding="utf-8"?>
<comments xmlns="http://schemas.openxmlformats.org/spreadsheetml/2006/main">
  <authors>
    <author>Prihasto Setyanto</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List>
</comments>
</file>

<file path=xl/comments5.xml><?xml version="1.0" encoding="utf-8"?>
<comments xmlns="http://schemas.openxmlformats.org/spreadsheetml/2006/main">
  <authors>
    <author>Lina</author>
    <author>GIGABYTE</author>
  </authors>
  <commentList>
    <comment ref="D16" authorId="0" shapeId="0">
      <text>
        <r>
          <rPr>
            <b/>
            <sz val="9"/>
            <color indexed="81"/>
            <rFont val="Tahoma"/>
            <family val="2"/>
          </rPr>
          <t>Lina:</t>
        </r>
        <r>
          <rPr>
            <sz val="9"/>
            <color indexed="81"/>
            <rFont val="Tahoma"/>
            <family val="2"/>
          </rPr>
          <t xml:space="preserve">
data hasil proyeksi</t>
        </r>
      </text>
    </comment>
    <comment ref="G16" authorId="1" shapeId="0">
      <text>
        <r>
          <rPr>
            <b/>
            <sz val="9"/>
            <color indexed="81"/>
            <rFont val="Tahoma"/>
            <family val="2"/>
          </rPr>
          <t>GIGABYTE:</t>
        </r>
        <r>
          <rPr>
            <sz val="9"/>
            <color indexed="81"/>
            <rFont val="Tahoma"/>
            <family val="2"/>
          </rPr>
          <t xml:space="preserve">
diasumsikan pengalliran terus menerus</t>
        </r>
      </text>
    </comment>
    <comment ref="H16" authorId="0" shapeId="0">
      <text>
        <r>
          <rPr>
            <b/>
            <sz val="9"/>
            <color indexed="81"/>
            <rFont val="Tahoma"/>
            <family val="2"/>
          </rPr>
          <t>Lina:</t>
        </r>
        <r>
          <rPr>
            <sz val="9"/>
            <color indexed="81"/>
            <rFont val="Tahoma"/>
            <family val="2"/>
          </rPr>
          <t xml:space="preserve">
oksisol</t>
        </r>
      </text>
    </comment>
    <comment ref="I16" authorId="0" shapeId="0">
      <text>
        <r>
          <rPr>
            <b/>
            <sz val="9"/>
            <color indexed="81"/>
            <rFont val="Tahoma"/>
            <family val="2"/>
          </rPr>
          <t>Lina:</t>
        </r>
        <r>
          <rPr>
            <sz val="9"/>
            <color indexed="81"/>
            <rFont val="Tahoma"/>
            <family val="2"/>
          </rPr>
          <t xml:space="preserve">
ciherang</t>
        </r>
      </text>
    </comment>
    <comment ref="J16" authorId="1" shapeId="0">
      <text>
        <r>
          <rPr>
            <b/>
            <sz val="9"/>
            <color indexed="81"/>
            <rFont val="Tahoma"/>
            <family val="2"/>
          </rPr>
          <t>GIGABYTE:</t>
        </r>
        <r>
          <rPr>
            <sz val="9"/>
            <color indexed="81"/>
            <rFont val="Tahoma"/>
            <family val="2"/>
          </rPr>
          <t xml:space="preserve">
Hasil penelitian Husny (2011) menunjukkan bahwa emisi CH4 adalah sebesar 24,86 kg C-CH4 ha-1 musim-1 untuk sawah beririgasi</t>
        </r>
      </text>
    </comment>
    <comment ref="D56" authorId="0" shapeId="0">
      <text>
        <r>
          <rPr>
            <b/>
            <sz val="9"/>
            <color indexed="81"/>
            <rFont val="Tahoma"/>
            <family val="2"/>
          </rPr>
          <t>Lina:</t>
        </r>
        <r>
          <rPr>
            <sz val="9"/>
            <color indexed="81"/>
            <rFont val="Tahoma"/>
            <family val="2"/>
          </rPr>
          <t xml:space="preserve">
data berasal dari BPS, 2005</t>
        </r>
      </text>
    </comment>
    <comment ref="G56" authorId="1" shapeId="0">
      <text>
        <r>
          <rPr>
            <b/>
            <sz val="9"/>
            <color indexed="81"/>
            <rFont val="Tahoma"/>
            <family val="2"/>
          </rPr>
          <t>GIGABYTE:</t>
        </r>
        <r>
          <rPr>
            <sz val="9"/>
            <color indexed="81"/>
            <rFont val="Tahoma"/>
            <family val="2"/>
          </rPr>
          <t xml:space="preserve">
diasumsikan pengalliran terus menerus</t>
        </r>
      </text>
    </comment>
    <comment ref="H56" authorId="0" shapeId="0">
      <text>
        <r>
          <rPr>
            <b/>
            <sz val="9"/>
            <color indexed="81"/>
            <rFont val="Tahoma"/>
            <family val="2"/>
          </rPr>
          <t>Lina:</t>
        </r>
        <r>
          <rPr>
            <sz val="9"/>
            <color indexed="81"/>
            <rFont val="Tahoma"/>
            <family val="2"/>
          </rPr>
          <t xml:space="preserve">
oksisol</t>
        </r>
      </text>
    </comment>
    <comment ref="I56" authorId="0" shapeId="0">
      <text>
        <r>
          <rPr>
            <b/>
            <sz val="9"/>
            <color indexed="81"/>
            <rFont val="Tahoma"/>
            <family val="2"/>
          </rPr>
          <t>Lina:</t>
        </r>
        <r>
          <rPr>
            <sz val="9"/>
            <color indexed="81"/>
            <rFont val="Tahoma"/>
            <family val="2"/>
          </rPr>
          <t xml:space="preserve">
ciherang</t>
        </r>
      </text>
    </comment>
    <comment ref="J56" authorId="1" shapeId="0">
      <text>
        <r>
          <rPr>
            <b/>
            <sz val="9"/>
            <color indexed="81"/>
            <rFont val="Tahoma"/>
            <family val="2"/>
          </rPr>
          <t>GIGABYTE:</t>
        </r>
        <r>
          <rPr>
            <sz val="9"/>
            <color indexed="81"/>
            <rFont val="Tahoma"/>
            <family val="2"/>
          </rPr>
          <t xml:space="preserve">
karena belum ada referensi, faktor emisi sawah tadah hujan dianalogikan sampa dengan sawah lebak yaitu 25,67 kg C-CH4 ha-1 </t>
        </r>
      </text>
    </comment>
  </commentList>
</comments>
</file>

<file path=xl/comments6.xml><?xml version="1.0" encoding="utf-8"?>
<comments xmlns="http://schemas.openxmlformats.org/spreadsheetml/2006/main">
  <authors>
    <author>GIGABYTE</author>
  </authors>
  <commentList>
    <comment ref="C50" authorId="0" shapeId="0">
      <text>
        <r>
          <rPr>
            <b/>
            <sz val="9"/>
            <color indexed="81"/>
            <rFont val="Tahoma"/>
            <family val="2"/>
          </rPr>
          <t>GIGABYTE:</t>
        </r>
        <r>
          <rPr>
            <sz val="9"/>
            <color indexed="81"/>
            <rFont val="Tahoma"/>
            <family val="2"/>
          </rPr>
          <t xml:space="preserve">
data mentah dari kemenLH </t>
        </r>
      </text>
    </comment>
    <comment ref="C51" authorId="0" shapeId="0">
      <text>
        <r>
          <rPr>
            <b/>
            <sz val="9"/>
            <color indexed="81"/>
            <rFont val="Tahoma"/>
            <family val="2"/>
          </rPr>
          <t>GIGABYTE:</t>
        </r>
        <r>
          <rPr>
            <sz val="9"/>
            <color indexed="81"/>
            <rFont val="Tahoma"/>
            <family val="2"/>
          </rPr>
          <t xml:space="preserve">
data mentah dari kemenLH </t>
        </r>
      </text>
    </comment>
    <comment ref="C52" authorId="0" shapeId="0">
      <text>
        <r>
          <rPr>
            <b/>
            <sz val="9"/>
            <color indexed="81"/>
            <rFont val="Tahoma"/>
            <family val="2"/>
          </rPr>
          <t>GIGABYTE:</t>
        </r>
        <r>
          <rPr>
            <sz val="9"/>
            <color indexed="81"/>
            <rFont val="Tahoma"/>
            <family val="2"/>
          </rPr>
          <t xml:space="preserve">
data mentah dari kemenLH </t>
        </r>
      </text>
    </comment>
    <comment ref="C53" authorId="0" shapeId="0">
      <text>
        <r>
          <rPr>
            <b/>
            <sz val="9"/>
            <color indexed="81"/>
            <rFont val="Tahoma"/>
            <family val="2"/>
          </rPr>
          <t>GIGABYTE:</t>
        </r>
        <r>
          <rPr>
            <sz val="9"/>
            <color indexed="81"/>
            <rFont val="Tahoma"/>
            <family val="2"/>
          </rPr>
          <t xml:space="preserve">
data mentah dari kemenLH </t>
        </r>
      </text>
    </comment>
    <comment ref="C54" authorId="0" shapeId="0">
      <text>
        <r>
          <rPr>
            <b/>
            <sz val="9"/>
            <color indexed="81"/>
            <rFont val="Tahoma"/>
            <family val="2"/>
          </rPr>
          <t>GIGABYTE:</t>
        </r>
        <r>
          <rPr>
            <sz val="9"/>
            <color indexed="81"/>
            <rFont val="Tahoma"/>
            <family val="2"/>
          </rPr>
          <t xml:space="preserve">
data mentah dari kemenLH </t>
        </r>
      </text>
    </comment>
  </commentList>
</comments>
</file>

<file path=xl/sharedStrings.xml><?xml version="1.0" encoding="utf-8"?>
<sst xmlns="http://schemas.openxmlformats.org/spreadsheetml/2006/main" count="1125" uniqueCount="586">
  <si>
    <t>Sektor</t>
  </si>
  <si>
    <t>Kategori</t>
  </si>
  <si>
    <t>AFOLU</t>
  </si>
  <si>
    <t>Equation</t>
  </si>
  <si>
    <t>Equation 10.19</t>
  </si>
  <si>
    <t>Jumlah Ternak</t>
  </si>
  <si>
    <t>EF dari Enterik Fermentation</t>
  </si>
  <si>
    <t>(Kg/ekor/th)</t>
  </si>
  <si>
    <t>Eq.10.19 dan 10.20</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</si>
  <si>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</si>
  <si>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</si>
  <si>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</si>
  <si>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</si>
  <si>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</si>
  <si>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</si>
  <si>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</si>
  <si>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</si>
  <si>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</si>
  <si>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</si>
  <si>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</si>
  <si>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</si>
  <si>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</si>
  <si>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</si>
  <si>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</si>
  <si>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</si>
  <si>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</si>
  <si>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</si>
  <si>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</si>
  <si>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</si>
  <si>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</si>
  <si>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</si>
  <si>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</si>
  <si>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</si>
  <si>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</si>
  <si>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</si>
  <si>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</si>
  <si>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</si>
  <si>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</si>
  <si>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</si>
  <si>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</si>
  <si>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</si>
  <si>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Kg (CH4/ha/hari)</t>
  </si>
  <si>
    <t>Pemupukan Urea :Emisi CO2 tahunan dari pemupukan urea</t>
  </si>
  <si>
    <t>Jumlah Pemupukan Urea Tahunan</t>
  </si>
  <si>
    <t>(ton urea/tahun)</t>
  </si>
  <si>
    <t>Faktor Emisi</t>
  </si>
  <si>
    <t>(ton C/ton urea)</t>
  </si>
  <si>
    <t>Emisi CO2-C dari pemupukan urea tahunan</t>
  </si>
  <si>
    <t>Emisi CO2-C  = M* EF</t>
  </si>
  <si>
    <t>M</t>
  </si>
  <si>
    <t>EF</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</si>
  <si>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</si>
  <si>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</si>
  <si>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</si>
  <si>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</si>
  <si>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</si>
  <si>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</si>
  <si>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</si>
  <si>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</si>
  <si>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</si>
  <si>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</si>
  <si>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</si>
  <si>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</si>
  <si>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</si>
  <si>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</si>
  <si>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</si>
  <si>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ekor</t>
  </si>
  <si>
    <t>Contoh populasi tahun 2005</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</si>
  <si>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</si>
  <si>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</si>
  <si>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</si>
  <si>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</si>
  <si>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</si>
  <si>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</si>
  <si>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</si>
  <si>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</si>
  <si>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</si>
  <si>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</si>
  <si>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</si>
  <si>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</si>
  <si>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</si>
  <si>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</si>
  <si>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</si>
  <si>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</si>
  <si>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</si>
  <si>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</si>
  <si>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</si>
  <si>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</si>
  <si>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</si>
  <si>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</si>
  <si>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</si>
  <si>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</si>
  <si>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</si>
  <si>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</si>
  <si>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</si>
  <si>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</si>
  <si>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</si>
  <si>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</si>
  <si>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</si>
  <si>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</si>
  <si>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</si>
  <si>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</si>
  <si>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</si>
  <si>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</si>
  <si>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</si>
  <si>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</si>
  <si>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</si>
  <si>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</si>
  <si>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</si>
  <si>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</si>
  <si>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kg</t>
  </si>
  <si>
    <t>Laju  eksreasi per hari</t>
  </si>
  <si>
    <t>kg N/1000 kg berat ternak/hari</t>
  </si>
  <si>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</si>
  <si>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</si>
  <si>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</si>
  <si>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</si>
  <si>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</si>
  <si>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</si>
  <si>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</si>
  <si>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</si>
  <si>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</si>
  <si>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</si>
  <si>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</si>
  <si>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</si>
  <si>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</si>
  <si>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</si>
  <si>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</si>
  <si>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</si>
  <si>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</si>
  <si>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</si>
  <si>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</si>
  <si>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</si>
  <si>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</si>
  <si>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</si>
  <si>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</si>
  <si>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</si>
  <si>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</si>
  <si>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</si>
  <si>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</si>
  <si>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</si>
  <si>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</si>
  <si>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</si>
  <si>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</si>
  <si>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</si>
  <si>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</si>
  <si>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</si>
  <si>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</si>
  <si>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</si>
  <si>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</si>
  <si>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</si>
  <si>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</si>
  <si>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</si>
  <si>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</si>
  <si>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</si>
  <si>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</si>
  <si>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</si>
  <si>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</si>
  <si>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</si>
  <si>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</si>
  <si>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</si>
  <si>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</si>
  <si>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</si>
  <si>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</si>
  <si>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</si>
  <si>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</si>
  <si>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</si>
  <si>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</si>
  <si>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</si>
  <si>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</si>
  <si>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</si>
  <si>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</si>
  <si>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</si>
  <si>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</si>
  <si>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</si>
  <si>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</si>
  <si>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</si>
  <si>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</si>
  <si>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</si>
  <si>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</si>
  <si>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</si>
  <si>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</si>
  <si>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</si>
  <si>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</si>
  <si>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</si>
  <si>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</si>
  <si>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</si>
  <si>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</si>
  <si>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</si>
  <si>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</si>
  <si>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</si>
  <si>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t>Sub kategori pelaporan tahunan</t>
  </si>
  <si>
    <t>Tabel 5.11</t>
  </si>
  <si>
    <t>Tabel 5.12</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</si>
  <si>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</si>
  <si>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</si>
  <si>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</si>
  <si>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</si>
  <si>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</si>
  <si>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</si>
  <si>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</si>
  <si>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</si>
  <si>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</si>
  <si>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</si>
  <si>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</si>
  <si>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</si>
  <si>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</si>
  <si>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</si>
  <si>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</si>
  <si>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</si>
  <si>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</si>
  <si>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</si>
  <si>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</si>
  <si>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</si>
  <si>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</si>
  <si>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</si>
  <si>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</si>
  <si>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</si>
  <si>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</si>
  <si>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</si>
  <si>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</si>
  <si>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</si>
  <si>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</si>
  <si>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</si>
  <si>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</si>
  <si>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</si>
  <si>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</si>
  <si>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</si>
  <si>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</si>
  <si>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</si>
  <si>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</si>
  <si>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</si>
  <si>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</si>
  <si>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</si>
  <si>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</si>
  <si>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</si>
  <si>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</si>
  <si>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</si>
  <si>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</si>
  <si>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</si>
  <si>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</si>
  <si>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</si>
  <si>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</si>
  <si>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</si>
  <si>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</si>
  <si>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</si>
  <si>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</si>
  <si>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</si>
  <si>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</si>
  <si>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</si>
  <si>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</si>
  <si>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</si>
  <si>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</si>
  <si>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</si>
  <si>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</si>
  <si>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</si>
  <si>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</si>
  <si>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</si>
  <si>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</si>
  <si>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</si>
  <si>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</si>
  <si>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</si>
  <si>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</si>
  <si>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</si>
  <si>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</si>
  <si>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</si>
  <si>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</si>
  <si>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</si>
  <si>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</si>
  <si>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</si>
  <si>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</si>
  <si>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</si>
  <si>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</si>
  <si>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</si>
  <si>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</si>
  <si>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</si>
  <si>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</si>
  <si>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</si>
  <si>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</si>
  <si>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</si>
  <si>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</si>
  <si>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</si>
  <si>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</si>
  <si>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</si>
  <si>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</si>
  <si>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</si>
  <si>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</si>
  <si>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</si>
  <si>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</si>
  <si>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</si>
  <si>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</si>
  <si>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</si>
  <si>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</si>
  <si>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</si>
  <si>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</si>
  <si>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</si>
  <si>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</si>
  <si>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</si>
  <si>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</si>
  <si>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</si>
  <si>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</si>
  <si>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</si>
  <si>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</si>
  <si>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</si>
  <si>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</si>
  <si>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</si>
  <si>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</si>
  <si>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</si>
  <si>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</si>
  <si>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</si>
  <si>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</si>
  <si>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</si>
  <si>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</si>
  <si>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</si>
  <si>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</si>
  <si>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</si>
  <si>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</si>
  <si>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</si>
  <si>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</si>
  <si>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</si>
  <si>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</si>
  <si>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</si>
  <si>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</si>
  <si>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</si>
  <si>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</si>
  <si>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</si>
  <si>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</si>
  <si>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</si>
  <si>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</si>
  <si>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</si>
  <si>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</si>
  <si>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</si>
  <si>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</si>
  <si>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</si>
  <si>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</si>
  <si>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</si>
  <si>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</si>
  <si>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</si>
  <si>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</si>
  <si>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</si>
  <si>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</si>
  <si>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</si>
  <si>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</si>
  <si>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</si>
  <si>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</si>
  <si>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</si>
  <si>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</si>
  <si>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</si>
  <si>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</si>
  <si>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</si>
  <si>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</si>
  <si>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</si>
  <si>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</si>
  <si>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</si>
  <si>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</si>
  <si>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Peternakan N2O (manure management)</t>
  </si>
  <si>
    <t>Kapur pertanian-CO2</t>
  </si>
  <si>
    <t>Pupuk Urea-CO2</t>
  </si>
  <si>
    <t>Total CH4</t>
  </si>
  <si>
    <t>ton CO2-C/tahun</t>
  </si>
  <si>
    <t>Sector</t>
  </si>
  <si>
    <t>Agriculture, Forestry and Other Land Use</t>
  </si>
  <si>
    <t>Category</t>
  </si>
  <si>
    <r>
      <t>Direct N</t>
    </r>
    <r>
      <rPr>
        <b/>
        <vertAlign val="subscript"/>
        <sz val="9"/>
        <rFont val="Arial"/>
        <family val="2"/>
      </rPr>
      <t>2</t>
    </r>
    <r>
      <rPr>
        <b/>
        <sz val="9"/>
        <rFont val="Arial"/>
        <family val="2"/>
      </rPr>
      <t>O Emissions from Managed Soils</t>
    </r>
  </si>
  <si>
    <t>Category code</t>
  </si>
  <si>
    <t>3C4</t>
  </si>
  <si>
    <t>Sheet</t>
  </si>
  <si>
    <t>1 of 2</t>
  </si>
  <si>
    <t>Equation 11.1</t>
  </si>
  <si>
    <t>Anthropogenic N input type</t>
  </si>
  <si>
    <t>Annual amount of N applied</t>
  </si>
  <si>
    <r>
      <t>Emission factor for N</t>
    </r>
    <r>
      <rPr>
        <vertAlign val="subscript"/>
        <sz val="9"/>
        <rFont val="Arial"/>
        <family val="2"/>
      </rPr>
      <t>2</t>
    </r>
    <r>
      <rPr>
        <sz val="9"/>
        <rFont val="Arial"/>
        <family val="2"/>
      </rPr>
      <t>O emissions from N inputs</t>
    </r>
  </si>
  <si>
    <r>
      <t>Annual direct N</t>
    </r>
    <r>
      <rPr>
        <vertAlign val="subscript"/>
        <sz val="9"/>
        <color indexed="8"/>
        <rFont val="Arial"/>
        <family val="2"/>
      </rPr>
      <t>2</t>
    </r>
    <r>
      <rPr>
        <sz val="9"/>
        <color indexed="8"/>
        <rFont val="Arial"/>
        <family val="2"/>
      </rPr>
      <t>O-N emissions produced from managed soils</t>
    </r>
  </si>
  <si>
    <r>
      <t>(kg N yr</t>
    </r>
    <r>
      <rPr>
        <vertAlign val="superscript"/>
        <sz val="9"/>
        <rFont val="Arial"/>
        <family val="2"/>
      </rPr>
      <t>-1</t>
    </r>
    <r>
      <rPr>
        <sz val="9"/>
        <rFont val="Arial"/>
        <family val="2"/>
      </rPr>
      <t>)</t>
    </r>
  </si>
  <si>
    <r>
      <t xml:space="preserve"> [kg N2O-N (kg N input)</t>
    </r>
    <r>
      <rPr>
        <vertAlign val="superscript"/>
        <sz val="9"/>
        <rFont val="Arial"/>
        <family val="2"/>
      </rPr>
      <t>-1</t>
    </r>
    <r>
      <rPr>
        <sz val="9"/>
        <rFont val="Arial"/>
        <family val="2"/>
      </rPr>
      <t>]</t>
    </r>
  </si>
  <si>
    <r>
      <t>(kg N</t>
    </r>
    <r>
      <rPr>
        <vertAlign val="subscript"/>
        <sz val="9"/>
        <rFont val="Arial"/>
        <family val="2"/>
      </rPr>
      <t>2</t>
    </r>
    <r>
      <rPr>
        <sz val="9"/>
        <rFont val="Arial"/>
        <family val="2"/>
      </rPr>
      <t>O-N  yr</t>
    </r>
    <r>
      <rPr>
        <vertAlign val="superscript"/>
        <sz val="9"/>
        <rFont val="Arial"/>
        <family val="2"/>
      </rPr>
      <t>-1</t>
    </r>
    <r>
      <rPr>
        <sz val="9"/>
        <rFont val="Arial"/>
        <family val="2"/>
      </rPr>
      <t>)</t>
    </r>
  </si>
  <si>
    <t>Table 11.1</t>
  </si>
  <si>
    <r>
      <t>N</t>
    </r>
    <r>
      <rPr>
        <vertAlign val="subscript"/>
        <sz val="9"/>
        <color indexed="8"/>
        <rFont val="Arial"/>
        <family val="2"/>
      </rPr>
      <t>2</t>
    </r>
    <r>
      <rPr>
        <sz val="9"/>
        <color indexed="8"/>
        <rFont val="Arial"/>
        <family val="2"/>
      </rPr>
      <t>O-N</t>
    </r>
    <r>
      <rPr>
        <vertAlign val="subscript"/>
        <sz val="9"/>
        <color indexed="8"/>
        <rFont val="Arial"/>
        <family val="2"/>
      </rPr>
      <t>N inputs</t>
    </r>
    <r>
      <rPr>
        <sz val="9"/>
        <color indexed="8"/>
        <rFont val="Arial"/>
        <family val="2"/>
      </rPr>
      <t xml:space="preserve"> = F * EF</t>
    </r>
  </si>
  <si>
    <t>F</t>
  </si>
  <si>
    <r>
      <t>N</t>
    </r>
    <r>
      <rPr>
        <b/>
        <vertAlign val="subscript"/>
        <sz val="9"/>
        <color indexed="8"/>
        <rFont val="Arial"/>
        <family val="2"/>
      </rPr>
      <t>2</t>
    </r>
    <r>
      <rPr>
        <b/>
        <sz val="9"/>
        <color indexed="8"/>
        <rFont val="Arial"/>
        <family val="2"/>
      </rPr>
      <t>O-N</t>
    </r>
    <r>
      <rPr>
        <b/>
        <vertAlign val="subscript"/>
        <sz val="9"/>
        <color indexed="8"/>
        <rFont val="Arial"/>
        <family val="2"/>
      </rPr>
      <t>N inputs</t>
    </r>
  </si>
  <si>
    <r>
      <t>Anthropogenic N input types to estimate annual direct N</t>
    </r>
    <r>
      <rPr>
        <vertAlign val="subscript"/>
        <sz val="9"/>
        <rFont val="Arial"/>
        <family val="2"/>
      </rPr>
      <t>2</t>
    </r>
    <r>
      <rPr>
        <sz val="9"/>
        <rFont val="Arial"/>
        <family val="2"/>
      </rPr>
      <t>O-N emissions produced from managed soils</t>
    </r>
  </si>
  <si>
    <t>synthetic fertilizers</t>
  </si>
  <si>
    <r>
      <t>F</t>
    </r>
    <r>
      <rPr>
        <vertAlign val="subscript"/>
        <sz val="9"/>
        <rFont val="Arial"/>
        <family val="2"/>
      </rPr>
      <t>SN</t>
    </r>
    <r>
      <rPr>
        <sz val="9"/>
        <rFont val="Arial"/>
        <family val="2"/>
      </rPr>
      <t>: N in synthetic fertilizers</t>
    </r>
  </si>
  <si>
    <r>
      <t>EF</t>
    </r>
    <r>
      <rPr>
        <vertAlign val="subscript"/>
        <sz val="9"/>
        <rFont val="Arial"/>
        <family val="2"/>
      </rPr>
      <t>1</t>
    </r>
  </si>
  <si>
    <t>animal manure, compost, sewage sludge</t>
  </si>
  <si>
    <r>
      <t>F</t>
    </r>
    <r>
      <rPr>
        <vertAlign val="subscript"/>
        <sz val="9"/>
        <rFont val="Arial"/>
        <family val="2"/>
      </rPr>
      <t>ON</t>
    </r>
    <r>
      <rPr>
        <sz val="9"/>
        <rFont val="Arial"/>
        <family val="2"/>
      </rPr>
      <t>: N in animal manure, compost, sewage sludge, other</t>
    </r>
  </si>
  <si>
    <r>
      <t>Anthropogenic N input types to estimate annual direct N</t>
    </r>
    <r>
      <rPr>
        <vertAlign val="subscript"/>
        <sz val="9"/>
        <rFont val="Arial"/>
        <family val="2"/>
      </rPr>
      <t>2</t>
    </r>
    <r>
      <rPr>
        <sz val="9"/>
        <rFont val="Arial"/>
        <family val="2"/>
      </rPr>
      <t>O-N emissions produced from flooded rice</t>
    </r>
  </si>
  <si>
    <r>
      <t>EF</t>
    </r>
    <r>
      <rPr>
        <vertAlign val="subscript"/>
        <sz val="9"/>
        <rFont val="Arial"/>
        <family val="2"/>
      </rPr>
      <t>1FR</t>
    </r>
  </si>
  <si>
    <t>Keterangan :</t>
  </si>
  <si>
    <t>Wajib Diisi</t>
  </si>
  <si>
    <t>Expert Judgement</t>
  </si>
  <si>
    <t>Default IPCC</t>
  </si>
  <si>
    <t>Perhitungan Pupuk mengandung N</t>
  </si>
  <si>
    <t>Jika data tersedia dalam satuan berat tertentu</t>
  </si>
  <si>
    <t>Perhitungan pupuk mengandung N</t>
  </si>
  <si>
    <t>Jika data tidak tersedia, maka bisa dihitung berdasarkan luasan pertanaman dan dosis rekomendasi</t>
  </si>
  <si>
    <t>Luas pertanaman</t>
  </si>
  <si>
    <t>palawija</t>
  </si>
  <si>
    <t>hortikultura</t>
  </si>
  <si>
    <t>perkebunan (sawit)</t>
  </si>
  <si>
    <t>Dosis rekomendasi</t>
  </si>
  <si>
    <t>Direct N2O</t>
  </si>
  <si>
    <t>Peternakan CH4 (entetik dan manure)</t>
  </si>
  <si>
    <t>Tahun</t>
  </si>
  <si>
    <t>dst</t>
  </si>
  <si>
    <t>Padi sawah</t>
  </si>
  <si>
    <t>Padi ladang</t>
  </si>
  <si>
    <t>Padi (sawah)</t>
  </si>
  <si>
    <t>padi ladang</t>
  </si>
  <si>
    <t>Luas Panen/tanam Tahunan</t>
  </si>
  <si>
    <t>Musim tanam dalam setahun (IP)</t>
  </si>
  <si>
    <t>(Kg CH4/ha/musim)</t>
  </si>
  <si>
    <t>Sapi Potong</t>
  </si>
  <si>
    <t>Sapi Perah</t>
  </si>
  <si>
    <t>Ayam kampung(buras)</t>
  </si>
  <si>
    <t>Ayam Petelur</t>
  </si>
  <si>
    <t>Ayam Pedaging (raspotong)</t>
  </si>
  <si>
    <t>Populasi Ternak</t>
  </si>
  <si>
    <t>Rekapitulasi Emisi GRK</t>
  </si>
  <si>
    <t>TOTAL</t>
  </si>
  <si>
    <t>(ribu ekor)</t>
  </si>
  <si>
    <t>TAM (rata2 berat)</t>
  </si>
  <si>
    <t>Konsumsi Urea (ton)*)</t>
  </si>
  <si>
    <r>
      <t>Frac</t>
    </r>
    <r>
      <rPr>
        <vertAlign val="subscript"/>
        <sz val="11"/>
        <color indexed="8"/>
        <rFont val="Calibri"/>
        <family val="2"/>
      </rPr>
      <t>(GasMS</t>
    </r>
    <r>
      <rPr>
        <sz val="11"/>
        <color theme="1"/>
        <rFont val="Calibri"/>
        <family val="2"/>
        <charset val="1"/>
        <scheme val="minor"/>
      </rPr>
      <t>) solid storage</t>
    </r>
  </si>
  <si>
    <t>sawah irigasi</t>
  </si>
  <si>
    <t>sawah non irigasi</t>
  </si>
  <si>
    <t>LUAS SAWAH</t>
  </si>
  <si>
    <t>LUAS PANEN SAWAH</t>
  </si>
  <si>
    <t>DATA</t>
  </si>
  <si>
    <t xml:space="preserve">dari fermentasi enterik dan kotoran ternak </t>
  </si>
  <si>
    <t>Tujuan</t>
  </si>
  <si>
    <t>Sasaran</t>
  </si>
  <si>
    <t>Indikator sasaran</t>
  </si>
  <si>
    <t xml:space="preserve">Meningkatnya kualitas dan 
ketersediaan sumberdaya
pertanian </t>
  </si>
  <si>
    <t xml:space="preserve">Tersedianya
Sarana
Prasarana
Pertanian </t>
  </si>
  <si>
    <t>Jumlah
jaringan irigasi
yang diperbaiki</t>
  </si>
  <si>
    <t xml:space="preserve">Meningkatny
a Kualitas
Sumberdaya
Manusia 
Pertanian </t>
  </si>
  <si>
    <t>(ekor)</t>
  </si>
  <si>
    <t>lahan kering tidak diusahakan</t>
  </si>
  <si>
    <t>Total lahan kering produktif</t>
  </si>
  <si>
    <t>prosentase luas lahan pertanian utk perhitungan pemakaian pupuk</t>
  </si>
  <si>
    <t>tahun</t>
  </si>
  <si>
    <t>DATA PEMAKAIAN PUPUK</t>
  </si>
  <si>
    <t>proyeksi menggunkan pola logaritmik</t>
  </si>
  <si>
    <t>sp36</t>
  </si>
  <si>
    <t>UREA</t>
  </si>
  <si>
    <t xml:space="preserve"> ZA</t>
  </si>
  <si>
    <t>TAHUN</t>
  </si>
  <si>
    <t>Kandungan N DARI LAHAN KERING</t>
  </si>
  <si>
    <t>PERHITUNGAN UNTUK LAHAN SAWAH</t>
  </si>
  <si>
    <t>GABUNGAN</t>
  </si>
  <si>
    <t>Konsumsi pupuk DI LAHAN SAWAH (ton)</t>
  </si>
  <si>
    <t>Konsumsi pupuk DI LAHAN KERING (ton)</t>
  </si>
  <si>
    <t>total (kg N/tahun)</t>
  </si>
  <si>
    <t xml:space="preserve">Kandungan N DARI LAHAN SAWAH </t>
  </si>
  <si>
    <t>Emisi Langsung N2O dari pemakaian pupuk Sintetis di lahan kering</t>
  </si>
  <si>
    <r>
      <t>Emisi CH</t>
    </r>
    <r>
      <rPr>
        <b/>
        <vertAlign val="subscript"/>
        <sz val="11"/>
        <color indexed="8"/>
        <rFont val="Calibri"/>
        <family val="2"/>
      </rPr>
      <t>4</t>
    </r>
    <r>
      <rPr>
        <b/>
        <sz val="11"/>
        <color theme="1"/>
        <rFont val="Calibri"/>
        <family val="2"/>
        <scheme val="minor"/>
      </rPr>
      <t xml:space="preserve"> tahunan dari lahan padi sawah non irigasi</t>
    </r>
  </si>
  <si>
    <t>N2O Langsung dari pemakaian pupuk organik</t>
  </si>
  <si>
    <t>Luas tanam Tahunan</t>
  </si>
  <si>
    <t>Tanaman pangan</t>
  </si>
  <si>
    <t>Prosentase lahan sawah</t>
  </si>
  <si>
    <t xml:space="preserve">Prosentase lahan pertanian kering  </t>
  </si>
  <si>
    <t>prosentase pupuk yang diaplikasikan di LAHAN SAWAH SAJA</t>
  </si>
  <si>
    <t>prosentase pupuk yang diaplikasikan di LAHAN KERING SAJA</t>
  </si>
  <si>
    <t>Urea (Kandungan Nitrogennya : 46%)</t>
  </si>
  <si>
    <t>NPK (Kandungan Nitrogennya : 15%)</t>
  </si>
  <si>
    <t>ZA (Kandungan Nitrogennya : 21%)</t>
  </si>
  <si>
    <t xml:space="preserve">Catatan : </t>
  </si>
  <si>
    <t>Hortikultura sayur</t>
  </si>
  <si>
    <t>Hortikultura buah</t>
  </si>
  <si>
    <t>HORTIKULTURA BUAH</t>
  </si>
  <si>
    <t>KOMODITAS</t>
  </si>
  <si>
    <t>satuan</t>
  </si>
  <si>
    <t>Luas lahan panen</t>
  </si>
  <si>
    <t>Alpukat</t>
  </si>
  <si>
    <t>Ha</t>
  </si>
  <si>
    <t>Durian</t>
  </si>
  <si>
    <t>Jambu Air</t>
  </si>
  <si>
    <t>Jambu Biji</t>
  </si>
  <si>
    <t>Mangga</t>
  </si>
  <si>
    <t>Manggis</t>
  </si>
  <si>
    <t>Nangka / Cempedak</t>
  </si>
  <si>
    <t>Pisang</t>
  </si>
  <si>
    <t>Rambutan</t>
  </si>
  <si>
    <t>Salak</t>
  </si>
  <si>
    <t>Bawang Daun</t>
  </si>
  <si>
    <t>Bawang Merah</t>
  </si>
  <si>
    <t>Buncis</t>
  </si>
  <si>
    <t>Cabe</t>
  </si>
  <si>
    <t>Kacang Panjang</t>
  </si>
  <si>
    <t>Kentang</t>
  </si>
  <si>
    <t>Ketimun</t>
  </si>
  <si>
    <t>Kol / Kubis</t>
  </si>
  <si>
    <t>Petsai / Sawi</t>
  </si>
  <si>
    <t>Tomat</t>
  </si>
  <si>
    <t xml:space="preserve">Komodti </t>
  </si>
  <si>
    <t>Jagung</t>
  </si>
  <si>
    <t>  Ha</t>
  </si>
  <si>
    <t>Kacang Hijau</t>
  </si>
  <si>
    <t>Kacang Tanah</t>
  </si>
  <si>
    <t>Kedelai</t>
  </si>
  <si>
    <t>Padi Ladang</t>
  </si>
  <si>
    <t>Ubijalar</t>
  </si>
  <si>
    <t>Total pangan</t>
  </si>
  <si>
    <t>Sub sektor</t>
  </si>
  <si>
    <t>Pangan</t>
  </si>
  <si>
    <t>Padi</t>
  </si>
  <si>
    <t xml:space="preserve">   Padi Ladang</t>
  </si>
  <si>
    <t xml:space="preserve">   Padi Sawah</t>
  </si>
  <si>
    <t>HORTIKULTURA SAYUR</t>
  </si>
  <si>
    <t>HORTI BUAH</t>
  </si>
  <si>
    <t>HORTI SAYUR</t>
  </si>
  <si>
    <t>PANGAN</t>
  </si>
  <si>
    <t xml:space="preserve">Sumber : Kementrian Pertanian </t>
  </si>
  <si>
    <t>pertanian.go.id</t>
  </si>
  <si>
    <t>Note: bu, data padi sawah pakai yg ini atau tetap yg data dari ibu (sawah irigasi, non irigasi)? Soalnya luasnya berbeda jauh bu (sheet "data")</t>
  </si>
  <si>
    <t>(Ribu ton CH4/th)</t>
  </si>
  <si>
    <t>organik</t>
  </si>
  <si>
    <t>Organik</t>
  </si>
  <si>
    <t>hasil proyeksi negatif</t>
  </si>
  <si>
    <t>data minus hasil proyeksi</t>
  </si>
  <si>
    <t>SUDAH DIEDIT PUTRI</t>
  </si>
  <si>
    <t>Data hewan babi 2025-2030 hasilnya minus (dari proyeksi)</t>
  </si>
  <si>
    <t>jadi ada hasil yg negatif u/ hewan babi (2025-2030)</t>
  </si>
  <si>
    <t>Ribu Ton N2O/th</t>
  </si>
  <si>
    <t>ORGANIK (KANDUNGAN NITROGEN = 20%)</t>
  </si>
  <si>
    <t>ORGANIK</t>
  </si>
  <si>
    <t>total (Ribu ton N/tahun)</t>
  </si>
  <si>
    <t>Kg  N/tahun)</t>
  </si>
  <si>
    <t>animal manure</t>
  </si>
  <si>
    <t>synthetic fertilizer</t>
  </si>
  <si>
    <t>Rekapitulasi Emisi CO2 tahunan dari lahan padi sawah irigasi dan non irigasi</t>
  </si>
  <si>
    <t>Luas lahan panen (Ha)</t>
  </si>
  <si>
    <t>Padi Sawah</t>
  </si>
  <si>
    <t>1. Untuk kategori peternakan N2O, angka TAM untuk babi silakan diganti dengan 28 kg dan laju eksreasi per harinya diganti 0.50 kg N/1000 kg berat ternak/hari sesuai IPCC. Untuk TAM ayam dan bebek mohon diganti 1 kg saja sesuai arahan Balingtan.</t>
  </si>
  <si>
    <t>Untuk satuan emisi pada rekap hasil proyeksi silakan diubah menjadi tCO2eq saja Bu, agar konsisten dengan perhitungan provinsi lainnya. Demikian, silakan bila ada pertanyaan lebih lanjut.</t>
  </si>
  <si>
    <t>note dari bu evi</t>
  </si>
  <si>
    <t>Pertanian lahan basah (Ha)</t>
  </si>
  <si>
    <t>TOTAL LAHAN PERTANIAN (Ha)</t>
  </si>
  <si>
    <t>pertanian lahan kering (Ha)</t>
  </si>
  <si>
    <r>
      <t>Emisi CH</t>
    </r>
    <r>
      <rPr>
        <b/>
        <vertAlign val="subscript"/>
        <sz val="11"/>
        <color indexed="8"/>
        <rFont val="Calibri"/>
        <family val="2"/>
      </rPr>
      <t>4</t>
    </r>
    <r>
      <rPr>
        <b/>
        <sz val="11"/>
        <color theme="1"/>
        <rFont val="Calibri"/>
        <family val="2"/>
        <scheme val="minor"/>
      </rPr>
      <t xml:space="preserve"> tahunan dari lahan padi sawah</t>
    </r>
  </si>
  <si>
    <t>EDIT PUTRI LAHAN PADI SAWAH SAJA (TIDAK ADA SAWAH IRIGASI/NON IRIGASI)</t>
  </si>
  <si>
    <t>Urea (Kandungan N= 46%)</t>
  </si>
  <si>
    <t>ZA                 (kandungan N= 21%)</t>
  </si>
  <si>
    <t>NPK             (kandungan N = 15%)</t>
  </si>
  <si>
    <t>Jumlah pemakaian pupuk (ton)</t>
  </si>
  <si>
    <t>kandungan nitrogen dalam pupuk yang digunakan</t>
  </si>
  <si>
    <r>
      <t>(Ton  CO2 eq  yr</t>
    </r>
    <r>
      <rPr>
        <vertAlign val="superscript"/>
        <sz val="9"/>
        <rFont val="Arial"/>
        <family val="2"/>
      </rPr>
      <t>-1</t>
    </r>
    <r>
      <rPr>
        <sz val="9"/>
        <rFont val="Arial"/>
        <family val="2"/>
      </rPr>
      <t>)</t>
    </r>
  </si>
  <si>
    <t>TOTAL HORTI SAYUR</t>
  </si>
  <si>
    <t>TOTAL HORTI BUAH</t>
  </si>
  <si>
    <t>TANAMAN PANGAN (selain PADI)</t>
  </si>
  <si>
    <t>TOTAL LUAS LAHAN KERING (PANGAN, HORTI, PADI LADANG)</t>
  </si>
  <si>
    <r>
      <t>(Ton  N</t>
    </r>
    <r>
      <rPr>
        <vertAlign val="subscript"/>
        <sz val="9"/>
        <rFont val="Arial"/>
        <family val="2"/>
      </rPr>
      <t>2</t>
    </r>
    <r>
      <rPr>
        <sz val="9"/>
        <rFont val="Arial"/>
        <family val="2"/>
      </rPr>
      <t>O-N  yr</t>
    </r>
    <r>
      <rPr>
        <vertAlign val="superscript"/>
        <sz val="9"/>
        <rFont val="Arial"/>
        <family val="2"/>
      </rPr>
      <t>-1</t>
    </r>
    <r>
      <rPr>
        <sz val="9"/>
        <rFont val="Arial"/>
        <family val="2"/>
      </rPr>
      <t>)</t>
    </r>
  </si>
  <si>
    <t xml:space="preserve"> Ton N2O-N /tahun</t>
  </si>
  <si>
    <r>
      <t>( Ton CH</t>
    </r>
    <r>
      <rPr>
        <vertAlign val="subscript"/>
        <sz val="11"/>
        <color indexed="8"/>
        <rFont val="Calibri"/>
        <family val="2"/>
      </rPr>
      <t>4</t>
    </r>
    <r>
      <rPr>
        <sz val="11"/>
        <color theme="1"/>
        <rFont val="Calibri"/>
        <family val="2"/>
        <charset val="1"/>
        <scheme val="minor"/>
      </rPr>
      <t>/th)</t>
    </r>
  </si>
  <si>
    <r>
      <t>(Ton CH</t>
    </r>
    <r>
      <rPr>
        <vertAlign val="subscript"/>
        <sz val="11"/>
        <color indexed="8"/>
        <rFont val="Calibri"/>
        <family val="2"/>
      </rPr>
      <t>4</t>
    </r>
    <r>
      <rPr>
        <sz val="11"/>
        <color theme="1"/>
        <rFont val="Calibri"/>
        <family val="2"/>
        <charset val="1"/>
        <scheme val="minor"/>
      </rPr>
      <t>/th)</t>
    </r>
  </si>
  <si>
    <t>(Ton CH4/th)</t>
  </si>
  <si>
    <t xml:space="preserve"> Ton N2O/th</t>
  </si>
  <si>
    <t>Emisi dari lahan padi sawah</t>
  </si>
  <si>
    <t>Emisi Langsung N2O dari pemakaian pupuk</t>
  </si>
  <si>
    <t>(Ton CO2 eq)</t>
  </si>
  <si>
    <t>(Ton CO2 eq/tahun)</t>
  </si>
  <si>
    <t>Emisi CH4 dari lahan sawah</t>
  </si>
  <si>
    <t xml:space="preserve">N2O Langsung dari pemakaian pupuk </t>
  </si>
  <si>
    <t>Ton CH4/tahun</t>
  </si>
  <si>
    <t xml:space="preserve"> Ton CH4/tahun</t>
  </si>
  <si>
    <t>Ton N2O/tahun</t>
  </si>
  <si>
    <t>Ton CO2-C/tahun</t>
  </si>
  <si>
    <t xml:space="preserve"> Ton N/tahun</t>
  </si>
  <si>
    <t>Ton  CO2 eq/tahun</t>
  </si>
  <si>
    <t>Total kandungan Nitrogen</t>
  </si>
  <si>
    <t>1. Untuk kategori peternakan N2O, angka TAM untuk babi silakan diganti dengan 28 kg dan laju eksreasi per harinya diganti 0.50 kg N/1000 kg berat ternak/hari sesuai IPCC. Untuk TAM ayam dan bebek mohon diganti 1 kg saja sesuai arahan Balingtan.                                                                                                                                               2. Untuk perhitungan Direct N2O, bila memungkinkan data dasarnya dari tahun 2000 (atau 2003 untuk pupuk bersubsidi) sampai 2010. Untuk perhitungan pada pupuk organik, kemarin ada perubahan informasi dari Balingtan Bu, jadi Fon pupuk organik pada lahan kering (managed soils) dihitung sbb: (Luas Lahan Kering (padi ladang, tanaman pangan dan horti) x 2.000 kg x 0.16) + (luas tanaman sayur x 10.000 kg x 0.005). Sedangkan Fon pupuk organik pada lahan sawah (flooded rice) dihitung sbb: (Luas lahan sawah x 2.000 kg x 0.16) .                                                                                                                                                                                                                      3. Pada rekap proyeksi, mohon lahan sawah irigasi dan non irigasi digabung menjadi 1 kategori saja, yaitu lahan sawah. Selain itu, N2O langsung dari pemakaian pupuk organik dan pemakaian pupuk sintetis juga digabung menjadi 1 kategori, yaitu Direct N2O (tidak perlu dipisah).</t>
  </si>
  <si>
    <t>(Ribu Ton CH4/th)</t>
  </si>
  <si>
    <t>(Ribu Ton CO2 eq)</t>
  </si>
  <si>
    <t>(Ribu Ton CH4)</t>
  </si>
  <si>
    <t>(Ribu Ton CO2 eq/thn)</t>
  </si>
  <si>
    <r>
      <t>(Ribu Ton  N</t>
    </r>
    <r>
      <rPr>
        <vertAlign val="subscript"/>
        <sz val="9"/>
        <rFont val="Arial"/>
        <family val="2"/>
      </rPr>
      <t>2</t>
    </r>
    <r>
      <rPr>
        <sz val="9"/>
        <rFont val="Arial"/>
        <family val="2"/>
      </rPr>
      <t>O-N  yr</t>
    </r>
    <r>
      <rPr>
        <vertAlign val="superscript"/>
        <sz val="9"/>
        <rFont val="Arial"/>
        <family val="2"/>
      </rPr>
      <t>-1</t>
    </r>
    <r>
      <rPr>
        <sz val="9"/>
        <rFont val="Arial"/>
        <family val="2"/>
      </rPr>
      <t>)</t>
    </r>
  </si>
  <si>
    <t>Emisi BaU Baseline (Ton CO2 e)</t>
  </si>
  <si>
    <t>Ribu Ton  CO2 eq/tahun</t>
  </si>
  <si>
    <t>Emisi BaU Baseline (Ribu Ton CO2 e)</t>
  </si>
  <si>
    <t>Ribu Ton CH4/tahun</t>
  </si>
  <si>
    <t>Ribu Ton N2O/tahun</t>
  </si>
  <si>
    <t>Ribu Ton CO2-C/tahun</t>
  </si>
  <si>
    <t>Ribu Ton N/tahun</t>
  </si>
  <si>
    <t>Rekapitulasi BaU baseline sektor pertanian Jawa Barat</t>
  </si>
  <si>
    <t>(Ribu Ton CO2 eq/tahun)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</si>
</sst>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0.0"/>
    <numFmt numFmtId="171" formatCode="_-* #,##0_-;\-* #,##0_-;_-* &quot;-&quot;??_-;_-@_-"/>
    <numFmt numFmtId="172" formatCode="0.0000"/>
    <numFmt numFmtId="173" formatCode="0.00000"/>
    <numFmt numFmtId="174" formatCode="0.000000"/>
  </numFmts>
  <fonts count="55" x14ac:knownFonts="1">
    <font>
      <sz val="11"/>
      <color theme="1"/>
      <name val="Calibri"/>
      <family val="2"/>
      <charset val="1"/>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b/>
      <sz val="9"/>
      <name val="Arial"/>
      <family val="2"/>
    </font>
    <font>
      <b/>
      <vertAlign val="subscript"/>
      <sz val="9"/>
      <name val="Arial"/>
      <family val="2"/>
    </font>
    <font>
      <sz val="9"/>
      <name val="Arial"/>
      <family val="2"/>
    </font>
    <font>
      <vertAlign val="subscript"/>
      <sz val="9"/>
      <name val="Arial"/>
      <family val="2"/>
    </font>
    <font>
      <vertAlign val="subscript"/>
      <sz val="9"/>
      <color indexed="8"/>
      <name val="Arial"/>
      <family val="2"/>
    </font>
    <font>
      <sz val="9"/>
      <color indexed="8"/>
      <name val="Arial"/>
      <family val="2"/>
    </font>
    <font>
      <vertAlign val="superscript"/>
      <sz val="9"/>
      <name val="Arial"/>
      <family val="2"/>
    </font>
    <font>
      <b/>
      <vertAlign val="subscript"/>
      <sz val="9"/>
      <color indexed="8"/>
      <name val="Arial"/>
      <family val="2"/>
    </font>
    <font>
      <b/>
      <sz val="9"/>
      <color indexed="8"/>
      <name val="Arial"/>
      <family val="2"/>
    </font>
    <font>
      <u/>
      <sz val="8"/>
      <color theme="10"/>
      <name val="Arial"/>
      <family val="2"/>
    </font>
    <font>
      <u/>
      <sz val="10"/>
      <name val="Arial"/>
      <family val="2"/>
    </font>
    <font>
      <sz val="11"/>
      <color theme="0"/>
      <name val="Calibri"/>
      <family val="2"/>
      <charset val="1"/>
      <scheme val="minor"/>
    </font>
    <font>
      <b/>
      <sz val="11"/>
      <color theme="0"/>
      <name val="Calibri"/>
      <family val="2"/>
      <charset val="1"/>
    </font>
    <font>
      <sz val="9"/>
      <color theme="1"/>
      <name val="Calibri"/>
      <family val="2"/>
      <scheme val="minor"/>
    </font>
    <font>
      <b/>
      <sz val="9"/>
      <color theme="1"/>
      <name val="Calibri"/>
      <family val="2"/>
      <scheme val="minor"/>
    </font>
    <font>
      <sz val="11"/>
      <name val="Calibri"/>
      <family val="2"/>
      <scheme val="minor"/>
    </font>
    <font>
      <sz val="11"/>
      <color theme="0"/>
      <name val="Calibri"/>
      <family val="2"/>
      <scheme val="minor"/>
    </font>
    <font>
      <sz val="9"/>
      <name val="Calibri"/>
      <family val="2"/>
      <scheme val="minor"/>
    </font>
    <font>
      <sz val="16"/>
      <color theme="1"/>
      <name val="Calibri"/>
      <family val="2"/>
      <charset val="1"/>
      <scheme val="minor"/>
    </font>
    <font>
      <sz val="12"/>
      <color theme="1"/>
      <name val="Calibri"/>
      <family val="2"/>
      <scheme val="minor"/>
    </font>
    <font>
      <b/>
      <u/>
      <sz val="18"/>
      <color theme="0"/>
      <name val="Calibri"/>
      <family val="2"/>
      <charset val="1"/>
      <scheme val="minor"/>
    </font>
    <font>
      <sz val="14"/>
      <color theme="0"/>
      <name val="Calibri"/>
      <family val="2"/>
      <scheme val="minor"/>
    </font>
    <font>
      <b/>
      <sz val="12"/>
      <color theme="1"/>
      <name val="Cambria"/>
      <family val="1"/>
    </font>
    <font>
      <b/>
      <sz val="16"/>
      <name val="Arial"/>
      <family val="2"/>
    </font>
    <font>
      <b/>
      <vertAlign val="subscript"/>
      <sz val="11"/>
      <color indexed="8"/>
      <name val="Calibri"/>
      <family val="2"/>
    </font>
    <font>
      <sz val="11"/>
      <color rgb="FFFFC000"/>
      <name val="Calibri"/>
      <family val="2"/>
      <charset val="1"/>
      <scheme val="minor"/>
    </font>
    <font>
      <sz val="12"/>
      <color theme="1"/>
      <name val="Calibri"/>
      <family val="2"/>
      <charset val="1"/>
      <scheme val="minor"/>
    </font>
    <font>
      <sz val="11"/>
      <color theme="1"/>
      <name val="Calibri"/>
      <family val="2"/>
    </font>
    <font>
      <sz val="10"/>
      <color rgb="FF000000"/>
      <name val="Verdana"/>
      <family val="2"/>
    </font>
    <font>
      <sz val="12"/>
      <color rgb="FF000000"/>
      <name val="Verdana"/>
      <family val="2"/>
    </font>
    <font>
      <sz val="10"/>
      <color theme="1"/>
      <name val="Calibri"/>
      <family val="2"/>
      <charset val="1"/>
      <scheme val="minor"/>
    </font>
  </fonts>
  <fills count="2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2E2E2"/>
        <bgColor indexed="64"/>
      </patternFill>
    </fill>
    <fill>
      <patternFill patternType="solid">
        <fgColor theme="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5" tint="0.39997558519241921"/>
        <bgColor indexed="64"/>
      </patternFill>
    </fill>
    <fill>
      <patternFill patternType="solid">
        <fgColor theme="9" tint="0.59999389629810485"/>
        <bgColor indexed="64"/>
      </patternFill>
    </fill>
    <fill>
      <patternFill patternType="solid">
        <fgColor theme="0" tint="-0.249977111117893"/>
        <bgColor indexed="64"/>
      </patternFill>
    </fill>
  </fills>
  <borders count="57">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s>
  <cellStyleXfs count="9">
    <xf numFmtId="0" fontId="0" fillId="0" borderId="0"/>
    <xf numFmtId="165" fontId="17" fillId="0" borderId="0" applyFont="0" applyFill="0" applyBorder="0" applyAlignment="0" applyProtection="0"/>
    <xf numFmtId="165" fontId="18" fillId="0" borderId="0" applyFont="0" applyFill="0" applyBorder="0" applyAlignment="0" applyProtection="0"/>
    <xf numFmtId="0" fontId="18" fillId="0" borderId="0"/>
    <xf numFmtId="0" fontId="18" fillId="0" borderId="0"/>
    <xf numFmtId="0" fontId="11" fillId="0" borderId="0"/>
    <xf numFmtId="0" fontId="33" fillId="0" borderId="0" applyNumberFormat="0" applyFill="0" applyBorder="0" applyAlignment="0" applyProtection="0">
      <alignment vertical="top"/>
      <protection locked="0"/>
    </xf>
    <xf numFmtId="164" fontId="18" fillId="0" borderId="0" applyFont="0" applyFill="0" applyBorder="0" applyAlignment="0" applyProtection="0"/>
    <xf numFmtId="9" fontId="17" fillId="0" borderId="0" applyFont="0" applyFill="0" applyBorder="0" applyAlignment="0" applyProtection="0"/>
  </cellStyleXfs>
  <cellXfs count="63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7" xfId="0" applyBorder="1" applyAlignment="1">
      <alignment horizontal="center"/>
    </xf>
    <xf numFmtId="0" fontId="0" fillId="0" borderId="7" xfId="0" applyBorder="1"/>
    <xf numFmtId="0" fontId="0" fillId="0" borderId="9" xfId="0" applyBorder="1" applyAlignment="1">
      <alignment horizontal="center"/>
    </xf>
    <xf numFmtId="0" fontId="0" fillId="0" borderId="9" xfId="0" applyBorder="1"/>
    <xf numFmtId="0" fontId="0" fillId="0" borderId="10" xfId="0" applyBorder="1"/>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19" fillId="0" borderId="0" xfId="3" applyFont="1"/>
    <xf numFmtId="0" fontId="18" fillId="0" borderId="0" xfId="3"/>
    <xf numFmtId="0" fontId="18" fillId="0" borderId="0" xfId="3" applyAlignment="1">
      <alignment horizontal="center"/>
    </xf>
    <xf numFmtId="0" fontId="19" fillId="0" borderId="0" xfId="3" applyFont="1" applyAlignment="1">
      <alignment horizontal="center" vertical="center"/>
    </xf>
    <xf numFmtId="0" fontId="19" fillId="0" borderId="0" xfId="3" applyFont="1" applyAlignment="1">
      <alignment horizontal="center" vertical="center" wrapText="1"/>
    </xf>
    <xf numFmtId="0" fontId="18" fillId="0" borderId="0" xfId="3" applyAlignment="1">
      <alignment horizontal="center" vertical="center"/>
    </xf>
    <xf numFmtId="166" fontId="18" fillId="0" borderId="0" xfId="3" applyNumberFormat="1"/>
    <xf numFmtId="167" fontId="18" fillId="0" borderId="0" xfId="3" applyNumberFormat="1"/>
    <xf numFmtId="0" fontId="18" fillId="0" borderId="0" xfId="3" applyAlignment="1">
      <alignment horizontal="left" vertical="center"/>
    </xf>
    <xf numFmtId="166" fontId="18" fillId="0" borderId="0" xfId="2" applyNumberFormat="1" applyFont="1"/>
    <xf numFmtId="166" fontId="0" fillId="0" borderId="7" xfId="0" applyNumberFormat="1" applyBorder="1"/>
    <xf numFmtId="166" fontId="0" fillId="5" borderId="8" xfId="0" applyNumberFormat="1" applyFill="1" applyBorder="1"/>
    <xf numFmtId="0" fontId="18" fillId="5" borderId="6" xfId="3" applyFill="1" applyBorder="1"/>
    <xf numFmtId="0" fontId="20" fillId="5" borderId="12" xfId="0" applyFont="1" applyFill="1" applyBorder="1" applyAlignment="1">
      <alignment horizontal="center"/>
    </xf>
    <xf numFmtId="0" fontId="20" fillId="5" borderId="13" xfId="0" applyFont="1" applyFill="1" applyBorder="1" applyAlignment="1">
      <alignment horizontal="center"/>
    </xf>
    <xf numFmtId="0" fontId="20" fillId="5" borderId="14"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1" fillId="0" borderId="0" xfId="3" applyFont="1"/>
    <xf numFmtId="0" fontId="18" fillId="0" borderId="15" xfId="3" applyBorder="1"/>
    <xf numFmtId="0" fontId="18" fillId="0" borderId="16" xfId="3" applyBorder="1" applyAlignment="1">
      <alignment horizontal="center"/>
    </xf>
    <xf numFmtId="0" fontId="18" fillId="0" borderId="17" xfId="3" applyBorder="1"/>
    <xf numFmtId="0" fontId="18" fillId="0" borderId="18" xfId="3" applyBorder="1" applyAlignment="1">
      <alignment horizontal="center"/>
    </xf>
    <xf numFmtId="0" fontId="18" fillId="0" borderId="19" xfId="3" applyBorder="1"/>
    <xf numFmtId="0" fontId="18" fillId="0" borderId="20" xfId="3" applyBorder="1"/>
    <xf numFmtId="0" fontId="18" fillId="0" borderId="21" xfId="3" applyBorder="1" applyAlignment="1">
      <alignment horizontal="center"/>
    </xf>
    <xf numFmtId="0" fontId="18" fillId="0" borderId="22" xfId="3" applyBorder="1"/>
    <xf numFmtId="0" fontId="18" fillId="0" borderId="23" xfId="3" applyBorder="1"/>
    <xf numFmtId="0" fontId="19" fillId="0" borderId="24" xfId="3" applyFont="1" applyBorder="1" applyAlignment="1">
      <alignment horizontal="center" vertical="center" wrapText="1"/>
    </xf>
    <xf numFmtId="0" fontId="19" fillId="0" borderId="25" xfId="3" applyFont="1" applyBorder="1" applyAlignment="1">
      <alignment horizontal="center" vertical="center" wrapText="1"/>
    </xf>
    <xf numFmtId="0" fontId="19" fillId="0" borderId="26" xfId="3" applyFont="1" applyBorder="1" applyAlignment="1">
      <alignment horizontal="center" vertical="center" wrapText="1"/>
    </xf>
    <xf numFmtId="0" fontId="0" fillId="0" borderId="15" xfId="0" applyBorder="1"/>
    <xf numFmtId="0" fontId="0" fillId="0" borderId="16" xfId="0" applyBorder="1" applyAlignment="1">
      <alignment horizontal="center"/>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xf numFmtId="0" fontId="0" fillId="0" borderId="21" xfId="0" applyBorder="1" applyAlignment="1">
      <alignment horizontal="center"/>
    </xf>
    <xf numFmtId="0" fontId="0" fillId="0" borderId="22" xfId="0" applyBorder="1"/>
    <xf numFmtId="0" fontId="0" fillId="0" borderId="23" xfId="0" applyBorder="1"/>
    <xf numFmtId="0" fontId="19" fillId="0" borderId="24" xfId="0" applyFont="1" applyBorder="1" applyAlignment="1">
      <alignment horizontal="center" vertical="center"/>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20" fillId="5" borderId="27" xfId="0" applyFont="1" applyFill="1" applyBorder="1" applyAlignment="1"/>
    <xf numFmtId="0" fontId="0" fillId="4" borderId="28" xfId="0" applyFill="1" applyBorder="1" applyAlignment="1">
      <alignment horizontal="center"/>
    </xf>
    <xf numFmtId="0" fontId="0" fillId="0" borderId="9" xfId="0" applyFill="1" applyBorder="1" applyAlignment="1">
      <alignment horizontal="center"/>
    </xf>
    <xf numFmtId="0" fontId="0" fillId="0" borderId="9" xfId="0" applyFill="1" applyBorder="1" applyAlignment="1">
      <alignment horizontal="center" wrapText="1"/>
    </xf>
    <xf numFmtId="0" fontId="18" fillId="0" borderId="7" xfId="3" applyBorder="1"/>
    <xf numFmtId="0" fontId="0" fillId="0" borderId="0" xfId="0" applyAlignment="1">
      <alignment horizontal="left"/>
    </xf>
    <xf numFmtId="166" fontId="17" fillId="0" borderId="9" xfId="1" applyNumberFormat="1" applyFont="1" applyBorder="1"/>
    <xf numFmtId="2" fontId="0" fillId="0" borderId="0" xfId="0" applyNumberFormat="1"/>
    <xf numFmtId="166" fontId="17"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19" fillId="0" borderId="7" xfId="0" applyFont="1" applyBorder="1" applyAlignment="1">
      <alignment horizontal="center"/>
    </xf>
    <xf numFmtId="166" fontId="0" fillId="0" borderId="7" xfId="0" applyNumberFormat="1" applyFill="1" applyBorder="1"/>
    <xf numFmtId="165" fontId="17" fillId="0" borderId="7" xfId="1" applyNumberFormat="1" applyFont="1" applyBorder="1"/>
    <xf numFmtId="0" fontId="0" fillId="0" borderId="29" xfId="0" applyBorder="1" applyAlignment="1">
      <alignment horizontal="center" wrapText="1"/>
    </xf>
    <xf numFmtId="0" fontId="0" fillId="0" borderId="29" xfId="0" applyBorder="1" applyAlignment="1">
      <alignment horizontal="center"/>
    </xf>
    <xf numFmtId="0" fontId="0" fillId="0" borderId="30" xfId="0" applyBorder="1" applyAlignment="1">
      <alignment horizontal="center"/>
    </xf>
    <xf numFmtId="0" fontId="19" fillId="0" borderId="1" xfId="0" applyFont="1" applyBorder="1" applyAlignment="1">
      <alignment horizontal="center"/>
    </xf>
    <xf numFmtId="0" fontId="0" fillId="0" borderId="29" xfId="0" applyBorder="1"/>
    <xf numFmtId="2" fontId="0" fillId="5" borderId="30" xfId="0" applyNumberFormat="1" applyFill="1" applyBorder="1"/>
    <xf numFmtId="1" fontId="0" fillId="6" borderId="29"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6" fillId="0" borderId="0" xfId="3" applyFont="1"/>
    <xf numFmtId="0" fontId="8" fillId="3" borderId="31" xfId="3" applyFont="1" applyFill="1" applyBorder="1" applyAlignment="1">
      <alignment horizontal="center" vertical="center"/>
    </xf>
    <xf numFmtId="0" fontId="8" fillId="3" borderId="31" xfId="3" applyFont="1" applyFill="1" applyBorder="1" applyAlignment="1">
      <alignment horizontal="center" vertical="center" wrapText="1"/>
    </xf>
    <xf numFmtId="0" fontId="10" fillId="3" borderId="31" xfId="3" quotePrefix="1" applyNumberFormat="1" applyFont="1" applyFill="1" applyBorder="1" applyAlignment="1" applyProtection="1">
      <alignment horizontal="center" vertical="center" wrapText="1"/>
    </xf>
    <xf numFmtId="0" fontId="11" fillId="0" borderId="22" xfId="3" applyFont="1" applyBorder="1" applyAlignment="1">
      <alignment horizontal="center"/>
    </xf>
    <xf numFmtId="0" fontId="11" fillId="0" borderId="22" xfId="3" quotePrefix="1" applyNumberFormat="1" applyFont="1" applyBorder="1" applyAlignment="1" applyProtection="1">
      <alignment horizontal="center" wrapText="1"/>
    </xf>
    <xf numFmtId="0" fontId="18" fillId="0" borderId="22" xfId="3" applyBorder="1" applyAlignment="1"/>
    <xf numFmtId="0" fontId="11" fillId="2" borderId="15" xfId="3" applyNumberFormat="1" applyFont="1" applyFill="1" applyBorder="1" applyAlignment="1" applyProtection="1">
      <alignment horizontal="center" vertical="center"/>
      <protection locked="0"/>
    </xf>
    <xf numFmtId="0" fontId="18" fillId="2" borderId="15" xfId="3" applyFill="1" applyBorder="1" applyAlignment="1">
      <alignment horizontal="center" vertical="center"/>
    </xf>
    <xf numFmtId="0" fontId="18" fillId="0" borderId="15" xfId="3" applyBorder="1" applyAlignment="1">
      <alignment horizontal="center" vertical="center"/>
    </xf>
    <xf numFmtId="0" fontId="11" fillId="0" borderId="15" xfId="3" applyNumberFormat="1" applyFont="1" applyBorder="1" applyAlignment="1" applyProtection="1">
      <alignment horizontal="center" vertical="center"/>
      <protection locked="0"/>
    </xf>
    <xf numFmtId="0" fontId="11" fillId="0" borderId="15" xfId="3" applyNumberFormat="1" applyFont="1" applyFill="1" applyBorder="1" applyAlignment="1" applyProtection="1">
      <alignment horizontal="left" vertical="top" wrapText="1"/>
    </xf>
    <xf numFmtId="0" fontId="18" fillId="0" borderId="15" xfId="3" quotePrefix="1" applyBorder="1" applyAlignment="1">
      <alignment horizontal="center" vertical="center"/>
    </xf>
    <xf numFmtId="2" fontId="18" fillId="0" borderId="15" xfId="3" applyNumberFormat="1" applyFill="1" applyBorder="1" applyAlignment="1">
      <alignment horizontal="center" vertical="center"/>
    </xf>
    <xf numFmtId="0" fontId="12" fillId="0" borderId="0" xfId="3" applyFont="1"/>
    <xf numFmtId="0" fontId="18" fillId="0" borderId="0" xfId="3" applyBorder="1"/>
    <xf numFmtId="0" fontId="19" fillId="0" borderId="9" xfId="0" applyFont="1" applyBorder="1" applyAlignment="1">
      <alignment horizontal="center"/>
    </xf>
    <xf numFmtId="0" fontId="0" fillId="4" borderId="11" xfId="0" applyFill="1" applyBorder="1" applyAlignment="1">
      <alignment horizontal="center"/>
    </xf>
    <xf numFmtId="166" fontId="17" fillId="0" borderId="0" xfId="1" applyNumberFormat="1" applyFont="1"/>
    <xf numFmtId="0" fontId="5" fillId="0" borderId="0" xfId="0" applyFont="1"/>
    <xf numFmtId="0" fontId="5" fillId="3" borderId="31" xfId="0" applyFont="1" applyFill="1" applyBorder="1" applyAlignment="1">
      <alignment horizontal="center" vertical="center"/>
    </xf>
    <xf numFmtId="0" fontId="5" fillId="3" borderId="31" xfId="0" applyFont="1" applyFill="1" applyBorder="1" applyAlignment="1">
      <alignment horizontal="center" vertical="center" wrapText="1"/>
    </xf>
    <xf numFmtId="0" fontId="0" fillId="0" borderId="15" xfId="0" applyBorder="1" applyAlignment="1">
      <alignment horizontal="center"/>
    </xf>
    <xf numFmtId="169" fontId="0" fillId="0" borderId="15" xfId="0" applyNumberFormat="1" applyBorder="1"/>
    <xf numFmtId="2" fontId="5" fillId="0" borderId="15" xfId="0" applyNumberFormat="1" applyFont="1" applyBorder="1" applyAlignment="1">
      <alignment horizontal="center"/>
    </xf>
    <xf numFmtId="169" fontId="0" fillId="0" borderId="33" xfId="0" applyNumberFormat="1" applyBorder="1"/>
    <xf numFmtId="0" fontId="0" fillId="2" borderId="15" xfId="0" applyFill="1" applyBorder="1" applyAlignment="1">
      <alignment horizontal="center"/>
    </xf>
    <xf numFmtId="169" fontId="0" fillId="2" borderId="15" xfId="0" applyNumberFormat="1" applyFill="1" applyBorder="1"/>
    <xf numFmtId="2" fontId="5" fillId="2" borderId="15"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2" xfId="0" applyNumberFormat="1" applyBorder="1"/>
    <xf numFmtId="0" fontId="0" fillId="0" borderId="0" xfId="0" applyNumberFormat="1"/>
    <xf numFmtId="1" fontId="0" fillId="0" borderId="0" xfId="0" applyNumberFormat="1" applyAlignment="1">
      <alignment horizontal="right"/>
    </xf>
    <xf numFmtId="1" fontId="0" fillId="0" borderId="15" xfId="0" applyNumberFormat="1" applyBorder="1" applyAlignment="1">
      <alignment horizontal="right"/>
    </xf>
    <xf numFmtId="0" fontId="19" fillId="0" borderId="15" xfId="3" applyFont="1" applyBorder="1" applyAlignment="1">
      <alignment horizontal="center" wrapText="1"/>
    </xf>
    <xf numFmtId="0" fontId="19" fillId="0" borderId="15" xfId="3" applyFont="1" applyBorder="1" applyAlignment="1">
      <alignment horizontal="center" vertical="center"/>
    </xf>
    <xf numFmtId="0" fontId="19" fillId="0" borderId="15" xfId="3" applyFont="1" applyBorder="1" applyAlignment="1">
      <alignment horizontal="center" vertical="center" wrapText="1"/>
    </xf>
    <xf numFmtId="0" fontId="18" fillId="0" borderId="15" xfId="3" applyBorder="1" applyAlignment="1">
      <alignment vertical="top" wrapText="1"/>
    </xf>
    <xf numFmtId="0" fontId="18" fillId="0" borderId="15" xfId="3" applyBorder="1" applyAlignment="1">
      <alignment wrapText="1"/>
    </xf>
    <xf numFmtId="0" fontId="18" fillId="0" borderId="15"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4" xfId="0" applyBorder="1" applyAlignment="1">
      <alignment horizontal="center" vertical="center" wrapText="1"/>
    </xf>
    <xf numFmtId="0" fontId="0" fillId="0" borderId="10" xfId="0" applyBorder="1" applyAlignment="1">
      <alignment horizontal="center" vertical="center" wrapText="1"/>
    </xf>
    <xf numFmtId="0" fontId="0" fillId="0" borderId="29" xfId="0" applyBorder="1" applyAlignment="1">
      <alignment horizontal="center" vertical="center" wrapText="1"/>
    </xf>
    <xf numFmtId="0" fontId="19" fillId="0" borderId="29" xfId="0" applyFont="1" applyBorder="1" applyAlignment="1">
      <alignment horizontal="center"/>
    </xf>
    <xf numFmtId="0" fontId="0" fillId="4" borderId="35" xfId="0" applyFill="1" applyBorder="1" applyAlignment="1">
      <alignment horizontal="center"/>
    </xf>
    <xf numFmtId="0" fontId="0" fillId="0" borderId="36" xfId="0" applyBorder="1" applyAlignment="1">
      <alignment horizontal="center" vertical="center" wrapText="1"/>
    </xf>
    <xf numFmtId="0" fontId="0" fillId="0" borderId="36" xfId="0" applyBorder="1" applyAlignment="1">
      <alignment horizontal="center"/>
    </xf>
    <xf numFmtId="0" fontId="0" fillId="0" borderId="36" xfId="0" applyBorder="1" applyAlignment="1">
      <alignment horizont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17" fillId="0" borderId="29" xfId="1" applyNumberFormat="1" applyFont="1" applyFill="1" applyBorder="1"/>
    <xf numFmtId="0" fontId="0" fillId="7" borderId="6" xfId="0" applyFill="1" applyBorder="1"/>
    <xf numFmtId="0" fontId="0" fillId="7" borderId="8" xfId="0" applyFill="1" applyBorder="1"/>
    <xf numFmtId="0" fontId="0" fillId="4" borderId="39" xfId="0" applyFill="1" applyBorder="1" applyAlignment="1">
      <alignment horizontal="center"/>
    </xf>
    <xf numFmtId="166" fontId="17" fillId="0" borderId="0" xfId="1" applyNumberFormat="1" applyFont="1"/>
    <xf numFmtId="166" fontId="0" fillId="0" borderId="0" xfId="0" applyNumberFormat="1"/>
    <xf numFmtId="0" fontId="19" fillId="0" borderId="0" xfId="0" applyFont="1"/>
    <xf numFmtId="17" fontId="0" fillId="0" borderId="15" xfId="0" quotePrefix="1" applyNumberFormat="1" applyBorder="1" applyAlignment="1">
      <alignment horizontal="center"/>
    </xf>
    <xf numFmtId="0" fontId="0" fillId="0" borderId="41" xfId="0" applyBorder="1" applyAlignment="1">
      <alignment horizontal="center"/>
    </xf>
    <xf numFmtId="0" fontId="0" fillId="0" borderId="41" xfId="0" applyNumberFormat="1" applyBorder="1" applyAlignment="1">
      <alignment horizontal="center"/>
    </xf>
    <xf numFmtId="0" fontId="0" fillId="0" borderId="42" xfId="0" applyBorder="1"/>
    <xf numFmtId="0" fontId="0" fillId="0" borderId="32" xfId="0" applyBorder="1" applyAlignment="1">
      <alignment wrapText="1"/>
    </xf>
    <xf numFmtId="0" fontId="18" fillId="0" borderId="0" xfId="3" applyAlignment="1">
      <alignment horizontal="center" wrapText="1"/>
    </xf>
    <xf numFmtId="0" fontId="18" fillId="0" borderId="0" xfId="3" applyAlignment="1">
      <alignment horizontal="center" vertical="top"/>
    </xf>
    <xf numFmtId="0" fontId="23" fillId="0" borderId="0" xfId="0" applyFont="1" applyBorder="1" applyAlignment="1">
      <alignment vertical="top" wrapText="1"/>
    </xf>
    <xf numFmtId="0" fontId="11" fillId="0" borderId="15" xfId="3" quotePrefix="1" applyNumberFormat="1" applyFont="1" applyFill="1" applyBorder="1" applyAlignment="1" applyProtection="1">
      <alignment horizontal="left" vertical="top" wrapText="1"/>
    </xf>
    <xf numFmtId="0" fontId="19" fillId="0" borderId="43" xfId="0" applyFont="1" applyBorder="1" applyAlignment="1">
      <alignment horizontal="center"/>
    </xf>
    <xf numFmtId="0" fontId="19" fillId="0" borderId="41" xfId="0" applyFont="1" applyBorder="1" applyAlignment="1">
      <alignment horizontal="center"/>
    </xf>
    <xf numFmtId="0" fontId="19" fillId="0" borderId="15" xfId="0" applyFont="1" applyBorder="1" applyAlignment="1">
      <alignment horizontal="center"/>
    </xf>
    <xf numFmtId="0" fontId="19" fillId="0" borderId="41" xfId="0" applyFont="1" applyBorder="1" applyAlignment="1">
      <alignment horizontal="center" wrapText="1"/>
    </xf>
    <xf numFmtId="0" fontId="0" fillId="0" borderId="41" xfId="0" applyBorder="1" applyAlignment="1">
      <alignment horizontal="center" vertical="top"/>
    </xf>
    <xf numFmtId="0" fontId="0" fillId="0" borderId="15" xfId="0" applyBorder="1" applyAlignment="1">
      <alignment horizontal="center" vertical="top"/>
    </xf>
    <xf numFmtId="0" fontId="0" fillId="0" borderId="41" xfId="0" applyNumberFormat="1" applyBorder="1" applyAlignment="1">
      <alignment horizontal="center" vertical="top"/>
    </xf>
    <xf numFmtId="0" fontId="0" fillId="0" borderId="42" xfId="0" applyBorder="1" applyAlignment="1">
      <alignment horizontal="left" vertical="top"/>
    </xf>
    <xf numFmtId="0" fontId="0" fillId="0" borderId="32" xfId="0" applyBorder="1" applyAlignment="1">
      <alignment horizontal="left" vertical="top" wrapText="1"/>
    </xf>
    <xf numFmtId="0" fontId="19" fillId="0" borderId="15" xfId="3" applyFont="1" applyBorder="1" applyAlignment="1">
      <alignment horizontal="center" vertical="center" wrapText="1"/>
    </xf>
    <xf numFmtId="0" fontId="0" fillId="0" borderId="0" xfId="0" applyAlignment="1">
      <alignment horizontal="center"/>
    </xf>
    <xf numFmtId="0" fontId="0" fillId="0" borderId="7" xfId="0" applyBorder="1" applyAlignment="1">
      <alignment horizontal="center" vertical="top" wrapText="1"/>
    </xf>
    <xf numFmtId="0" fontId="0" fillId="0" borderId="9" xfId="0" applyBorder="1" applyAlignment="1">
      <alignment horizontal="center" vertical="top" wrapText="1"/>
    </xf>
    <xf numFmtId="0" fontId="0" fillId="0" borderId="9" xfId="0" applyFill="1"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168" fontId="0" fillId="5" borderId="2" xfId="0" applyNumberFormat="1" applyFill="1" applyBorder="1"/>
    <xf numFmtId="0" fontId="0" fillId="0" borderId="29" xfId="0" applyFill="1" applyBorder="1" applyAlignment="1">
      <alignment horizontal="center" wrapText="1"/>
    </xf>
    <xf numFmtId="0" fontId="0" fillId="0" borderId="0" xfId="0" applyAlignment="1">
      <alignment horizontal="left" vertical="top" wrapText="1"/>
    </xf>
    <xf numFmtId="166" fontId="17"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0" xfId="0" applyNumberFormat="1" applyFill="1" applyBorder="1"/>
    <xf numFmtId="0" fontId="11" fillId="0" borderId="0" xfId="5"/>
    <xf numFmtId="0" fontId="26" fillId="0" borderId="15" xfId="5" applyFont="1" applyBorder="1" applyAlignment="1">
      <alignment horizontal="center" vertical="top" wrapText="1"/>
    </xf>
    <xf numFmtId="0" fontId="26" fillId="0" borderId="15" xfId="5" applyFont="1" applyBorder="1" applyAlignment="1">
      <alignment horizontal="center" vertical="center" wrapText="1"/>
    </xf>
    <xf numFmtId="0" fontId="24" fillId="0" borderId="15" xfId="5" applyFont="1" applyBorder="1" applyAlignment="1">
      <alignment horizontal="center"/>
    </xf>
    <xf numFmtId="0" fontId="26" fillId="0" borderId="15" xfId="5" applyFont="1" applyBorder="1" applyAlignment="1">
      <alignment vertical="center" wrapText="1"/>
    </xf>
    <xf numFmtId="166" fontId="26" fillId="9" borderId="15" xfId="2" applyNumberFormat="1" applyFont="1" applyFill="1" applyBorder="1" applyAlignment="1">
      <alignment horizontal="center" vertical="center" wrapText="1"/>
    </xf>
    <xf numFmtId="165" fontId="26" fillId="0" borderId="15" xfId="2" applyFont="1" applyBorder="1" applyAlignment="1">
      <alignment horizontal="right" vertical="center" wrapText="1"/>
    </xf>
    <xf numFmtId="166" fontId="26" fillId="8" borderId="15" xfId="2" applyNumberFormat="1" applyFont="1" applyFill="1" applyBorder="1" applyAlignment="1">
      <alignment horizontal="center" wrapText="1"/>
    </xf>
    <xf numFmtId="166" fontId="11" fillId="0" borderId="0" xfId="2" applyNumberFormat="1" applyFont="1"/>
    <xf numFmtId="0" fontId="11" fillId="9" borderId="0" xfId="5" applyFont="1" applyFill="1"/>
    <xf numFmtId="0" fontId="11" fillId="0" borderId="0" xfId="5" applyFont="1"/>
    <xf numFmtId="0" fontId="34" fillId="6" borderId="0" xfId="6" applyFont="1" applyFill="1" applyAlignment="1" applyProtection="1"/>
    <xf numFmtId="0" fontId="11" fillId="10" borderId="0" xfId="5" applyFont="1" applyFill="1"/>
    <xf numFmtId="0" fontId="11" fillId="0" borderId="0" xfId="5" applyAlignment="1">
      <alignment wrapText="1"/>
    </xf>
    <xf numFmtId="0" fontId="11" fillId="0" borderId="0" xfId="5" applyFont="1" applyAlignment="1">
      <alignment horizontal="right" wrapText="1"/>
    </xf>
    <xf numFmtId="0" fontId="11" fillId="0" borderId="0" xfId="5" applyFont="1" applyAlignment="1">
      <alignment wrapText="1"/>
    </xf>
    <xf numFmtId="166" fontId="26" fillId="9" borderId="22" xfId="2" applyNumberFormat="1" applyFont="1" applyFill="1" applyBorder="1" applyAlignment="1">
      <alignment horizontal="center" vertical="center" wrapText="1"/>
    </xf>
    <xf numFmtId="0" fontId="26" fillId="0" borderId="19" xfId="5" applyFont="1" applyBorder="1" applyAlignment="1">
      <alignment vertical="center" wrapText="1"/>
    </xf>
    <xf numFmtId="165" fontId="11" fillId="0" borderId="0" xfId="5" applyNumberFormat="1"/>
    <xf numFmtId="0" fontId="35" fillId="11" borderId="0" xfId="0" applyFont="1" applyFill="1"/>
    <xf numFmtId="0" fontId="35" fillId="11" borderId="0" xfId="0" applyFont="1" applyFill="1" applyAlignment="1">
      <alignment vertical="top"/>
    </xf>
    <xf numFmtId="0" fontId="35" fillId="0" borderId="15" xfId="0" applyFont="1" applyBorder="1" applyAlignment="1">
      <alignment horizontal="center"/>
    </xf>
    <xf numFmtId="1" fontId="35" fillId="0" borderId="15" xfId="0" applyNumberFormat="1" applyFont="1" applyBorder="1" applyAlignment="1">
      <alignment horizontal="right"/>
    </xf>
    <xf numFmtId="2" fontId="36" fillId="0" borderId="15" xfId="0" applyNumberFormat="1" applyFont="1" applyBorder="1" applyAlignment="1">
      <alignment horizontal="center"/>
    </xf>
    <xf numFmtId="0" fontId="18" fillId="0" borderId="15" xfId="3" applyBorder="1" applyAlignment="1">
      <alignment horizontal="left"/>
    </xf>
    <xf numFmtId="0" fontId="18" fillId="0" borderId="15" xfId="3" applyFill="1" applyBorder="1" applyAlignment="1">
      <alignment horizontal="left"/>
    </xf>
    <xf numFmtId="0" fontId="0" fillId="4" borderId="39" xfId="0" applyFill="1" applyBorder="1" applyAlignment="1">
      <alignment horizontal="center"/>
    </xf>
    <xf numFmtId="0" fontId="0" fillId="4" borderId="28" xfId="0" applyFill="1" applyBorder="1" applyAlignment="1">
      <alignment horizontal="center"/>
    </xf>
    <xf numFmtId="3" fontId="37" fillId="0" borderId="0" xfId="0" applyNumberFormat="1" applyFont="1"/>
    <xf numFmtId="3" fontId="37" fillId="0" borderId="2" xfId="0" applyNumberFormat="1" applyFont="1" applyBorder="1" applyAlignment="1">
      <alignment horizontal="right" wrapText="1"/>
    </xf>
    <xf numFmtId="3" fontId="37" fillId="0" borderId="2" xfId="0" applyNumberFormat="1" applyFont="1" applyBorder="1" applyAlignment="1">
      <alignment horizontal="right"/>
    </xf>
    <xf numFmtId="3" fontId="37" fillId="0" borderId="2" xfId="0" applyNumberFormat="1" applyFont="1" applyBorder="1" applyAlignment="1">
      <alignment horizontal="right" vertical="top" wrapText="1"/>
    </xf>
    <xf numFmtId="0" fontId="38" fillId="0" borderId="49" xfId="0" applyFont="1" applyBorder="1" applyAlignment="1">
      <alignment horizontal="center" wrapText="1"/>
    </xf>
    <xf numFmtId="0" fontId="0" fillId="0" borderId="0" xfId="0" applyBorder="1"/>
    <xf numFmtId="0" fontId="38" fillId="0" borderId="15" xfId="0" applyFont="1" applyBorder="1" applyAlignment="1">
      <alignment horizontal="center" vertical="top" wrapText="1"/>
    </xf>
    <xf numFmtId="0" fontId="38" fillId="0" borderId="15" xfId="0" applyFont="1" applyBorder="1" applyAlignment="1">
      <alignment horizontal="right" vertical="top" wrapText="1"/>
    </xf>
    <xf numFmtId="0" fontId="40" fillId="12" borderId="0" xfId="3" applyFont="1" applyFill="1" applyBorder="1"/>
    <xf numFmtId="166" fontId="40" fillId="12" borderId="0" xfId="2" applyNumberFormat="1" applyFont="1" applyFill="1"/>
    <xf numFmtId="4" fontId="0" fillId="0" borderId="0" xfId="0" applyNumberFormat="1"/>
    <xf numFmtId="0" fontId="38" fillId="0" borderId="43" xfId="0" applyFont="1" applyBorder="1" applyAlignment="1">
      <alignment horizontal="center" vertical="top" wrapText="1"/>
    </xf>
    <xf numFmtId="4" fontId="0" fillId="0" borderId="15" xfId="0" applyNumberFormat="1" applyBorder="1"/>
    <xf numFmtId="0" fontId="38" fillId="0" borderId="15" xfId="0" applyFont="1" applyFill="1" applyBorder="1" applyAlignment="1">
      <alignment horizontal="center" vertical="top" wrapText="1"/>
    </xf>
    <xf numFmtId="0" fontId="18" fillId="13" borderId="15" xfId="3" applyFill="1" applyBorder="1"/>
    <xf numFmtId="0" fontId="39" fillId="0" borderId="15" xfId="3" applyFont="1" applyBorder="1" applyAlignment="1"/>
    <xf numFmtId="0" fontId="39" fillId="0" borderId="15" xfId="0" applyFont="1" applyBorder="1" applyAlignment="1">
      <alignment vertical="top" wrapText="1"/>
    </xf>
    <xf numFmtId="0" fontId="40" fillId="12" borderId="15" xfId="3" applyFont="1" applyFill="1" applyBorder="1" applyAlignment="1">
      <alignment vertical="center"/>
    </xf>
    <xf numFmtId="0" fontId="40" fillId="12" borderId="15" xfId="0" applyFont="1" applyFill="1" applyBorder="1" applyAlignment="1"/>
    <xf numFmtId="2" fontId="0" fillId="6" borderId="7" xfId="0" applyNumberFormat="1" applyFill="1" applyBorder="1"/>
    <xf numFmtId="165" fontId="0" fillId="5" borderId="8" xfId="0" applyNumberFormat="1" applyFill="1" applyBorder="1"/>
    <xf numFmtId="0" fontId="0" fillId="0" borderId="15" xfId="0" applyBorder="1" applyAlignment="1">
      <alignment horizontal="left"/>
    </xf>
    <xf numFmtId="0" fontId="22" fillId="0" borderId="15" xfId="0" applyFont="1" applyBorder="1" applyAlignment="1">
      <alignment horizontal="center"/>
    </xf>
    <xf numFmtId="0" fontId="22" fillId="0" borderId="15" xfId="0" applyFont="1" applyBorder="1" applyAlignment="1">
      <alignment horizontal="left"/>
    </xf>
    <xf numFmtId="0" fontId="22" fillId="0" borderId="15" xfId="0" applyFont="1" applyBorder="1"/>
    <xf numFmtId="2" fontId="0" fillId="0" borderId="15" xfId="0" applyNumberFormat="1" applyBorder="1" applyAlignment="1">
      <alignment horizontal="center"/>
    </xf>
    <xf numFmtId="166" fontId="17" fillId="0" borderId="0" xfId="1" applyNumberFormat="1" applyFont="1" applyBorder="1"/>
    <xf numFmtId="2" fontId="0" fillId="5" borderId="48" xfId="0" applyNumberFormat="1" applyFill="1" applyBorder="1"/>
    <xf numFmtId="0" fontId="0" fillId="0" borderId="38" xfId="0" applyBorder="1"/>
    <xf numFmtId="39" fontId="0" fillId="0" borderId="9" xfId="0" applyNumberFormat="1" applyBorder="1"/>
    <xf numFmtId="39" fontId="0" fillId="0" borderId="22" xfId="0" applyNumberFormat="1" applyBorder="1"/>
    <xf numFmtId="0" fontId="19" fillId="0" borderId="40" xfId="0" applyFont="1" applyBorder="1" applyAlignment="1">
      <alignment horizontal="center" wrapText="1"/>
    </xf>
    <xf numFmtId="0" fontId="19" fillId="0" borderId="47" xfId="0" applyFont="1" applyBorder="1" applyAlignment="1">
      <alignment horizontal="center" wrapText="1"/>
    </xf>
    <xf numFmtId="0" fontId="18" fillId="0" borderId="4" xfId="0" applyFont="1" applyBorder="1" applyAlignment="1">
      <alignment horizontal="right" vertical="top" wrapText="1"/>
    </xf>
    <xf numFmtId="3" fontId="18" fillId="0" borderId="2" xfId="0" applyNumberFormat="1" applyFont="1" applyBorder="1" applyAlignment="1">
      <alignment horizontal="right" wrapText="1"/>
    </xf>
    <xf numFmtId="3" fontId="18" fillId="0" borderId="2" xfId="0" applyNumberFormat="1" applyFont="1" applyBorder="1" applyAlignment="1">
      <alignment horizontal="right"/>
    </xf>
    <xf numFmtId="0" fontId="0" fillId="0" borderId="15" xfId="0" applyBorder="1" applyAlignment="1">
      <alignment horizontal="center" vertical="center"/>
    </xf>
    <xf numFmtId="0" fontId="22" fillId="6" borderId="15" xfId="0" applyFont="1" applyFill="1" applyBorder="1"/>
    <xf numFmtId="0" fontId="0" fillId="6" borderId="15" xfId="0" applyFill="1" applyBorder="1"/>
    <xf numFmtId="2" fontId="22" fillId="0" borderId="15" xfId="0" applyNumberFormat="1" applyFont="1" applyBorder="1"/>
    <xf numFmtId="2" fontId="0" fillId="6" borderId="15" xfId="0" applyNumberFormat="1" applyFill="1" applyBorder="1"/>
    <xf numFmtId="2" fontId="0" fillId="0" borderId="15" xfId="0" applyNumberFormat="1" applyBorder="1"/>
    <xf numFmtId="0" fontId="0" fillId="0" borderId="0" xfId="0" applyFill="1" applyBorder="1"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xf numFmtId="2" fontId="0" fillId="0" borderId="0" xfId="0" applyNumberFormat="1" applyFill="1" applyBorder="1"/>
    <xf numFmtId="0" fontId="42" fillId="0" borderId="0" xfId="0" applyFont="1"/>
    <xf numFmtId="170" fontId="0" fillId="0" borderId="15" xfId="0" applyNumberFormat="1" applyBorder="1"/>
    <xf numFmtId="170" fontId="0" fillId="0" borderId="15" xfId="0" applyNumberFormat="1" applyBorder="1" applyAlignment="1">
      <alignment wrapText="1"/>
    </xf>
    <xf numFmtId="0" fontId="0" fillId="0" borderId="15" xfId="0" applyBorder="1" applyAlignment="1">
      <alignment horizontal="center" vertical="center" wrapText="1"/>
    </xf>
    <xf numFmtId="0" fontId="21" fillId="0" borderId="0" xfId="0" applyFont="1" applyFill="1" applyBorder="1" applyAlignment="1">
      <alignment horizontal="center" wrapText="1"/>
    </xf>
    <xf numFmtId="0" fontId="43" fillId="0" borderId="0" xfId="0" applyFont="1" applyFill="1" applyBorder="1" applyAlignment="1">
      <alignment horizontal="center" wrapText="1"/>
    </xf>
    <xf numFmtId="0" fontId="0" fillId="6" borderId="7" xfId="0" applyFill="1" applyBorder="1" applyAlignment="1">
      <alignment horizontal="center"/>
    </xf>
    <xf numFmtId="0" fontId="0" fillId="6" borderId="9" xfId="0" applyFill="1" applyBorder="1" applyAlignment="1">
      <alignment horizontal="center"/>
    </xf>
    <xf numFmtId="0" fontId="44" fillId="12" borderId="0" xfId="0" applyFont="1" applyFill="1"/>
    <xf numFmtId="0" fontId="35" fillId="12" borderId="0" xfId="0" applyFont="1" applyFill="1"/>
    <xf numFmtId="0" fontId="45" fillId="12" borderId="0" xfId="3" applyFont="1" applyFill="1" applyBorder="1"/>
    <xf numFmtId="1" fontId="0" fillId="15" borderId="0" xfId="0" applyNumberFormat="1" applyFill="1" applyAlignment="1">
      <alignment horizontal="center"/>
    </xf>
    <xf numFmtId="4" fontId="0" fillId="0" borderId="0" xfId="0" applyNumberFormat="1" applyAlignment="1">
      <alignment horizontal="center"/>
    </xf>
    <xf numFmtId="4" fontId="0" fillId="0" borderId="0" xfId="1" applyNumberFormat="1" applyFont="1" applyAlignment="1">
      <alignment horizontal="center"/>
    </xf>
    <xf numFmtId="3" fontId="0" fillId="0" borderId="15" xfId="0" applyNumberFormat="1" applyBorder="1"/>
    <xf numFmtId="0" fontId="26" fillId="6" borderId="15" xfId="5" applyFont="1" applyFill="1" applyBorder="1" applyAlignment="1">
      <alignment horizontal="center" vertical="center" wrapText="1"/>
    </xf>
    <xf numFmtId="1" fontId="0" fillId="0" borderId="15" xfId="0" applyNumberFormat="1" applyBorder="1" applyAlignment="1">
      <alignment horizontal="center" vertical="center" wrapText="1"/>
    </xf>
    <xf numFmtId="1" fontId="0" fillId="0" borderId="15" xfId="0" applyNumberFormat="1" applyBorder="1" applyAlignment="1">
      <alignment horizontal="center" wrapText="1"/>
    </xf>
    <xf numFmtId="3" fontId="0" fillId="0" borderId="15" xfId="0" applyNumberFormat="1" applyBorder="1" applyAlignment="1">
      <alignment wrapText="1"/>
    </xf>
    <xf numFmtId="0" fontId="0" fillId="0" borderId="15" xfId="0" applyBorder="1" applyAlignment="1">
      <alignment wrapText="1"/>
    </xf>
    <xf numFmtId="1" fontId="39" fillId="0" borderId="15" xfId="0" applyNumberFormat="1" applyFont="1" applyBorder="1" applyAlignment="1">
      <alignment horizontal="right" wrapText="1"/>
    </xf>
    <xf numFmtId="0" fontId="46" fillId="0" borderId="15" xfId="0" applyFont="1" applyBorder="1" applyAlignment="1">
      <alignment horizontal="left" wrapText="1"/>
    </xf>
    <xf numFmtId="3" fontId="39" fillId="0" borderId="15" xfId="0" applyNumberFormat="1" applyFont="1" applyBorder="1" applyAlignment="1">
      <alignment horizontal="right" wrapText="1"/>
    </xf>
    <xf numFmtId="0" fontId="22" fillId="0" borderId="0" xfId="0" applyFont="1"/>
    <xf numFmtId="3" fontId="0" fillId="15" borderId="15" xfId="0" applyNumberFormat="1" applyFill="1" applyBorder="1"/>
    <xf numFmtId="0" fontId="0" fillId="15" borderId="15" xfId="0" applyFill="1" applyBorder="1"/>
    <xf numFmtId="3" fontId="11" fillId="0" borderId="0" xfId="5" applyNumberFormat="1"/>
    <xf numFmtId="0" fontId="26" fillId="0" borderId="38" xfId="5" applyFont="1" applyBorder="1" applyAlignment="1">
      <alignment vertical="center" wrapText="1"/>
    </xf>
    <xf numFmtId="166" fontId="26" fillId="9" borderId="38" xfId="2" applyNumberFormat="1" applyFont="1" applyFill="1" applyBorder="1" applyAlignment="1">
      <alignment horizontal="center" vertical="center" wrapText="1"/>
    </xf>
    <xf numFmtId="0" fontId="11" fillId="15" borderId="15" xfId="5" applyFill="1" applyBorder="1"/>
    <xf numFmtId="0" fontId="11" fillId="15" borderId="15" xfId="5" applyFill="1" applyBorder="1" applyAlignment="1">
      <alignment horizontal="center" wrapText="1"/>
    </xf>
    <xf numFmtId="0" fontId="8" fillId="16" borderId="15" xfId="5" applyFont="1" applyFill="1" applyBorder="1"/>
    <xf numFmtId="3" fontId="8" fillId="16" borderId="15" xfId="5" applyNumberFormat="1" applyFont="1" applyFill="1" applyBorder="1"/>
    <xf numFmtId="3" fontId="11" fillId="15" borderId="15" xfId="5" applyNumberFormat="1" applyFill="1" applyBorder="1"/>
    <xf numFmtId="3" fontId="11" fillId="15" borderId="15" xfId="2" applyNumberFormat="1" applyFont="1" applyFill="1" applyBorder="1"/>
    <xf numFmtId="0" fontId="11" fillId="0" borderId="15" xfId="5" applyBorder="1"/>
    <xf numFmtId="0" fontId="11" fillId="18" borderId="15" xfId="5" applyFill="1" applyBorder="1" applyAlignment="1">
      <alignment horizontal="center" wrapText="1"/>
    </xf>
    <xf numFmtId="3" fontId="11" fillId="18" borderId="15" xfId="5" applyNumberFormat="1" applyFill="1" applyBorder="1"/>
    <xf numFmtId="3" fontId="11" fillId="18" borderId="15" xfId="2" applyNumberFormat="1" applyFont="1" applyFill="1" applyBorder="1"/>
    <xf numFmtId="0" fontId="8" fillId="13" borderId="15" xfId="5" applyFont="1" applyFill="1" applyBorder="1"/>
    <xf numFmtId="3" fontId="8" fillId="13" borderId="15" xfId="5" applyNumberFormat="1" applyFont="1" applyFill="1" applyBorder="1"/>
    <xf numFmtId="1" fontId="8" fillId="16" borderId="15" xfId="5" applyNumberFormat="1" applyFont="1" applyFill="1" applyBorder="1" applyAlignment="1">
      <alignment horizontal="left"/>
    </xf>
    <xf numFmtId="3" fontId="19" fillId="0" borderId="15" xfId="0" applyNumberFormat="1" applyFont="1" applyBorder="1" applyAlignment="1">
      <alignment horizontal="center"/>
    </xf>
    <xf numFmtId="9" fontId="0" fillId="0" borderId="9" xfId="0" applyNumberFormat="1" applyFill="1" applyBorder="1" applyAlignment="1">
      <alignment horizontal="center"/>
    </xf>
    <xf numFmtId="1" fontId="0" fillId="0" borderId="15" xfId="0" applyNumberFormat="1" applyBorder="1" applyAlignment="1">
      <alignment horizontal="center" wrapText="1"/>
    </xf>
    <xf numFmtId="0" fontId="0" fillId="0" borderId="3" xfId="0" applyBorder="1" applyAlignment="1">
      <alignment horizontal="center" vertical="center" wrapText="1"/>
    </xf>
    <xf numFmtId="166" fontId="22" fillId="10" borderId="15" xfId="0" applyNumberFormat="1" applyFont="1" applyFill="1" applyBorder="1"/>
    <xf numFmtId="0" fontId="11" fillId="10" borderId="0" xfId="5" applyFill="1"/>
    <xf numFmtId="0" fontId="11" fillId="10" borderId="15" xfId="5" applyFill="1" applyBorder="1" applyAlignment="1">
      <alignment wrapText="1"/>
    </xf>
    <xf numFmtId="0" fontId="11" fillId="17" borderId="15" xfId="5" applyFill="1" applyBorder="1"/>
    <xf numFmtId="0" fontId="0" fillId="17" borderId="15" xfId="0" applyFill="1" applyBorder="1"/>
    <xf numFmtId="0" fontId="11" fillId="0" borderId="15" xfId="5" applyFill="1" applyBorder="1"/>
    <xf numFmtId="4" fontId="11" fillId="0" borderId="15" xfId="5" applyNumberFormat="1" applyFill="1" applyBorder="1" applyAlignment="1">
      <alignment vertical="top" wrapText="1"/>
    </xf>
    <xf numFmtId="4" fontId="11" fillId="19" borderId="15" xfId="5" applyNumberFormat="1" applyFont="1" applyFill="1" applyBorder="1" applyAlignment="1">
      <alignment horizontal="center"/>
    </xf>
    <xf numFmtId="3" fontId="11" fillId="0" borderId="15" xfId="5" applyNumberFormat="1" applyFill="1" applyBorder="1"/>
    <xf numFmtId="4" fontId="11" fillId="20" borderId="15" xfId="5" applyNumberFormat="1" applyFont="1" applyFill="1" applyBorder="1" applyAlignment="1">
      <alignment vertical="top" wrapText="1"/>
    </xf>
    <xf numFmtId="0" fontId="11" fillId="20" borderId="15" xfId="5" applyFill="1" applyBorder="1"/>
    <xf numFmtId="3" fontId="11" fillId="20" borderId="15" xfId="5" applyNumberFormat="1" applyFill="1" applyBorder="1"/>
    <xf numFmtId="4" fontId="11" fillId="0" borderId="15" xfId="5" applyNumberFormat="1" applyFont="1" applyFill="1" applyBorder="1" applyAlignment="1">
      <alignment vertical="top" wrapText="1"/>
    </xf>
    <xf numFmtId="3" fontId="11" fillId="0" borderId="43" xfId="5" applyNumberFormat="1" applyFill="1" applyBorder="1"/>
    <xf numFmtId="3" fontId="11" fillId="0" borderId="50" xfId="5" applyNumberFormat="1" applyFill="1" applyBorder="1"/>
    <xf numFmtId="3" fontId="11" fillId="0" borderId="41" xfId="5" applyNumberFormat="1" applyFill="1" applyBorder="1"/>
    <xf numFmtId="0" fontId="11" fillId="0" borderId="15" xfId="5" applyFill="1" applyBorder="1" applyAlignment="1">
      <alignment vertical="top" wrapText="1"/>
    </xf>
    <xf numFmtId="0" fontId="11" fillId="0" borderId="15" xfId="5" applyFill="1" applyBorder="1" applyAlignment="1">
      <alignment horizontal="center"/>
    </xf>
    <xf numFmtId="3" fontId="11" fillId="0" borderId="15" xfId="5" applyNumberFormat="1" applyFill="1" applyBorder="1" applyAlignment="1">
      <alignment horizontal="right"/>
    </xf>
    <xf numFmtId="0" fontId="11" fillId="20" borderId="15" xfId="5" applyFont="1" applyFill="1" applyBorder="1" applyAlignment="1">
      <alignment vertical="top" wrapText="1"/>
    </xf>
    <xf numFmtId="0" fontId="11" fillId="20" borderId="15" xfId="5" applyFill="1" applyBorder="1" applyAlignment="1">
      <alignment horizontal="center"/>
    </xf>
    <xf numFmtId="0" fontId="11" fillId="0" borderId="0" xfId="5" applyFont="1" applyFill="1"/>
    <xf numFmtId="0" fontId="11" fillId="6" borderId="0" xfId="5" applyFill="1"/>
    <xf numFmtId="3" fontId="0" fillId="20" borderId="15" xfId="0" applyNumberFormat="1" applyFill="1" applyBorder="1"/>
    <xf numFmtId="0" fontId="0" fillId="0" borderId="15" xfId="0" applyFill="1" applyBorder="1"/>
    <xf numFmtId="171" fontId="0" fillId="0" borderId="0" xfId="1" applyNumberFormat="1" applyFont="1"/>
    <xf numFmtId="3" fontId="0" fillId="0" borderId="15" xfId="0" applyNumberFormat="1" applyFill="1" applyBorder="1"/>
    <xf numFmtId="166" fontId="0" fillId="0" borderId="0" xfId="1" applyNumberFormat="1" applyFont="1"/>
    <xf numFmtId="0" fontId="38" fillId="0" borderId="1" xfId="0" applyFont="1" applyBorder="1" applyAlignment="1">
      <alignment horizontal="center" wrapText="1"/>
    </xf>
    <xf numFmtId="166" fontId="0" fillId="0" borderId="15" xfId="1" applyNumberFormat="1" applyFont="1" applyBorder="1"/>
    <xf numFmtId="3" fontId="37" fillId="0" borderId="15" xfId="0" applyNumberFormat="1" applyFont="1" applyBorder="1" applyAlignment="1">
      <alignment horizontal="right"/>
    </xf>
    <xf numFmtId="166" fontId="0" fillId="0" borderId="15" xfId="1" applyNumberFormat="1" applyFont="1" applyBorder="1" applyAlignment="1">
      <alignment vertical="center" wrapText="1"/>
    </xf>
    <xf numFmtId="1" fontId="39" fillId="0" borderId="15" xfId="0" applyNumberFormat="1" applyFont="1" applyFill="1" applyBorder="1" applyAlignment="1">
      <alignment horizontal="right" wrapText="1"/>
    </xf>
    <xf numFmtId="3" fontId="39" fillId="0" borderId="15" xfId="0" applyNumberFormat="1" applyFont="1" applyFill="1" applyBorder="1" applyAlignment="1">
      <alignment horizontal="right" wrapText="1"/>
    </xf>
    <xf numFmtId="1" fontId="37" fillId="0" borderId="2" xfId="0" applyNumberFormat="1" applyFont="1" applyBorder="1" applyAlignment="1">
      <alignment horizontal="right"/>
    </xf>
    <xf numFmtId="3" fontId="37" fillId="6" borderId="2" xfId="0" applyNumberFormat="1" applyFont="1" applyFill="1" applyBorder="1" applyAlignment="1">
      <alignment horizontal="right" wrapText="1"/>
    </xf>
    <xf numFmtId="166" fontId="0" fillId="0" borderId="38" xfId="1" applyNumberFormat="1" applyFont="1" applyBorder="1"/>
    <xf numFmtId="3" fontId="37" fillId="0" borderId="1" xfId="0" applyNumberFormat="1" applyFont="1" applyBorder="1" applyAlignment="1">
      <alignment horizontal="right" wrapText="1"/>
    </xf>
    <xf numFmtId="166" fontId="0" fillId="0" borderId="22" xfId="1" applyNumberFormat="1" applyFont="1" applyBorder="1"/>
    <xf numFmtId="3" fontId="37" fillId="0" borderId="15" xfId="0" applyNumberFormat="1" applyFont="1" applyBorder="1" applyAlignment="1">
      <alignment horizontal="right" wrapText="1"/>
    </xf>
    <xf numFmtId="166" fontId="41" fillId="0" borderId="15" xfId="1" applyNumberFormat="1" applyFont="1" applyBorder="1" applyAlignment="1"/>
    <xf numFmtId="0" fontId="0" fillId="6" borderId="0" xfId="0" applyFill="1"/>
    <xf numFmtId="0" fontId="0" fillId="6" borderId="0" xfId="0" applyFont="1" applyFill="1"/>
    <xf numFmtId="166" fontId="41" fillId="0" borderId="43" xfId="1" applyNumberFormat="1" applyFont="1" applyBorder="1" applyAlignment="1"/>
    <xf numFmtId="166" fontId="18" fillId="0" borderId="15" xfId="1" applyNumberFormat="1" applyFont="1" applyBorder="1"/>
    <xf numFmtId="166" fontId="0" fillId="6" borderId="15" xfId="1" applyNumberFormat="1" applyFont="1" applyFill="1" applyBorder="1"/>
    <xf numFmtId="166" fontId="40" fillId="12" borderId="15" xfId="1" applyNumberFormat="1" applyFont="1" applyFill="1" applyBorder="1" applyAlignment="1">
      <alignment vertical="center"/>
    </xf>
    <xf numFmtId="166" fontId="40" fillId="12" borderId="15" xfId="1" applyNumberFormat="1" applyFont="1" applyFill="1" applyBorder="1" applyAlignment="1"/>
    <xf numFmtId="166" fontId="0" fillId="14" borderId="15" xfId="1" applyNumberFormat="1" applyFont="1" applyFill="1" applyBorder="1"/>
    <xf numFmtId="166" fontId="39" fillId="0" borderId="15" xfId="1" applyNumberFormat="1" applyFont="1" applyBorder="1" applyAlignment="1"/>
    <xf numFmtId="166" fontId="39" fillId="0" borderId="15" xfId="1" applyNumberFormat="1" applyFont="1" applyBorder="1" applyAlignment="1">
      <alignment vertical="top" wrapText="1"/>
    </xf>
    <xf numFmtId="0" fontId="0" fillId="0" borderId="7" xfId="0" applyFill="1" applyBorder="1"/>
    <xf numFmtId="2" fontId="0" fillId="0" borderId="15" xfId="0" applyNumberFormat="1" applyBorder="1" applyAlignment="1">
      <alignment horizontal="center" wrapText="1"/>
    </xf>
    <xf numFmtId="0" fontId="50" fillId="21" borderId="0" xfId="0" applyFont="1" applyFill="1"/>
    <xf numFmtId="0" fontId="0" fillId="11" borderId="15" xfId="0" applyFill="1" applyBorder="1" applyAlignment="1">
      <alignment horizontal="center" vertical="center"/>
    </xf>
    <xf numFmtId="0" fontId="18" fillId="11" borderId="15" xfId="0" applyFont="1" applyFill="1" applyBorder="1" applyAlignment="1">
      <alignment horizontal="center" vertical="center" wrapText="1"/>
    </xf>
    <xf numFmtId="3" fontId="0" fillId="0" borderId="15" xfId="0" applyNumberFormat="1" applyBorder="1" applyAlignment="1">
      <alignment horizontal="center" vertical="center"/>
    </xf>
    <xf numFmtId="166" fontId="0" fillId="22" borderId="0" xfId="1" applyNumberFormat="1" applyFont="1" applyFill="1"/>
    <xf numFmtId="0" fontId="11" fillId="0" borderId="15" xfId="5" applyBorder="1" applyAlignment="1">
      <alignment horizontal="center" vertical="center"/>
    </xf>
    <xf numFmtId="165" fontId="26" fillId="0" borderId="15" xfId="2" quotePrefix="1" applyFont="1" applyBorder="1" applyAlignment="1">
      <alignment horizontal="right" vertical="center" wrapText="1"/>
    </xf>
    <xf numFmtId="166" fontId="26" fillId="0" borderId="15" xfId="2" applyNumberFormat="1" applyFont="1" applyBorder="1" applyAlignment="1">
      <alignment horizontal="right" vertical="center" wrapText="1"/>
    </xf>
    <xf numFmtId="0" fontId="0" fillId="0" borderId="15" xfId="0" applyBorder="1" applyAlignment="1">
      <alignment horizontal="center"/>
    </xf>
    <xf numFmtId="0" fontId="11" fillId="0" borderId="15" xfId="5" applyBorder="1" applyAlignment="1">
      <alignment wrapText="1"/>
    </xf>
    <xf numFmtId="165" fontId="11" fillId="0" borderId="15" xfId="5" applyNumberFormat="1" applyBorder="1"/>
    <xf numFmtId="166" fontId="11" fillId="0" borderId="15" xfId="2" applyNumberFormat="1" applyFont="1" applyBorder="1"/>
    <xf numFmtId="3" fontId="11" fillId="0" borderId="15" xfId="5" applyNumberFormat="1" applyBorder="1"/>
    <xf numFmtId="3" fontId="11" fillId="10" borderId="15" xfId="5" applyNumberFormat="1" applyFill="1" applyBorder="1"/>
    <xf numFmtId="166" fontId="11" fillId="0" borderId="15" xfId="1" applyNumberFormat="1" applyFont="1" applyBorder="1"/>
    <xf numFmtId="166" fontId="8" fillId="13" borderId="15" xfId="1" applyNumberFormat="1" applyFont="1" applyFill="1" applyBorder="1"/>
    <xf numFmtId="166" fontId="8" fillId="13" borderId="15" xfId="1" applyNumberFormat="1" applyFont="1" applyFill="1" applyBorder="1" applyAlignment="1">
      <alignment horizontal="left"/>
    </xf>
    <xf numFmtId="0" fontId="20" fillId="0" borderId="15" xfId="0" applyFont="1" applyBorder="1" applyAlignment="1">
      <alignment horizontal="left" vertical="center"/>
    </xf>
    <xf numFmtId="0" fontId="0" fillId="0" borderId="15" xfId="0" applyFill="1" applyBorder="1" applyAlignment="1">
      <alignment horizontal="center"/>
    </xf>
    <xf numFmtId="0" fontId="0" fillId="0" borderId="15" xfId="0" applyFill="1" applyBorder="1" applyAlignment="1">
      <alignment horizontal="center" wrapText="1"/>
    </xf>
    <xf numFmtId="0" fontId="38" fillId="0" borderId="54" xfId="0" applyFont="1" applyBorder="1" applyAlignment="1">
      <alignment horizontal="center" wrapText="1"/>
    </xf>
    <xf numFmtId="166" fontId="0" fillId="0" borderId="41" xfId="1" applyNumberFormat="1" applyFont="1" applyBorder="1"/>
    <xf numFmtId="0" fontId="19" fillId="0" borderId="15" xfId="0" applyFont="1" applyBorder="1" applyAlignment="1">
      <alignment horizontal="center" wrapText="1"/>
    </xf>
    <xf numFmtId="3" fontId="18" fillId="0" borderId="15" xfId="0" applyNumberFormat="1" applyFont="1" applyBorder="1" applyAlignment="1">
      <alignment horizontal="right" wrapText="1"/>
    </xf>
    <xf numFmtId="3" fontId="18" fillId="0" borderId="15" xfId="0" applyNumberFormat="1" applyFont="1" applyBorder="1" applyAlignment="1">
      <alignment horizontal="right"/>
    </xf>
    <xf numFmtId="0" fontId="18" fillId="0" borderId="15" xfId="0" applyFont="1" applyBorder="1"/>
    <xf numFmtId="3" fontId="18" fillId="0" borderId="15" xfId="0" applyNumberFormat="1" applyFont="1" applyBorder="1" applyAlignment="1">
      <alignment horizontal="right" vertical="top" wrapText="1"/>
    </xf>
    <xf numFmtId="1" fontId="18" fillId="0" borderId="15" xfId="0" applyNumberFormat="1" applyFont="1" applyBorder="1" applyAlignment="1">
      <alignment horizontal="right"/>
    </xf>
    <xf numFmtId="3" fontId="18" fillId="6" borderId="15" xfId="0" applyNumberFormat="1" applyFont="1" applyFill="1" applyBorder="1" applyAlignment="1">
      <alignment horizontal="right" wrapText="1"/>
    </xf>
    <xf numFmtId="1" fontId="0" fillId="0" borderId="15" xfId="0" applyNumberFormat="1" applyBorder="1" applyAlignment="1">
      <alignment horizontal="center" wrapText="1"/>
    </xf>
    <xf numFmtId="0" fontId="0" fillId="0" borderId="15" xfId="0" applyBorder="1" applyAlignment="1">
      <alignment horizontal="center" vertical="center" wrapText="1"/>
    </xf>
    <xf numFmtId="0" fontId="0" fillId="0" borderId="15" xfId="0" applyBorder="1" applyAlignment="1">
      <alignment horizontal="center"/>
    </xf>
    <xf numFmtId="0" fontId="11" fillId="0" borderId="15" xfId="5" applyBorder="1" applyAlignment="1">
      <alignment horizontal="center" vertical="center"/>
    </xf>
    <xf numFmtId="0" fontId="26" fillId="6" borderId="15" xfId="5" applyFont="1" applyFill="1" applyBorder="1" applyAlignment="1">
      <alignment horizontal="center" vertical="center" wrapText="1"/>
    </xf>
    <xf numFmtId="0" fontId="0" fillId="0" borderId="15" xfId="0" applyBorder="1" applyAlignment="1">
      <alignment horizontal="center"/>
    </xf>
    <xf numFmtId="4" fontId="0" fillId="0" borderId="15" xfId="0" applyNumberFormat="1" applyBorder="1" applyAlignment="1">
      <alignment horizontal="center"/>
    </xf>
    <xf numFmtId="0" fontId="51" fillId="0" borderId="15" xfId="0" applyFont="1" applyFill="1" applyBorder="1" applyAlignment="1">
      <alignment horizontal="center"/>
    </xf>
    <xf numFmtId="4" fontId="51" fillId="23" borderId="55" xfId="0" applyNumberFormat="1" applyFont="1" applyFill="1" applyBorder="1" applyAlignment="1">
      <alignment horizontal="center"/>
    </xf>
    <xf numFmtId="1" fontId="0" fillId="0" borderId="0" xfId="0" applyNumberFormat="1" applyBorder="1" applyAlignment="1">
      <alignment wrapText="1"/>
    </xf>
    <xf numFmtId="0" fontId="0" fillId="0" borderId="15" xfId="0" applyBorder="1" applyAlignment="1">
      <alignment horizontal="center" wrapText="1"/>
    </xf>
    <xf numFmtId="9" fontId="0" fillId="0" borderId="15" xfId="0" applyNumberFormat="1" applyBorder="1" applyAlignment="1">
      <alignment horizontal="center" vertical="center" wrapText="1"/>
    </xf>
    <xf numFmtId="166" fontId="0" fillId="0" borderId="15" xfId="1" applyNumberFormat="1" applyFont="1" applyFill="1" applyBorder="1" applyAlignment="1">
      <alignment vertical="center"/>
    </xf>
    <xf numFmtId="166" fontId="0" fillId="0" borderId="15" xfId="1" applyNumberFormat="1" applyFont="1" applyFill="1" applyBorder="1" applyAlignment="1">
      <alignment vertical="center" wrapText="1"/>
    </xf>
    <xf numFmtId="166" fontId="49" fillId="0" borderId="15" xfId="1" applyNumberFormat="1" applyFont="1" applyBorder="1" applyAlignment="1">
      <alignment wrapText="1"/>
    </xf>
    <xf numFmtId="166" fontId="0" fillId="11" borderId="15" xfId="1" applyNumberFormat="1" applyFont="1" applyFill="1" applyBorder="1" applyAlignment="1">
      <alignment vertical="center"/>
    </xf>
    <xf numFmtId="166" fontId="0" fillId="11" borderId="15" xfId="1" applyNumberFormat="1" applyFont="1" applyFill="1" applyBorder="1" applyAlignment="1">
      <alignment vertical="center" wrapText="1"/>
    </xf>
    <xf numFmtId="166" fontId="0" fillId="0" borderId="15" xfId="1" applyNumberFormat="1" applyFont="1" applyBorder="1" applyAlignment="1">
      <alignment vertical="center"/>
    </xf>
    <xf numFmtId="0" fontId="52" fillId="0" borderId="0" xfId="0" applyFont="1"/>
    <xf numFmtId="0" fontId="0" fillId="24" borderId="0" xfId="0" applyFill="1"/>
    <xf numFmtId="166" fontId="0" fillId="0" borderId="22" xfId="1" applyNumberFormat="1" applyFont="1" applyBorder="1" applyAlignment="1">
      <alignment vertical="center"/>
    </xf>
    <xf numFmtId="0" fontId="0" fillId="0" borderId="15" xfId="0" applyFill="1" applyBorder="1" applyAlignment="1">
      <alignment horizontal="center" vertical="center"/>
    </xf>
    <xf numFmtId="1" fontId="0" fillId="0" borderId="15" xfId="0" applyNumberFormat="1" applyFill="1" applyBorder="1" applyAlignment="1">
      <alignment horizontal="center" vertical="center" wrapText="1"/>
    </xf>
    <xf numFmtId="1" fontId="0" fillId="0" borderId="38" xfId="0" applyNumberFormat="1" applyBorder="1" applyAlignment="1">
      <alignment horizontal="center" wrapText="1"/>
    </xf>
    <xf numFmtId="1" fontId="0" fillId="0" borderId="22" xfId="0" applyNumberFormat="1" applyBorder="1" applyAlignment="1">
      <alignment horizontal="center" wrapText="1"/>
    </xf>
    <xf numFmtId="1" fontId="49" fillId="0" borderId="15" xfId="0" applyNumberFormat="1" applyFont="1" applyBorder="1" applyAlignment="1">
      <alignment horizontal="center" wrapText="1"/>
    </xf>
    <xf numFmtId="166" fontId="0" fillId="15" borderId="15" xfId="1" applyNumberFormat="1" applyFont="1" applyFill="1" applyBorder="1" applyAlignment="1">
      <alignment wrapText="1"/>
    </xf>
    <xf numFmtId="166" fontId="0" fillId="16" borderId="15" xfId="1" applyNumberFormat="1" applyFont="1" applyFill="1" applyBorder="1" applyAlignment="1">
      <alignment wrapText="1"/>
    </xf>
    <xf numFmtId="166" fontId="0" fillId="0" borderId="15" xfId="1" applyNumberFormat="1" applyFont="1" applyBorder="1" applyAlignment="1"/>
    <xf numFmtId="1" fontId="0" fillId="0" borderId="15" xfId="0" applyNumberFormat="1" applyBorder="1" applyAlignment="1"/>
    <xf numFmtId="166" fontId="0" fillId="0" borderId="9" xfId="1" applyNumberFormat="1" applyFont="1" applyBorder="1"/>
    <xf numFmtId="0" fontId="50" fillId="25" borderId="0" xfId="0" applyFont="1" applyFill="1"/>
    <xf numFmtId="0" fontId="0" fillId="25" borderId="0" xfId="0" applyFill="1"/>
    <xf numFmtId="0" fontId="52" fillId="0" borderId="0" xfId="0" applyFont="1" applyAlignment="1">
      <alignment horizontal="left" vertical="center" wrapText="1"/>
    </xf>
    <xf numFmtId="0" fontId="26" fillId="8" borderId="15" xfId="5" applyFont="1" applyFill="1" applyBorder="1" applyAlignment="1"/>
    <xf numFmtId="0" fontId="11" fillId="8" borderId="15" xfId="5" applyFont="1" applyFill="1" applyBorder="1" applyAlignment="1"/>
    <xf numFmtId="166" fontId="0" fillId="0" borderId="15" xfId="1" applyNumberFormat="1" applyFont="1" applyBorder="1" applyAlignment="1">
      <alignment horizontal="center"/>
    </xf>
    <xf numFmtId="166" fontId="0" fillId="0" borderId="15" xfId="0" applyNumberFormat="1" applyBorder="1" applyAlignment="1">
      <alignment horizontal="center"/>
    </xf>
    <xf numFmtId="166" fontId="11" fillId="0" borderId="0" xfId="5" applyNumberFormat="1"/>
    <xf numFmtId="166" fontId="26" fillId="26" borderId="15" xfId="2" applyNumberFormat="1" applyFont="1" applyFill="1" applyBorder="1" applyAlignment="1">
      <alignment horizontal="center" vertical="center" wrapText="1"/>
    </xf>
    <xf numFmtId="166" fontId="26" fillId="26" borderId="38" xfId="2" applyNumberFormat="1" applyFont="1" applyFill="1" applyBorder="1" applyAlignment="1">
      <alignment horizontal="center" vertical="center" wrapText="1"/>
    </xf>
    <xf numFmtId="166" fontId="26" fillId="26" borderId="15" xfId="2" quotePrefix="1" applyNumberFormat="1" applyFont="1" applyFill="1" applyBorder="1" applyAlignment="1">
      <alignment horizontal="center" vertical="center" wrapText="1"/>
    </xf>
    <xf numFmtId="166" fontId="26" fillId="0" borderId="15" xfId="2" quotePrefix="1" applyNumberFormat="1" applyFont="1" applyBorder="1" applyAlignment="1">
      <alignment horizontal="right" vertical="center" wrapText="1"/>
    </xf>
    <xf numFmtId="166" fontId="11" fillId="0" borderId="15" xfId="5" applyNumberFormat="1" applyBorder="1"/>
    <xf numFmtId="166" fontId="24" fillId="0" borderId="15" xfId="2" applyNumberFormat="1" applyFont="1" applyBorder="1" applyAlignment="1">
      <alignment wrapText="1"/>
    </xf>
    <xf numFmtId="1" fontId="0" fillId="0" borderId="9" xfId="0" applyNumberFormat="1" applyBorder="1"/>
    <xf numFmtId="1" fontId="0" fillId="0" borderId="1" xfId="0" applyNumberFormat="1" applyBorder="1"/>
    <xf numFmtId="1" fontId="0" fillId="0" borderId="3" xfId="0" applyNumberFormat="1" applyBorder="1"/>
    <xf numFmtId="0" fontId="45" fillId="11" borderId="0" xfId="3" applyFont="1" applyFill="1" applyBorder="1"/>
    <xf numFmtId="166" fontId="40" fillId="11" borderId="0" xfId="2" applyNumberFormat="1" applyFont="1" applyFill="1"/>
    <xf numFmtId="0" fontId="18" fillId="11" borderId="15" xfId="3" applyFill="1" applyBorder="1"/>
    <xf numFmtId="0" fontId="0" fillId="11" borderId="0" xfId="0" applyFill="1"/>
    <xf numFmtId="0" fontId="38" fillId="11" borderId="43" xfId="0" applyFont="1" applyFill="1" applyBorder="1" applyAlignment="1">
      <alignment horizontal="center" vertical="top" wrapText="1"/>
    </xf>
    <xf numFmtId="0" fontId="0" fillId="11" borderId="15" xfId="0" applyFill="1" applyBorder="1"/>
    <xf numFmtId="4" fontId="0" fillId="11" borderId="15" xfId="0" applyNumberFormat="1" applyFill="1" applyBorder="1"/>
    <xf numFmtId="2" fontId="0" fillId="11" borderId="15" xfId="0" applyNumberFormat="1" applyFill="1" applyBorder="1"/>
    <xf numFmtId="165" fontId="0" fillId="11" borderId="15" xfId="1" applyNumberFormat="1" applyFont="1" applyFill="1" applyBorder="1"/>
    <xf numFmtId="0" fontId="38" fillId="11" borderId="15" xfId="0" applyFont="1" applyFill="1" applyBorder="1" applyAlignment="1">
      <alignment horizontal="center" vertical="top" wrapText="1"/>
    </xf>
    <xf numFmtId="2" fontId="17" fillId="0" borderId="15" xfId="1" applyNumberFormat="1" applyFont="1" applyBorder="1" applyAlignment="1">
      <alignment horizontal="center" vertical="center"/>
    </xf>
    <xf numFmtId="0" fontId="40" fillId="11" borderId="0" xfId="3" applyFont="1" applyFill="1" applyBorder="1"/>
    <xf numFmtId="172" fontId="17" fillId="11" borderId="15" xfId="1" applyNumberFormat="1" applyFont="1" applyFill="1" applyBorder="1" applyAlignment="1">
      <alignment horizontal="center" vertical="center"/>
    </xf>
    <xf numFmtId="173" fontId="0" fillId="11" borderId="15" xfId="0" applyNumberFormat="1" applyFill="1" applyBorder="1" applyAlignment="1">
      <alignment horizontal="center" vertical="center"/>
    </xf>
    <xf numFmtId="173" fontId="0" fillId="11" borderId="15" xfId="1" applyNumberFormat="1" applyFont="1" applyFill="1" applyBorder="1" applyAlignment="1">
      <alignment horizontal="center" vertical="center"/>
    </xf>
    <xf numFmtId="174" fontId="0" fillId="11" borderId="15" xfId="1" applyNumberFormat="1" applyFont="1" applyFill="1" applyBorder="1" applyAlignment="1">
      <alignment horizontal="center" vertical="center"/>
    </xf>
    <xf numFmtId="172" fontId="0" fillId="11" borderId="15" xfId="1" applyNumberFormat="1" applyFont="1" applyFill="1" applyBorder="1" applyAlignment="1">
      <alignment horizontal="center" vertical="center"/>
    </xf>
    <xf numFmtId="173" fontId="17" fillId="11" borderId="15" xfId="1" applyNumberFormat="1" applyFont="1" applyFill="1" applyBorder="1" applyAlignment="1">
      <alignment horizontal="center" vertical="center"/>
    </xf>
    <xf numFmtId="168" fontId="17" fillId="11" borderId="15" xfId="1" applyNumberFormat="1" applyFont="1" applyFill="1" applyBorder="1" applyAlignment="1">
      <alignment horizontal="center" vertical="center"/>
    </xf>
    <xf numFmtId="168" fontId="0" fillId="11" borderId="15" xfId="0" applyNumberFormat="1" applyFill="1" applyBorder="1" applyAlignment="1">
      <alignment horizontal="center" vertical="center"/>
    </xf>
    <xf numFmtId="168" fontId="0" fillId="11" borderId="15" xfId="1" applyNumberFormat="1" applyFont="1" applyFill="1" applyBorder="1" applyAlignment="1">
      <alignment horizontal="center" vertical="center"/>
    </xf>
    <xf numFmtId="0" fontId="0" fillId="0" borderId="43" xfId="0" applyBorder="1" applyAlignment="1">
      <alignment vertical="center" wrapText="1"/>
    </xf>
    <xf numFmtId="166" fontId="11" fillId="0" borderId="15" xfId="5" applyNumberFormat="1" applyBorder="1" applyAlignment="1"/>
    <xf numFmtId="11" fontId="0" fillId="0" borderId="15" xfId="1" applyNumberFormat="1" applyFont="1" applyFill="1" applyBorder="1" applyAlignment="1">
      <alignment horizontal="center"/>
    </xf>
    <xf numFmtId="166" fontId="0" fillId="0" borderId="15" xfId="0" applyNumberFormat="1" applyBorder="1"/>
    <xf numFmtId="166" fontId="19" fillId="0" borderId="0" xfId="1" applyNumberFormat="1" applyFont="1"/>
    <xf numFmtId="3" fontId="0" fillId="0" borderId="0" xfId="0" applyNumberFormat="1"/>
    <xf numFmtId="170" fontId="0" fillId="0" borderId="15" xfId="0" applyNumberFormat="1" applyBorder="1" applyAlignment="1">
      <alignment horizontal="center"/>
    </xf>
    <xf numFmtId="3" fontId="0" fillId="0" borderId="15" xfId="0" applyNumberFormat="1" applyBorder="1" applyAlignment="1">
      <alignment horizontal="center"/>
    </xf>
    <xf numFmtId="0" fontId="26" fillId="6" borderId="15" xfId="5" applyFont="1" applyFill="1" applyBorder="1" applyAlignment="1">
      <alignment horizontal="center" vertical="center" wrapText="1"/>
    </xf>
    <xf numFmtId="169" fontId="0" fillId="0" borderId="15" xfId="0" applyNumberFormat="1" applyBorder="1" applyAlignment="1">
      <alignment horizontal="center"/>
    </xf>
    <xf numFmtId="169" fontId="0" fillId="0" borderId="15" xfId="0" applyNumberFormat="1" applyBorder="1" applyAlignment="1">
      <alignment horizontal="center" vertical="center" wrapText="1"/>
    </xf>
    <xf numFmtId="166" fontId="0" fillId="0" borderId="15" xfId="1" applyNumberFormat="1" applyFont="1" applyFill="1" applyBorder="1" applyAlignment="1">
      <alignment horizontal="center"/>
    </xf>
    <xf numFmtId="1" fontId="0" fillId="0" borderId="0" xfId="0" applyNumberFormat="1"/>
    <xf numFmtId="0" fontId="39" fillId="0" borderId="15" xfId="0" applyFont="1" applyBorder="1" applyAlignment="1">
      <alignment horizontal="left" vertical="center"/>
    </xf>
    <xf numFmtId="0" fontId="39" fillId="0" borderId="15" xfId="0" applyFont="1" applyBorder="1" applyAlignment="1">
      <alignment vertical="center"/>
    </xf>
    <xf numFmtId="166" fontId="1" fillId="0" borderId="0" xfId="1"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xf numFmtId="0" fontId="39" fillId="0" borderId="15" xfId="0" applyFont="1" applyBorder="1" applyAlignment="1"/>
    <xf numFmtId="2" fontId="1" fillId="0" borderId="15" xfId="0" applyNumberFormat="1" applyFont="1" applyBorder="1" applyAlignment="1">
      <alignment horizontal="center" vertical="center"/>
    </xf>
    <xf numFmtId="2" fontId="1" fillId="0" borderId="0" xfId="0" applyNumberFormat="1" applyFont="1" applyAlignment="1">
      <alignment horizontal="center" vertical="center"/>
    </xf>
    <xf numFmtId="0" fontId="1" fillId="0" borderId="0" xfId="0" applyFont="1"/>
    <xf numFmtId="4" fontId="39" fillId="0" borderId="15" xfId="0" applyNumberFormat="1" applyFont="1" applyBorder="1" applyAlignment="1">
      <alignment horizontal="center" vertical="center"/>
    </xf>
    <xf numFmtId="4" fontId="39" fillId="0" borderId="15" xfId="1" applyNumberFormat="1" applyFont="1" applyBorder="1" applyAlignment="1">
      <alignment horizontal="center" vertical="center"/>
    </xf>
    <xf numFmtId="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166" fontId="1" fillId="0" borderId="15" xfId="1" applyNumberFormat="1" applyFont="1" applyBorder="1" applyAlignment="1">
      <alignment horizontal="center" vertical="center"/>
    </xf>
    <xf numFmtId="0" fontId="39" fillId="0" borderId="15" xfId="0" applyFont="1" applyBorder="1"/>
    <xf numFmtId="3" fontId="39" fillId="0" borderId="15" xfId="0" applyNumberFormat="1" applyFont="1" applyBorder="1" applyAlignment="1">
      <alignment horizontal="center"/>
    </xf>
    <xf numFmtId="166" fontId="1" fillId="0" borderId="0" xfId="1" applyNumberFormat="1" applyFont="1"/>
    <xf numFmtId="1"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166" fontId="0" fillId="0" borderId="0" xfId="1" applyNumberFormat="1" applyFont="1" applyAlignment="1">
      <alignment vertical="center"/>
    </xf>
    <xf numFmtId="0" fontId="0" fillId="0" borderId="15" xfId="0" applyBorder="1" applyAlignment="1">
      <alignment horizontal="center" vertical="center" wrapText="1"/>
    </xf>
    <xf numFmtId="165" fontId="26" fillId="9" borderId="38" xfId="2" applyNumberFormat="1" applyFont="1" applyFill="1" applyBorder="1" applyAlignment="1">
      <alignment horizontal="center" vertical="center" wrapText="1"/>
    </xf>
    <xf numFmtId="9" fontId="0" fillId="0" borderId="0" xfId="8" applyFont="1"/>
    <xf numFmtId="0" fontId="0" fillId="4" borderId="11" xfId="0" applyFill="1" applyBorder="1"/>
    <xf numFmtId="0" fontId="0" fillId="0" borderId="15" xfId="0" applyFill="1" applyBorder="1" applyAlignment="1">
      <alignment horizontal="center" vertical="center" wrapText="1"/>
    </xf>
    <xf numFmtId="166" fontId="0" fillId="0" borderId="15" xfId="1" applyNumberFormat="1" applyFont="1" applyBorder="1" applyAlignment="1">
      <alignment wrapText="1"/>
    </xf>
    <xf numFmtId="0" fontId="11" fillId="0" borderId="15" xfId="5" applyBorder="1" applyAlignment="1">
      <alignment horizontal="center" vertical="center"/>
    </xf>
    <xf numFmtId="0" fontId="11" fillId="0" borderId="15" xfId="5" applyBorder="1" applyAlignment="1">
      <alignment horizontal="center"/>
    </xf>
    <xf numFmtId="0" fontId="11" fillId="0" borderId="52" xfId="5" applyBorder="1" applyAlignment="1">
      <alignment horizontal="center" vertical="center" wrapText="1"/>
    </xf>
    <xf numFmtId="0" fontId="11" fillId="0" borderId="0" xfId="5" applyAlignment="1">
      <alignment horizontal="center" vertical="center" wrapText="1"/>
    </xf>
    <xf numFmtId="0" fontId="51" fillId="0" borderId="15" xfId="0" applyFont="1" applyFill="1" applyBorder="1" applyAlignment="1">
      <alignment horizontal="center" vertical="center"/>
    </xf>
    <xf numFmtId="0" fontId="51" fillId="0" borderId="15" xfId="0" applyFont="1" applyFill="1" applyBorder="1" applyAlignment="1">
      <alignment horizontal="center"/>
    </xf>
    <xf numFmtId="0" fontId="11" fillId="0" borderId="15" xfId="5" applyFont="1" applyBorder="1" applyAlignment="1">
      <alignment horizontal="center" vertical="center"/>
    </xf>
    <xf numFmtId="0" fontId="11" fillId="0" borderId="43" xfId="5" applyBorder="1" applyAlignment="1">
      <alignment horizontal="center"/>
    </xf>
    <xf numFmtId="0" fontId="11" fillId="0" borderId="50" xfId="5" applyBorder="1" applyAlignment="1">
      <alignment horizontal="center"/>
    </xf>
    <xf numFmtId="0" fontId="11" fillId="0" borderId="41" xfId="5" applyBorder="1" applyAlignment="1">
      <alignment horizontal="center"/>
    </xf>
    <xf numFmtId="0" fontId="11" fillId="0" borderId="43" xfId="5" applyFill="1" applyBorder="1" applyAlignment="1">
      <alignment horizontal="center"/>
    </xf>
    <xf numFmtId="0" fontId="11" fillId="0" borderId="50" xfId="5" applyFill="1" applyBorder="1" applyAlignment="1">
      <alignment horizontal="center"/>
    </xf>
    <xf numFmtId="0" fontId="11" fillId="0" borderId="41" xfId="5" applyFill="1" applyBorder="1" applyAlignment="1">
      <alignment horizontal="center"/>
    </xf>
    <xf numFmtId="0" fontId="11" fillId="0" borderId="15" xfId="5" applyFill="1" applyBorder="1" applyAlignment="1">
      <alignment horizontal="center" vertical="center"/>
    </xf>
    <xf numFmtId="0" fontId="11" fillId="0" borderId="15" xfId="5" applyFill="1" applyBorder="1" applyAlignment="1">
      <alignment horizontal="center"/>
    </xf>
    <xf numFmtId="0" fontId="0" fillId="16" borderId="38" xfId="0" applyFill="1" applyBorder="1" applyAlignment="1">
      <alignment horizontal="center" vertical="center" wrapText="1"/>
    </xf>
    <xf numFmtId="0" fontId="0" fillId="16" borderId="22" xfId="0" applyFill="1" applyBorder="1" applyAlignment="1">
      <alignment horizontal="center" vertical="center" wrapText="1"/>
    </xf>
    <xf numFmtId="0" fontId="0" fillId="0" borderId="51" xfId="0" applyBorder="1" applyAlignment="1">
      <alignment horizontal="center"/>
    </xf>
    <xf numFmtId="0" fontId="19" fillId="0" borderId="15" xfId="0" applyFont="1" applyBorder="1" applyAlignment="1">
      <alignment horizontal="center" wrapText="1"/>
    </xf>
    <xf numFmtId="1" fontId="0" fillId="0" borderId="15" xfId="0" applyNumberFormat="1" applyBorder="1" applyAlignment="1">
      <alignment horizontal="center" vertical="center" wrapText="1"/>
    </xf>
    <xf numFmtId="1" fontId="0" fillId="15" borderId="15" xfId="0" applyNumberFormat="1" applyFill="1" applyBorder="1" applyAlignment="1">
      <alignment horizontal="center" wrapText="1"/>
    </xf>
    <xf numFmtId="1" fontId="0" fillId="0" borderId="15" xfId="0" applyNumberFormat="1" applyBorder="1" applyAlignment="1">
      <alignment horizontal="center" wrapText="1"/>
    </xf>
    <xf numFmtId="0" fontId="20" fillId="5" borderId="39" xfId="0" applyFont="1" applyFill="1" applyBorder="1" applyAlignment="1">
      <alignment horizontal="center"/>
    </xf>
    <xf numFmtId="0" fontId="20" fillId="5" borderId="28" xfId="0" applyFont="1" applyFill="1" applyBorder="1" applyAlignment="1">
      <alignment horizontal="center"/>
    </xf>
    <xf numFmtId="0" fontId="20" fillId="5" borderId="13" xfId="0" applyFont="1" applyFill="1" applyBorder="1" applyAlignment="1">
      <alignment horizontal="center"/>
    </xf>
    <xf numFmtId="0" fontId="20" fillId="5" borderId="27" xfId="0" applyFont="1" applyFill="1" applyBorder="1" applyAlignment="1">
      <alignment horizontal="center"/>
    </xf>
    <xf numFmtId="0" fontId="0" fillId="0" borderId="12" xfId="0" applyBorder="1" applyAlignment="1">
      <alignment horizontal="center" vertical="top" wrapText="1"/>
    </xf>
    <xf numFmtId="0" fontId="0" fillId="0" borderId="5" xfId="0" applyBorder="1" applyAlignment="1">
      <alignment horizontal="center" vertical="top" wrapText="1"/>
    </xf>
    <xf numFmtId="0" fontId="18" fillId="5" borderId="34" xfId="3" applyFill="1" applyBorder="1" applyAlignment="1">
      <alignment horizontal="center"/>
    </xf>
    <xf numFmtId="0" fontId="0" fillId="0" borderId="8" xfId="0" applyBorder="1"/>
    <xf numFmtId="0" fontId="0" fillId="0" borderId="0" xfId="0" applyAlignment="1">
      <alignment horizontal="center" wrapText="1"/>
    </xf>
    <xf numFmtId="0" fontId="18" fillId="5" borderId="8" xfId="3" applyFill="1" applyBorder="1" applyAlignment="1">
      <alignment horizontal="center"/>
    </xf>
    <xf numFmtId="0" fontId="0" fillId="0" borderId="42" xfId="0" applyBorder="1" applyAlignment="1">
      <alignment horizontal="center" vertical="center" wrapText="1"/>
    </xf>
    <xf numFmtId="0" fontId="0" fillId="0" borderId="32" xfId="0" applyBorder="1" applyAlignment="1">
      <alignment horizontal="center" vertical="center" wrapText="1"/>
    </xf>
    <xf numFmtId="0" fontId="0" fillId="0" borderId="43" xfId="0" applyBorder="1" applyAlignment="1">
      <alignment horizontal="center" vertical="top" wrapText="1"/>
    </xf>
    <xf numFmtId="0" fontId="0" fillId="0" borderId="41" xfId="0" applyBorder="1" applyAlignment="1">
      <alignment horizontal="center" vertical="top" wrapText="1"/>
    </xf>
    <xf numFmtId="0" fontId="0" fillId="0" borderId="42" xfId="0" applyBorder="1" applyAlignment="1">
      <alignment horizontal="center"/>
    </xf>
    <xf numFmtId="0" fontId="0" fillId="0" borderId="32" xfId="0" applyBorder="1" applyAlignment="1">
      <alignment horizontal="center"/>
    </xf>
    <xf numFmtId="0" fontId="20" fillId="5" borderId="43" xfId="0" applyFont="1" applyFill="1" applyBorder="1" applyAlignment="1">
      <alignment horizontal="center"/>
    </xf>
    <xf numFmtId="0" fontId="20" fillId="5" borderId="50" xfId="0" applyFont="1" applyFill="1" applyBorder="1" applyAlignment="1">
      <alignment horizontal="center"/>
    </xf>
    <xf numFmtId="0" fontId="20" fillId="5" borderId="41" xfId="0" applyFont="1" applyFill="1" applyBorder="1" applyAlignment="1">
      <alignment horizontal="center"/>
    </xf>
    <xf numFmtId="0" fontId="53" fillId="0" borderId="0" xfId="0" applyFont="1" applyAlignment="1">
      <alignment horizontal="center" vertical="center" wrapText="1"/>
    </xf>
    <xf numFmtId="0" fontId="9" fillId="3" borderId="31" xfId="3" applyNumberFormat="1" applyFont="1" applyFill="1" applyBorder="1" applyAlignment="1" applyProtection="1">
      <alignment horizontal="center" vertical="center" wrapText="1"/>
    </xf>
    <xf numFmtId="0" fontId="8" fillId="3" borderId="31" xfId="3" applyFont="1" applyFill="1" applyBorder="1" applyAlignment="1">
      <alignment horizontal="center" vertical="center" wrapText="1"/>
    </xf>
    <xf numFmtId="0" fontId="11" fillId="0" borderId="22" xfId="3" applyNumberFormat="1" applyFont="1" applyFill="1" applyBorder="1" applyAlignment="1" applyProtection="1">
      <alignment horizontal="center" wrapText="1"/>
    </xf>
    <xf numFmtId="0" fontId="11" fillId="0" borderId="22" xfId="3" applyFont="1" applyBorder="1" applyAlignment="1">
      <alignment horizontal="center" wrapText="1"/>
    </xf>
    <xf numFmtId="0" fontId="18" fillId="0" borderId="38" xfId="3" applyBorder="1" applyAlignment="1">
      <alignment horizontal="center" vertical="center"/>
    </xf>
    <xf numFmtId="0" fontId="18" fillId="0" borderId="22" xfId="3" quotePrefix="1" applyBorder="1" applyAlignment="1">
      <alignment horizontal="center" vertical="center"/>
    </xf>
    <xf numFmtId="0" fontId="18" fillId="0" borderId="22" xfId="3" applyBorder="1" applyAlignment="1">
      <alignment horizontal="center" vertical="center"/>
    </xf>
    <xf numFmtId="0" fontId="11" fillId="0" borderId="15" xfId="3" applyFont="1" applyBorder="1" applyAlignment="1">
      <alignment horizontal="center" vertical="top" wrapText="1"/>
    </xf>
    <xf numFmtId="0" fontId="11" fillId="0" borderId="15" xfId="3" applyNumberFormat="1" applyFont="1" applyFill="1" applyBorder="1" applyAlignment="1" applyProtection="1">
      <alignment horizontal="left" vertical="top" wrapText="1"/>
    </xf>
    <xf numFmtId="0" fontId="11" fillId="0" borderId="15" xfId="3" applyFont="1" applyBorder="1" applyAlignment="1">
      <alignment horizontal="left" vertical="top" wrapText="1"/>
    </xf>
    <xf numFmtId="0" fontId="11" fillId="2" borderId="15" xfId="3" applyNumberFormat="1" applyFont="1" applyFill="1" applyBorder="1" applyAlignment="1" applyProtection="1">
      <alignment horizontal="left" vertical="center" wrapText="1"/>
    </xf>
    <xf numFmtId="0" fontId="11" fillId="2" borderId="15" xfId="3" applyFont="1" applyFill="1" applyBorder="1" applyAlignment="1">
      <alignment horizontal="left" vertical="center" wrapText="1"/>
    </xf>
    <xf numFmtId="0" fontId="11" fillId="0" borderId="15" xfId="3" applyNumberFormat="1" applyFont="1" applyFill="1" applyBorder="1" applyAlignment="1" applyProtection="1">
      <alignment horizontal="left" vertical="center" wrapText="1"/>
    </xf>
    <xf numFmtId="0" fontId="11" fillId="0" borderId="15" xfId="3" applyFont="1" applyBorder="1" applyAlignment="1">
      <alignment horizontal="left" vertical="center" wrapText="1"/>
    </xf>
    <xf numFmtId="0" fontId="18" fillId="0" borderId="38" xfId="3" quotePrefix="1" applyBorder="1" applyAlignment="1">
      <alignment horizontal="center" vertical="center"/>
    </xf>
    <xf numFmtId="0" fontId="18" fillId="0" borderId="15" xfId="3" applyBorder="1" applyAlignment="1">
      <alignment horizontal="center"/>
    </xf>
    <xf numFmtId="0" fontId="18" fillId="0" borderId="15" xfId="3" applyBorder="1" applyAlignment="1">
      <alignment horizontal="center" vertical="justify"/>
    </xf>
    <xf numFmtId="0" fontId="18" fillId="0" borderId="15" xfId="3" applyFill="1" applyBorder="1" applyAlignment="1">
      <alignment horizontal="center"/>
    </xf>
    <xf numFmtId="0" fontId="19" fillId="0" borderId="15" xfId="3" applyFont="1" applyBorder="1" applyAlignment="1">
      <alignment horizontal="center"/>
    </xf>
    <xf numFmtId="0" fontId="19" fillId="0" borderId="15" xfId="3" applyFont="1" applyBorder="1" applyAlignment="1">
      <alignment horizontal="center" vertical="center" wrapText="1"/>
    </xf>
    <xf numFmtId="0" fontId="18" fillId="0" borderId="15" xfId="3" applyBorder="1" applyAlignment="1">
      <alignment horizontal="center" vertical="center"/>
    </xf>
    <xf numFmtId="2" fontId="18" fillId="0" borderId="15" xfId="3" applyNumberFormat="1" applyBorder="1" applyAlignment="1">
      <alignment horizontal="center" vertical="center"/>
    </xf>
    <xf numFmtId="0" fontId="0" fillId="0" borderId="15" xfId="0" applyBorder="1" applyAlignment="1">
      <alignment horizontal="center" vertical="center" wrapText="1"/>
    </xf>
    <xf numFmtId="0" fontId="0" fillId="4" borderId="27" xfId="0" applyFill="1" applyBorder="1" applyAlignment="1">
      <alignment horizontal="center"/>
    </xf>
    <xf numFmtId="0" fontId="0" fillId="4" borderId="13" xfId="0" applyFill="1" applyBorder="1" applyAlignment="1">
      <alignment horizontal="center"/>
    </xf>
    <xf numFmtId="0" fontId="0" fillId="4" borderId="39"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0" borderId="43" xfId="0" applyBorder="1" applyAlignment="1">
      <alignment horizontal="center"/>
    </xf>
    <xf numFmtId="0" fontId="0" fillId="0" borderId="50" xfId="0" applyBorder="1" applyAlignment="1">
      <alignment horizontal="center"/>
    </xf>
    <xf numFmtId="0" fontId="0" fillId="0" borderId="41" xfId="0" applyBorder="1" applyAlignment="1">
      <alignment horizontal="center"/>
    </xf>
    <xf numFmtId="0" fontId="0" fillId="4" borderId="28" xfId="0" applyFill="1" applyBorder="1" applyAlignment="1">
      <alignment horizontal="center"/>
    </xf>
    <xf numFmtId="0" fontId="0" fillId="0" borderId="15" xfId="0" applyBorder="1" applyAlignment="1">
      <alignment horizontal="center" vertical="center"/>
    </xf>
    <xf numFmtId="0" fontId="11" fillId="0" borderId="51" xfId="5" applyBorder="1" applyAlignment="1">
      <alignment horizontal="center" vertical="center" wrapText="1"/>
    </xf>
    <xf numFmtId="0" fontId="24" fillId="8" borderId="43" xfId="5" applyFont="1" applyFill="1" applyBorder="1" applyAlignment="1">
      <alignment horizontal="center"/>
    </xf>
    <xf numFmtId="0" fontId="24" fillId="8" borderId="50" xfId="5" applyFont="1" applyFill="1" applyBorder="1" applyAlignment="1">
      <alignment horizontal="center"/>
    </xf>
    <xf numFmtId="0" fontId="24" fillId="8" borderId="41" xfId="5" applyFont="1" applyFill="1" applyBorder="1" applyAlignment="1">
      <alignment horizontal="center"/>
    </xf>
    <xf numFmtId="0" fontId="52" fillId="0" borderId="0" xfId="0" applyFont="1" applyAlignment="1">
      <alignment horizontal="left" vertical="center" wrapText="1"/>
    </xf>
    <xf numFmtId="0" fontId="11" fillId="0" borderId="0" xfId="5" applyAlignment="1">
      <alignment horizontal="center" wrapText="1"/>
    </xf>
    <xf numFmtId="0" fontId="11" fillId="0" borderId="51" xfId="5" applyBorder="1" applyAlignment="1">
      <alignment horizontal="center" wrapText="1"/>
    </xf>
    <xf numFmtId="0" fontId="11" fillId="0" borderId="38" xfId="5" applyBorder="1" applyAlignment="1">
      <alignment horizontal="center" vertical="center" wrapText="1"/>
    </xf>
    <xf numFmtId="0" fontId="11" fillId="0" borderId="22" xfId="5" applyBorder="1" applyAlignment="1">
      <alignment horizontal="center" vertical="center" wrapText="1"/>
    </xf>
    <xf numFmtId="0" fontId="11" fillId="0" borderId="43" xfId="5" applyBorder="1" applyAlignment="1">
      <alignment horizontal="center" vertical="center" wrapText="1"/>
    </xf>
    <xf numFmtId="0" fontId="11" fillId="0" borderId="50" xfId="5" applyBorder="1" applyAlignment="1">
      <alignment horizontal="center" vertical="center" wrapText="1"/>
    </xf>
    <xf numFmtId="0" fontId="11" fillId="0" borderId="41" xfId="5" applyBorder="1" applyAlignment="1">
      <alignment horizontal="center" vertical="center" wrapText="1"/>
    </xf>
    <xf numFmtId="0" fontId="8" fillId="6" borderId="52" xfId="5" applyFont="1" applyFill="1" applyBorder="1" applyAlignment="1">
      <alignment horizontal="center"/>
    </xf>
    <xf numFmtId="0" fontId="8" fillId="6" borderId="53" xfId="5" applyFont="1" applyFill="1" applyBorder="1" applyAlignment="1">
      <alignment horizontal="center"/>
    </xf>
    <xf numFmtId="0" fontId="26" fillId="8" borderId="38" xfId="5" applyFont="1" applyFill="1" applyBorder="1" applyAlignment="1">
      <alignment horizontal="center" vertical="center" wrapText="1"/>
    </xf>
    <xf numFmtId="0" fontId="26" fillId="8" borderId="9" xfId="5" applyFont="1" applyFill="1" applyBorder="1" applyAlignment="1">
      <alignment horizontal="center" vertical="center" wrapText="1"/>
    </xf>
    <xf numFmtId="0" fontId="26" fillId="8" borderId="22" xfId="5" applyFont="1" applyFill="1" applyBorder="1" applyAlignment="1">
      <alignment horizontal="center" vertical="center" wrapText="1"/>
    </xf>
    <xf numFmtId="167" fontId="26" fillId="10" borderId="38" xfId="2" applyNumberFormat="1" applyFont="1" applyFill="1" applyBorder="1" applyAlignment="1">
      <alignment horizontal="center" vertical="center" wrapText="1"/>
    </xf>
    <xf numFmtId="167" fontId="26" fillId="10" borderId="9" xfId="2" applyNumberFormat="1" applyFont="1" applyFill="1" applyBorder="1" applyAlignment="1">
      <alignment horizontal="center" vertical="center" wrapText="1"/>
    </xf>
    <xf numFmtId="167" fontId="26" fillId="10" borderId="10" xfId="2" applyNumberFormat="1" applyFont="1" applyFill="1" applyBorder="1" applyAlignment="1">
      <alignment horizontal="center" vertical="center" wrapText="1"/>
    </xf>
    <xf numFmtId="0" fontId="26" fillId="6" borderId="15" xfId="5" applyFont="1" applyFill="1" applyBorder="1" applyAlignment="1">
      <alignment horizontal="center" vertical="center" wrapText="1"/>
    </xf>
    <xf numFmtId="0" fontId="11" fillId="15" borderId="15" xfId="5" applyFill="1" applyBorder="1" applyAlignment="1">
      <alignment horizontal="center" wrapText="1"/>
    </xf>
    <xf numFmtId="0" fontId="11" fillId="15" borderId="42" xfId="5" applyFill="1" applyBorder="1" applyAlignment="1">
      <alignment horizontal="center" wrapText="1"/>
    </xf>
    <xf numFmtId="0" fontId="11" fillId="15" borderId="51" xfId="5" applyFill="1" applyBorder="1" applyAlignment="1">
      <alignment horizontal="center" wrapText="1"/>
    </xf>
    <xf numFmtId="0" fontId="47" fillId="17" borderId="0" xfId="5" applyFont="1" applyFill="1" applyAlignment="1">
      <alignment horizontal="center" wrapText="1"/>
    </xf>
    <xf numFmtId="167" fontId="26" fillId="10" borderId="14" xfId="2" applyNumberFormat="1" applyFont="1" applyFill="1" applyBorder="1" applyAlignment="1">
      <alignment horizontal="center" vertical="center" wrapText="1"/>
    </xf>
    <xf numFmtId="167" fontId="26" fillId="10" borderId="22" xfId="2" applyNumberFormat="1" applyFont="1" applyFill="1" applyBorder="1" applyAlignment="1">
      <alignment horizontal="center" vertical="center" wrapText="1"/>
    </xf>
    <xf numFmtId="0" fontId="11" fillId="0" borderId="15" xfId="5" applyBorder="1" applyAlignment="1">
      <alignment horizontal="center" wrapText="1"/>
    </xf>
    <xf numFmtId="0" fontId="26" fillId="0" borderId="15" xfId="5" applyFont="1" applyBorder="1" applyAlignment="1">
      <alignment horizontal="center" vertical="center" wrapText="1"/>
    </xf>
    <xf numFmtId="0" fontId="24" fillId="0" borderId="15" xfId="5" applyFont="1" applyBorder="1" applyAlignment="1">
      <alignment horizontal="center" wrapText="1"/>
    </xf>
    <xf numFmtId="0" fontId="11" fillId="0" borderId="15" xfId="5" applyBorder="1" applyAlignment="1">
      <alignment horizontal="center" vertical="center" wrapText="1"/>
    </xf>
    <xf numFmtId="0" fontId="24" fillId="0" borderId="15" xfId="5" applyFont="1" applyBorder="1" applyAlignment="1">
      <alignment horizontal="right" wrapText="1" indent="1"/>
    </xf>
    <xf numFmtId="0" fontId="24" fillId="0" borderId="15" xfId="5" applyFont="1" applyBorder="1" applyAlignment="1">
      <alignment wrapText="1"/>
    </xf>
    <xf numFmtId="0" fontId="24" fillId="8" borderId="15" xfId="5" applyFont="1" applyFill="1" applyBorder="1" applyAlignment="1">
      <alignment horizontal="right" wrapText="1" indent="1"/>
    </xf>
    <xf numFmtId="0" fontId="24" fillId="8" borderId="15" xfId="5" applyFont="1" applyFill="1" applyBorder="1" applyAlignment="1">
      <alignment horizontal="center" wrapText="1"/>
    </xf>
    <xf numFmtId="0" fontId="26" fillId="0" borderId="15" xfId="5" applyFont="1" applyBorder="1" applyAlignment="1">
      <alignment horizontal="center" vertical="top" wrapText="1"/>
    </xf>
    <xf numFmtId="0" fontId="26" fillId="8" borderId="56" xfId="5" applyFont="1" applyFill="1" applyBorder="1" applyAlignment="1">
      <alignment horizontal="center" vertical="center" wrapText="1"/>
    </xf>
    <xf numFmtId="0" fontId="26" fillId="8" borderId="36" xfId="5" applyFont="1" applyFill="1" applyBorder="1" applyAlignment="1">
      <alignment horizontal="center" vertical="center" wrapText="1"/>
    </xf>
    <xf numFmtId="9" fontId="54" fillId="0" borderId="15" xfId="0" applyNumberFormat="1" applyFont="1" applyFill="1" applyBorder="1" applyAlignment="1">
      <alignment horizontal="center" vertical="center" wrapText="1"/>
    </xf>
    <xf numFmtId="0" fontId="54" fillId="0" borderId="15" xfId="0" applyFont="1" applyFill="1" applyBorder="1" applyAlignment="1">
      <alignment horizontal="center" vertical="center" wrapText="1"/>
    </xf>
    <xf numFmtId="0" fontId="0" fillId="0" borderId="15" xfId="0" applyBorder="1" applyAlignment="1">
      <alignment horizontal="center"/>
    </xf>
    <xf numFmtId="4" fontId="0" fillId="0" borderId="43" xfId="0" applyNumberFormat="1" applyBorder="1" applyAlignment="1">
      <alignment horizontal="center"/>
    </xf>
    <xf numFmtId="4" fontId="0" fillId="0" borderId="50" xfId="0" applyNumberFormat="1" applyBorder="1" applyAlignment="1">
      <alignment horizontal="center"/>
    </xf>
    <xf numFmtId="4" fontId="0" fillId="0" borderId="41" xfId="0" applyNumberFormat="1" applyBorder="1" applyAlignment="1">
      <alignment horizontal="center"/>
    </xf>
    <xf numFmtId="0" fontId="0" fillId="0" borderId="38" xfId="0" applyBorder="1" applyAlignment="1">
      <alignment horizontal="center" vertical="center" wrapText="1"/>
    </xf>
    <xf numFmtId="0" fontId="0" fillId="0" borderId="9" xfId="0"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wrapText="1"/>
    </xf>
  </cellXfs>
  <cellStyles count="9">
    <cellStyle name="Comma" xfId="1" builtinId="3"/>
    <cellStyle name="Comma [0] 2" xfId="7"/>
    <cellStyle name="Comma 2" xfId="2"/>
    <cellStyle name="Hyperlink" xfId="6" builtinId="8"/>
    <cellStyle name="Normal" xfId="0" builtinId="0"/>
    <cellStyle name="Normal 2" xfId="3"/>
    <cellStyle name="Normal 2 2" xfId="4"/>
    <cellStyle name="Normal 3" xfId="5"/>
    <cellStyle name="Percent" xfId="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data!#REF!</c:f>
              <c:strCache>
                <c:ptCount val="1"/>
                <c:pt idx="0">
                  <c:v>#REF!</c:v>
                </c:pt>
              </c:strCache>
            </c:strRef>
          </c:tx>
          <c:invertIfNegative val="0"/>
          <c:cat>
            <c:numRef>
              <c:f>data!$A$63:$A$77</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data!#REF!</c:f>
              <c:numCache>
                <c:formatCode>General</c:formatCode>
                <c:ptCount val="1"/>
                <c:pt idx="0">
                  <c:v>1</c:v>
                </c:pt>
              </c:numCache>
            </c:numRef>
          </c:val>
        </c:ser>
        <c:ser>
          <c:idx val="1"/>
          <c:order val="1"/>
          <c:tx>
            <c:strRef>
              <c:f>data!$B$57</c:f>
              <c:strCache>
                <c:ptCount val="1"/>
                <c:pt idx="0">
                  <c:v>Padi Sawah</c:v>
                </c:pt>
              </c:strCache>
            </c:strRef>
          </c:tx>
          <c:invertIfNegative val="0"/>
          <c:cat>
            <c:numRef>
              <c:f>data!$A$63:$A$77</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data!$B$63:$B$77</c:f>
              <c:numCache>
                <c:formatCode>_(* #,##0_);_(* \(#,##0\);_(* "-"??_);_(@_)</c:formatCode>
                <c:ptCount val="15"/>
                <c:pt idx="0">
                  <c:v>1687836</c:v>
                </c:pt>
                <c:pt idx="1">
                  <c:v>1715466</c:v>
                </c:pt>
                <c:pt idx="2">
                  <c:v>1690894</c:v>
                </c:pt>
                <c:pt idx="3">
                  <c:v>1825346</c:v>
                </c:pt>
                <c:pt idx="4">
                  <c:v>1904974</c:v>
                </c:pt>
                <c:pt idx="5">
                  <c:v>1944091.5555555555</c:v>
                </c:pt>
                <c:pt idx="6">
                  <c:v>1963650.3333333333</c:v>
                </c:pt>
                <c:pt idx="7">
                  <c:v>1983209.111111111</c:v>
                </c:pt>
                <c:pt idx="8">
                  <c:v>2002767.888888889</c:v>
                </c:pt>
                <c:pt idx="9">
                  <c:v>2022326.6666666667</c:v>
                </c:pt>
                <c:pt idx="10">
                  <c:v>2041885.4444444445</c:v>
                </c:pt>
                <c:pt idx="11">
                  <c:v>2061444.2222222222</c:v>
                </c:pt>
                <c:pt idx="12">
                  <c:v>2081003</c:v>
                </c:pt>
                <c:pt idx="13">
                  <c:v>2100561.777777778</c:v>
                </c:pt>
                <c:pt idx="14">
                  <c:v>2120120.5555555555</c:v>
                </c:pt>
              </c:numCache>
            </c:numRef>
          </c:val>
        </c:ser>
        <c:ser>
          <c:idx val="2"/>
          <c:order val="2"/>
          <c:tx>
            <c:strRef>
              <c:f>data!$G$56</c:f>
              <c:strCache>
                <c:ptCount val="1"/>
                <c:pt idx="0">
                  <c:v>Total lahan kering produktif</c:v>
                </c:pt>
              </c:strCache>
            </c:strRef>
          </c:tx>
          <c:invertIfNegative val="0"/>
          <c:cat>
            <c:numRef>
              <c:f>data!$A$63:$A$77</c:f>
              <c:numCache>
                <c:formatCode>0</c:formatCod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numCache>
            </c:numRef>
          </c:cat>
          <c:val>
            <c:numRef>
              <c:f>data!$G$63:$G$77</c:f>
              <c:numCache>
                <c:formatCode>_(* #,##0_);_(* \(#,##0\);_(* "-"??_);_(@_)</c:formatCode>
                <c:ptCount val="15"/>
                <c:pt idx="0">
                  <c:v>585775</c:v>
                </c:pt>
                <c:pt idx="1">
                  <c:v>577085</c:v>
                </c:pt>
                <c:pt idx="2">
                  <c:v>563383</c:v>
                </c:pt>
                <c:pt idx="3">
                  <c:v>635069</c:v>
                </c:pt>
                <c:pt idx="4">
                  <c:v>648969</c:v>
                </c:pt>
                <c:pt idx="5">
                  <c:v>673949.66666666674</c:v>
                </c:pt>
                <c:pt idx="6">
                  <c:v>686440</c:v>
                </c:pt>
                <c:pt idx="7">
                  <c:v>698930.33333333337</c:v>
                </c:pt>
                <c:pt idx="8">
                  <c:v>711420.66666666663</c:v>
                </c:pt>
                <c:pt idx="9">
                  <c:v>723911</c:v>
                </c:pt>
                <c:pt idx="10">
                  <c:v>736401.33333333337</c:v>
                </c:pt>
                <c:pt idx="11">
                  <c:v>748891.66666666674</c:v>
                </c:pt>
                <c:pt idx="12">
                  <c:v>761382</c:v>
                </c:pt>
                <c:pt idx="13">
                  <c:v>773872.33333333326</c:v>
                </c:pt>
                <c:pt idx="14">
                  <c:v>786362.66666666674</c:v>
                </c:pt>
              </c:numCache>
            </c:numRef>
          </c:val>
        </c:ser>
        <c:dLbls>
          <c:showLegendKey val="0"/>
          <c:showVal val="0"/>
          <c:showCatName val="0"/>
          <c:showSerName val="0"/>
          <c:showPercent val="0"/>
          <c:showBubbleSize val="0"/>
        </c:dLbls>
        <c:gapWidth val="150"/>
        <c:overlap val="100"/>
        <c:axId val="532704968"/>
        <c:axId val="550108464"/>
      </c:barChart>
      <c:catAx>
        <c:axId val="532704968"/>
        <c:scaling>
          <c:orientation val="minMax"/>
        </c:scaling>
        <c:delete val="0"/>
        <c:axPos val="b"/>
        <c:numFmt formatCode="0" sourceLinked="1"/>
        <c:majorTickMark val="out"/>
        <c:minorTickMark val="none"/>
        <c:tickLblPos val="nextTo"/>
        <c:txPr>
          <a:bodyPr/>
          <a:lstStyle/>
          <a:p>
            <a:pPr>
              <a:defRPr lang="en-US"/>
            </a:pPr>
            <a:endParaRPr lang="id-ID"/>
          </a:p>
        </c:txPr>
        <c:crossAx val="550108464"/>
        <c:crosses val="autoZero"/>
        <c:auto val="1"/>
        <c:lblAlgn val="ctr"/>
        <c:lblOffset val="100"/>
        <c:noMultiLvlLbl val="0"/>
      </c:catAx>
      <c:valAx>
        <c:axId val="550108464"/>
        <c:scaling>
          <c:orientation val="minMax"/>
        </c:scaling>
        <c:delete val="0"/>
        <c:axPos val="l"/>
        <c:majorGridlines/>
        <c:numFmt formatCode="General" sourceLinked="1"/>
        <c:majorTickMark val="out"/>
        <c:minorTickMark val="none"/>
        <c:tickLblPos val="nextTo"/>
        <c:txPr>
          <a:bodyPr/>
          <a:lstStyle/>
          <a:p>
            <a:pPr>
              <a:defRPr lang="en-US"/>
            </a:pPr>
            <a:endParaRPr lang="id-ID"/>
          </a:p>
        </c:txPr>
        <c:crossAx val="532704968"/>
        <c:crosses val="autoZero"/>
        <c:crossBetween val="between"/>
      </c:valAx>
    </c:plotArea>
    <c:legend>
      <c:legendPos val="r"/>
      <c:overlay val="0"/>
      <c:txPr>
        <a:bodyPr/>
        <a:lstStyle/>
        <a:p>
          <a:pPr>
            <a:defRPr lang="en-US"/>
          </a:pPr>
          <a:endParaRPr lang="id-ID"/>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025359249870334"/>
          <c:y val="5.4637904440501532E-2"/>
        </c:manualLayout>
      </c:layout>
      <c:overlay val="1"/>
      <c:txPr>
        <a:bodyPr/>
        <a:lstStyle/>
        <a:p>
          <a:pPr>
            <a:defRPr lang="en-US"/>
          </a:pPr>
          <a:endParaRPr lang="id-ID"/>
        </a:p>
      </c:txPr>
    </c:title>
    <c:autoTitleDeleted val="0"/>
    <c:plotArea>
      <c:layout>
        <c:manualLayout>
          <c:layoutTarget val="inner"/>
          <c:xMode val="edge"/>
          <c:yMode val="edge"/>
          <c:x val="0.11501616341101704"/>
          <c:y val="0.1549805753916596"/>
          <c:w val="0.86743417191898819"/>
          <c:h val="0.7306329373007544"/>
        </c:manualLayout>
      </c:layout>
      <c:lineChart>
        <c:grouping val="standard"/>
        <c:varyColors val="0"/>
        <c:ser>
          <c:idx val="0"/>
          <c:order val="0"/>
          <c:tx>
            <c:strRef>
              <c:f>'Lahan sawah'!$C$3</c:f>
              <c:strCache>
                <c:ptCount val="1"/>
                <c:pt idx="0">
                  <c:v>Emisi CH4 tahunan dari lahan padi sawah</c:v>
                </c:pt>
              </c:strCache>
            </c:strRef>
          </c:tx>
          <c:cat>
            <c:numRef>
              <c:f>'Lahan sawah'!$B$11:$B$40</c:f>
              <c:numCache>
                <c:formatCode>General</c:formatCode>
                <c:ptCount val="3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numCache>
            </c:numRef>
          </c:cat>
          <c:val>
            <c:numRef>
              <c:f>'Lahan sawah'!$L$11:$L$40</c:f>
              <c:numCache>
                <c:formatCode>_(* #,##0_);_(* \(#,##0\);_(* "-"??_);_(@_)</c:formatCode>
                <c:ptCount val="30"/>
                <c:pt idx="0">
                  <c:v>85.340725199999994</c:v>
                </c:pt>
                <c:pt idx="1">
                  <c:v>82.553514079999999</c:v>
                </c:pt>
                <c:pt idx="2">
                  <c:v>75.635858159999998</c:v>
                </c:pt>
                <c:pt idx="3">
                  <c:v>86.870539679999993</c:v>
                </c:pt>
                <c:pt idx="4">
                  <c:v>87.790856879999993</c:v>
                </c:pt>
                <c:pt idx="5">
                  <c:v>83.31158495999999</c:v>
                </c:pt>
                <c:pt idx="6">
                  <c:v>84.67540176</c:v>
                </c:pt>
                <c:pt idx="7">
                  <c:v>83.462527839999993</c:v>
                </c:pt>
                <c:pt idx="8">
                  <c:v>90.099078559999995</c:v>
                </c:pt>
                <c:pt idx="9">
                  <c:v>94.029516639999997</c:v>
                </c:pt>
                <c:pt idx="10">
                  <c:v>95.96035918222222</c:v>
                </c:pt>
                <c:pt idx="11">
                  <c:v>96.925780453333331</c:v>
                </c:pt>
                <c:pt idx="12">
                  <c:v>97.891201724444429</c:v>
                </c:pt>
                <c:pt idx="13">
                  <c:v>98.856622995555554</c:v>
                </c:pt>
                <c:pt idx="14">
                  <c:v>99.822044266666666</c:v>
                </c:pt>
                <c:pt idx="15">
                  <c:v>100.78746553777778</c:v>
                </c:pt>
                <c:pt idx="16">
                  <c:v>101.75288680888887</c:v>
                </c:pt>
                <c:pt idx="17">
                  <c:v>102.71830808</c:v>
                </c:pt>
                <c:pt idx="18">
                  <c:v>103.68372935111111</c:v>
                </c:pt>
                <c:pt idx="19">
                  <c:v>104.64915062222221</c:v>
                </c:pt>
                <c:pt idx="20">
                  <c:v>105.61457189333333</c:v>
                </c:pt>
                <c:pt idx="21">
                  <c:v>106.57999316444443</c:v>
                </c:pt>
                <c:pt idx="22">
                  <c:v>107.54541443555556</c:v>
                </c:pt>
                <c:pt idx="23">
                  <c:v>108.51083570666665</c:v>
                </c:pt>
                <c:pt idx="24">
                  <c:v>109.47625697777778</c:v>
                </c:pt>
                <c:pt idx="25">
                  <c:v>110.44167824888888</c:v>
                </c:pt>
                <c:pt idx="26">
                  <c:v>111.40709951999999</c:v>
                </c:pt>
                <c:pt idx="27">
                  <c:v>112.37252079111113</c:v>
                </c:pt>
                <c:pt idx="28">
                  <c:v>113.33794206222221</c:v>
                </c:pt>
                <c:pt idx="29">
                  <c:v>114.30336333333334</c:v>
                </c:pt>
              </c:numCache>
            </c:numRef>
          </c:val>
          <c:smooth val="0"/>
        </c:ser>
        <c:dLbls>
          <c:showLegendKey val="0"/>
          <c:showVal val="0"/>
          <c:showCatName val="0"/>
          <c:showSerName val="0"/>
          <c:showPercent val="0"/>
          <c:showBubbleSize val="0"/>
        </c:dLbls>
        <c:marker val="1"/>
        <c:smooth val="0"/>
        <c:axId val="532445032"/>
        <c:axId val="532445424"/>
      </c:lineChart>
      <c:catAx>
        <c:axId val="532445032"/>
        <c:scaling>
          <c:orientation val="minMax"/>
        </c:scaling>
        <c:delete val="0"/>
        <c:axPos val="b"/>
        <c:numFmt formatCode="General" sourceLinked="1"/>
        <c:majorTickMark val="none"/>
        <c:minorTickMark val="none"/>
        <c:tickLblPos val="nextTo"/>
        <c:txPr>
          <a:bodyPr rot="3600000"/>
          <a:lstStyle/>
          <a:p>
            <a:pPr>
              <a:defRPr lang="en-US" sz="1100"/>
            </a:pPr>
            <a:endParaRPr lang="id-ID"/>
          </a:p>
        </c:txPr>
        <c:crossAx val="532445424"/>
        <c:crosses val="autoZero"/>
        <c:auto val="1"/>
        <c:lblAlgn val="ctr"/>
        <c:lblOffset val="100"/>
        <c:noMultiLvlLbl val="0"/>
      </c:catAx>
      <c:valAx>
        <c:axId val="532445424"/>
        <c:scaling>
          <c:orientation val="minMax"/>
          <c:min val="36"/>
        </c:scaling>
        <c:delete val="0"/>
        <c:axPos val="l"/>
        <c:majorGridlines/>
        <c:title>
          <c:tx>
            <c:rich>
              <a:bodyPr/>
              <a:lstStyle/>
              <a:p>
                <a:pPr>
                  <a:defRPr lang="en-US"/>
                </a:pPr>
                <a:r>
                  <a:rPr lang="en-US" sz="1400" baseline="0"/>
                  <a:t>Ribu Ton </a:t>
                </a:r>
                <a:r>
                  <a:rPr lang="id-ID" sz="1400"/>
                  <a:t>N2O/th</a:t>
                </a:r>
              </a:p>
            </c:rich>
          </c:tx>
          <c:layout>
            <c:manualLayout>
              <c:xMode val="edge"/>
              <c:yMode val="edge"/>
              <c:x val="8.6209299277123543E-3"/>
              <c:y val="0.43230628564596818"/>
            </c:manualLayout>
          </c:layout>
          <c:overlay val="0"/>
        </c:title>
        <c:numFmt formatCode="0.0" sourceLinked="0"/>
        <c:majorTickMark val="none"/>
        <c:minorTickMark val="none"/>
        <c:tickLblPos val="nextTo"/>
        <c:txPr>
          <a:bodyPr/>
          <a:lstStyle/>
          <a:p>
            <a:pPr>
              <a:defRPr lang="en-US" sz="1100"/>
            </a:pPr>
            <a:endParaRPr lang="id-ID"/>
          </a:p>
        </c:txPr>
        <c:crossAx val="532445032"/>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a:t>Rekapitulasi  CO2eq dari lahan padi sawah </a:t>
            </a:r>
          </a:p>
        </c:rich>
      </c:tx>
      <c:layout>
        <c:manualLayout>
          <c:xMode val="edge"/>
          <c:yMode val="edge"/>
          <c:x val="0.35237172849691051"/>
          <c:y val="2.369183305204723E-2"/>
        </c:manualLayout>
      </c:layout>
      <c:overlay val="0"/>
    </c:title>
    <c:autoTitleDeleted val="0"/>
    <c:plotArea>
      <c:layout>
        <c:manualLayout>
          <c:layoutTarget val="inner"/>
          <c:xMode val="edge"/>
          <c:yMode val="edge"/>
          <c:x val="0.13816986056554198"/>
          <c:y val="9.5828308202056581E-2"/>
          <c:w val="0.87665565138103274"/>
          <c:h val="0.77915930141324985"/>
        </c:manualLayout>
      </c:layout>
      <c:barChart>
        <c:barDir val="col"/>
        <c:grouping val="stacked"/>
        <c:varyColors val="0"/>
        <c:ser>
          <c:idx val="0"/>
          <c:order val="0"/>
          <c:tx>
            <c:strRef>
              <c:f>'Lahan sawah'!$D$85:$D$86</c:f>
              <c:strCache>
                <c:ptCount val="2"/>
                <c:pt idx="0">
                  <c:v>Emisi dari lahan padi sawah</c:v>
                </c:pt>
                <c:pt idx="1">
                  <c:v>(Ton CO2 eq)</c:v>
                </c:pt>
              </c:strCache>
            </c:strRef>
          </c:tx>
          <c:invertIfNegative val="0"/>
          <c:cat>
            <c:numRef>
              <c:f>'Lahan sawah'!$B$87:$B$116</c:f>
              <c:numCache>
                <c:formatCode>General</c:formatCode>
                <c:ptCount val="3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numCache>
            </c:numRef>
          </c:cat>
          <c:val>
            <c:numRef>
              <c:f>'Lahan sawah'!$F$87:$F$116</c:f>
              <c:numCache>
                <c:formatCode>_(* #,##0_);_(* \(#,##0\);_(* "-"??_);_(@_)</c:formatCode>
                <c:ptCount val="30"/>
                <c:pt idx="0">
                  <c:v>1792.1552291999999</c:v>
                </c:pt>
                <c:pt idx="1">
                  <c:v>1733.6237956800001</c:v>
                </c:pt>
                <c:pt idx="2">
                  <c:v>1588.35302136</c:v>
                </c:pt>
                <c:pt idx="3">
                  <c:v>1824.2813332799999</c:v>
                </c:pt>
                <c:pt idx="4">
                  <c:v>1843.6079944799999</c:v>
                </c:pt>
                <c:pt idx="5">
                  <c:v>1749.5432841599998</c:v>
                </c:pt>
                <c:pt idx="6">
                  <c:v>1778.1834369600001</c:v>
                </c:pt>
                <c:pt idx="7">
                  <c:v>1752.7130846399998</c:v>
                </c:pt>
                <c:pt idx="8">
                  <c:v>1892.0806497599999</c:v>
                </c:pt>
                <c:pt idx="9">
                  <c:v>1974.6198494400001</c:v>
                </c:pt>
                <c:pt idx="10">
                  <c:v>2015.1675428266667</c:v>
                </c:pt>
                <c:pt idx="11">
                  <c:v>2035.44138952</c:v>
                </c:pt>
                <c:pt idx="12">
                  <c:v>2055.7152362133329</c:v>
                </c:pt>
                <c:pt idx="13">
                  <c:v>2075.9890829066667</c:v>
                </c:pt>
                <c:pt idx="14">
                  <c:v>2096.2629296</c:v>
                </c:pt>
                <c:pt idx="15">
                  <c:v>2116.5367762933333</c:v>
                </c:pt>
                <c:pt idx="16">
                  <c:v>2136.8106229866662</c:v>
                </c:pt>
                <c:pt idx="17">
                  <c:v>2157.08446968</c:v>
                </c:pt>
                <c:pt idx="18">
                  <c:v>2177.3583163733333</c:v>
                </c:pt>
                <c:pt idx="19">
                  <c:v>2197.6321630666662</c:v>
                </c:pt>
                <c:pt idx="20">
                  <c:v>2217.90600976</c:v>
                </c:pt>
                <c:pt idx="21">
                  <c:v>2238.1798564533328</c:v>
                </c:pt>
                <c:pt idx="22">
                  <c:v>2258.4537031466666</c:v>
                </c:pt>
                <c:pt idx="23">
                  <c:v>2278.7275498399999</c:v>
                </c:pt>
                <c:pt idx="24">
                  <c:v>2299.0013965333333</c:v>
                </c:pt>
                <c:pt idx="25">
                  <c:v>2319.2752432266666</c:v>
                </c:pt>
                <c:pt idx="26">
                  <c:v>2339.5490899199999</c:v>
                </c:pt>
                <c:pt idx="27">
                  <c:v>2359.8229366133337</c:v>
                </c:pt>
                <c:pt idx="28">
                  <c:v>2380.0967833066666</c:v>
                </c:pt>
                <c:pt idx="29">
                  <c:v>2400.3706299999999</c:v>
                </c:pt>
              </c:numCache>
            </c:numRef>
          </c:val>
        </c:ser>
        <c:dLbls>
          <c:showLegendKey val="0"/>
          <c:showVal val="0"/>
          <c:showCatName val="0"/>
          <c:showSerName val="0"/>
          <c:showPercent val="0"/>
          <c:showBubbleSize val="0"/>
        </c:dLbls>
        <c:gapWidth val="75"/>
        <c:overlap val="100"/>
        <c:axId val="532446208"/>
        <c:axId val="532446600"/>
      </c:barChart>
      <c:catAx>
        <c:axId val="532446208"/>
        <c:scaling>
          <c:orientation val="minMax"/>
        </c:scaling>
        <c:delete val="0"/>
        <c:axPos val="b"/>
        <c:numFmt formatCode="General" sourceLinked="1"/>
        <c:majorTickMark val="none"/>
        <c:minorTickMark val="none"/>
        <c:tickLblPos val="nextTo"/>
        <c:txPr>
          <a:bodyPr rot="-3600000"/>
          <a:lstStyle/>
          <a:p>
            <a:pPr>
              <a:defRPr lang="en-US"/>
            </a:pPr>
            <a:endParaRPr lang="id-ID"/>
          </a:p>
        </c:txPr>
        <c:crossAx val="532446600"/>
        <c:crosses val="autoZero"/>
        <c:auto val="1"/>
        <c:lblAlgn val="ctr"/>
        <c:lblOffset val="100"/>
        <c:noMultiLvlLbl val="0"/>
      </c:catAx>
      <c:valAx>
        <c:axId val="532446600"/>
        <c:scaling>
          <c:orientation val="minMax"/>
        </c:scaling>
        <c:delete val="0"/>
        <c:axPos val="l"/>
        <c:majorGridlines/>
        <c:title>
          <c:tx>
            <c:rich>
              <a:bodyPr rot="-5400000" vert="horz"/>
              <a:lstStyle/>
              <a:p>
                <a:pPr>
                  <a:defRPr lang="en-US" sz="1050"/>
                </a:pPr>
                <a:r>
                  <a:rPr lang="en-US" sz="1050"/>
                  <a:t>Ribu Ton CO2 eq</a:t>
                </a:r>
              </a:p>
            </c:rich>
          </c:tx>
          <c:layout>
            <c:manualLayout>
              <c:xMode val="edge"/>
              <c:yMode val="edge"/>
              <c:x val="3.6040280875571762E-2"/>
              <c:y val="0.3801591531531498"/>
            </c:manualLayout>
          </c:layout>
          <c:overlay val="0"/>
        </c:title>
        <c:numFmt formatCode="0" sourceLinked="0"/>
        <c:majorTickMark val="none"/>
        <c:minorTickMark val="none"/>
        <c:tickLblPos val="nextTo"/>
        <c:spPr>
          <a:ln w="9525">
            <a:noFill/>
          </a:ln>
        </c:spPr>
        <c:txPr>
          <a:bodyPr/>
          <a:lstStyle/>
          <a:p>
            <a:pPr>
              <a:defRPr lang="en-US" sz="1050"/>
            </a:pPr>
            <a:endParaRPr lang="id-ID"/>
          </a:p>
        </c:txPr>
        <c:crossAx val="532446208"/>
        <c:crosses val="autoZero"/>
        <c:crossBetween val="between"/>
      </c:valAx>
      <c:dTable>
        <c:showHorzBorder val="1"/>
        <c:showVertBorder val="1"/>
        <c:showOutline val="1"/>
        <c:showKeys val="0"/>
        <c:txPr>
          <a:bodyPr/>
          <a:lstStyle/>
          <a:p>
            <a:pPr>
              <a:defRPr lang="en-US"/>
            </a:pPr>
            <a:endParaRPr lang="id-ID"/>
          </a:p>
        </c:txPr>
      </c:dTable>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600"/>
              <a:t>Emisi CO2-C dari pemupukan urea tahunan</a:t>
            </a:r>
          </a:p>
        </c:rich>
      </c:tx>
      <c:overlay val="0"/>
    </c:title>
    <c:autoTitleDeleted val="0"/>
    <c:plotArea>
      <c:layout>
        <c:manualLayout>
          <c:layoutTarget val="inner"/>
          <c:xMode val="edge"/>
          <c:yMode val="edge"/>
          <c:x val="0.15493707947907442"/>
          <c:y val="0.12246251294040293"/>
          <c:w val="0.82442177366412772"/>
          <c:h val="0.72380972217609352"/>
        </c:manualLayout>
      </c:layout>
      <c:lineChart>
        <c:grouping val="standard"/>
        <c:varyColors val="0"/>
        <c:ser>
          <c:idx val="0"/>
          <c:order val="0"/>
          <c:tx>
            <c:strRef>
              <c:f>'Pupuk Urea-CO2'!$E$6</c:f>
              <c:strCache>
                <c:ptCount val="1"/>
                <c:pt idx="0">
                  <c:v>Emisi CO2-C dari pemupukan urea tahunan</c:v>
                </c:pt>
              </c:strCache>
            </c:strRef>
          </c:tx>
          <c:cat>
            <c:numRef>
              <c:f>'Pupuk Urea-CO2'!$B$9:$B$36</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'Pupuk Urea-CO2'!$E$9:$E$36</c:f>
              <c:numCache>
                <c:formatCode>_(* #,##0_);_(* \(#,##0\);_(* "-"??_);_(@_)</c:formatCode>
                <c:ptCount val="28"/>
                <c:pt idx="0">
                  <c:v>8800.2000000000007</c:v>
                </c:pt>
                <c:pt idx="1">
                  <c:v>15820.2</c:v>
                </c:pt>
                <c:pt idx="2">
                  <c:v>11661</c:v>
                </c:pt>
                <c:pt idx="3">
                  <c:v>13436</c:v>
                </c:pt>
                <c:pt idx="4">
                  <c:v>140069.6</c:v>
                </c:pt>
                <c:pt idx="5">
                  <c:v>142033.80000000002</c:v>
                </c:pt>
                <c:pt idx="6">
                  <c:v>133384.37</c:v>
                </c:pt>
                <c:pt idx="7">
                  <c:v>135298.6</c:v>
                </c:pt>
                <c:pt idx="8">
                  <c:v>181640.33288712503</c:v>
                </c:pt>
                <c:pt idx="9">
                  <c:v>205284.92078876495</c:v>
                </c:pt>
                <c:pt idx="10">
                  <c:v>228917.75982632639</c:v>
                </c:pt>
                <c:pt idx="11">
                  <c:v>252538.86166996957</c:v>
                </c:pt>
                <c:pt idx="12">
                  <c:v>276148.23797235492</c:v>
                </c:pt>
                <c:pt idx="13">
                  <c:v>299745.90036892891</c:v>
                </c:pt>
                <c:pt idx="14">
                  <c:v>323331.86047763826</c:v>
                </c:pt>
                <c:pt idx="15">
                  <c:v>346906.12989935878</c:v>
                </c:pt>
                <c:pt idx="16">
                  <c:v>370468.72021760943</c:v>
                </c:pt>
                <c:pt idx="17">
                  <c:v>394019.64299860003</c:v>
                </c:pt>
                <c:pt idx="18">
                  <c:v>417558.90979170799</c:v>
                </c:pt>
                <c:pt idx="19">
                  <c:v>441086.53212881088</c:v>
                </c:pt>
                <c:pt idx="20">
                  <c:v>464602.52152485849</c:v>
                </c:pt>
                <c:pt idx="21">
                  <c:v>488106.88947768213</c:v>
                </c:pt>
                <c:pt idx="22">
                  <c:v>511599.64746804239</c:v>
                </c:pt>
                <c:pt idx="23">
                  <c:v>535080.80695986748</c:v>
                </c:pt>
                <c:pt idx="24">
                  <c:v>558550.37939982419</c:v>
                </c:pt>
                <c:pt idx="25">
                  <c:v>582008.37621793745</c:v>
                </c:pt>
                <c:pt idx="26">
                  <c:v>605454.80882716179</c:v>
                </c:pt>
                <c:pt idx="27">
                  <c:v>628889.68862357142</c:v>
                </c:pt>
              </c:numCache>
            </c:numRef>
          </c:val>
          <c:smooth val="0"/>
        </c:ser>
        <c:dLbls>
          <c:showLegendKey val="0"/>
          <c:showVal val="0"/>
          <c:showCatName val="0"/>
          <c:showSerName val="0"/>
          <c:showPercent val="0"/>
          <c:showBubbleSize val="0"/>
        </c:dLbls>
        <c:marker val="1"/>
        <c:smooth val="0"/>
        <c:axId val="532447776"/>
        <c:axId val="576494328"/>
      </c:lineChart>
      <c:catAx>
        <c:axId val="532447776"/>
        <c:scaling>
          <c:orientation val="minMax"/>
        </c:scaling>
        <c:delete val="0"/>
        <c:axPos val="b"/>
        <c:numFmt formatCode="General" sourceLinked="1"/>
        <c:majorTickMark val="none"/>
        <c:minorTickMark val="none"/>
        <c:tickLblPos val="nextTo"/>
        <c:txPr>
          <a:bodyPr rot="-4140000" vert="horz"/>
          <a:lstStyle/>
          <a:p>
            <a:pPr>
              <a:defRPr lang="en-US" sz="900"/>
            </a:pPr>
            <a:endParaRPr lang="id-ID"/>
          </a:p>
        </c:txPr>
        <c:crossAx val="576494328"/>
        <c:crosses val="autoZero"/>
        <c:auto val="1"/>
        <c:lblAlgn val="ctr"/>
        <c:lblOffset val="100"/>
        <c:noMultiLvlLbl val="0"/>
      </c:catAx>
      <c:valAx>
        <c:axId val="576494328"/>
        <c:scaling>
          <c:orientation val="minMax"/>
        </c:scaling>
        <c:delete val="0"/>
        <c:axPos val="l"/>
        <c:majorGridlines/>
        <c:title>
          <c:tx>
            <c:rich>
              <a:bodyPr/>
              <a:lstStyle/>
              <a:p>
                <a:pPr>
                  <a:defRPr lang="en-US"/>
                </a:pPr>
                <a:r>
                  <a:rPr lang="en-US"/>
                  <a:t>T</a:t>
                </a:r>
                <a:r>
                  <a:rPr lang="id-ID"/>
                  <a:t>on CO2 eq/tahun</a:t>
                </a:r>
              </a:p>
            </c:rich>
          </c:tx>
          <c:layout>
            <c:manualLayout>
              <c:xMode val="edge"/>
              <c:yMode val="edge"/>
              <c:x val="2.0559787936527299E-3"/>
              <c:y val="0.3525995280001763"/>
            </c:manualLayout>
          </c:layout>
          <c:overlay val="0"/>
        </c:title>
        <c:numFmt formatCode="_(* #,##0_);_(* \(#,##0\);_(* &quot;-&quot;_);_(@_)" sourceLinked="0"/>
        <c:majorTickMark val="none"/>
        <c:minorTickMark val="none"/>
        <c:tickLblPos val="nextTo"/>
        <c:txPr>
          <a:bodyPr/>
          <a:lstStyle/>
          <a:p>
            <a:pPr>
              <a:defRPr lang="en-US"/>
            </a:pPr>
            <a:endParaRPr lang="id-ID"/>
          </a:p>
        </c:txPr>
        <c:crossAx val="532447776"/>
        <c:crosses val="autoZero"/>
        <c:crossBetween val="between"/>
        <c:majorUnit val="50000"/>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600"/>
              <a:t>Emisi CO2-C dari pemupukan urea tahunan</a:t>
            </a:r>
          </a:p>
        </c:rich>
      </c:tx>
      <c:overlay val="0"/>
    </c:title>
    <c:autoTitleDeleted val="0"/>
    <c:plotArea>
      <c:layout>
        <c:manualLayout>
          <c:layoutTarget val="inner"/>
          <c:xMode val="edge"/>
          <c:yMode val="edge"/>
          <c:x val="0.13318682158478645"/>
          <c:y val="0.14391022808322171"/>
          <c:w val="0.85740182658650343"/>
          <c:h val="0.72380972217609352"/>
        </c:manualLayout>
      </c:layout>
      <c:lineChart>
        <c:grouping val="standard"/>
        <c:varyColors val="0"/>
        <c:ser>
          <c:idx val="0"/>
          <c:order val="0"/>
          <c:tx>
            <c:strRef>
              <c:f>'Pupuk Urea-CO2'!$E$6</c:f>
              <c:strCache>
                <c:ptCount val="1"/>
                <c:pt idx="0">
                  <c:v>Emisi CO2-C dari pemupukan urea tahunan</c:v>
                </c:pt>
              </c:strCache>
            </c:strRef>
          </c:tx>
          <c:cat>
            <c:numRef>
              <c:f>'Pupuk Urea-CO2'!$B$9:$B$36</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'Pupuk Urea-CO2'!$F$9:$F$36</c:f>
              <c:numCache>
                <c:formatCode>0.0</c:formatCode>
                <c:ptCount val="28"/>
                <c:pt idx="0">
                  <c:v>8.8002000000000002</c:v>
                </c:pt>
                <c:pt idx="1">
                  <c:v>15.820200000000002</c:v>
                </c:pt>
                <c:pt idx="2">
                  <c:v>11.661</c:v>
                </c:pt>
                <c:pt idx="3">
                  <c:v>13.436</c:v>
                </c:pt>
                <c:pt idx="4">
                  <c:v>140.06960000000001</c:v>
                </c:pt>
                <c:pt idx="5">
                  <c:v>142.03380000000001</c:v>
                </c:pt>
                <c:pt idx="6">
                  <c:v>133.38436999999999</c:v>
                </c:pt>
                <c:pt idx="7">
                  <c:v>135.29859999999999</c:v>
                </c:pt>
                <c:pt idx="8">
                  <c:v>181.64033288712503</c:v>
                </c:pt>
                <c:pt idx="9">
                  <c:v>205.28492078876496</c:v>
                </c:pt>
                <c:pt idx="10">
                  <c:v>228.9177598263264</c:v>
                </c:pt>
                <c:pt idx="11">
                  <c:v>252.53886166996958</c:v>
                </c:pt>
                <c:pt idx="12">
                  <c:v>276.14823797235493</c:v>
                </c:pt>
                <c:pt idx="13">
                  <c:v>299.74590036892891</c:v>
                </c:pt>
                <c:pt idx="14">
                  <c:v>323.33186047763826</c:v>
                </c:pt>
                <c:pt idx="15">
                  <c:v>346.9061298993588</c:v>
                </c:pt>
                <c:pt idx="16">
                  <c:v>370.46872021760942</c:v>
                </c:pt>
                <c:pt idx="17">
                  <c:v>394.01964299860003</c:v>
                </c:pt>
                <c:pt idx="18">
                  <c:v>417.558909791708</c:v>
                </c:pt>
                <c:pt idx="19">
                  <c:v>441.08653212881086</c:v>
                </c:pt>
                <c:pt idx="20">
                  <c:v>464.6025215248585</c:v>
                </c:pt>
                <c:pt idx="21">
                  <c:v>488.1068894776821</c:v>
                </c:pt>
                <c:pt idx="22">
                  <c:v>511.59964746804241</c:v>
                </c:pt>
                <c:pt idx="23">
                  <c:v>535.08080695986746</c:v>
                </c:pt>
                <c:pt idx="24">
                  <c:v>558.55037939982424</c:v>
                </c:pt>
                <c:pt idx="25">
                  <c:v>582.00837621793744</c:v>
                </c:pt>
                <c:pt idx="26">
                  <c:v>605.45480882716174</c:v>
                </c:pt>
                <c:pt idx="27">
                  <c:v>628.88968862357137</c:v>
                </c:pt>
              </c:numCache>
            </c:numRef>
          </c:val>
          <c:smooth val="0"/>
        </c:ser>
        <c:dLbls>
          <c:showLegendKey val="0"/>
          <c:showVal val="0"/>
          <c:showCatName val="0"/>
          <c:showSerName val="0"/>
          <c:showPercent val="0"/>
          <c:showBubbleSize val="0"/>
        </c:dLbls>
        <c:marker val="1"/>
        <c:smooth val="0"/>
        <c:axId val="576495112"/>
        <c:axId val="576495504"/>
      </c:lineChart>
      <c:catAx>
        <c:axId val="576495112"/>
        <c:scaling>
          <c:orientation val="minMax"/>
        </c:scaling>
        <c:delete val="0"/>
        <c:axPos val="b"/>
        <c:numFmt formatCode="General" sourceLinked="1"/>
        <c:majorTickMark val="none"/>
        <c:minorTickMark val="none"/>
        <c:tickLblPos val="nextTo"/>
        <c:txPr>
          <a:bodyPr rot="-4140000" vert="horz"/>
          <a:lstStyle/>
          <a:p>
            <a:pPr>
              <a:defRPr lang="en-US" sz="900"/>
            </a:pPr>
            <a:endParaRPr lang="id-ID"/>
          </a:p>
        </c:txPr>
        <c:crossAx val="576495504"/>
        <c:crosses val="autoZero"/>
        <c:auto val="1"/>
        <c:lblAlgn val="ctr"/>
        <c:lblOffset val="100"/>
        <c:noMultiLvlLbl val="0"/>
      </c:catAx>
      <c:valAx>
        <c:axId val="576495504"/>
        <c:scaling>
          <c:orientation val="minMax"/>
        </c:scaling>
        <c:delete val="0"/>
        <c:axPos val="l"/>
        <c:majorGridlines/>
        <c:title>
          <c:tx>
            <c:rich>
              <a:bodyPr/>
              <a:lstStyle/>
              <a:p>
                <a:pPr>
                  <a:defRPr lang="en-US"/>
                </a:pPr>
                <a:r>
                  <a:rPr lang="en-US"/>
                  <a:t>Ribu T</a:t>
                </a:r>
                <a:r>
                  <a:rPr lang="id-ID"/>
                  <a:t>on CO2 eq/tahun</a:t>
                </a:r>
              </a:p>
            </c:rich>
          </c:tx>
          <c:layout>
            <c:manualLayout>
              <c:xMode val="edge"/>
              <c:yMode val="edge"/>
              <c:x val="1.9315883203648517E-2"/>
              <c:y val="0.35617421174017533"/>
            </c:manualLayout>
          </c:layout>
          <c:overlay val="0"/>
        </c:title>
        <c:numFmt formatCode="_(* #,##0_);_(* \(#,##0\);_(* &quot;-&quot;_);_(@_)" sourceLinked="0"/>
        <c:majorTickMark val="none"/>
        <c:minorTickMark val="none"/>
        <c:tickLblPos val="nextTo"/>
        <c:txPr>
          <a:bodyPr/>
          <a:lstStyle/>
          <a:p>
            <a:pPr>
              <a:defRPr lang="en-US"/>
            </a:pPr>
            <a:endParaRPr lang="id-ID"/>
          </a:p>
        </c:txPr>
        <c:crossAx val="576495112"/>
        <c:crosses val="autoZero"/>
        <c:crossBetween val="between"/>
        <c:majorUnit val="50"/>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sz="1400"/>
          </a:pPr>
          <a:endParaRPr lang="id-ID"/>
        </a:p>
      </c:txPr>
    </c:title>
    <c:autoTitleDeleted val="0"/>
    <c:plotArea>
      <c:layout>
        <c:manualLayout>
          <c:layoutTarget val="inner"/>
          <c:xMode val="edge"/>
          <c:yMode val="edge"/>
          <c:x val="0.10614968849463262"/>
          <c:y val="0.15404806945401475"/>
          <c:w val="0.87756864691504788"/>
          <c:h val="0.72797038787486412"/>
        </c:manualLayout>
      </c:layout>
      <c:lineChart>
        <c:grouping val="standard"/>
        <c:varyColors val="0"/>
        <c:ser>
          <c:idx val="0"/>
          <c:order val="0"/>
          <c:tx>
            <c:strRef>
              <c:f>'Direct N2O'!$H$14</c:f>
              <c:strCache>
                <c:ptCount val="1"/>
                <c:pt idx="0">
                  <c:v>Emisi Langsung N2O dari pemakaian pupuk Sintetis di lahan kering</c:v>
                </c:pt>
              </c:strCache>
            </c:strRef>
          </c:tx>
          <c:cat>
            <c:numRef>
              <c:f>'Direct N2O'!$B$15:$B$42</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'Direct N2O'!$H$15:$H$42</c:f>
              <c:numCache>
                <c:formatCode>_(* #,##0.00_);_(* \(#,##0.00\);_(* "-"??_);_(@_)</c:formatCode>
                <c:ptCount val="28"/>
                <c:pt idx="0">
                  <c:v>6.1589971455995401E-2</c:v>
                </c:pt>
                <c:pt idx="1">
                  <c:v>9.9717700424806266E-2</c:v>
                </c:pt>
                <c:pt idx="2">
                  <c:v>7.3962763950884414E-2</c:v>
                </c:pt>
                <c:pt idx="3">
                  <c:v>8.7419333353418879E-2</c:v>
                </c:pt>
                <c:pt idx="4">
                  <c:v>0.84736679715325858</c:v>
                </c:pt>
                <c:pt idx="5">
                  <c:v>0.90996772180996399</c:v>
                </c:pt>
                <c:pt idx="6">
                  <c:v>0.92572976691207154</c:v>
                </c:pt>
                <c:pt idx="7">
                  <c:v>0.91724256039120677</c:v>
                </c:pt>
                <c:pt idx="8">
                  <c:v>1.2238061853076461</c:v>
                </c:pt>
                <c:pt idx="9">
                  <c:v>1.3935888076442984</c:v>
                </c:pt>
                <c:pt idx="10">
                  <c:v>1.5650642023957615</c:v>
                </c:pt>
                <c:pt idx="11">
                  <c:v>1.738168190825079</c:v>
                </c:pt>
                <c:pt idx="12">
                  <c:v>1.912839595607061</c:v>
                </c:pt>
                <c:pt idx="13">
                  <c:v>2.0890200677046957</c:v>
                </c:pt>
                <c:pt idx="14">
                  <c:v>2.2666539250880011</c:v>
                </c:pt>
                <c:pt idx="15">
                  <c:v>2.445688002368418</c:v>
                </c:pt>
                <c:pt idx="16">
                  <c:v>2.6260715104880958</c:v>
                </c:pt>
                <c:pt idx="17">
                  <c:v>2.807755905694008</c:v>
                </c:pt>
                <c:pt idx="18">
                  <c:v>2.9906947670892645</c:v>
                </c:pt>
                <c:pt idx="19">
                  <c:v>3.1748436821037802</c:v>
                </c:pt>
                <c:pt idx="20">
                  <c:v>3.3601601393070948</c:v>
                </c:pt>
                <c:pt idx="21">
                  <c:v>3.5466034280087624</c:v>
                </c:pt>
                <c:pt idx="22">
                  <c:v>3.7341345441555687</c:v>
                </c:pt>
                <c:pt idx="23">
                  <c:v>3.922716102069562</c:v>
                </c:pt>
                <c:pt idx="24">
                  <c:v>4.1123122516025683</c:v>
                </c:pt>
                <c:pt idx="25">
                  <c:v>4.3028886003346818</c:v>
                </c:pt>
                <c:pt idx="26">
                  <c:v>4.4944121404486532</c:v>
                </c:pt>
                <c:pt idx="27">
                  <c:v>4.6868511799654327</c:v>
                </c:pt>
              </c:numCache>
            </c:numRef>
          </c:val>
          <c:smooth val="0"/>
        </c:ser>
        <c:dLbls>
          <c:showLegendKey val="0"/>
          <c:showVal val="0"/>
          <c:showCatName val="0"/>
          <c:showSerName val="0"/>
          <c:showPercent val="0"/>
          <c:showBubbleSize val="0"/>
        </c:dLbls>
        <c:marker val="1"/>
        <c:smooth val="0"/>
        <c:axId val="576496288"/>
        <c:axId val="576496680"/>
      </c:lineChart>
      <c:catAx>
        <c:axId val="576496288"/>
        <c:scaling>
          <c:orientation val="minMax"/>
        </c:scaling>
        <c:delete val="0"/>
        <c:axPos val="b"/>
        <c:numFmt formatCode="General" sourceLinked="1"/>
        <c:majorTickMark val="none"/>
        <c:minorTickMark val="none"/>
        <c:tickLblPos val="nextTo"/>
        <c:txPr>
          <a:bodyPr rot="4080000"/>
          <a:lstStyle/>
          <a:p>
            <a:pPr>
              <a:defRPr lang="en-US"/>
            </a:pPr>
            <a:endParaRPr lang="id-ID"/>
          </a:p>
        </c:txPr>
        <c:crossAx val="576496680"/>
        <c:crosses val="autoZero"/>
        <c:auto val="1"/>
        <c:lblAlgn val="ctr"/>
        <c:lblOffset val="100"/>
        <c:noMultiLvlLbl val="0"/>
      </c:catAx>
      <c:valAx>
        <c:axId val="576496680"/>
        <c:scaling>
          <c:orientation val="minMax"/>
        </c:scaling>
        <c:delete val="0"/>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3"/>
            </c:manualLayout>
          </c:layout>
          <c:overlay val="0"/>
        </c:title>
        <c:numFmt formatCode="_(* #,##0.00_);_(* \(#,##0.00\);_(* &quot;-&quot;??_);_(@_)" sourceLinked="0"/>
        <c:majorTickMark val="none"/>
        <c:minorTickMark val="none"/>
        <c:tickLblPos val="nextTo"/>
        <c:txPr>
          <a:bodyPr/>
          <a:lstStyle/>
          <a:p>
            <a:pPr>
              <a:defRPr lang="en-US"/>
            </a:pPr>
            <a:endParaRPr lang="id-ID"/>
          </a:p>
        </c:txPr>
        <c:crossAx val="576496288"/>
        <c:crosses val="autoZero"/>
        <c:crossBetween val="between"/>
        <c:majorUnit val="0.5"/>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sz="1400"/>
          </a:pPr>
          <a:endParaRPr lang="id-ID"/>
        </a:p>
      </c:txPr>
    </c:title>
    <c:autoTitleDeleted val="0"/>
    <c:plotArea>
      <c:layout>
        <c:manualLayout>
          <c:layoutTarget val="inner"/>
          <c:xMode val="edge"/>
          <c:yMode val="edge"/>
          <c:x val="0.10614968849463262"/>
          <c:y val="0.15404806945401475"/>
          <c:w val="0.87756864691504788"/>
          <c:h val="0.72797038787486412"/>
        </c:manualLayout>
      </c:layout>
      <c:lineChart>
        <c:grouping val="standard"/>
        <c:varyColors val="0"/>
        <c:ser>
          <c:idx val="0"/>
          <c:order val="0"/>
          <c:tx>
            <c:strRef>
              <c:f>'Direct N2O'!$H$72</c:f>
              <c:strCache>
                <c:ptCount val="1"/>
                <c:pt idx="0">
                  <c:v> -   </c:v>
                </c:pt>
              </c:strCache>
            </c:strRef>
          </c:tx>
          <c:cat>
            <c:numRef>
              <c:f>'Direct N2O'!$B$73:$B$100</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'Direct N2O'!$H$73:$H$100</c:f>
              <c:numCache>
                <c:formatCode>_(* #,##0.00_);_(* \(#,##0.00\);_(* "-"??_);_(@_)</c:formatCode>
                <c:ptCount val="28"/>
                <c:pt idx="0">
                  <c:v>5.1985978870125259E-2</c:v>
                </c:pt>
                <c:pt idx="1">
                  <c:v>9.4131776529050304E-2</c:v>
                </c:pt>
                <c:pt idx="2">
                  <c:v>6.4335024927158341E-2</c:v>
                </c:pt>
                <c:pt idx="3">
                  <c:v>7.5824165707922483E-2</c:v>
                </c:pt>
                <c:pt idx="4">
                  <c:v>0.75605653875179168</c:v>
                </c:pt>
                <c:pt idx="5">
                  <c:v>0.8108954583828808</c:v>
                </c:pt>
                <c:pt idx="6">
                  <c:v>0.80511152749012016</c:v>
                </c:pt>
                <c:pt idx="7">
                  <c:v>0.81227260087866759</c:v>
                </c:pt>
                <c:pt idx="8">
                  <c:v>1.0580830288623302</c:v>
                </c:pt>
                <c:pt idx="9">
                  <c:v>1.2039039851845399</c:v>
                </c:pt>
                <c:pt idx="10">
                  <c:v>1.3379537775651591</c:v>
                </c:pt>
                <c:pt idx="11">
                  <c:v>1.4741105963517336</c:v>
                </c:pt>
                <c:pt idx="12">
                  <c:v>1.6096813315348533</c:v>
                </c:pt>
                <c:pt idx="13">
                  <c:v>1.744684799044562</c:v>
                </c:pt>
                <c:pt idx="14">
                  <c:v>1.8791389389999957</c:v>
                </c:pt>
                <c:pt idx="15">
                  <c:v>2.01306086622168</c:v>
                </c:pt>
                <c:pt idx="16">
                  <c:v>2.1464669172839614</c:v>
                </c:pt>
                <c:pt idx="17">
                  <c:v>2.2793726943857249</c:v>
                </c:pt>
                <c:pt idx="18">
                  <c:v>2.4117931062886493</c:v>
                </c:pt>
                <c:pt idx="19">
                  <c:v>2.5437424065411571</c:v>
                </c:pt>
                <c:pt idx="20">
                  <c:v>2.6752342292070956</c:v>
                </c:pt>
                <c:pt idx="21">
                  <c:v>2.8062816222779889</c:v>
                </c:pt>
                <c:pt idx="22">
                  <c:v>2.9368970789466413</c:v>
                </c:pt>
                <c:pt idx="23">
                  <c:v>3.0670925669000537</c:v>
                </c:pt>
                <c:pt idx="24">
                  <c:v>3.1968795557719969</c:v>
                </c:pt>
                <c:pt idx="25">
                  <c:v>3.3262690428976329</c:v>
                </c:pt>
                <c:pt idx="26">
                  <c:v>3.4552715774809908</c:v>
                </c:pt>
                <c:pt idx="27">
                  <c:v>3.5838972832959408</c:v>
                </c:pt>
              </c:numCache>
            </c:numRef>
          </c:val>
          <c:smooth val="0"/>
        </c:ser>
        <c:dLbls>
          <c:showLegendKey val="0"/>
          <c:showVal val="0"/>
          <c:showCatName val="0"/>
          <c:showSerName val="0"/>
          <c:showPercent val="0"/>
          <c:showBubbleSize val="0"/>
        </c:dLbls>
        <c:marker val="1"/>
        <c:smooth val="0"/>
        <c:axId val="576497464"/>
        <c:axId val="576497856"/>
      </c:lineChart>
      <c:catAx>
        <c:axId val="576497464"/>
        <c:scaling>
          <c:orientation val="minMax"/>
        </c:scaling>
        <c:delete val="0"/>
        <c:axPos val="b"/>
        <c:numFmt formatCode="General" sourceLinked="1"/>
        <c:majorTickMark val="none"/>
        <c:minorTickMark val="none"/>
        <c:tickLblPos val="nextTo"/>
        <c:txPr>
          <a:bodyPr rot="4080000"/>
          <a:lstStyle/>
          <a:p>
            <a:pPr>
              <a:defRPr lang="en-US"/>
            </a:pPr>
            <a:endParaRPr lang="id-ID"/>
          </a:p>
        </c:txPr>
        <c:crossAx val="576497856"/>
        <c:crosses val="autoZero"/>
        <c:auto val="1"/>
        <c:lblAlgn val="ctr"/>
        <c:lblOffset val="100"/>
        <c:noMultiLvlLbl val="0"/>
      </c:catAx>
      <c:valAx>
        <c:axId val="576497856"/>
        <c:scaling>
          <c:orientation val="minMax"/>
        </c:scaling>
        <c:delete val="0"/>
        <c:axPos val="l"/>
        <c:majorGridlines/>
        <c:title>
          <c:tx>
            <c:rich>
              <a:bodyPr/>
              <a:lstStyle/>
              <a:p>
                <a:pPr>
                  <a:defRPr lang="en-US"/>
                </a:pPr>
                <a:r>
                  <a:rPr lang="en-US"/>
                  <a:t> Ribu </a:t>
                </a:r>
                <a:r>
                  <a:rPr lang="id-ID"/>
                  <a:t>ton </a:t>
                </a:r>
                <a:r>
                  <a:rPr lang="id-ID" sz="1000" b="1" i="0" u="none" strike="noStrike" baseline="0"/>
                  <a:t>N2O</a:t>
                </a:r>
                <a:r>
                  <a:rPr lang="id-ID"/>
                  <a:t>/tahun</a:t>
                </a:r>
              </a:p>
            </c:rich>
          </c:tx>
          <c:layout>
            <c:manualLayout>
              <c:xMode val="edge"/>
              <c:yMode val="edge"/>
              <c:x val="2.0559787936527299E-3"/>
              <c:y val="0.3525995280001763"/>
            </c:manualLayout>
          </c:layout>
          <c:overlay val="0"/>
        </c:title>
        <c:numFmt formatCode="_(* #,##0.00_);_(* \(#,##0.00\);_(* &quot;-&quot;??_);_(@_)" sourceLinked="0"/>
        <c:majorTickMark val="none"/>
        <c:minorTickMark val="none"/>
        <c:tickLblPos val="nextTo"/>
        <c:txPr>
          <a:bodyPr/>
          <a:lstStyle/>
          <a:p>
            <a:pPr>
              <a:defRPr lang="en-US"/>
            </a:pPr>
            <a:endParaRPr lang="id-ID"/>
          </a:p>
        </c:txPr>
        <c:crossAx val="576497464"/>
        <c:crosses val="autoZero"/>
        <c:crossBetween val="between"/>
        <c:majorUnit val="0.2"/>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sz="1400"/>
          </a:pPr>
          <a:endParaRPr lang="id-ID"/>
        </a:p>
      </c:txPr>
    </c:title>
    <c:autoTitleDeleted val="0"/>
    <c:plotArea>
      <c:layout>
        <c:manualLayout>
          <c:layoutTarget val="inner"/>
          <c:xMode val="edge"/>
          <c:yMode val="edge"/>
          <c:x val="0.10614968849463262"/>
          <c:y val="0.15404806945401475"/>
          <c:w val="0.87756864691504788"/>
          <c:h val="0.72797038787486412"/>
        </c:manualLayout>
      </c:layout>
      <c:lineChart>
        <c:grouping val="standard"/>
        <c:varyColors val="0"/>
        <c:ser>
          <c:idx val="0"/>
          <c:order val="0"/>
          <c:tx>
            <c:strRef>
              <c:f>'Direct N2O'!$L$10:$L$12</c:f>
              <c:strCache>
                <c:ptCount val="3"/>
                <c:pt idx="0">
                  <c:v>Emisi Langsung N2O dari pemakaian pupuk</c:v>
                </c:pt>
              </c:strCache>
            </c:strRef>
          </c:tx>
          <c:cat>
            <c:numRef>
              <c:f>'Direct N2O'!$B$73:$B$100</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'Direct N2O'!$L$15:$L$42</c:f>
              <c:numCache>
                <c:formatCode>_(* #,##0_);_(* \(#,##0\);_(* "-"??_);_(@_)</c:formatCode>
                <c:ptCount val="28"/>
                <c:pt idx="0">
                  <c:v>2983.800475950326</c:v>
                </c:pt>
                <c:pt idx="1">
                  <c:v>2548.3884294769541</c:v>
                </c:pt>
                <c:pt idx="2">
                  <c:v>2911.678257788878</c:v>
                </c:pt>
                <c:pt idx="3">
                  <c:v>3226.6808234990613</c:v>
                </c:pt>
                <c:pt idx="4">
                  <c:v>3232.621803335905</c:v>
                </c:pt>
                <c:pt idx="5">
                  <c:v>3117.513623180193</c:v>
                </c:pt>
                <c:pt idx="6">
                  <c:v>3121.5513012944029</c:v>
                </c:pt>
                <c:pt idx="7">
                  <c:v>3084.0061551612698</c:v>
                </c:pt>
                <c:pt idx="8">
                  <c:v>3426.1580492141702</c:v>
                </c:pt>
                <c:pt idx="9">
                  <c:v>3516.9378327928289</c:v>
                </c:pt>
                <c:pt idx="10">
                  <c:v>3635.1663446466282</c:v>
                </c:pt>
                <c:pt idx="11">
                  <c:v>3694.4370987871766</c:v>
                </c:pt>
                <c:pt idx="12">
                  <c:v>3753.7088342604748</c:v>
                </c:pt>
                <c:pt idx="13">
                  <c:v>3812.9815115334159</c:v>
                </c:pt>
                <c:pt idx="14">
                  <c:v>3872.2550928640881</c:v>
                </c:pt>
                <c:pt idx="15">
                  <c:v>3931.5295422019235</c:v>
                </c:pt>
                <c:pt idx="16">
                  <c:v>3990.8048250944394</c:v>
                </c:pt>
                <c:pt idx="17">
                  <c:v>4050.08090860008</c:v>
                </c:pt>
                <c:pt idx="18">
                  <c:v>4109.357761206712</c:v>
                </c:pt>
                <c:pt idx="19">
                  <c:v>4168.6353527553119</c:v>
                </c:pt>
                <c:pt idx="20">
                  <c:v>4227.9136543685145</c:v>
                </c:pt>
                <c:pt idx="21">
                  <c:v>4287.1926383836208</c:v>
                </c:pt>
                <c:pt idx="22">
                  <c:v>4346.4722782897688</c:v>
                </c:pt>
                <c:pt idx="23">
                  <c:v>4405.7525486689701</c:v>
                </c:pt>
                <c:pt idx="24">
                  <c:v>4465.0334251407075</c:v>
                </c:pt>
                <c:pt idx="25">
                  <c:v>4524.3148843098988</c:v>
                </c:pt>
                <c:pt idx="26">
                  <c:v>4583.5969037179293</c:v>
                </c:pt>
                <c:pt idx="27">
                  <c:v>4642.8794617965941</c:v>
                </c:pt>
              </c:numCache>
            </c:numRef>
          </c:val>
          <c:smooth val="0"/>
        </c:ser>
        <c:dLbls>
          <c:showLegendKey val="0"/>
          <c:showVal val="0"/>
          <c:showCatName val="0"/>
          <c:showSerName val="0"/>
          <c:showPercent val="0"/>
          <c:showBubbleSize val="0"/>
        </c:dLbls>
        <c:marker val="1"/>
        <c:smooth val="0"/>
        <c:axId val="479649208"/>
        <c:axId val="479649600"/>
      </c:lineChart>
      <c:catAx>
        <c:axId val="479649208"/>
        <c:scaling>
          <c:orientation val="minMax"/>
        </c:scaling>
        <c:delete val="0"/>
        <c:axPos val="b"/>
        <c:numFmt formatCode="General" sourceLinked="1"/>
        <c:majorTickMark val="none"/>
        <c:minorTickMark val="none"/>
        <c:tickLblPos val="nextTo"/>
        <c:txPr>
          <a:bodyPr rot="4080000"/>
          <a:lstStyle/>
          <a:p>
            <a:pPr>
              <a:defRPr lang="en-US"/>
            </a:pPr>
            <a:endParaRPr lang="id-ID"/>
          </a:p>
        </c:txPr>
        <c:crossAx val="479649600"/>
        <c:crosses val="autoZero"/>
        <c:auto val="1"/>
        <c:lblAlgn val="ctr"/>
        <c:lblOffset val="100"/>
        <c:noMultiLvlLbl val="0"/>
      </c:catAx>
      <c:valAx>
        <c:axId val="479649600"/>
        <c:scaling>
          <c:orientation val="minMax"/>
        </c:scaling>
        <c:delete val="0"/>
        <c:axPos val="l"/>
        <c:majorGridlines/>
        <c:title>
          <c:tx>
            <c:rich>
              <a:bodyPr/>
              <a:lstStyle/>
              <a:p>
                <a:pPr>
                  <a:defRPr lang="en-US"/>
                </a:pPr>
                <a:r>
                  <a:rPr lang="en-US"/>
                  <a:t> T</a:t>
                </a:r>
                <a:r>
                  <a:rPr lang="id-ID"/>
                  <a:t>on N2O/tahun</a:t>
                </a:r>
              </a:p>
            </c:rich>
          </c:tx>
          <c:layout>
            <c:manualLayout>
              <c:xMode val="edge"/>
              <c:yMode val="edge"/>
              <c:x val="2.0559787936527299E-3"/>
              <c:y val="0.3525995280001763"/>
            </c:manualLayout>
          </c:layout>
          <c:overlay val="0"/>
        </c:title>
        <c:numFmt formatCode="_(* #,##0_);_(* \(#,##0\);_(* &quot;-&quot;_);_(@_)" sourceLinked="0"/>
        <c:majorTickMark val="none"/>
        <c:minorTickMark val="none"/>
        <c:tickLblPos val="nextTo"/>
        <c:txPr>
          <a:bodyPr/>
          <a:lstStyle/>
          <a:p>
            <a:pPr>
              <a:defRPr lang="en-US"/>
            </a:pPr>
            <a:endParaRPr lang="id-ID"/>
          </a:p>
        </c:txPr>
        <c:crossAx val="479649208"/>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sz="1400"/>
          </a:pPr>
          <a:endParaRPr lang="id-ID"/>
        </a:p>
      </c:txPr>
    </c:title>
    <c:autoTitleDeleted val="0"/>
    <c:plotArea>
      <c:layout>
        <c:manualLayout>
          <c:layoutTarget val="inner"/>
          <c:xMode val="edge"/>
          <c:yMode val="edge"/>
          <c:x val="0.10614968849463262"/>
          <c:y val="0.15404806945401475"/>
          <c:w val="0.87756864691504788"/>
          <c:h val="0.72797038787486412"/>
        </c:manualLayout>
      </c:layout>
      <c:lineChart>
        <c:grouping val="standard"/>
        <c:varyColors val="0"/>
        <c:ser>
          <c:idx val="0"/>
          <c:order val="0"/>
          <c:tx>
            <c:strRef>
              <c:f>'Direct N2O'!$L$10:$L$12</c:f>
              <c:strCache>
                <c:ptCount val="3"/>
                <c:pt idx="0">
                  <c:v>Emisi Langsung N2O dari pemakaian pupuk</c:v>
                </c:pt>
              </c:strCache>
            </c:strRef>
          </c:tx>
          <c:cat>
            <c:numRef>
              <c:f>'Direct N2O'!$B$73:$B$100</c:f>
              <c:numCache>
                <c:formatCode>General</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'Direct N2O'!$M$15:$M$42</c:f>
              <c:numCache>
                <c:formatCode>_(* #,##0.00_);_(* \(#,##0.00\);_(* "-"??_);_(@_)</c:formatCode>
                <c:ptCount val="28"/>
                <c:pt idx="0">
                  <c:v>2.9838004759503258</c:v>
                </c:pt>
                <c:pt idx="1">
                  <c:v>2.5483884294769541</c:v>
                </c:pt>
                <c:pt idx="2">
                  <c:v>2.911678257788878</c:v>
                </c:pt>
                <c:pt idx="3">
                  <c:v>3.2266808234990614</c:v>
                </c:pt>
                <c:pt idx="4">
                  <c:v>3.2326218033359049</c:v>
                </c:pt>
                <c:pt idx="5">
                  <c:v>3.117513623180193</c:v>
                </c:pt>
                <c:pt idx="6">
                  <c:v>3.1215513012944029</c:v>
                </c:pt>
                <c:pt idx="7">
                  <c:v>3.0840061551612696</c:v>
                </c:pt>
                <c:pt idx="8">
                  <c:v>3.4261580492141701</c:v>
                </c:pt>
                <c:pt idx="9">
                  <c:v>3.5169378327928289</c:v>
                </c:pt>
                <c:pt idx="10">
                  <c:v>3.635166344646628</c:v>
                </c:pt>
                <c:pt idx="11">
                  <c:v>3.6944370987871769</c:v>
                </c:pt>
                <c:pt idx="12">
                  <c:v>3.753708834260475</c:v>
                </c:pt>
                <c:pt idx="13">
                  <c:v>3.8129815115334158</c:v>
                </c:pt>
                <c:pt idx="14">
                  <c:v>3.872255092864088</c:v>
                </c:pt>
                <c:pt idx="15">
                  <c:v>3.9315295422019236</c:v>
                </c:pt>
                <c:pt idx="16">
                  <c:v>3.9908048250944392</c:v>
                </c:pt>
                <c:pt idx="17">
                  <c:v>4.05008090860008</c:v>
                </c:pt>
                <c:pt idx="18">
                  <c:v>4.109357761206712</c:v>
                </c:pt>
                <c:pt idx="19">
                  <c:v>4.1686353527553122</c:v>
                </c:pt>
                <c:pt idx="20">
                  <c:v>4.2279136543685141</c:v>
                </c:pt>
                <c:pt idx="21">
                  <c:v>4.2871926383836207</c:v>
                </c:pt>
                <c:pt idx="22">
                  <c:v>4.3464722782897685</c:v>
                </c:pt>
                <c:pt idx="23">
                  <c:v>4.4057525486689704</c:v>
                </c:pt>
                <c:pt idx="24">
                  <c:v>4.4650334251407076</c:v>
                </c:pt>
                <c:pt idx="25">
                  <c:v>4.5243148843098986</c:v>
                </c:pt>
                <c:pt idx="26">
                  <c:v>4.5835969037179289</c:v>
                </c:pt>
                <c:pt idx="27">
                  <c:v>4.6428794617965945</c:v>
                </c:pt>
              </c:numCache>
            </c:numRef>
          </c:val>
          <c:smooth val="0"/>
        </c:ser>
        <c:dLbls>
          <c:showLegendKey val="0"/>
          <c:showVal val="0"/>
          <c:showCatName val="0"/>
          <c:showSerName val="0"/>
          <c:showPercent val="0"/>
          <c:showBubbleSize val="0"/>
        </c:dLbls>
        <c:marker val="1"/>
        <c:smooth val="0"/>
        <c:axId val="479650384"/>
        <c:axId val="479650776"/>
      </c:lineChart>
      <c:catAx>
        <c:axId val="479650384"/>
        <c:scaling>
          <c:orientation val="minMax"/>
        </c:scaling>
        <c:delete val="0"/>
        <c:axPos val="b"/>
        <c:numFmt formatCode="General" sourceLinked="1"/>
        <c:majorTickMark val="none"/>
        <c:minorTickMark val="none"/>
        <c:tickLblPos val="nextTo"/>
        <c:txPr>
          <a:bodyPr rot="4080000"/>
          <a:lstStyle/>
          <a:p>
            <a:pPr>
              <a:defRPr lang="en-US"/>
            </a:pPr>
            <a:endParaRPr lang="id-ID"/>
          </a:p>
        </c:txPr>
        <c:crossAx val="479650776"/>
        <c:crosses val="autoZero"/>
        <c:auto val="1"/>
        <c:lblAlgn val="ctr"/>
        <c:lblOffset val="100"/>
        <c:noMultiLvlLbl val="0"/>
      </c:catAx>
      <c:valAx>
        <c:axId val="479650776"/>
        <c:scaling>
          <c:orientation val="minMax"/>
        </c:scaling>
        <c:delete val="0"/>
        <c:axPos val="l"/>
        <c:majorGridlines/>
        <c:title>
          <c:tx>
            <c:rich>
              <a:bodyPr/>
              <a:lstStyle/>
              <a:p>
                <a:pPr>
                  <a:defRPr lang="en-US"/>
                </a:pPr>
                <a:r>
                  <a:rPr lang="en-US"/>
                  <a:t> Ribu T</a:t>
                </a:r>
                <a:r>
                  <a:rPr lang="id-ID"/>
                  <a:t>on N2O/tahun</a:t>
                </a:r>
              </a:p>
            </c:rich>
          </c:tx>
          <c:layout>
            <c:manualLayout>
              <c:xMode val="edge"/>
              <c:yMode val="edge"/>
              <c:x val="2.0559787936527299E-3"/>
              <c:y val="0.3525995280001763"/>
            </c:manualLayout>
          </c:layout>
          <c:overlay val="0"/>
        </c:title>
        <c:numFmt formatCode="_(* #,##0.00_);_(* \(#,##0.00\);_(* &quot;-&quot;??_);_(@_)" sourceLinked="0"/>
        <c:majorTickMark val="none"/>
        <c:minorTickMark val="none"/>
        <c:tickLblPos val="nextTo"/>
        <c:txPr>
          <a:bodyPr/>
          <a:lstStyle/>
          <a:p>
            <a:pPr>
              <a:defRPr lang="en-US"/>
            </a:pPr>
            <a:endParaRPr lang="id-ID"/>
          </a:p>
        </c:txPr>
        <c:crossAx val="479650384"/>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800" b="1" i="0" u="none" strike="noStrike" baseline="0"/>
              <a:t>Rekapitulasi BaU  Baseline Sektor Pertanian</a:t>
            </a:r>
            <a:endParaRPr lang="id-ID"/>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'Perhitungan ke CO2-eq'!$A$16</c:f>
              <c:strCache>
                <c:ptCount val="1"/>
                <c:pt idx="0">
                  <c:v>Emisi CH4 dari lahan sawah</c:v>
                </c:pt>
              </c:strCache>
            </c:strRef>
          </c:tx>
          <c:invertIfNegative val="0"/>
          <c:cat>
            <c:numRef>
              <c:f>'Perhitungan ke CO2-eq'!$C$15:$AD$15</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'Perhitungan ke CO2-eq'!$C$16:$AD$16</c:f>
              <c:numCache>
                <c:formatCode>#,##0</c:formatCode>
                <c:ptCount val="28"/>
                <c:pt idx="0">
                  <c:v>1588353.0213600001</c:v>
                </c:pt>
                <c:pt idx="1">
                  <c:v>1824281.3332799997</c:v>
                </c:pt>
                <c:pt idx="2">
                  <c:v>1843607.9944799999</c:v>
                </c:pt>
                <c:pt idx="3">
                  <c:v>1749543.2841599998</c:v>
                </c:pt>
                <c:pt idx="4">
                  <c:v>1778183.4369600001</c:v>
                </c:pt>
                <c:pt idx="5">
                  <c:v>1752713.0846400002</c:v>
                </c:pt>
                <c:pt idx="6">
                  <c:v>1892080.6497600002</c:v>
                </c:pt>
                <c:pt idx="7">
                  <c:v>1974619.84944</c:v>
                </c:pt>
                <c:pt idx="8">
                  <c:v>2015167.5428266667</c:v>
                </c:pt>
                <c:pt idx="9">
                  <c:v>2035441.3895200002</c:v>
                </c:pt>
                <c:pt idx="10">
                  <c:v>2055715.2362133332</c:v>
                </c:pt>
                <c:pt idx="11">
                  <c:v>2075989.0829066667</c:v>
                </c:pt>
                <c:pt idx="12">
                  <c:v>2096262.9295999999</c:v>
                </c:pt>
                <c:pt idx="13">
                  <c:v>2116536.7762933336</c:v>
                </c:pt>
                <c:pt idx="14">
                  <c:v>2136810.6229866664</c:v>
                </c:pt>
                <c:pt idx="15">
                  <c:v>2157084.4696800001</c:v>
                </c:pt>
                <c:pt idx="16">
                  <c:v>2177358.3163733333</c:v>
                </c:pt>
                <c:pt idx="17">
                  <c:v>2197632.1630666666</c:v>
                </c:pt>
                <c:pt idx="18">
                  <c:v>2217906.0097600003</c:v>
                </c:pt>
                <c:pt idx="19">
                  <c:v>2238179.8564533331</c:v>
                </c:pt>
                <c:pt idx="20">
                  <c:v>2258453.7031466668</c:v>
                </c:pt>
                <c:pt idx="21">
                  <c:v>2278727.54984</c:v>
                </c:pt>
                <c:pt idx="22">
                  <c:v>2299001.3965333332</c:v>
                </c:pt>
                <c:pt idx="23">
                  <c:v>2319275.2432266665</c:v>
                </c:pt>
                <c:pt idx="24">
                  <c:v>2339549.0899200002</c:v>
                </c:pt>
                <c:pt idx="25">
                  <c:v>2359822.9366133339</c:v>
                </c:pt>
                <c:pt idx="26">
                  <c:v>2380096.7833066662</c:v>
                </c:pt>
                <c:pt idx="27">
                  <c:v>2400370.6300000004</c:v>
                </c:pt>
              </c:numCache>
            </c:numRef>
          </c:val>
        </c:ser>
        <c:ser>
          <c:idx val="1"/>
          <c:order val="1"/>
          <c:tx>
            <c:strRef>
              <c:f>'Perhitungan ke CO2-eq'!$A$17</c:f>
              <c:strCache>
                <c:ptCount val="1"/>
                <c:pt idx="0">
                  <c:v>Peternakan CH4 (entetik dan manure)</c:v>
                </c:pt>
              </c:strCache>
            </c:strRef>
          </c:tx>
          <c:invertIfNegative val="0"/>
          <c:cat>
            <c:numRef>
              <c:f>'Perhitungan ke CO2-eq'!$C$15:$AD$15</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'Perhitungan ke CO2-eq'!$C$17:$AD$17</c:f>
              <c:numCache>
                <c:formatCode>#,##0</c:formatCode>
                <c:ptCount val="28"/>
                <c:pt idx="0">
                  <c:v>1134427.86072</c:v>
                </c:pt>
                <c:pt idx="1">
                  <c:v>1208627.0207200001</c:v>
                </c:pt>
                <c:pt idx="2">
                  <c:v>1203348.9426720787</c:v>
                </c:pt>
                <c:pt idx="3">
                  <c:v>1309907.2367500002</c:v>
                </c:pt>
                <c:pt idx="4">
                  <c:v>1400528.2478599998</c:v>
                </c:pt>
                <c:pt idx="5">
                  <c:v>1535377.0772899997</c:v>
                </c:pt>
                <c:pt idx="6">
                  <c:v>1640503.4036999999</c:v>
                </c:pt>
                <c:pt idx="7">
                  <c:v>1737583.8514299993</c:v>
                </c:pt>
                <c:pt idx="8">
                  <c:v>1756156.8313317448</c:v>
                </c:pt>
                <c:pt idx="9">
                  <c:v>1833675.6020185475</c:v>
                </c:pt>
                <c:pt idx="10">
                  <c:v>1911194.3736386863</c:v>
                </c:pt>
                <c:pt idx="11">
                  <c:v>1988713.1461918973</c:v>
                </c:pt>
                <c:pt idx="12">
                  <c:v>2066231.9196779155</c:v>
                </c:pt>
                <c:pt idx="13">
                  <c:v>2143750.6940964763</c:v>
                </c:pt>
                <c:pt idx="14">
                  <c:v>2221269.4694473152</c:v>
                </c:pt>
                <c:pt idx="15">
                  <c:v>2298788.2457301687</c:v>
                </c:pt>
                <c:pt idx="16">
                  <c:v>2376307.0229447708</c:v>
                </c:pt>
                <c:pt idx="17">
                  <c:v>2453825.801090857</c:v>
                </c:pt>
                <c:pt idx="18">
                  <c:v>2531344.5801681667</c:v>
                </c:pt>
                <c:pt idx="19">
                  <c:v>2608863.3601764305</c:v>
                </c:pt>
                <c:pt idx="20">
                  <c:v>2686382.1411153884</c:v>
                </c:pt>
                <c:pt idx="21">
                  <c:v>2763900.9229847747</c:v>
                </c:pt>
                <c:pt idx="22">
                  <c:v>2841419.7057843255</c:v>
                </c:pt>
                <c:pt idx="23">
                  <c:v>2918938.4895137767</c:v>
                </c:pt>
                <c:pt idx="24">
                  <c:v>2996457.2741728639</c:v>
                </c:pt>
                <c:pt idx="25">
                  <c:v>3073976.0597613263</c:v>
                </c:pt>
                <c:pt idx="26">
                  <c:v>3151494.846278898</c:v>
                </c:pt>
                <c:pt idx="27">
                  <c:v>3229013.6337253163</c:v>
                </c:pt>
              </c:numCache>
            </c:numRef>
          </c:val>
        </c:ser>
        <c:ser>
          <c:idx val="2"/>
          <c:order val="2"/>
          <c:tx>
            <c:strRef>
              <c:f>'Perhitungan ke CO2-eq'!$A$18</c:f>
              <c:strCache>
                <c:ptCount val="1"/>
                <c:pt idx="0">
                  <c:v>Peternakan N2O (manure management)</c:v>
                </c:pt>
              </c:strCache>
            </c:strRef>
          </c:tx>
          <c:invertIfNegative val="0"/>
          <c:cat>
            <c:numRef>
              <c:f>'Perhitungan ke CO2-eq'!$C$15:$AD$15</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'Perhitungan ke CO2-eq'!$C$18:$AD$18</c:f>
              <c:numCache>
                <c:formatCode>#,##0</c:formatCode>
                <c:ptCount val="28"/>
                <c:pt idx="0">
                  <c:v>16665.384282980278</c:v>
                </c:pt>
                <c:pt idx="1">
                  <c:v>18142.206669065828</c:v>
                </c:pt>
                <c:pt idx="2">
                  <c:v>18205.85694864114</c:v>
                </c:pt>
                <c:pt idx="3">
                  <c:v>20001.084536471699</c:v>
                </c:pt>
                <c:pt idx="4">
                  <c:v>21520.507531238876</c:v>
                </c:pt>
                <c:pt idx="5">
                  <c:v>24019.936813567609</c:v>
                </c:pt>
                <c:pt idx="6">
                  <c:v>25964.984025683592</c:v>
                </c:pt>
                <c:pt idx="7">
                  <c:v>27969.821523792376</c:v>
                </c:pt>
                <c:pt idx="8">
                  <c:v>28146.72990559649</c:v>
                </c:pt>
                <c:pt idx="9">
                  <c:v>29568.912689066372</c:v>
                </c:pt>
                <c:pt idx="10">
                  <c:v>30991.095534828899</c:v>
                </c:pt>
                <c:pt idx="11">
                  <c:v>32413.278442866387</c:v>
                </c:pt>
                <c:pt idx="12">
                  <c:v>33835.461413161174</c:v>
                </c:pt>
                <c:pt idx="13">
                  <c:v>35257.644445695594</c:v>
                </c:pt>
                <c:pt idx="14">
                  <c:v>36679.827540452003</c:v>
                </c:pt>
                <c:pt idx="15">
                  <c:v>38102.010697412756</c:v>
                </c:pt>
                <c:pt idx="16">
                  <c:v>39524.193916560194</c:v>
                </c:pt>
                <c:pt idx="17">
                  <c:v>40946.377197876653</c:v>
                </c:pt>
                <c:pt idx="18">
                  <c:v>42368.560541344566</c:v>
                </c:pt>
                <c:pt idx="19">
                  <c:v>43790.74394694627</c:v>
                </c:pt>
                <c:pt idx="20">
                  <c:v>45212.927414664089</c:v>
                </c:pt>
                <c:pt idx="21">
                  <c:v>46635.110944480446</c:v>
                </c:pt>
                <c:pt idx="22">
                  <c:v>48057.294536377747</c:v>
                </c:pt>
                <c:pt idx="23">
                  <c:v>49479.478190338355</c:v>
                </c:pt>
                <c:pt idx="24">
                  <c:v>50901.661906344678</c:v>
                </c:pt>
                <c:pt idx="25">
                  <c:v>52323.845684379092</c:v>
                </c:pt>
                <c:pt idx="26">
                  <c:v>53746.029524424026</c:v>
                </c:pt>
                <c:pt idx="27">
                  <c:v>55168.213426461873</c:v>
                </c:pt>
              </c:numCache>
            </c:numRef>
          </c:val>
        </c:ser>
        <c:ser>
          <c:idx val="3"/>
          <c:order val="3"/>
          <c:tx>
            <c:strRef>
              <c:f>'Perhitungan ke CO2-eq'!$A$19</c:f>
              <c:strCache>
                <c:ptCount val="1"/>
                <c:pt idx="0">
                  <c:v>Pupuk Urea-CO2</c:v>
                </c:pt>
              </c:strCache>
            </c:strRef>
          </c:tx>
          <c:invertIfNegative val="0"/>
          <c:cat>
            <c:numRef>
              <c:f>'Perhitungan ke CO2-eq'!$C$15:$AD$15</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'Perhitungan ke CO2-eq'!$C$19:$AD$19</c:f>
              <c:numCache>
                <c:formatCode>#,##0.0</c:formatCode>
                <c:ptCount val="28"/>
                <c:pt idx="0">
                  <c:v>8.8002000000000002</c:v>
                </c:pt>
                <c:pt idx="1">
                  <c:v>15.820200000000002</c:v>
                </c:pt>
                <c:pt idx="2">
                  <c:v>11.661</c:v>
                </c:pt>
                <c:pt idx="3">
                  <c:v>13.436</c:v>
                </c:pt>
                <c:pt idx="4">
                  <c:v>140.06960000000001</c:v>
                </c:pt>
                <c:pt idx="5">
                  <c:v>142.03380000000001</c:v>
                </c:pt>
                <c:pt idx="6">
                  <c:v>133.38436999999999</c:v>
                </c:pt>
                <c:pt idx="7">
                  <c:v>135.29859999999999</c:v>
                </c:pt>
                <c:pt idx="8">
                  <c:v>181.64033288712503</c:v>
                </c:pt>
                <c:pt idx="9">
                  <c:v>205.28492078876496</c:v>
                </c:pt>
                <c:pt idx="10">
                  <c:v>228.9177598263264</c:v>
                </c:pt>
                <c:pt idx="11">
                  <c:v>252.53886166996958</c:v>
                </c:pt>
                <c:pt idx="12">
                  <c:v>276.14823797235493</c:v>
                </c:pt>
                <c:pt idx="13">
                  <c:v>299.74590036892891</c:v>
                </c:pt>
                <c:pt idx="14">
                  <c:v>323.33186047763826</c:v>
                </c:pt>
                <c:pt idx="15">
                  <c:v>346.9061298993588</c:v>
                </c:pt>
                <c:pt idx="16">
                  <c:v>370.46872021760942</c:v>
                </c:pt>
                <c:pt idx="17">
                  <c:v>394.01964299860003</c:v>
                </c:pt>
                <c:pt idx="18">
                  <c:v>417.558909791708</c:v>
                </c:pt>
                <c:pt idx="19">
                  <c:v>441.08653212881086</c:v>
                </c:pt>
                <c:pt idx="20">
                  <c:v>464.6025215248585</c:v>
                </c:pt>
                <c:pt idx="21">
                  <c:v>488.1068894776821</c:v>
                </c:pt>
                <c:pt idx="22">
                  <c:v>511.59964746804241</c:v>
                </c:pt>
                <c:pt idx="23">
                  <c:v>535.08080695986746</c:v>
                </c:pt>
                <c:pt idx="24">
                  <c:v>558.55037939982424</c:v>
                </c:pt>
                <c:pt idx="25">
                  <c:v>582.00837621793744</c:v>
                </c:pt>
                <c:pt idx="26">
                  <c:v>605.45480882716174</c:v>
                </c:pt>
                <c:pt idx="27">
                  <c:v>628.88968862357137</c:v>
                </c:pt>
              </c:numCache>
            </c:numRef>
          </c:val>
        </c:ser>
        <c:ser>
          <c:idx val="4"/>
          <c:order val="4"/>
          <c:tx>
            <c:strRef>
              <c:f>'Perhitungan ke CO2-eq'!$A$21</c:f>
              <c:strCache>
                <c:ptCount val="1"/>
                <c:pt idx="0">
                  <c:v>N2O Langsung dari pemakaian pupuk </c:v>
                </c:pt>
              </c:strCache>
            </c:strRef>
          </c:tx>
          <c:invertIfNegative val="0"/>
          <c:cat>
            <c:numRef>
              <c:f>'Perhitungan ke CO2-eq'!$C$15:$AD$15</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pt idx="20">
                  <c:v>2023</c:v>
                </c:pt>
                <c:pt idx="21">
                  <c:v>2024</c:v>
                </c:pt>
                <c:pt idx="22">
                  <c:v>2025</c:v>
                </c:pt>
                <c:pt idx="23">
                  <c:v>2026</c:v>
                </c:pt>
                <c:pt idx="24">
                  <c:v>2027</c:v>
                </c:pt>
                <c:pt idx="25">
                  <c:v>2028</c:v>
                </c:pt>
                <c:pt idx="26">
                  <c:v>2029</c:v>
                </c:pt>
                <c:pt idx="27">
                  <c:v>2030</c:v>
                </c:pt>
              </c:numCache>
            </c:numRef>
          </c:cat>
          <c:val>
            <c:numRef>
              <c:f>'Perhitungan ke CO2-eq'!$C$21:$AD$21</c:f>
              <c:numCache>
                <c:formatCode>#,##0</c:formatCode>
                <c:ptCount val="28"/>
                <c:pt idx="0">
                  <c:v>889172.54183319712</c:v>
                </c:pt>
                <c:pt idx="1">
                  <c:v>759419.75198413234</c:v>
                </c:pt>
                <c:pt idx="2">
                  <c:v>867680.12082108564</c:v>
                </c:pt>
                <c:pt idx="3">
                  <c:v>961550.88540272031</c:v>
                </c:pt>
                <c:pt idx="4">
                  <c:v>963321.29739409965</c:v>
                </c:pt>
                <c:pt idx="5">
                  <c:v>929019.05970769748</c:v>
                </c:pt>
                <c:pt idx="6">
                  <c:v>930222.28778573207</c:v>
                </c:pt>
                <c:pt idx="7">
                  <c:v>919033.83423805842</c:v>
                </c:pt>
                <c:pt idx="8">
                  <c:v>1020995.0986658228</c:v>
                </c:pt>
                <c:pt idx="9">
                  <c:v>1048047.4741722631</c:v>
                </c:pt>
                <c:pt idx="10">
                  <c:v>1083279.5707046953</c:v>
                </c:pt>
                <c:pt idx="11">
                  <c:v>1100942.2554385785</c:v>
                </c:pt>
                <c:pt idx="12">
                  <c:v>1118605.2326096215</c:v>
                </c:pt>
                <c:pt idx="13">
                  <c:v>1136268.4904369579</c:v>
                </c:pt>
                <c:pt idx="14">
                  <c:v>1153932.0176734983</c:v>
                </c:pt>
                <c:pt idx="15">
                  <c:v>1171595.8035761733</c:v>
                </c:pt>
                <c:pt idx="16">
                  <c:v>1189259.8378781429</c:v>
                </c:pt>
                <c:pt idx="17">
                  <c:v>1206924.1107628238</c:v>
                </c:pt>
                <c:pt idx="18">
                  <c:v>1224588.6128396001</c:v>
                </c:pt>
                <c:pt idx="19">
                  <c:v>1242253.3351210831</c:v>
                </c:pt>
                <c:pt idx="20">
                  <c:v>1259918.2690018173</c:v>
                </c:pt>
                <c:pt idx="21">
                  <c:v>1277583.4062383189</c:v>
                </c:pt>
                <c:pt idx="22">
                  <c:v>1295248.7389303511</c:v>
                </c:pt>
                <c:pt idx="23">
                  <c:v>1312914.2595033532</c:v>
                </c:pt>
                <c:pt idx="24">
                  <c:v>1330579.960691931</c:v>
                </c:pt>
                <c:pt idx="25">
                  <c:v>1348245.8355243499</c:v>
                </c:pt>
                <c:pt idx="26">
                  <c:v>1365911.8773079428</c:v>
                </c:pt>
                <c:pt idx="27">
                  <c:v>1383578.079615385</c:v>
                </c:pt>
              </c:numCache>
            </c:numRef>
          </c:val>
        </c:ser>
        <c:dLbls>
          <c:showLegendKey val="0"/>
          <c:showVal val="0"/>
          <c:showCatName val="0"/>
          <c:showSerName val="0"/>
          <c:showPercent val="0"/>
          <c:showBubbleSize val="0"/>
        </c:dLbls>
        <c:gapWidth val="95"/>
        <c:gapDepth val="95"/>
        <c:shape val="box"/>
        <c:axId val="479651560"/>
        <c:axId val="479651952"/>
        <c:axId val="0"/>
      </c:bar3DChart>
      <c:catAx>
        <c:axId val="479651560"/>
        <c:scaling>
          <c:orientation val="minMax"/>
        </c:scaling>
        <c:delete val="0"/>
        <c:axPos val="b"/>
        <c:numFmt formatCode="0" sourceLinked="1"/>
        <c:majorTickMark val="none"/>
        <c:minorTickMark val="none"/>
        <c:tickLblPos val="nextTo"/>
        <c:txPr>
          <a:bodyPr/>
          <a:lstStyle/>
          <a:p>
            <a:pPr>
              <a:defRPr lang="en-US"/>
            </a:pPr>
            <a:endParaRPr lang="id-ID"/>
          </a:p>
        </c:txPr>
        <c:crossAx val="479651952"/>
        <c:crosses val="autoZero"/>
        <c:auto val="1"/>
        <c:lblAlgn val="ctr"/>
        <c:lblOffset val="100"/>
        <c:noMultiLvlLbl val="0"/>
      </c:catAx>
      <c:valAx>
        <c:axId val="479651952"/>
        <c:scaling>
          <c:orientation val="minMax"/>
        </c:scaling>
        <c:delete val="0"/>
        <c:axPos val="l"/>
        <c:majorGridlines/>
        <c:title>
          <c:tx>
            <c:rich>
              <a:bodyPr/>
              <a:lstStyle/>
              <a:p>
                <a:pPr>
                  <a:defRPr lang="en-US"/>
                </a:pPr>
                <a:r>
                  <a:rPr lang="en-US" baseline="0"/>
                  <a:t>Ton </a:t>
                </a:r>
                <a:r>
                  <a:rPr lang="id-ID"/>
                  <a:t> CO2 e</a:t>
                </a:r>
                <a:r>
                  <a:rPr lang="en-US"/>
                  <a:t>q /tahun</a:t>
                </a:r>
                <a:endParaRPr lang="id-ID"/>
              </a:p>
            </c:rich>
          </c:tx>
          <c:layout>
            <c:manualLayout>
              <c:xMode val="edge"/>
              <c:yMode val="edge"/>
              <c:x val="6.9030919682838587E-2"/>
              <c:y val="0.3340068002863279"/>
            </c:manualLayout>
          </c:layout>
          <c:overlay val="0"/>
        </c:title>
        <c:numFmt formatCode="#,##0" sourceLinked="0"/>
        <c:majorTickMark val="none"/>
        <c:minorTickMark val="none"/>
        <c:tickLblPos val="nextTo"/>
        <c:txPr>
          <a:bodyPr/>
          <a:lstStyle/>
          <a:p>
            <a:pPr>
              <a:defRPr lang="en-US"/>
            </a:pPr>
            <a:endParaRPr lang="id-ID"/>
          </a:p>
        </c:txPr>
        <c:crossAx val="479651560"/>
        <c:crosses val="autoZero"/>
        <c:crossBetween val="between"/>
      </c:valAx>
      <c:dTable>
        <c:showHorzBorder val="1"/>
        <c:showVertBorder val="1"/>
        <c:showOutline val="1"/>
        <c:showKeys val="1"/>
        <c:txPr>
          <a:bodyPr/>
          <a:lstStyle/>
          <a:p>
            <a:pPr rtl="0">
              <a:defRPr lang="en-US" sz="600"/>
            </a:pPr>
            <a:endParaRPr lang="id-ID"/>
          </a:p>
        </c:txPr>
      </c:dTable>
    </c:plotArea>
    <c:plotVisOnly val="1"/>
    <c:dispBlanksAs val="gap"/>
    <c:showDLblsOverMax val="0"/>
  </c:chart>
  <c:printSettings>
    <c:headerFooter/>
    <c:pageMargins b="0.750000000000001" l="0.70000000000000062" r="0.70000000000000062" t="0.750000000000001" header="0.30000000000000032" footer="0.30000000000000032"/>
    <c:pageSetup paperSize="9" orientation="landscape" horizontalDpi="0"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200"/>
              <a:t>Prosentase emisi gas rumah</a:t>
            </a:r>
            <a:r>
              <a:rPr lang="en-US" sz="1200" baseline="0"/>
              <a:t> kaca sektor pertanian pada</a:t>
            </a:r>
            <a:r>
              <a:rPr lang="en-US" sz="1200"/>
              <a:t> Tahun</a:t>
            </a:r>
            <a:r>
              <a:rPr lang="en-US" sz="1200" baseline="0"/>
              <a:t> 2030 (Ton CO2 eq/tahun)</a:t>
            </a:r>
            <a:endParaRPr lang="en-US" sz="1200"/>
          </a:p>
        </c:rich>
      </c:tx>
      <c:layout>
        <c:manualLayout>
          <c:xMode val="edge"/>
          <c:yMode val="edge"/>
          <c:x val="0.18929962192332403"/>
          <c:y val="2.3927462913778234E-2"/>
        </c:manualLayout>
      </c:layout>
      <c:overlay val="1"/>
    </c:title>
    <c:autoTitleDeleted val="0"/>
    <c:plotArea>
      <c:layout>
        <c:manualLayout>
          <c:layoutTarget val="inner"/>
          <c:xMode val="edge"/>
          <c:yMode val="edge"/>
          <c:x val="0.34663120585771506"/>
          <c:y val="0.36596231509285659"/>
          <c:w val="0.47601695462146659"/>
          <c:h val="0.55638681054929051"/>
        </c:manualLayout>
      </c:layout>
      <c:pieChart>
        <c:varyColors val="1"/>
        <c:ser>
          <c:idx val="0"/>
          <c:order val="0"/>
          <c:dLbls>
            <c:dLbl>
              <c:idx val="0"/>
              <c:layout>
                <c:manualLayout>
                  <c:x val="-0.17815528954184884"/>
                  <c:y val="9.0793466927539451E-2"/>
                </c:manualLayout>
              </c:layout>
              <c:tx>
                <c:rich>
                  <a:bodyPr/>
                  <a:lstStyle/>
                  <a:p>
                    <a:r>
                      <a:rPr lang="en-US" b="1"/>
                      <a:t>Emisi CH4 dari lahan sawah
33.96%</a:t>
                    </a:r>
                  </a:p>
                </c:rich>
              </c:tx>
              <c:showLegendKey val="0"/>
              <c:showVal val="0"/>
              <c:showCatName val="1"/>
              <c:showSerName val="0"/>
              <c:showPercent val="1"/>
              <c:showBubbleSize val="0"/>
              <c:extLst>
                <c:ext xmlns:c15="http://schemas.microsoft.com/office/drawing/2012/chart" uri="{CE6537A1-D6FC-4f65-9D91-7224C49458BB}"/>
              </c:extLst>
            </c:dLbl>
            <c:dLbl>
              <c:idx val="1"/>
              <c:layout>
                <c:manualLayout>
                  <c:x val="0.16554577226964462"/>
                  <c:y val="-0.14839453874685521"/>
                </c:manualLayout>
              </c:layout>
              <c:tx>
                <c:rich>
                  <a:bodyPr/>
                  <a:lstStyle/>
                  <a:p>
                    <a:r>
                      <a:rPr lang="en-US" b="1"/>
                      <a:t>Peternakan CH4 (entetik dan manure)
45.68%</a:t>
                    </a:r>
                  </a:p>
                </c:rich>
              </c:tx>
              <c:showLegendKey val="0"/>
              <c:showVal val="0"/>
              <c:showCatName val="1"/>
              <c:showSerName val="0"/>
              <c:showPercent val="1"/>
              <c:showBubbleSize val="0"/>
              <c:extLst>
                <c:ext xmlns:c15="http://schemas.microsoft.com/office/drawing/2012/chart" uri="{CE6537A1-D6FC-4f65-9D91-7224C49458BB}"/>
              </c:extLst>
            </c:dLbl>
            <c:dLbl>
              <c:idx val="2"/>
              <c:layout>
                <c:manualLayout>
                  <c:x val="-0.12711950459049051"/>
                  <c:y val="0.19627146662836745"/>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14742641668434159"/>
                  <c:y val="-2.7921407914854798E-2"/>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21664794788539465"/>
                  <c:y val="-4.23379810866608E-2"/>
                </c:manualLayout>
              </c:layout>
              <c:showLegendKey val="0"/>
              <c:showVal val="0"/>
              <c:showCatName val="1"/>
              <c:showSerName val="0"/>
              <c:showPercent val="1"/>
              <c:showBubbleSize val="0"/>
              <c:extLst>
                <c:ext xmlns:c15="http://schemas.microsoft.com/office/drawing/2012/chart" uri="{CE6537A1-D6FC-4f65-9D91-7224C49458BB}"/>
              </c:extLst>
            </c:dLbl>
            <c:dLbl>
              <c:idx val="6"/>
              <c:layout>
                <c:manualLayout>
                  <c:x val="-0.22541551738669849"/>
                  <c:y val="4.187306009911191E-2"/>
                </c:manualLayout>
              </c:layout>
              <c:showLegendKey val="0"/>
              <c:showVal val="0"/>
              <c:showCatName val="1"/>
              <c:showSerName val="0"/>
              <c:showPercent val="1"/>
              <c:showBubbleSize val="0"/>
              <c:extLst>
                <c:ext xmlns:c15="http://schemas.microsoft.com/office/drawing/2012/chart" uri="{CE6537A1-D6FC-4f65-9D91-7224C49458BB}"/>
              </c:extLst>
            </c:dLbl>
            <c:numFmt formatCode="0.00%" sourceLinked="0"/>
            <c:spPr>
              <a:noFill/>
              <a:ln>
                <a:noFill/>
              </a:ln>
              <a:effectLst/>
            </c:spPr>
            <c:txPr>
              <a:bodyPr/>
              <a:lstStyle/>
              <a:p>
                <a:pPr>
                  <a:defRPr lang="en-US"/>
                </a:pPr>
                <a:endParaRPr lang="id-ID"/>
              </a:p>
            </c:txPr>
            <c:showLegendKey val="0"/>
            <c:showVal val="0"/>
            <c:showCatName val="1"/>
            <c:showSerName val="0"/>
            <c:showPercent val="1"/>
            <c:showBubbleSize val="0"/>
            <c:showLeaderLines val="1"/>
            <c:extLst>
              <c:ext xmlns:c15="http://schemas.microsoft.com/office/drawing/2012/chart" uri="{CE6537A1-D6FC-4f65-9D91-7224C49458BB}"/>
            </c:extLst>
          </c:dLbls>
          <c:cat>
            <c:strRef>
              <c:f>'Perhitungan ke CO2-eq'!$A$16:$A$22</c:f>
              <c:strCache>
                <c:ptCount val="5"/>
                <c:pt idx="0">
                  <c:v>Emisi CH4 dari lahan sawah</c:v>
                </c:pt>
                <c:pt idx="1">
                  <c:v>Peternakan CH4 (entetik dan manure)</c:v>
                </c:pt>
                <c:pt idx="2">
                  <c:v>Peternakan N2O (manure management)</c:v>
                </c:pt>
                <c:pt idx="3">
                  <c:v>Pupuk Urea-CO2</c:v>
                </c:pt>
                <c:pt idx="4">
                  <c:v>N2O Langsung dari pemakaian pupuk </c:v>
                </c:pt>
              </c:strCache>
            </c:strRef>
          </c:cat>
          <c:val>
            <c:numRef>
              <c:f>'Perhitungan ke CO2-eq'!$AD$16:$AD$22</c:f>
              <c:numCache>
                <c:formatCode>#,##0</c:formatCode>
                <c:ptCount val="5"/>
                <c:pt idx="0">
                  <c:v>2400370.6300000004</c:v>
                </c:pt>
                <c:pt idx="1">
                  <c:v>3229013.6337253163</c:v>
                </c:pt>
                <c:pt idx="2">
                  <c:v>55168.213426461873</c:v>
                </c:pt>
                <c:pt idx="3" formatCode="#,##0.0">
                  <c:v>628.88968862357137</c:v>
                </c:pt>
                <c:pt idx="4">
                  <c:v>1383578.079615385</c:v>
                </c:pt>
              </c:numCache>
            </c:numRef>
          </c:val>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id-ID" sz="1600" b="1" i="0" u="sng" strike="noStrike" baseline="0"/>
              <a:t>BaU baseline CH</a:t>
            </a:r>
            <a:r>
              <a:rPr lang="id-ID" sz="1600" b="1" i="0" u="sng" strike="noStrike" baseline="-25000"/>
              <a:t>4</a:t>
            </a:r>
            <a:r>
              <a:rPr lang="id-ID" sz="1600" b="1" i="0" u="sng" strike="noStrike" baseline="0"/>
              <a:t> dari fermentasi enterik dan kotoran ternak </a:t>
            </a:r>
            <a:endParaRPr lang="id-ID" sz="1600"/>
          </a:p>
        </c:rich>
      </c:tx>
      <c:overlay val="0"/>
    </c:title>
    <c:autoTitleDeleted val="0"/>
    <c:plotArea>
      <c:layout>
        <c:manualLayout>
          <c:layoutTarget val="inner"/>
          <c:xMode val="edge"/>
          <c:yMode val="edge"/>
          <c:x val="0.10531292027703602"/>
          <c:y val="9.8182167193631847E-2"/>
          <c:w val="0.88450714466227498"/>
          <c:h val="0.74576694199441418"/>
        </c:manualLayout>
      </c:layout>
      <c:lineChart>
        <c:grouping val="standard"/>
        <c:varyColors val="0"/>
        <c:ser>
          <c:idx val="0"/>
          <c:order val="0"/>
          <c:cat>
            <c:numRef>
              <c:f>'Peternakan-CH4'!$D$40:$AH$40</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'Peternakan-CH4'!$D$53:$AH$53</c:f>
              <c:numCache>
                <c:formatCode>#,##0</c:formatCode>
                <c:ptCount val="31"/>
                <c:pt idx="0">
                  <c:v>50176.369289999981</c:v>
                </c:pt>
                <c:pt idx="1">
                  <c:v>49978.419716666671</c:v>
                </c:pt>
                <c:pt idx="2">
                  <c:v>51657.739619999993</c:v>
                </c:pt>
                <c:pt idx="3">
                  <c:v>54020.374319999995</c:v>
                </c:pt>
                <c:pt idx="4">
                  <c:v>57553.667653333338</c:v>
                </c:pt>
                <c:pt idx="5">
                  <c:v>57302.330603432318</c:v>
                </c:pt>
                <c:pt idx="6">
                  <c:v>62376.535083333336</c:v>
                </c:pt>
                <c:pt idx="7">
                  <c:v>66691.821326666657</c:v>
                </c:pt>
                <c:pt idx="8">
                  <c:v>73113.19415666665</c:v>
                </c:pt>
                <c:pt idx="9">
                  <c:v>78119.209699999992</c:v>
                </c:pt>
                <c:pt idx="10">
                  <c:v>82742.088163333305</c:v>
                </c:pt>
                <c:pt idx="11">
                  <c:v>83626.515777702138</c:v>
                </c:pt>
                <c:pt idx="12">
                  <c:v>87317.885810407024</c:v>
                </c:pt>
                <c:pt idx="13">
                  <c:v>91009.255887556486</c:v>
                </c:pt>
                <c:pt idx="14">
                  <c:v>94700.626009137966</c:v>
                </c:pt>
                <c:pt idx="15">
                  <c:v>98391.996175138833</c:v>
                </c:pt>
                <c:pt idx="16">
                  <c:v>102083.36638554648</c:v>
                </c:pt>
                <c:pt idx="17">
                  <c:v>105774.73664034835</c:v>
                </c:pt>
                <c:pt idx="18">
                  <c:v>109466.10693953185</c:v>
                </c:pt>
                <c:pt idx="19">
                  <c:v>113157.47728308433</c:v>
                </c:pt>
                <c:pt idx="20">
                  <c:v>116848.8476709932</c:v>
                </c:pt>
                <c:pt idx="21">
                  <c:v>120540.21810324602</c:v>
                </c:pt>
                <c:pt idx="22">
                  <c:v>124231.58857983003</c:v>
                </c:pt>
                <c:pt idx="23">
                  <c:v>127922.95910073277</c:v>
                </c:pt>
                <c:pt idx="24">
                  <c:v>131614.32966594165</c:v>
                </c:pt>
                <c:pt idx="25">
                  <c:v>135305.70027544408</c:v>
                </c:pt>
                <c:pt idx="26">
                  <c:v>138997.07092922746</c:v>
                </c:pt>
                <c:pt idx="27">
                  <c:v>142688.44162727924</c:v>
                </c:pt>
                <c:pt idx="28">
                  <c:v>146379.81236958696</c:v>
                </c:pt>
                <c:pt idx="29">
                  <c:v>150071.18315613799</c:v>
                </c:pt>
                <c:pt idx="30">
                  <c:v>153762.55398691981</c:v>
                </c:pt>
              </c:numCache>
            </c:numRef>
          </c:val>
          <c:smooth val="0"/>
        </c:ser>
        <c:dLbls>
          <c:showLegendKey val="0"/>
          <c:showVal val="0"/>
          <c:showCatName val="0"/>
          <c:showSerName val="0"/>
          <c:showPercent val="0"/>
          <c:showBubbleSize val="0"/>
        </c:dLbls>
        <c:hiLowLines/>
        <c:marker val="1"/>
        <c:smooth val="0"/>
        <c:axId val="550109248"/>
        <c:axId val="550109640"/>
      </c:lineChart>
      <c:catAx>
        <c:axId val="550109248"/>
        <c:scaling>
          <c:orientation val="minMax"/>
        </c:scaling>
        <c:delete val="0"/>
        <c:axPos val="b"/>
        <c:numFmt formatCode="General" sourceLinked="1"/>
        <c:majorTickMark val="none"/>
        <c:minorTickMark val="none"/>
        <c:tickLblPos val="nextTo"/>
        <c:txPr>
          <a:bodyPr rot="-4140000" vert="horz"/>
          <a:lstStyle/>
          <a:p>
            <a:pPr>
              <a:defRPr lang="en-US"/>
            </a:pPr>
            <a:endParaRPr lang="id-ID"/>
          </a:p>
        </c:txPr>
        <c:crossAx val="550109640"/>
        <c:crosses val="autoZero"/>
        <c:auto val="1"/>
        <c:lblAlgn val="ctr"/>
        <c:lblOffset val="100"/>
        <c:noMultiLvlLbl val="0"/>
      </c:catAx>
      <c:valAx>
        <c:axId val="550109640"/>
        <c:scaling>
          <c:orientation val="minMax"/>
        </c:scaling>
        <c:delete val="0"/>
        <c:axPos val="l"/>
        <c:majorGridlines/>
        <c:title>
          <c:tx>
            <c:rich>
              <a:bodyPr/>
              <a:lstStyle/>
              <a:p>
                <a:pPr>
                  <a:defRPr lang="en-US"/>
                </a:pPr>
                <a:r>
                  <a:rPr lang="en-US" baseline="0"/>
                  <a:t>Ton </a:t>
                </a:r>
                <a:r>
                  <a:rPr lang="id-ID"/>
                  <a:t> CH4/th</a:t>
                </a:r>
              </a:p>
            </c:rich>
          </c:tx>
          <c:layout>
            <c:manualLayout>
              <c:xMode val="edge"/>
              <c:yMode val="edge"/>
              <c:x val="4.5382353362700516E-3"/>
              <c:y val="0.35000951984797363"/>
            </c:manualLayout>
          </c:layout>
          <c:overlay val="0"/>
        </c:title>
        <c:numFmt formatCode="#,##0" sourceLinked="0"/>
        <c:majorTickMark val="none"/>
        <c:minorTickMark val="none"/>
        <c:tickLblPos val="nextTo"/>
        <c:txPr>
          <a:bodyPr/>
          <a:lstStyle/>
          <a:p>
            <a:pPr>
              <a:defRPr lang="en-US"/>
            </a:pPr>
            <a:endParaRPr lang="id-ID"/>
          </a:p>
        </c:txPr>
        <c:crossAx val="55010924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200"/>
              <a:t>Prosentase emisi gas rumah</a:t>
            </a:r>
            <a:r>
              <a:rPr lang="en-US" sz="1200" baseline="0"/>
              <a:t> kaca sektor pertanian pada</a:t>
            </a:r>
            <a:r>
              <a:rPr lang="en-US" sz="1200"/>
              <a:t> Tahun</a:t>
            </a:r>
            <a:r>
              <a:rPr lang="en-US" sz="1200" baseline="0"/>
              <a:t> 2030 (Ribu Ton CO2 eq/tahun)</a:t>
            </a:r>
            <a:endParaRPr lang="en-US" sz="1200"/>
          </a:p>
        </c:rich>
      </c:tx>
      <c:layout>
        <c:manualLayout>
          <c:xMode val="edge"/>
          <c:yMode val="edge"/>
          <c:x val="0.18929962192332403"/>
          <c:y val="2.3927462913778234E-2"/>
        </c:manualLayout>
      </c:layout>
      <c:overlay val="1"/>
    </c:title>
    <c:autoTitleDeleted val="0"/>
    <c:plotArea>
      <c:layout>
        <c:manualLayout>
          <c:layoutTarget val="inner"/>
          <c:xMode val="edge"/>
          <c:yMode val="edge"/>
          <c:x val="0.34663120585771506"/>
          <c:y val="0.36596231509285659"/>
          <c:w val="0.47601695462146659"/>
          <c:h val="0.55638681054929051"/>
        </c:manualLayout>
      </c:layout>
      <c:pieChart>
        <c:varyColors val="1"/>
        <c:ser>
          <c:idx val="0"/>
          <c:order val="0"/>
          <c:dLbls>
            <c:dLbl>
              <c:idx val="0"/>
              <c:layout>
                <c:manualLayout>
                  <c:x val="-0.20488643227620856"/>
                  <c:y val="0.11446154955411747"/>
                </c:manualLayout>
              </c:layout>
              <c:numFmt formatCode="0.00%" sourceLinked="0"/>
              <c:spPr/>
              <c:txPr>
                <a:bodyPr/>
                <a:lstStyle/>
                <a:p>
                  <a:pPr>
                    <a:defRPr lang="en-US" b="1"/>
                  </a:pPr>
                  <a:endParaRPr lang="id-ID"/>
                </a:p>
              </c:txPr>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5667785997592421"/>
                  <c:y val="-0.14030770590504718"/>
                </c:manualLayout>
              </c:layout>
              <c:numFmt formatCode="0.00%" sourceLinked="0"/>
              <c:spPr/>
              <c:txPr>
                <a:bodyPr/>
                <a:lstStyle/>
                <a:p>
                  <a:pPr>
                    <a:defRPr lang="en-US" b="1"/>
                  </a:pPr>
                  <a:endParaRPr lang="id-ID"/>
                </a:p>
              </c:txPr>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4283924766157585"/>
                  <c:y val="0.20574383580800351"/>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4462571690085307"/>
                  <c:y val="-5.538462075199233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4"/>
              <c:layout>
                <c:manualLayout>
                  <c:x val="-3.3143393456445507E-2"/>
                  <c:y val="4.8000004651726699E-2"/>
                </c:manualLayout>
              </c:layout>
              <c:dLblPos val="bestFit"/>
              <c:showLegendKey val="0"/>
              <c:showVal val="0"/>
              <c:showCatName val="1"/>
              <c:showSerName val="0"/>
              <c:showPercent val="1"/>
              <c:showBubbleSize val="0"/>
              <c:extLst>
                <c:ext xmlns:c15="http://schemas.microsoft.com/office/drawing/2012/chart" uri="{CE6537A1-D6FC-4f65-9D91-7224C49458BB}"/>
              </c:extLst>
            </c:dLbl>
            <c:numFmt formatCode="0.00%" sourceLinked="0"/>
            <c:spPr>
              <a:noFill/>
              <a:ln>
                <a:noFill/>
              </a:ln>
              <a:effectLst/>
            </c:spPr>
            <c:txPr>
              <a:bodyPr/>
              <a:lstStyle/>
              <a:p>
                <a:pPr>
                  <a:defRPr lang="en-US"/>
                </a:pPr>
                <a:endParaRPr lang="id-ID"/>
              </a:p>
            </c:txPr>
            <c:dLblPos val="outEnd"/>
            <c:showLegendKey val="0"/>
            <c:showVal val="1"/>
            <c:showCatName val="1"/>
            <c:showSerName val="0"/>
            <c:showPercent val="0"/>
            <c:showBubbleSize val="0"/>
            <c:showLeaderLines val="1"/>
            <c:extLst>
              <c:ext xmlns:c15="http://schemas.microsoft.com/office/drawing/2012/chart" uri="{CE6537A1-D6FC-4f65-9D91-7224C49458BB}"/>
            </c:extLst>
          </c:dLbls>
          <c:cat>
            <c:strRef>
              <c:f>'Perhitungan ke CO2-eq'!$A$37:$A$41</c:f>
              <c:strCache>
                <c:ptCount val="5"/>
                <c:pt idx="0">
                  <c:v>Emisi CH4 dari lahan sawah</c:v>
                </c:pt>
                <c:pt idx="1">
                  <c:v>Peternakan CH4 (entetik dan manure)</c:v>
                </c:pt>
                <c:pt idx="2">
                  <c:v>Peternakan N2O (manure management)</c:v>
                </c:pt>
                <c:pt idx="3">
                  <c:v>Pupuk Urea-CO2</c:v>
                </c:pt>
                <c:pt idx="4">
                  <c:v>N2O Langsung dari pemakaian pupuk </c:v>
                </c:pt>
              </c:strCache>
            </c:strRef>
          </c:cat>
          <c:val>
            <c:numRef>
              <c:f>'Perhitungan ke CO2-eq'!$AD$37:$AD$41</c:f>
              <c:numCache>
                <c:formatCode>#,##0</c:formatCode>
                <c:ptCount val="5"/>
                <c:pt idx="0">
                  <c:v>2400.3706299999999</c:v>
                </c:pt>
                <c:pt idx="1">
                  <c:v>3229.0136337253161</c:v>
                </c:pt>
                <c:pt idx="2" formatCode="#,##0.00">
                  <c:v>55.168213426461868</c:v>
                </c:pt>
                <c:pt idx="3" formatCode="#,##0.00">
                  <c:v>0.62888968862357142</c:v>
                </c:pt>
                <c:pt idx="4">
                  <c:v>1383.5780796153851</c:v>
                </c:pt>
              </c:numCache>
            </c:numRef>
          </c:val>
        </c:ser>
        <c:dLbls>
          <c:showLegendKey val="0"/>
          <c:showVal val="1"/>
          <c:showCatName val="0"/>
          <c:showSerName val="0"/>
          <c:showPercent val="0"/>
          <c:showBubbleSize val="0"/>
          <c:showLeaderLines val="1"/>
        </c:dLbls>
        <c:firstSliceAng val="0"/>
      </c:pieChart>
    </c:plotArea>
    <c:plotVisOnly val="1"/>
    <c:dispBlanksAs val="zero"/>
    <c:showDLblsOverMax val="0"/>
  </c:chart>
  <c:printSettings>
    <c:headerFooter/>
    <c:pageMargins b="0.75000000000000033" l="0.70000000000000029" r="0.70000000000000029" t="0.75000000000000033"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800" b="1" i="0" u="none" strike="noStrike" baseline="0"/>
              <a:t>Rekapitulasi BaU  Baseline Sektor Pertanian</a:t>
            </a:r>
            <a:endParaRPr lang="id-ID"/>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'Perhitungan ke CO2-eq'!$A$37</c:f>
              <c:strCache>
                <c:ptCount val="1"/>
                <c:pt idx="0">
                  <c:v>Emisi CH4 dari lahan sawah</c:v>
                </c:pt>
              </c:strCache>
            </c:strRef>
          </c:tx>
          <c:invertIfNegative val="0"/>
          <c:cat>
            <c:numRef>
              <c:f>'Perhitungan ke CO2-eq'!$C$36:$AD$36</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formatCode="General">
                  <c:v>2014</c:v>
                </c:pt>
                <c:pt idx="12" formatCode="General">
                  <c:v>2015</c:v>
                </c:pt>
                <c:pt idx="13" formatCode="General">
                  <c:v>2016</c:v>
                </c:pt>
                <c:pt idx="14" formatCode="General">
                  <c:v>2017</c:v>
                </c:pt>
                <c:pt idx="15" formatCode="General">
                  <c:v>2018</c:v>
                </c:pt>
                <c:pt idx="16" formatCode="General">
                  <c:v>2019</c:v>
                </c:pt>
                <c:pt idx="17" formatCode="General">
                  <c:v>2020</c:v>
                </c:pt>
                <c:pt idx="18" formatCode="General">
                  <c:v>2021</c:v>
                </c:pt>
                <c:pt idx="19" formatCode="General">
                  <c:v>2022</c:v>
                </c:pt>
                <c:pt idx="20" formatCode="General">
                  <c:v>2023</c:v>
                </c:pt>
                <c:pt idx="21" formatCode="General">
                  <c:v>2024</c:v>
                </c:pt>
                <c:pt idx="22" formatCode="General">
                  <c:v>2025</c:v>
                </c:pt>
                <c:pt idx="23" formatCode="General">
                  <c:v>2026</c:v>
                </c:pt>
                <c:pt idx="24" formatCode="General">
                  <c:v>2027</c:v>
                </c:pt>
                <c:pt idx="25" formatCode="General">
                  <c:v>2028</c:v>
                </c:pt>
                <c:pt idx="26" formatCode="General">
                  <c:v>2029</c:v>
                </c:pt>
                <c:pt idx="27" formatCode="General">
                  <c:v>2030</c:v>
                </c:pt>
              </c:numCache>
            </c:numRef>
          </c:cat>
          <c:val>
            <c:numRef>
              <c:f>'Perhitungan ke CO2-eq'!$C$37:$AD$37</c:f>
              <c:numCache>
                <c:formatCode>#,##0</c:formatCode>
                <c:ptCount val="28"/>
                <c:pt idx="0">
                  <c:v>1588.35302136</c:v>
                </c:pt>
                <c:pt idx="1">
                  <c:v>1824.2813332799999</c:v>
                </c:pt>
                <c:pt idx="2">
                  <c:v>1843.6079944799999</c:v>
                </c:pt>
                <c:pt idx="3">
                  <c:v>1749.5432841599998</c:v>
                </c:pt>
                <c:pt idx="4">
                  <c:v>1778.1834369600003</c:v>
                </c:pt>
                <c:pt idx="5">
                  <c:v>1752.71308464</c:v>
                </c:pt>
                <c:pt idx="6">
                  <c:v>1892.0806497600001</c:v>
                </c:pt>
                <c:pt idx="7">
                  <c:v>1974.6198494400001</c:v>
                </c:pt>
                <c:pt idx="8">
                  <c:v>2015.1675428266667</c:v>
                </c:pt>
                <c:pt idx="9">
                  <c:v>2035.4413895200003</c:v>
                </c:pt>
                <c:pt idx="10">
                  <c:v>2055.7152362133334</c:v>
                </c:pt>
                <c:pt idx="11">
                  <c:v>2075.9890829066667</c:v>
                </c:pt>
                <c:pt idx="12">
                  <c:v>2096.2629296</c:v>
                </c:pt>
                <c:pt idx="13">
                  <c:v>2116.5367762933333</c:v>
                </c:pt>
                <c:pt idx="14">
                  <c:v>2136.8106229866667</c:v>
                </c:pt>
                <c:pt idx="15">
                  <c:v>2157.08446968</c:v>
                </c:pt>
                <c:pt idx="16">
                  <c:v>2177.3583163733338</c:v>
                </c:pt>
                <c:pt idx="17">
                  <c:v>2197.6321630666666</c:v>
                </c:pt>
                <c:pt idx="18">
                  <c:v>2217.90600976</c:v>
                </c:pt>
                <c:pt idx="19">
                  <c:v>2238.1798564533328</c:v>
                </c:pt>
                <c:pt idx="20">
                  <c:v>2258.4537031466666</c:v>
                </c:pt>
                <c:pt idx="21">
                  <c:v>2278.7275498399999</c:v>
                </c:pt>
                <c:pt idx="22">
                  <c:v>2299.0013965333333</c:v>
                </c:pt>
                <c:pt idx="23">
                  <c:v>2319.2752432266666</c:v>
                </c:pt>
                <c:pt idx="24">
                  <c:v>2339.5490899199999</c:v>
                </c:pt>
                <c:pt idx="25">
                  <c:v>2359.8229366133342</c:v>
                </c:pt>
                <c:pt idx="26">
                  <c:v>2380.0967833066666</c:v>
                </c:pt>
                <c:pt idx="27">
                  <c:v>2400.3706299999999</c:v>
                </c:pt>
              </c:numCache>
            </c:numRef>
          </c:val>
        </c:ser>
        <c:ser>
          <c:idx val="1"/>
          <c:order val="1"/>
          <c:tx>
            <c:strRef>
              <c:f>'Perhitungan ke CO2-eq'!$A$38</c:f>
              <c:strCache>
                <c:ptCount val="1"/>
                <c:pt idx="0">
                  <c:v>Peternakan CH4 (entetik dan manure)</c:v>
                </c:pt>
              </c:strCache>
            </c:strRef>
          </c:tx>
          <c:invertIfNegative val="0"/>
          <c:cat>
            <c:numRef>
              <c:f>'Perhitungan ke CO2-eq'!$C$36:$AD$36</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formatCode="General">
                  <c:v>2014</c:v>
                </c:pt>
                <c:pt idx="12" formatCode="General">
                  <c:v>2015</c:v>
                </c:pt>
                <c:pt idx="13" formatCode="General">
                  <c:v>2016</c:v>
                </c:pt>
                <c:pt idx="14" formatCode="General">
                  <c:v>2017</c:v>
                </c:pt>
                <c:pt idx="15" formatCode="General">
                  <c:v>2018</c:v>
                </c:pt>
                <c:pt idx="16" formatCode="General">
                  <c:v>2019</c:v>
                </c:pt>
                <c:pt idx="17" formatCode="General">
                  <c:v>2020</c:v>
                </c:pt>
                <c:pt idx="18" formatCode="General">
                  <c:v>2021</c:v>
                </c:pt>
                <c:pt idx="19" formatCode="General">
                  <c:v>2022</c:v>
                </c:pt>
                <c:pt idx="20" formatCode="General">
                  <c:v>2023</c:v>
                </c:pt>
                <c:pt idx="21" formatCode="General">
                  <c:v>2024</c:v>
                </c:pt>
                <c:pt idx="22" formatCode="General">
                  <c:v>2025</c:v>
                </c:pt>
                <c:pt idx="23" formatCode="General">
                  <c:v>2026</c:v>
                </c:pt>
                <c:pt idx="24" formatCode="General">
                  <c:v>2027</c:v>
                </c:pt>
                <c:pt idx="25" formatCode="General">
                  <c:v>2028</c:v>
                </c:pt>
                <c:pt idx="26" formatCode="General">
                  <c:v>2029</c:v>
                </c:pt>
                <c:pt idx="27" formatCode="General">
                  <c:v>2030</c:v>
                </c:pt>
              </c:numCache>
            </c:numRef>
          </c:cat>
          <c:val>
            <c:numRef>
              <c:f>'Perhitungan ke CO2-eq'!$C$38:$AD$38</c:f>
              <c:numCache>
                <c:formatCode>#,##0</c:formatCode>
                <c:ptCount val="28"/>
                <c:pt idx="0">
                  <c:v>1134.4278607199999</c:v>
                </c:pt>
                <c:pt idx="1">
                  <c:v>1208.62702072</c:v>
                </c:pt>
                <c:pt idx="2">
                  <c:v>1203.3489426720787</c:v>
                </c:pt>
                <c:pt idx="3">
                  <c:v>1309.90723675</c:v>
                </c:pt>
                <c:pt idx="4">
                  <c:v>1400.5282478599997</c:v>
                </c:pt>
                <c:pt idx="5">
                  <c:v>1535.3770772899998</c:v>
                </c:pt>
                <c:pt idx="6">
                  <c:v>1640.5034037</c:v>
                </c:pt>
                <c:pt idx="7">
                  <c:v>1737.5838514299994</c:v>
                </c:pt>
                <c:pt idx="8">
                  <c:v>1756.1568313317448</c:v>
                </c:pt>
                <c:pt idx="9">
                  <c:v>1833.6756020185474</c:v>
                </c:pt>
                <c:pt idx="10">
                  <c:v>1911.1943736386863</c:v>
                </c:pt>
                <c:pt idx="11">
                  <c:v>1988.7131461918973</c:v>
                </c:pt>
                <c:pt idx="12">
                  <c:v>2066.2319196779154</c:v>
                </c:pt>
                <c:pt idx="13">
                  <c:v>2143.7506940964763</c:v>
                </c:pt>
                <c:pt idx="14">
                  <c:v>2221.2694694473153</c:v>
                </c:pt>
                <c:pt idx="15">
                  <c:v>2298.7882457301689</c:v>
                </c:pt>
                <c:pt idx="16">
                  <c:v>2376.3070229447708</c:v>
                </c:pt>
                <c:pt idx="17">
                  <c:v>2453.8258010908571</c:v>
                </c:pt>
                <c:pt idx="18">
                  <c:v>2531.3445801681664</c:v>
                </c:pt>
                <c:pt idx="19">
                  <c:v>2608.8633601764304</c:v>
                </c:pt>
                <c:pt idx="20">
                  <c:v>2686.3821411153881</c:v>
                </c:pt>
                <c:pt idx="21">
                  <c:v>2763.9009229847748</c:v>
                </c:pt>
                <c:pt idx="22">
                  <c:v>2841.4197057843257</c:v>
                </c:pt>
                <c:pt idx="23">
                  <c:v>2918.9384895137764</c:v>
                </c:pt>
                <c:pt idx="24">
                  <c:v>2996.4572741728643</c:v>
                </c:pt>
                <c:pt idx="25">
                  <c:v>3073.9760597613263</c:v>
                </c:pt>
                <c:pt idx="26">
                  <c:v>3151.494846278898</c:v>
                </c:pt>
                <c:pt idx="27">
                  <c:v>3229.0136337253161</c:v>
                </c:pt>
              </c:numCache>
            </c:numRef>
          </c:val>
        </c:ser>
        <c:ser>
          <c:idx val="2"/>
          <c:order val="2"/>
          <c:tx>
            <c:strRef>
              <c:f>'Perhitungan ke CO2-eq'!$A$39</c:f>
              <c:strCache>
                <c:ptCount val="1"/>
                <c:pt idx="0">
                  <c:v>Peternakan N2O (manure management)</c:v>
                </c:pt>
              </c:strCache>
            </c:strRef>
          </c:tx>
          <c:invertIfNegative val="0"/>
          <c:cat>
            <c:numRef>
              <c:f>'Perhitungan ke CO2-eq'!$C$36:$AD$36</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formatCode="General">
                  <c:v>2014</c:v>
                </c:pt>
                <c:pt idx="12" formatCode="General">
                  <c:v>2015</c:v>
                </c:pt>
                <c:pt idx="13" formatCode="General">
                  <c:v>2016</c:v>
                </c:pt>
                <c:pt idx="14" formatCode="General">
                  <c:v>2017</c:v>
                </c:pt>
                <c:pt idx="15" formatCode="General">
                  <c:v>2018</c:v>
                </c:pt>
                <c:pt idx="16" formatCode="General">
                  <c:v>2019</c:v>
                </c:pt>
                <c:pt idx="17" formatCode="General">
                  <c:v>2020</c:v>
                </c:pt>
                <c:pt idx="18" formatCode="General">
                  <c:v>2021</c:v>
                </c:pt>
                <c:pt idx="19" formatCode="General">
                  <c:v>2022</c:v>
                </c:pt>
                <c:pt idx="20" formatCode="General">
                  <c:v>2023</c:v>
                </c:pt>
                <c:pt idx="21" formatCode="General">
                  <c:v>2024</c:v>
                </c:pt>
                <c:pt idx="22" formatCode="General">
                  <c:v>2025</c:v>
                </c:pt>
                <c:pt idx="23" formatCode="General">
                  <c:v>2026</c:v>
                </c:pt>
                <c:pt idx="24" formatCode="General">
                  <c:v>2027</c:v>
                </c:pt>
                <c:pt idx="25" formatCode="General">
                  <c:v>2028</c:v>
                </c:pt>
                <c:pt idx="26" formatCode="General">
                  <c:v>2029</c:v>
                </c:pt>
                <c:pt idx="27" formatCode="General">
                  <c:v>2030</c:v>
                </c:pt>
              </c:numCache>
            </c:numRef>
          </c:cat>
          <c:val>
            <c:numRef>
              <c:f>'Perhitungan ke CO2-eq'!$C$39:$AD$39</c:f>
              <c:numCache>
                <c:formatCode>#,##0.00</c:formatCode>
                <c:ptCount val="28"/>
                <c:pt idx="0">
                  <c:v>16.665384282980281</c:v>
                </c:pt>
                <c:pt idx="1">
                  <c:v>18.142206669065832</c:v>
                </c:pt>
                <c:pt idx="2">
                  <c:v>18.205856948641138</c:v>
                </c:pt>
                <c:pt idx="3">
                  <c:v>20.001084536471698</c:v>
                </c:pt>
                <c:pt idx="4">
                  <c:v>21.520507531238881</c:v>
                </c:pt>
                <c:pt idx="5">
                  <c:v>24.019936813567607</c:v>
                </c:pt>
                <c:pt idx="6">
                  <c:v>25.964984025683592</c:v>
                </c:pt>
                <c:pt idx="7">
                  <c:v>27.96982152379238</c:v>
                </c:pt>
                <c:pt idx="8">
                  <c:v>28.146729905596491</c:v>
                </c:pt>
                <c:pt idx="9">
                  <c:v>29.568912689066369</c:v>
                </c:pt>
                <c:pt idx="10">
                  <c:v>30.991095534828897</c:v>
                </c:pt>
                <c:pt idx="11">
                  <c:v>32.413278442866385</c:v>
                </c:pt>
                <c:pt idx="12">
                  <c:v>33.835461413161177</c:v>
                </c:pt>
                <c:pt idx="13">
                  <c:v>35.257644445695597</c:v>
                </c:pt>
                <c:pt idx="14">
                  <c:v>36.679827540452003</c:v>
                </c:pt>
                <c:pt idx="15">
                  <c:v>38.102010697412751</c:v>
                </c:pt>
                <c:pt idx="16">
                  <c:v>39.524193916560193</c:v>
                </c:pt>
                <c:pt idx="17">
                  <c:v>40.946377197876657</c:v>
                </c:pt>
                <c:pt idx="18">
                  <c:v>42.368560541344571</c:v>
                </c:pt>
                <c:pt idx="19">
                  <c:v>43.790743946946264</c:v>
                </c:pt>
                <c:pt idx="20">
                  <c:v>45.212927414664087</c:v>
                </c:pt>
                <c:pt idx="21">
                  <c:v>46.635110944480452</c:v>
                </c:pt>
                <c:pt idx="22">
                  <c:v>48.057294536377746</c:v>
                </c:pt>
                <c:pt idx="23">
                  <c:v>49.479478190338362</c:v>
                </c:pt>
                <c:pt idx="24">
                  <c:v>50.901661906344678</c:v>
                </c:pt>
                <c:pt idx="25">
                  <c:v>52.323845684379087</c:v>
                </c:pt>
                <c:pt idx="26">
                  <c:v>53.746029524424024</c:v>
                </c:pt>
                <c:pt idx="27">
                  <c:v>55.168213426461868</c:v>
                </c:pt>
              </c:numCache>
            </c:numRef>
          </c:val>
        </c:ser>
        <c:ser>
          <c:idx val="3"/>
          <c:order val="3"/>
          <c:tx>
            <c:strRef>
              <c:f>'Perhitungan ke CO2-eq'!$A$40</c:f>
              <c:strCache>
                <c:ptCount val="1"/>
                <c:pt idx="0">
                  <c:v>Pupuk Urea-CO2</c:v>
                </c:pt>
              </c:strCache>
            </c:strRef>
          </c:tx>
          <c:invertIfNegative val="0"/>
          <c:cat>
            <c:numRef>
              <c:f>'Perhitungan ke CO2-eq'!$C$36:$AD$36</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formatCode="General">
                  <c:v>2014</c:v>
                </c:pt>
                <c:pt idx="12" formatCode="General">
                  <c:v>2015</c:v>
                </c:pt>
                <c:pt idx="13" formatCode="General">
                  <c:v>2016</c:v>
                </c:pt>
                <c:pt idx="14" formatCode="General">
                  <c:v>2017</c:v>
                </c:pt>
                <c:pt idx="15" formatCode="General">
                  <c:v>2018</c:v>
                </c:pt>
                <c:pt idx="16" formatCode="General">
                  <c:v>2019</c:v>
                </c:pt>
                <c:pt idx="17" formatCode="General">
                  <c:v>2020</c:v>
                </c:pt>
                <c:pt idx="18" formatCode="General">
                  <c:v>2021</c:v>
                </c:pt>
                <c:pt idx="19" formatCode="General">
                  <c:v>2022</c:v>
                </c:pt>
                <c:pt idx="20" formatCode="General">
                  <c:v>2023</c:v>
                </c:pt>
                <c:pt idx="21" formatCode="General">
                  <c:v>2024</c:v>
                </c:pt>
                <c:pt idx="22" formatCode="General">
                  <c:v>2025</c:v>
                </c:pt>
                <c:pt idx="23" formatCode="General">
                  <c:v>2026</c:v>
                </c:pt>
                <c:pt idx="24" formatCode="General">
                  <c:v>2027</c:v>
                </c:pt>
                <c:pt idx="25" formatCode="General">
                  <c:v>2028</c:v>
                </c:pt>
                <c:pt idx="26" formatCode="General">
                  <c:v>2029</c:v>
                </c:pt>
                <c:pt idx="27" formatCode="General">
                  <c:v>2030</c:v>
                </c:pt>
              </c:numCache>
            </c:numRef>
          </c:cat>
          <c:val>
            <c:numRef>
              <c:f>'Perhitungan ke CO2-eq'!$C$40:$AD$40</c:f>
              <c:numCache>
                <c:formatCode>#,##0.00</c:formatCode>
                <c:ptCount val="28"/>
                <c:pt idx="0">
                  <c:v>8.8002000000000011E-3</c:v>
                </c:pt>
                <c:pt idx="1">
                  <c:v>1.5820200000000003E-2</c:v>
                </c:pt>
                <c:pt idx="2">
                  <c:v>1.1660999999999999E-2</c:v>
                </c:pt>
                <c:pt idx="3">
                  <c:v>1.3436E-2</c:v>
                </c:pt>
                <c:pt idx="4">
                  <c:v>0.14006960000000002</c:v>
                </c:pt>
                <c:pt idx="5">
                  <c:v>0.14203380000000002</c:v>
                </c:pt>
                <c:pt idx="6">
                  <c:v>0.13338437</c:v>
                </c:pt>
                <c:pt idx="7">
                  <c:v>0.13529859999999999</c:v>
                </c:pt>
                <c:pt idx="8">
                  <c:v>0.18164033288712503</c:v>
                </c:pt>
                <c:pt idx="9">
                  <c:v>0.20528492078876495</c:v>
                </c:pt>
                <c:pt idx="10">
                  <c:v>0.22891775982632639</c:v>
                </c:pt>
                <c:pt idx="11">
                  <c:v>0.25253886166996958</c:v>
                </c:pt>
                <c:pt idx="12">
                  <c:v>0.27614823797235494</c:v>
                </c:pt>
                <c:pt idx="13">
                  <c:v>0.2997459003689289</c:v>
                </c:pt>
                <c:pt idx="14">
                  <c:v>0.32333186047763823</c:v>
                </c:pt>
                <c:pt idx="15">
                  <c:v>0.34690612989935882</c:v>
                </c:pt>
                <c:pt idx="16">
                  <c:v>0.3704687202176094</c:v>
                </c:pt>
                <c:pt idx="17">
                  <c:v>0.39401964299860004</c:v>
                </c:pt>
                <c:pt idx="18">
                  <c:v>0.41755890979170801</c:v>
                </c:pt>
                <c:pt idx="19">
                  <c:v>0.44108653212881088</c:v>
                </c:pt>
                <c:pt idx="20">
                  <c:v>0.46460252152485848</c:v>
                </c:pt>
                <c:pt idx="21">
                  <c:v>0.4881068894776821</c:v>
                </c:pt>
                <c:pt idx="22">
                  <c:v>0.51159964746804243</c:v>
                </c:pt>
                <c:pt idx="23">
                  <c:v>0.53508080695986748</c:v>
                </c:pt>
                <c:pt idx="24">
                  <c:v>0.55855037939982422</c:v>
                </c:pt>
                <c:pt idx="25">
                  <c:v>0.58200837621793744</c:v>
                </c:pt>
                <c:pt idx="26">
                  <c:v>0.60545480882716174</c:v>
                </c:pt>
                <c:pt idx="27">
                  <c:v>0.62888968862357142</c:v>
                </c:pt>
              </c:numCache>
            </c:numRef>
          </c:val>
        </c:ser>
        <c:ser>
          <c:idx val="4"/>
          <c:order val="4"/>
          <c:tx>
            <c:strRef>
              <c:f>'Perhitungan ke CO2-eq'!$A$41</c:f>
              <c:strCache>
                <c:ptCount val="1"/>
                <c:pt idx="0">
                  <c:v>N2O Langsung dari pemakaian pupuk </c:v>
                </c:pt>
              </c:strCache>
            </c:strRef>
          </c:tx>
          <c:invertIfNegative val="0"/>
          <c:cat>
            <c:numRef>
              <c:f>'Perhitungan ke CO2-eq'!$C$36:$AD$36</c:f>
              <c:numCache>
                <c:formatCode>0</c:formatCode>
                <c:ptCount val="28"/>
                <c:pt idx="0">
                  <c:v>2003</c:v>
                </c:pt>
                <c:pt idx="1">
                  <c:v>2004</c:v>
                </c:pt>
                <c:pt idx="2">
                  <c:v>2005</c:v>
                </c:pt>
                <c:pt idx="3">
                  <c:v>2006</c:v>
                </c:pt>
                <c:pt idx="4">
                  <c:v>2007</c:v>
                </c:pt>
                <c:pt idx="5">
                  <c:v>2008</c:v>
                </c:pt>
                <c:pt idx="6">
                  <c:v>2009</c:v>
                </c:pt>
                <c:pt idx="7">
                  <c:v>2010</c:v>
                </c:pt>
                <c:pt idx="8">
                  <c:v>2011</c:v>
                </c:pt>
                <c:pt idx="9">
                  <c:v>2012</c:v>
                </c:pt>
                <c:pt idx="10">
                  <c:v>2013</c:v>
                </c:pt>
                <c:pt idx="11" formatCode="General">
                  <c:v>2014</c:v>
                </c:pt>
                <c:pt idx="12" formatCode="General">
                  <c:v>2015</c:v>
                </c:pt>
                <c:pt idx="13" formatCode="General">
                  <c:v>2016</c:v>
                </c:pt>
                <c:pt idx="14" formatCode="General">
                  <c:v>2017</c:v>
                </c:pt>
                <c:pt idx="15" formatCode="General">
                  <c:v>2018</c:v>
                </c:pt>
                <c:pt idx="16" formatCode="General">
                  <c:v>2019</c:v>
                </c:pt>
                <c:pt idx="17" formatCode="General">
                  <c:v>2020</c:v>
                </c:pt>
                <c:pt idx="18" formatCode="General">
                  <c:v>2021</c:v>
                </c:pt>
                <c:pt idx="19" formatCode="General">
                  <c:v>2022</c:v>
                </c:pt>
                <c:pt idx="20" formatCode="General">
                  <c:v>2023</c:v>
                </c:pt>
                <c:pt idx="21" formatCode="General">
                  <c:v>2024</c:v>
                </c:pt>
                <c:pt idx="22" formatCode="General">
                  <c:v>2025</c:v>
                </c:pt>
                <c:pt idx="23" formatCode="General">
                  <c:v>2026</c:v>
                </c:pt>
                <c:pt idx="24" formatCode="General">
                  <c:v>2027</c:v>
                </c:pt>
                <c:pt idx="25" formatCode="General">
                  <c:v>2028</c:v>
                </c:pt>
                <c:pt idx="26" formatCode="General">
                  <c:v>2029</c:v>
                </c:pt>
                <c:pt idx="27" formatCode="General">
                  <c:v>2030</c:v>
                </c:pt>
              </c:numCache>
            </c:numRef>
          </c:cat>
          <c:val>
            <c:numRef>
              <c:f>'Perhitungan ke CO2-eq'!$C$41:$AD$41</c:f>
              <c:numCache>
                <c:formatCode>#,##0</c:formatCode>
                <c:ptCount val="28"/>
                <c:pt idx="0">
                  <c:v>889.1725418331971</c:v>
                </c:pt>
                <c:pt idx="1">
                  <c:v>759.41975198413229</c:v>
                </c:pt>
                <c:pt idx="2">
                  <c:v>867.68012082108567</c:v>
                </c:pt>
                <c:pt idx="3">
                  <c:v>961.55088540272027</c:v>
                </c:pt>
                <c:pt idx="4">
                  <c:v>963.3212973940997</c:v>
                </c:pt>
                <c:pt idx="5">
                  <c:v>929.01905970769747</c:v>
                </c:pt>
                <c:pt idx="6">
                  <c:v>930.22228778573208</c:v>
                </c:pt>
                <c:pt idx="7">
                  <c:v>919.03383423805838</c:v>
                </c:pt>
                <c:pt idx="8">
                  <c:v>1020.9950986658226</c:v>
                </c:pt>
                <c:pt idx="9">
                  <c:v>1048.047474172263</c:v>
                </c:pt>
                <c:pt idx="10">
                  <c:v>1083.2795707046951</c:v>
                </c:pt>
                <c:pt idx="11">
                  <c:v>1100.9422554385787</c:v>
                </c:pt>
                <c:pt idx="12">
                  <c:v>1118.6052326096215</c:v>
                </c:pt>
                <c:pt idx="13">
                  <c:v>1136.268490436958</c:v>
                </c:pt>
                <c:pt idx="14">
                  <c:v>1153.9320176734982</c:v>
                </c:pt>
                <c:pt idx="15">
                  <c:v>1171.5958035761732</c:v>
                </c:pt>
                <c:pt idx="16">
                  <c:v>1189.2598378781429</c:v>
                </c:pt>
                <c:pt idx="17">
                  <c:v>1206.9241107628238</c:v>
                </c:pt>
                <c:pt idx="18">
                  <c:v>1224.5886128396003</c:v>
                </c:pt>
                <c:pt idx="19">
                  <c:v>1242.253335121083</c:v>
                </c:pt>
                <c:pt idx="20">
                  <c:v>1259.9182690018172</c:v>
                </c:pt>
                <c:pt idx="21">
                  <c:v>1277.583406238319</c:v>
                </c:pt>
                <c:pt idx="22">
                  <c:v>1295.248738930351</c:v>
                </c:pt>
                <c:pt idx="23">
                  <c:v>1312.9142595033532</c:v>
                </c:pt>
                <c:pt idx="24">
                  <c:v>1330.5799606919309</c:v>
                </c:pt>
                <c:pt idx="25">
                  <c:v>1348.2458355243498</c:v>
                </c:pt>
                <c:pt idx="26">
                  <c:v>1365.9118773079429</c:v>
                </c:pt>
                <c:pt idx="27">
                  <c:v>1383.5780796153851</c:v>
                </c:pt>
              </c:numCache>
            </c:numRef>
          </c:val>
        </c:ser>
        <c:dLbls>
          <c:showLegendKey val="0"/>
          <c:showVal val="0"/>
          <c:showCatName val="0"/>
          <c:showSerName val="0"/>
          <c:showPercent val="0"/>
          <c:showBubbleSize val="0"/>
        </c:dLbls>
        <c:gapWidth val="95"/>
        <c:gapDepth val="95"/>
        <c:shape val="box"/>
        <c:axId val="546204168"/>
        <c:axId val="546204560"/>
        <c:axId val="0"/>
      </c:bar3DChart>
      <c:catAx>
        <c:axId val="546204168"/>
        <c:scaling>
          <c:orientation val="minMax"/>
        </c:scaling>
        <c:delete val="0"/>
        <c:axPos val="b"/>
        <c:numFmt formatCode="0" sourceLinked="1"/>
        <c:majorTickMark val="none"/>
        <c:minorTickMark val="none"/>
        <c:tickLblPos val="nextTo"/>
        <c:txPr>
          <a:bodyPr/>
          <a:lstStyle/>
          <a:p>
            <a:pPr>
              <a:defRPr lang="en-US"/>
            </a:pPr>
            <a:endParaRPr lang="id-ID"/>
          </a:p>
        </c:txPr>
        <c:crossAx val="546204560"/>
        <c:crosses val="autoZero"/>
        <c:auto val="1"/>
        <c:lblAlgn val="ctr"/>
        <c:lblOffset val="100"/>
        <c:noMultiLvlLbl val="0"/>
      </c:catAx>
      <c:valAx>
        <c:axId val="546204560"/>
        <c:scaling>
          <c:orientation val="minMax"/>
        </c:scaling>
        <c:delete val="0"/>
        <c:axPos val="l"/>
        <c:majorGridlines/>
        <c:title>
          <c:tx>
            <c:rich>
              <a:bodyPr/>
              <a:lstStyle/>
              <a:p>
                <a:pPr>
                  <a:defRPr lang="en-US"/>
                </a:pPr>
                <a:r>
                  <a:rPr lang="en-US" baseline="0"/>
                  <a:t>Ribu Ton </a:t>
                </a:r>
                <a:r>
                  <a:rPr lang="id-ID"/>
                  <a:t> CO2 e</a:t>
                </a:r>
                <a:r>
                  <a:rPr lang="en-US"/>
                  <a:t>q /tahun</a:t>
                </a:r>
                <a:endParaRPr lang="id-ID"/>
              </a:p>
            </c:rich>
          </c:tx>
          <c:layout>
            <c:manualLayout>
              <c:xMode val="edge"/>
              <c:yMode val="edge"/>
              <c:x val="6.9030919682838587E-2"/>
              <c:y val="0.3340068002863279"/>
            </c:manualLayout>
          </c:layout>
          <c:overlay val="0"/>
        </c:title>
        <c:numFmt formatCode="#,##0" sourceLinked="0"/>
        <c:majorTickMark val="none"/>
        <c:minorTickMark val="none"/>
        <c:tickLblPos val="nextTo"/>
        <c:txPr>
          <a:bodyPr/>
          <a:lstStyle/>
          <a:p>
            <a:pPr>
              <a:defRPr lang="en-US"/>
            </a:pPr>
            <a:endParaRPr lang="id-ID"/>
          </a:p>
        </c:txPr>
        <c:crossAx val="546204168"/>
        <c:crosses val="autoZero"/>
        <c:crossBetween val="between"/>
      </c:valAx>
      <c:dTable>
        <c:showHorzBorder val="1"/>
        <c:showVertBorder val="1"/>
        <c:showOutline val="1"/>
        <c:showKeys val="1"/>
        <c:txPr>
          <a:bodyPr/>
          <a:lstStyle/>
          <a:p>
            <a:pPr rtl="0">
              <a:defRPr lang="en-US" sz="600"/>
            </a:pPr>
            <a:endParaRPr lang="id-ID"/>
          </a:p>
        </c:txPr>
      </c:dTable>
    </c:plotArea>
    <c:plotVisOnly val="1"/>
    <c:dispBlanksAs val="gap"/>
    <c:showDLblsOverMax val="0"/>
  </c:chart>
  <c:printSettings>
    <c:headerFooter/>
    <c:pageMargins b="0.750000000000001" l="0.70000000000000062" r="0.70000000000000062" t="0.750000000000001" header="0.30000000000000032" footer="0.30000000000000032"/>
    <c:pageSetup paperSize="9" orientation="landscape" horizontalDpi="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id-ID" sz="1600" b="1" i="0" u="sng" strike="noStrike" baseline="0"/>
              <a:t>BaU baseline CH</a:t>
            </a:r>
            <a:r>
              <a:rPr lang="id-ID" sz="1600" b="1" i="0" u="sng" strike="noStrike" baseline="-25000"/>
              <a:t>4</a:t>
            </a:r>
            <a:r>
              <a:rPr lang="id-ID" sz="1600" b="1" i="0" u="sng" strike="noStrike" baseline="0"/>
              <a:t> dari fermentasi enterik dan kotoran ternak </a:t>
            </a:r>
            <a:endParaRPr lang="id-ID" sz="1600"/>
          </a:p>
        </c:rich>
      </c:tx>
      <c:overlay val="0"/>
    </c:title>
    <c:autoTitleDeleted val="0"/>
    <c:plotArea>
      <c:layout>
        <c:manualLayout>
          <c:layoutTarget val="inner"/>
          <c:xMode val="edge"/>
          <c:yMode val="edge"/>
          <c:x val="0.10531292027703602"/>
          <c:y val="9.8182167193631847E-2"/>
          <c:w val="0.88450714466227498"/>
          <c:h val="0.74576694199441418"/>
        </c:manualLayout>
      </c:layout>
      <c:lineChart>
        <c:grouping val="standard"/>
        <c:varyColors val="0"/>
        <c:ser>
          <c:idx val="0"/>
          <c:order val="0"/>
          <c:tx>
            <c:strRef>
              <c:f>'Peternakan-CH4'!$C$58</c:f>
              <c:strCache>
                <c:ptCount val="1"/>
                <c:pt idx="0">
                  <c:v>(Ribu Ton CH4/th)</c:v>
                </c:pt>
              </c:strCache>
            </c:strRef>
          </c:tx>
          <c:cat>
            <c:numRef>
              <c:f>'Peternakan-CH4'!$D$40:$AH$40</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'Peternakan-CH4'!$D$70:$AH$70</c:f>
              <c:numCache>
                <c:formatCode>#,##0.00</c:formatCode>
                <c:ptCount val="31"/>
                <c:pt idx="0">
                  <c:v>50.176369289999982</c:v>
                </c:pt>
                <c:pt idx="1">
                  <c:v>49.978419716666671</c:v>
                </c:pt>
                <c:pt idx="2">
                  <c:v>51.657739619999994</c:v>
                </c:pt>
                <c:pt idx="3">
                  <c:v>54.020374319999995</c:v>
                </c:pt>
                <c:pt idx="4">
                  <c:v>57.553667653333335</c:v>
                </c:pt>
                <c:pt idx="5">
                  <c:v>57.302330603432317</c:v>
                </c:pt>
                <c:pt idx="6">
                  <c:v>62.376535083333337</c:v>
                </c:pt>
                <c:pt idx="7">
                  <c:v>66.691821326666656</c:v>
                </c:pt>
                <c:pt idx="8">
                  <c:v>73.113194156666651</c:v>
                </c:pt>
                <c:pt idx="9">
                  <c:v>78.119209699999999</c:v>
                </c:pt>
                <c:pt idx="10">
                  <c:v>82.742088163333307</c:v>
                </c:pt>
                <c:pt idx="11" formatCode="0.00">
                  <c:v>83.626515777702139</c:v>
                </c:pt>
                <c:pt idx="12" formatCode="0.00">
                  <c:v>87.31788581040702</c:v>
                </c:pt>
                <c:pt idx="13" formatCode="0.00">
                  <c:v>91.009255887556492</c:v>
                </c:pt>
                <c:pt idx="14" formatCode="0.00">
                  <c:v>94.700626009137963</c:v>
                </c:pt>
                <c:pt idx="15" formatCode="0.00">
                  <c:v>98.391996175138829</c:v>
                </c:pt>
                <c:pt idx="16" formatCode="_(* #,##0.00_);_(* \(#,##0.00\);_(* &quot;-&quot;??_);_(@_)">
                  <c:v>102.08336638554648</c:v>
                </c:pt>
                <c:pt idx="17" formatCode="_(* #,##0.00_);_(* \(#,##0.00\);_(* &quot;-&quot;??_);_(@_)">
                  <c:v>105.77473664034835</c:v>
                </c:pt>
                <c:pt idx="18" formatCode="_(* #,##0.00_);_(* \(#,##0.00\);_(* &quot;-&quot;??_);_(@_)">
                  <c:v>109.46610693953185</c:v>
                </c:pt>
                <c:pt idx="19" formatCode="_(* #,##0.00_);_(* \(#,##0.00\);_(* &quot;-&quot;??_);_(@_)">
                  <c:v>113.15747728308433</c:v>
                </c:pt>
                <c:pt idx="20" formatCode="_(* #,##0.00_);_(* \(#,##0.00\);_(* &quot;-&quot;??_);_(@_)">
                  <c:v>116.84884767099319</c:v>
                </c:pt>
                <c:pt idx="21" formatCode="_(* #,##0.00_);_(* \(#,##0.00\);_(* &quot;-&quot;??_);_(@_)">
                  <c:v>120.54021810324602</c:v>
                </c:pt>
                <c:pt idx="22" formatCode="_(* #,##0.00_);_(* \(#,##0.00\);_(* &quot;-&quot;??_);_(@_)">
                  <c:v>124.23158857983003</c:v>
                </c:pt>
                <c:pt idx="23" formatCode="_(* #,##0.00_);_(* \(#,##0.00\);_(* &quot;-&quot;??_);_(@_)">
                  <c:v>127.92295910073277</c:v>
                </c:pt>
                <c:pt idx="24" formatCode="_(* #,##0.00_);_(* \(#,##0.00\);_(* &quot;-&quot;??_);_(@_)">
                  <c:v>131.61432966594165</c:v>
                </c:pt>
                <c:pt idx="25" formatCode="_(* #,##0.00_);_(* \(#,##0.00\);_(* &quot;-&quot;??_);_(@_)">
                  <c:v>135.30570027544408</c:v>
                </c:pt>
                <c:pt idx="26" formatCode="_(* #,##0.00_);_(* \(#,##0.00\);_(* &quot;-&quot;??_);_(@_)">
                  <c:v>138.99707092922745</c:v>
                </c:pt>
                <c:pt idx="27" formatCode="_(* #,##0.00_);_(* \(#,##0.00\);_(* &quot;-&quot;??_);_(@_)">
                  <c:v>142.68844162727925</c:v>
                </c:pt>
                <c:pt idx="28" formatCode="_(* #,##0.00_);_(* \(#,##0.00\);_(* &quot;-&quot;??_);_(@_)">
                  <c:v>146.37981236958697</c:v>
                </c:pt>
                <c:pt idx="29" formatCode="_(* #,##0.00_);_(* \(#,##0.00\);_(* &quot;-&quot;??_);_(@_)">
                  <c:v>150.07118315613801</c:v>
                </c:pt>
                <c:pt idx="30" formatCode="_(* #,##0.00_);_(* \(#,##0.00\);_(* &quot;-&quot;??_);_(@_)">
                  <c:v>153.76255398691981</c:v>
                </c:pt>
              </c:numCache>
            </c:numRef>
          </c:val>
          <c:smooth val="0"/>
        </c:ser>
        <c:dLbls>
          <c:showLegendKey val="0"/>
          <c:showVal val="0"/>
          <c:showCatName val="0"/>
          <c:showSerName val="0"/>
          <c:showPercent val="0"/>
          <c:showBubbleSize val="0"/>
        </c:dLbls>
        <c:hiLowLines/>
        <c:marker val="1"/>
        <c:smooth val="0"/>
        <c:axId val="544049392"/>
        <c:axId val="544049784"/>
      </c:lineChart>
      <c:catAx>
        <c:axId val="544049392"/>
        <c:scaling>
          <c:orientation val="minMax"/>
        </c:scaling>
        <c:delete val="0"/>
        <c:axPos val="b"/>
        <c:numFmt formatCode="General" sourceLinked="1"/>
        <c:majorTickMark val="none"/>
        <c:minorTickMark val="none"/>
        <c:tickLblPos val="nextTo"/>
        <c:txPr>
          <a:bodyPr rot="-4140000" vert="horz"/>
          <a:lstStyle/>
          <a:p>
            <a:pPr>
              <a:defRPr lang="en-US"/>
            </a:pPr>
            <a:endParaRPr lang="id-ID"/>
          </a:p>
        </c:txPr>
        <c:crossAx val="544049784"/>
        <c:crosses val="autoZero"/>
        <c:auto val="1"/>
        <c:lblAlgn val="ctr"/>
        <c:lblOffset val="100"/>
        <c:noMultiLvlLbl val="0"/>
      </c:catAx>
      <c:valAx>
        <c:axId val="544049784"/>
        <c:scaling>
          <c:orientation val="minMax"/>
        </c:scaling>
        <c:delete val="0"/>
        <c:axPos val="l"/>
        <c:majorGridlines/>
        <c:title>
          <c:tx>
            <c:rich>
              <a:bodyPr/>
              <a:lstStyle/>
              <a:p>
                <a:pPr>
                  <a:defRPr lang="en-US"/>
                </a:pPr>
                <a:r>
                  <a:rPr lang="en-US" baseline="0"/>
                  <a:t>Ribu Ton </a:t>
                </a:r>
                <a:r>
                  <a:rPr lang="id-ID"/>
                  <a:t> CH4/th</a:t>
                </a:r>
              </a:p>
            </c:rich>
          </c:tx>
          <c:layout>
            <c:manualLayout>
              <c:xMode val="edge"/>
              <c:yMode val="edge"/>
              <c:x val="1.4151199869708142E-2"/>
              <c:y val="0.36462338457360571"/>
            </c:manualLayout>
          </c:layout>
          <c:overlay val="0"/>
        </c:title>
        <c:numFmt formatCode="#,##0" sourceLinked="0"/>
        <c:majorTickMark val="none"/>
        <c:minorTickMark val="none"/>
        <c:tickLblPos val="nextTo"/>
        <c:txPr>
          <a:bodyPr/>
          <a:lstStyle/>
          <a:p>
            <a:pPr>
              <a:defRPr lang="en-US"/>
            </a:pPr>
            <a:endParaRPr lang="id-ID"/>
          </a:p>
        </c:txPr>
        <c:crossAx val="544049392"/>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800" b="1" i="0" u="sng" baseline="0"/>
              <a:t>BaU baseline N2O asal kotoran ternak </a:t>
            </a:r>
            <a:endParaRPr lang="id-ID" sz="1800" b="1" i="0" baseline="0"/>
          </a:p>
        </c:rich>
      </c:tx>
      <c:overlay val="0"/>
    </c:title>
    <c:autoTitleDeleted val="0"/>
    <c:plotArea>
      <c:layout>
        <c:manualLayout>
          <c:layoutTarget val="inner"/>
          <c:xMode val="edge"/>
          <c:yMode val="edge"/>
          <c:x val="6.7129113325196985E-2"/>
          <c:y val="9.2403199554261239E-2"/>
          <c:w val="0.91234925354925578"/>
          <c:h val="0.77403807102060163"/>
        </c:manualLayout>
      </c:layout>
      <c:lineChart>
        <c:grouping val="standard"/>
        <c:varyColors val="0"/>
        <c:ser>
          <c:idx val="0"/>
          <c:order val="0"/>
          <c:tx>
            <c:strRef>
              <c:f>'Peternakan-N2O'!$C$2</c:f>
              <c:strCache>
                <c:ptCount val="1"/>
                <c:pt idx="0">
                  <c:v>Emisi N2O secara langsung dari pengelolaan kotoran hewan untuk pupuk</c:v>
                </c:pt>
              </c:strCache>
            </c:strRef>
          </c:tx>
          <c:cat>
            <c:numRef>
              <c:f>'Peternakan-N2O'!$D$52:$AH$52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'Peternakan-N2O'!$D$65:$AH$65</c:f>
              <c:numCache>
                <c:formatCode>0.00</c:formatCode>
                <c:ptCount val="31"/>
                <c:pt idx="0">
                  <c:v>52.262672783702861</c:v>
                </c:pt>
                <c:pt idx="1">
                  <c:v>51.323769190183796</c:v>
                </c:pt>
                <c:pt idx="2">
                  <c:v>53.394199024178576</c:v>
                </c:pt>
                <c:pt idx="3">
                  <c:v>55.924108332148585</c:v>
                </c:pt>
                <c:pt idx="4">
                  <c:v>60.879888151227618</c:v>
                </c:pt>
                <c:pt idx="5">
                  <c:v>61.093479693426644</c:v>
                </c:pt>
                <c:pt idx="6">
                  <c:v>67.117733343864757</c:v>
                </c:pt>
                <c:pt idx="7">
                  <c:v>72.216468225633818</c:v>
                </c:pt>
                <c:pt idx="8">
                  <c:v>80.603814810629558</c:v>
                </c:pt>
                <c:pt idx="9">
                  <c:v>87.130818878132857</c:v>
                </c:pt>
                <c:pt idx="10">
                  <c:v>93.858461489236163</c:v>
                </c:pt>
                <c:pt idx="11">
                  <c:v>94.45211377716943</c:v>
                </c:pt>
                <c:pt idx="12">
                  <c:v>99.22453922505494</c:v>
                </c:pt>
                <c:pt idx="13">
                  <c:v>103.99696488197617</c:v>
                </c:pt>
                <c:pt idx="14">
                  <c:v>108.76939074787379</c:v>
                </c:pt>
                <c:pt idx="15">
                  <c:v>113.5418168226885</c:v>
                </c:pt>
                <c:pt idx="16">
                  <c:v>118.31424310636106</c:v>
                </c:pt>
                <c:pt idx="17">
                  <c:v>123.08666959883223</c:v>
                </c:pt>
                <c:pt idx="18">
                  <c:v>127.85909630004281</c:v>
                </c:pt>
                <c:pt idx="19">
                  <c:v>132.63152320993353</c:v>
                </c:pt>
                <c:pt idx="20">
                  <c:v>137.40395032844515</c:v>
                </c:pt>
                <c:pt idx="21">
                  <c:v>142.17637765551868</c:v>
                </c:pt>
                <c:pt idx="22">
                  <c:v>146.94880519109486</c:v>
                </c:pt>
                <c:pt idx="23">
                  <c:v>151.72123293511439</c:v>
                </c:pt>
                <c:pt idx="24">
                  <c:v>156.49366088751827</c:v>
                </c:pt>
                <c:pt idx="25">
                  <c:v>161.26608904824747</c:v>
                </c:pt>
                <c:pt idx="26">
                  <c:v>166.03851741724282</c:v>
                </c:pt>
                <c:pt idx="27">
                  <c:v>170.81094599444523</c:v>
                </c:pt>
                <c:pt idx="28">
                  <c:v>175.58337477979561</c:v>
                </c:pt>
                <c:pt idx="29">
                  <c:v>180.35580377323498</c:v>
                </c:pt>
                <c:pt idx="30">
                  <c:v>185.12823297470428</c:v>
                </c:pt>
              </c:numCache>
            </c:numRef>
          </c:val>
          <c:smooth val="0"/>
        </c:ser>
        <c:dLbls>
          <c:showLegendKey val="0"/>
          <c:showVal val="0"/>
          <c:showCatName val="0"/>
          <c:showSerName val="0"/>
          <c:showPercent val="0"/>
          <c:showBubbleSize val="0"/>
        </c:dLbls>
        <c:marker val="1"/>
        <c:smooth val="0"/>
        <c:axId val="544050568"/>
        <c:axId val="544050960"/>
      </c:lineChart>
      <c:catAx>
        <c:axId val="544050568"/>
        <c:scaling>
          <c:orientation val="minMax"/>
        </c:scaling>
        <c:delete val="0"/>
        <c:axPos val="b"/>
        <c:numFmt formatCode="General" sourceLinked="1"/>
        <c:majorTickMark val="none"/>
        <c:minorTickMark val="none"/>
        <c:tickLblPos val="nextTo"/>
        <c:txPr>
          <a:bodyPr/>
          <a:lstStyle/>
          <a:p>
            <a:pPr>
              <a:defRPr lang="en-US" sz="1100"/>
            </a:pPr>
            <a:endParaRPr lang="id-ID"/>
          </a:p>
        </c:txPr>
        <c:crossAx val="544050960"/>
        <c:crosses val="autoZero"/>
        <c:auto val="1"/>
        <c:lblAlgn val="ctr"/>
        <c:lblOffset val="100"/>
        <c:noMultiLvlLbl val="0"/>
      </c:catAx>
      <c:valAx>
        <c:axId val="544050960"/>
        <c:scaling>
          <c:orientation val="minMax"/>
        </c:scaling>
        <c:delete val="0"/>
        <c:axPos val="l"/>
        <c:majorGridlines/>
        <c:title>
          <c:tx>
            <c:rich>
              <a:bodyPr/>
              <a:lstStyle/>
              <a:p>
                <a:pPr>
                  <a:defRPr lang="en-US"/>
                </a:pPr>
                <a:r>
                  <a:rPr lang="en-US" sz="1400" baseline="0"/>
                  <a:t>  Ton </a:t>
                </a:r>
                <a:r>
                  <a:rPr lang="id-ID" sz="1400"/>
                  <a:t>N2O/th</a:t>
                </a:r>
              </a:p>
            </c:rich>
          </c:tx>
          <c:layout>
            <c:manualLayout>
              <c:xMode val="edge"/>
              <c:yMode val="edge"/>
              <c:x val="3.2479454143611555E-4"/>
              <c:y val="0.38629531009562385"/>
            </c:manualLayout>
          </c:layout>
          <c:overlay val="0"/>
        </c:title>
        <c:numFmt formatCode="0" sourceLinked="0"/>
        <c:majorTickMark val="none"/>
        <c:minorTickMark val="none"/>
        <c:tickLblPos val="nextTo"/>
        <c:txPr>
          <a:bodyPr/>
          <a:lstStyle/>
          <a:p>
            <a:pPr>
              <a:defRPr lang="en-US" sz="1100"/>
            </a:pPr>
            <a:endParaRPr lang="id-ID"/>
          </a:p>
        </c:txPr>
        <c:crossAx val="54405056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a:pPr>
            <a:r>
              <a:rPr lang="id-ID" sz="1200" b="1" i="0" u="sng" baseline="0"/>
              <a:t>BaU baseline N2O tidak langsung  asal kotoran ternak </a:t>
            </a:r>
            <a:endParaRPr lang="id-ID" sz="1200" b="1" i="0" baseline="0"/>
          </a:p>
        </c:rich>
      </c:tx>
      <c:overlay val="0"/>
    </c:title>
    <c:autoTitleDeleted val="0"/>
    <c:plotArea>
      <c:layout/>
      <c:lineChart>
        <c:grouping val="standard"/>
        <c:varyColors val="0"/>
        <c:ser>
          <c:idx val="0"/>
          <c:order val="0"/>
          <c:tx>
            <c:strRef>
              <c:f>'Peternakan-N2O'!$AK$2</c:f>
              <c:strCache>
                <c:ptCount val="1"/>
                <c:pt idx="0">
                  <c:v>Emisi N2O secara tidak langsung dari pengelolaan kotoran hewan untuk pupuk</c:v>
                </c:pt>
              </c:strCache>
            </c:strRef>
          </c:tx>
          <c:cat>
            <c:numRef>
              <c:f>'Peternakan-N2O'!$AL$37:$AV$37</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'Peternakan-N2O'!$AL$51:$AV$51</c:f>
              <c:numCache>
                <c:formatCode>General</c:formatCode>
                <c:ptCount val="11"/>
                <c:pt idx="0">
                  <c:v>5.4023577907244</c:v>
                </c:pt>
                <c:pt idx="1">
                  <c:v>5.6235570399328569</c:v>
                </c:pt>
                <c:pt idx="2">
                  <c:v>5.8608046752375991</c:v>
                </c:pt>
                <c:pt idx="3">
                  <c:v>6.1148621541907433</c:v>
                </c:pt>
                <c:pt idx="4">
                  <c:v>6.3865624650796571</c:v>
                </c:pt>
                <c:pt idx="5">
                  <c:v>6.6767970755614865</c:v>
                </c:pt>
                <c:pt idx="6">
                  <c:v>6.9865294132435993</c:v>
                </c:pt>
                <c:pt idx="7">
                  <c:v>7.316790069204</c:v>
                </c:pt>
                <c:pt idx="8">
                  <c:v>7.6686878215294296</c:v>
                </c:pt>
                <c:pt idx="9">
                  <c:v>8.0434054830712007</c:v>
                </c:pt>
                <c:pt idx="10">
                  <c:v>8.4422137590685704</c:v>
                </c:pt>
              </c:numCache>
            </c:numRef>
          </c:val>
          <c:smooth val="0"/>
        </c:ser>
        <c:dLbls>
          <c:showLegendKey val="0"/>
          <c:showVal val="0"/>
          <c:showCatName val="0"/>
          <c:showSerName val="0"/>
          <c:showPercent val="0"/>
          <c:showBubbleSize val="0"/>
        </c:dLbls>
        <c:marker val="1"/>
        <c:smooth val="0"/>
        <c:axId val="557644848"/>
        <c:axId val="557645240"/>
      </c:lineChart>
      <c:catAx>
        <c:axId val="557644848"/>
        <c:scaling>
          <c:orientation val="minMax"/>
        </c:scaling>
        <c:delete val="0"/>
        <c:axPos val="b"/>
        <c:numFmt formatCode="General" sourceLinked="1"/>
        <c:majorTickMark val="none"/>
        <c:minorTickMark val="none"/>
        <c:tickLblPos val="nextTo"/>
        <c:txPr>
          <a:bodyPr/>
          <a:lstStyle/>
          <a:p>
            <a:pPr>
              <a:defRPr lang="en-US"/>
            </a:pPr>
            <a:endParaRPr lang="id-ID"/>
          </a:p>
        </c:txPr>
        <c:crossAx val="557645240"/>
        <c:crosses val="autoZero"/>
        <c:auto val="1"/>
        <c:lblAlgn val="ctr"/>
        <c:lblOffset val="100"/>
        <c:noMultiLvlLbl val="0"/>
      </c:catAx>
      <c:valAx>
        <c:axId val="557645240"/>
        <c:scaling>
          <c:orientation val="minMax"/>
        </c:scaling>
        <c:delete val="0"/>
        <c:axPos val="l"/>
        <c:majorGridlines/>
        <c:title>
          <c:tx>
            <c:rich>
              <a:bodyPr/>
              <a:lstStyle/>
              <a:p>
                <a:pPr>
                  <a:defRPr lang="en-US"/>
                </a:pPr>
                <a:r>
                  <a:rPr lang="id-ID"/>
                  <a:t>Gg N2O/th</a:t>
                </a:r>
              </a:p>
            </c:rich>
          </c:tx>
          <c:overlay val="0"/>
        </c:title>
        <c:numFmt formatCode="General" sourceLinked="1"/>
        <c:majorTickMark val="none"/>
        <c:minorTickMark val="none"/>
        <c:tickLblPos val="nextTo"/>
        <c:txPr>
          <a:bodyPr/>
          <a:lstStyle/>
          <a:p>
            <a:pPr>
              <a:defRPr lang="en-US"/>
            </a:pPr>
            <a:endParaRPr lang="id-ID"/>
          </a:p>
        </c:txPr>
        <c:crossAx val="557644848"/>
        <c:crosses val="autoZero"/>
        <c:crossBetween val="between"/>
      </c:valAx>
      <c:dTable>
        <c:showHorzBorder val="1"/>
        <c:showVertBorder val="1"/>
        <c:showOutline val="1"/>
        <c:showKeys val="1"/>
        <c:txPr>
          <a:bodyPr/>
          <a:lstStyle/>
          <a:p>
            <a:pPr rtl="0">
              <a:defRPr lang="en-US"/>
            </a:pPr>
            <a:endParaRPr lang="id-ID"/>
          </a:p>
        </c:txPr>
      </c:dTable>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800" b="1" i="0" u="sng" baseline="0"/>
              <a:t>BaU baseline N2O asal kotoran ternak </a:t>
            </a:r>
            <a:endParaRPr lang="id-ID" sz="1800" b="1" i="0" baseline="0"/>
          </a:p>
        </c:rich>
      </c:tx>
      <c:overlay val="0"/>
    </c:title>
    <c:autoTitleDeleted val="0"/>
    <c:plotArea>
      <c:layout>
        <c:manualLayout>
          <c:layoutTarget val="inner"/>
          <c:xMode val="edge"/>
          <c:yMode val="edge"/>
          <c:x val="9.6697512482753725E-2"/>
          <c:y val="0.10608468840337557"/>
          <c:w val="0.88869453422321032"/>
          <c:h val="0.77403807102060163"/>
        </c:manualLayout>
      </c:layout>
      <c:lineChart>
        <c:grouping val="standard"/>
        <c:varyColors val="0"/>
        <c:ser>
          <c:idx val="0"/>
          <c:order val="0"/>
          <c:tx>
            <c:strRef>
              <c:f>'Peternakan-N2O'!$C$2</c:f>
              <c:strCache>
                <c:ptCount val="1"/>
                <c:pt idx="0">
                  <c:v>Emisi N2O secara langsung dari pengelolaan kotoran hewan untuk pupuk</c:v>
                </c:pt>
              </c:strCache>
            </c:strRef>
          </c:tx>
          <c:cat>
            <c:numRef>
              <c:f>'Peternakan-N2O'!$D$52:$AH$52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'Peternakan-N2O'!$D$82:$AH$82</c:f>
              <c:numCache>
                <c:formatCode>0.000</c:formatCode>
                <c:ptCount val="31"/>
                <c:pt idx="0">
                  <c:v>5.2262672783702863E-2</c:v>
                </c:pt>
                <c:pt idx="1">
                  <c:v>5.1323769190183798E-2</c:v>
                </c:pt>
                <c:pt idx="2">
                  <c:v>5.3394199024178579E-2</c:v>
                </c:pt>
                <c:pt idx="3">
                  <c:v>5.5924108332148587E-2</c:v>
                </c:pt>
                <c:pt idx="4">
                  <c:v>6.0879888151227621E-2</c:v>
                </c:pt>
                <c:pt idx="5">
                  <c:v>6.1093479693426642E-2</c:v>
                </c:pt>
                <c:pt idx="6">
                  <c:v>6.7117733343864755E-2</c:v>
                </c:pt>
                <c:pt idx="7">
                  <c:v>7.2216468225633823E-2</c:v>
                </c:pt>
                <c:pt idx="8">
                  <c:v>8.0603814810629559E-2</c:v>
                </c:pt>
                <c:pt idx="9">
                  <c:v>8.7130818878132857E-2</c:v>
                </c:pt>
                <c:pt idx="10">
                  <c:v>9.385846148923617E-2</c:v>
                </c:pt>
                <c:pt idx="11">
                  <c:v>9.445211377716943E-2</c:v>
                </c:pt>
                <c:pt idx="12">
                  <c:v>9.9224539225054934E-2</c:v>
                </c:pt>
                <c:pt idx="13">
                  <c:v>0.10399696488197617</c:v>
                </c:pt>
                <c:pt idx="14">
                  <c:v>0.10876939074787378</c:v>
                </c:pt>
                <c:pt idx="15">
                  <c:v>0.1135418168226885</c:v>
                </c:pt>
                <c:pt idx="16">
                  <c:v>0.11831424310636106</c:v>
                </c:pt>
                <c:pt idx="17">
                  <c:v>0.12308666959883223</c:v>
                </c:pt>
                <c:pt idx="18">
                  <c:v>0.1278590963000428</c:v>
                </c:pt>
                <c:pt idx="19">
                  <c:v>0.13263152320993354</c:v>
                </c:pt>
                <c:pt idx="20">
                  <c:v>0.13740395032844516</c:v>
                </c:pt>
                <c:pt idx="21">
                  <c:v>0.14217637765551869</c:v>
                </c:pt>
                <c:pt idx="22">
                  <c:v>0.14694880519109485</c:v>
                </c:pt>
                <c:pt idx="23">
                  <c:v>0.15172123293511439</c:v>
                </c:pt>
                <c:pt idx="24">
                  <c:v>0.15649366088751829</c:v>
                </c:pt>
                <c:pt idx="25">
                  <c:v>0.16126608904824746</c:v>
                </c:pt>
                <c:pt idx="26">
                  <c:v>0.16603851741724282</c:v>
                </c:pt>
                <c:pt idx="27">
                  <c:v>0.17081094599444524</c:v>
                </c:pt>
                <c:pt idx="28">
                  <c:v>0.1755833747797956</c:v>
                </c:pt>
                <c:pt idx="29">
                  <c:v>0.18035580377323499</c:v>
                </c:pt>
                <c:pt idx="30">
                  <c:v>0.18512823297470427</c:v>
                </c:pt>
              </c:numCache>
            </c:numRef>
          </c:val>
          <c:smooth val="0"/>
        </c:ser>
        <c:dLbls>
          <c:showLegendKey val="0"/>
          <c:showVal val="0"/>
          <c:showCatName val="0"/>
          <c:showSerName val="0"/>
          <c:showPercent val="0"/>
          <c:showBubbleSize val="0"/>
        </c:dLbls>
        <c:marker val="1"/>
        <c:smooth val="0"/>
        <c:axId val="547328448"/>
        <c:axId val="547328840"/>
      </c:lineChart>
      <c:catAx>
        <c:axId val="547328448"/>
        <c:scaling>
          <c:orientation val="minMax"/>
        </c:scaling>
        <c:delete val="0"/>
        <c:axPos val="b"/>
        <c:numFmt formatCode="General" sourceLinked="1"/>
        <c:majorTickMark val="none"/>
        <c:minorTickMark val="none"/>
        <c:tickLblPos val="nextTo"/>
        <c:txPr>
          <a:bodyPr/>
          <a:lstStyle/>
          <a:p>
            <a:pPr>
              <a:defRPr lang="en-US" sz="1100"/>
            </a:pPr>
            <a:endParaRPr lang="id-ID"/>
          </a:p>
        </c:txPr>
        <c:crossAx val="547328840"/>
        <c:crosses val="autoZero"/>
        <c:auto val="1"/>
        <c:lblAlgn val="ctr"/>
        <c:lblOffset val="100"/>
        <c:noMultiLvlLbl val="0"/>
      </c:catAx>
      <c:valAx>
        <c:axId val="547328840"/>
        <c:scaling>
          <c:orientation val="minMax"/>
        </c:scaling>
        <c:delete val="0"/>
        <c:axPos val="l"/>
        <c:majorGridlines/>
        <c:title>
          <c:tx>
            <c:rich>
              <a:bodyPr/>
              <a:lstStyle/>
              <a:p>
                <a:pPr>
                  <a:defRPr lang="en-US"/>
                </a:pPr>
                <a:r>
                  <a:rPr lang="en-US" sz="1400" baseline="0"/>
                  <a:t>   Ribu Ton </a:t>
                </a:r>
                <a:r>
                  <a:rPr lang="id-ID" sz="1400"/>
                  <a:t>N2O/th</a:t>
                </a:r>
              </a:p>
            </c:rich>
          </c:tx>
          <c:layout>
            <c:manualLayout>
              <c:xMode val="edge"/>
              <c:yMode val="edge"/>
              <c:x val="1.5108986325430266E-2"/>
              <c:y val="0.37535003866396149"/>
            </c:manualLayout>
          </c:layout>
          <c:overlay val="0"/>
        </c:title>
        <c:numFmt formatCode="0.00" sourceLinked="0"/>
        <c:majorTickMark val="none"/>
        <c:minorTickMark val="none"/>
        <c:tickLblPos val="nextTo"/>
        <c:txPr>
          <a:bodyPr/>
          <a:lstStyle/>
          <a:p>
            <a:pPr>
              <a:defRPr lang="en-US" sz="1100"/>
            </a:pPr>
            <a:endParaRPr lang="id-ID"/>
          </a:p>
        </c:txPr>
        <c:crossAx val="54732844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a:t>Rekapitulasi  CO2eq dari lahan padi sawah </a:t>
            </a:r>
          </a:p>
        </c:rich>
      </c:tx>
      <c:layout>
        <c:manualLayout>
          <c:xMode val="edge"/>
          <c:yMode val="edge"/>
          <c:x val="0.35237172849691051"/>
          <c:y val="2.369183305204723E-2"/>
        </c:manualLayout>
      </c:layout>
      <c:overlay val="0"/>
    </c:title>
    <c:autoTitleDeleted val="0"/>
    <c:plotArea>
      <c:layout>
        <c:manualLayout>
          <c:layoutTarget val="inner"/>
          <c:xMode val="edge"/>
          <c:yMode val="edge"/>
          <c:x val="0.13816986056554198"/>
          <c:y val="9.5828308202056581E-2"/>
          <c:w val="0.87665565138103274"/>
          <c:h val="0.77915930141324985"/>
        </c:manualLayout>
      </c:layout>
      <c:barChart>
        <c:barDir val="col"/>
        <c:grouping val="stacked"/>
        <c:varyColors val="0"/>
        <c:ser>
          <c:idx val="0"/>
          <c:order val="0"/>
          <c:tx>
            <c:strRef>
              <c:f>'Lahan sawah'!$D$85:$D$86</c:f>
              <c:strCache>
                <c:ptCount val="2"/>
                <c:pt idx="0">
                  <c:v>Emisi dari lahan padi sawah</c:v>
                </c:pt>
                <c:pt idx="1">
                  <c:v>(Ton CO2 eq)</c:v>
                </c:pt>
              </c:strCache>
            </c:strRef>
          </c:tx>
          <c:invertIfNegative val="0"/>
          <c:cat>
            <c:numRef>
              <c:f>'Lahan sawah'!$B$87:$B$116</c:f>
              <c:numCache>
                <c:formatCode>General</c:formatCode>
                <c:ptCount val="3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numCache>
            </c:numRef>
          </c:cat>
          <c:val>
            <c:numRef>
              <c:f>'Lahan sawah'!$D$87:$D$116</c:f>
              <c:numCache>
                <c:formatCode>0.00E+00</c:formatCode>
                <c:ptCount val="30"/>
                <c:pt idx="0">
                  <c:v>1792155.2291999999</c:v>
                </c:pt>
                <c:pt idx="1">
                  <c:v>1733623.79568</c:v>
                </c:pt>
                <c:pt idx="2">
                  <c:v>1588353.0213600001</c:v>
                </c:pt>
                <c:pt idx="3">
                  <c:v>1824281.3332799997</c:v>
                </c:pt>
                <c:pt idx="4">
                  <c:v>1843607.9944799999</c:v>
                </c:pt>
                <c:pt idx="5">
                  <c:v>1749543.2841599998</c:v>
                </c:pt>
                <c:pt idx="6">
                  <c:v>1778183.4369600001</c:v>
                </c:pt>
                <c:pt idx="7">
                  <c:v>1752713.0846400002</c:v>
                </c:pt>
                <c:pt idx="8">
                  <c:v>1892080.6497600002</c:v>
                </c:pt>
                <c:pt idx="9">
                  <c:v>1974619.84944</c:v>
                </c:pt>
                <c:pt idx="10">
                  <c:v>2015167.5428266667</c:v>
                </c:pt>
                <c:pt idx="11">
                  <c:v>2035441.3895200002</c:v>
                </c:pt>
                <c:pt idx="12">
                  <c:v>2055715.2362133332</c:v>
                </c:pt>
                <c:pt idx="13">
                  <c:v>2075989.0829066667</c:v>
                </c:pt>
                <c:pt idx="14">
                  <c:v>2096262.9295999999</c:v>
                </c:pt>
                <c:pt idx="15">
                  <c:v>2116536.7762933336</c:v>
                </c:pt>
                <c:pt idx="16">
                  <c:v>2136810.6229866664</c:v>
                </c:pt>
                <c:pt idx="17">
                  <c:v>2157084.4696800001</c:v>
                </c:pt>
                <c:pt idx="18">
                  <c:v>2177358.3163733333</c:v>
                </c:pt>
                <c:pt idx="19">
                  <c:v>2197632.1630666666</c:v>
                </c:pt>
                <c:pt idx="20">
                  <c:v>2217906.0097600003</c:v>
                </c:pt>
                <c:pt idx="21">
                  <c:v>2238179.8564533331</c:v>
                </c:pt>
                <c:pt idx="22">
                  <c:v>2258453.7031466668</c:v>
                </c:pt>
                <c:pt idx="23">
                  <c:v>2278727.54984</c:v>
                </c:pt>
                <c:pt idx="24">
                  <c:v>2299001.3965333332</c:v>
                </c:pt>
                <c:pt idx="25">
                  <c:v>2319275.2432266665</c:v>
                </c:pt>
                <c:pt idx="26">
                  <c:v>2339549.0899200002</c:v>
                </c:pt>
                <c:pt idx="27">
                  <c:v>2359822.9366133339</c:v>
                </c:pt>
                <c:pt idx="28">
                  <c:v>2380096.7833066662</c:v>
                </c:pt>
                <c:pt idx="29">
                  <c:v>2400370.6300000004</c:v>
                </c:pt>
              </c:numCache>
            </c:numRef>
          </c:val>
        </c:ser>
        <c:dLbls>
          <c:showLegendKey val="0"/>
          <c:showVal val="0"/>
          <c:showCatName val="0"/>
          <c:showSerName val="0"/>
          <c:showPercent val="0"/>
          <c:showBubbleSize val="0"/>
        </c:dLbls>
        <c:gapWidth val="75"/>
        <c:overlap val="100"/>
        <c:axId val="528983024"/>
        <c:axId val="528983416"/>
      </c:barChart>
      <c:catAx>
        <c:axId val="528983024"/>
        <c:scaling>
          <c:orientation val="minMax"/>
        </c:scaling>
        <c:delete val="0"/>
        <c:axPos val="b"/>
        <c:numFmt formatCode="General" sourceLinked="1"/>
        <c:majorTickMark val="none"/>
        <c:minorTickMark val="none"/>
        <c:tickLblPos val="nextTo"/>
        <c:txPr>
          <a:bodyPr rot="-3600000"/>
          <a:lstStyle/>
          <a:p>
            <a:pPr>
              <a:defRPr lang="en-US"/>
            </a:pPr>
            <a:endParaRPr lang="id-ID"/>
          </a:p>
        </c:txPr>
        <c:crossAx val="528983416"/>
        <c:crosses val="autoZero"/>
        <c:auto val="1"/>
        <c:lblAlgn val="ctr"/>
        <c:lblOffset val="100"/>
        <c:noMultiLvlLbl val="0"/>
      </c:catAx>
      <c:valAx>
        <c:axId val="528983416"/>
        <c:scaling>
          <c:orientation val="minMax"/>
          <c:max val="2500000"/>
        </c:scaling>
        <c:delete val="0"/>
        <c:axPos val="l"/>
        <c:majorGridlines/>
        <c:title>
          <c:tx>
            <c:rich>
              <a:bodyPr rot="-5400000" vert="horz"/>
              <a:lstStyle/>
              <a:p>
                <a:pPr>
                  <a:defRPr lang="en-US" sz="1050"/>
                </a:pPr>
                <a:r>
                  <a:rPr lang="en-US" sz="1050"/>
                  <a:t>Ton CO2 eq</a:t>
                </a:r>
              </a:p>
            </c:rich>
          </c:tx>
          <c:layout>
            <c:manualLayout>
              <c:xMode val="edge"/>
              <c:yMode val="edge"/>
              <c:x val="3.6040280875571762E-2"/>
              <c:y val="0.3801591531531498"/>
            </c:manualLayout>
          </c:layout>
          <c:overlay val="0"/>
        </c:title>
        <c:numFmt formatCode="0" sourceLinked="0"/>
        <c:majorTickMark val="none"/>
        <c:minorTickMark val="none"/>
        <c:tickLblPos val="nextTo"/>
        <c:spPr>
          <a:ln w="9525">
            <a:noFill/>
          </a:ln>
        </c:spPr>
        <c:txPr>
          <a:bodyPr/>
          <a:lstStyle/>
          <a:p>
            <a:pPr>
              <a:defRPr lang="en-US" sz="1050"/>
            </a:pPr>
            <a:endParaRPr lang="id-ID"/>
          </a:p>
        </c:txPr>
        <c:crossAx val="528983024"/>
        <c:crosses val="autoZero"/>
        <c:crossBetween val="between"/>
      </c:valAx>
      <c:dTable>
        <c:showHorzBorder val="1"/>
        <c:showVertBorder val="1"/>
        <c:showOutline val="1"/>
        <c:showKeys val="0"/>
        <c:txPr>
          <a:bodyPr/>
          <a:lstStyle/>
          <a:p>
            <a:pPr>
              <a:defRPr lang="en-US"/>
            </a:pPr>
            <a:endParaRPr lang="id-ID"/>
          </a:p>
        </c:txPr>
      </c:dTable>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025359249870334"/>
          <c:y val="5.4637904440501532E-2"/>
        </c:manualLayout>
      </c:layout>
      <c:overlay val="1"/>
      <c:txPr>
        <a:bodyPr/>
        <a:lstStyle/>
        <a:p>
          <a:pPr>
            <a:defRPr lang="en-US"/>
          </a:pPr>
          <a:endParaRPr lang="id-ID"/>
        </a:p>
      </c:txPr>
    </c:title>
    <c:autoTitleDeleted val="0"/>
    <c:plotArea>
      <c:layout>
        <c:manualLayout>
          <c:layoutTarget val="inner"/>
          <c:xMode val="edge"/>
          <c:yMode val="edge"/>
          <c:x val="0.11501616341101704"/>
          <c:y val="0.1549805753916596"/>
          <c:w val="0.86743417191898819"/>
          <c:h val="0.7306329373007544"/>
        </c:manualLayout>
      </c:layout>
      <c:lineChart>
        <c:grouping val="standard"/>
        <c:varyColors val="0"/>
        <c:ser>
          <c:idx val="0"/>
          <c:order val="0"/>
          <c:tx>
            <c:strRef>
              <c:f>'Lahan sawah'!$C$3</c:f>
              <c:strCache>
                <c:ptCount val="1"/>
                <c:pt idx="0">
                  <c:v>Emisi CH4 tahunan dari lahan padi sawah</c:v>
                </c:pt>
              </c:strCache>
            </c:strRef>
          </c:tx>
          <c:cat>
            <c:numRef>
              <c:f>'Lahan sawah'!$B$11:$B$40</c:f>
              <c:numCache>
                <c:formatCode>General</c:formatCode>
                <c:ptCount val="30"/>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pt idx="22">
                  <c:v>2023</c:v>
                </c:pt>
                <c:pt idx="23">
                  <c:v>2024</c:v>
                </c:pt>
                <c:pt idx="24">
                  <c:v>2025</c:v>
                </c:pt>
                <c:pt idx="25">
                  <c:v>2026</c:v>
                </c:pt>
                <c:pt idx="26">
                  <c:v>2027</c:v>
                </c:pt>
                <c:pt idx="27">
                  <c:v>2028</c:v>
                </c:pt>
                <c:pt idx="28">
                  <c:v>2029</c:v>
                </c:pt>
                <c:pt idx="29">
                  <c:v>2030</c:v>
                </c:pt>
              </c:numCache>
            </c:numRef>
          </c:cat>
          <c:val>
            <c:numRef>
              <c:f>'Lahan sawah'!$K$11:$K$40</c:f>
              <c:numCache>
                <c:formatCode>_(* #,##0_);_(* \(#,##0\);_(* "-"??_);_(@_)</c:formatCode>
                <c:ptCount val="30"/>
                <c:pt idx="0">
                  <c:v>85340.725200000001</c:v>
                </c:pt>
                <c:pt idx="1">
                  <c:v>82553.514079999994</c:v>
                </c:pt>
                <c:pt idx="2">
                  <c:v>75635.858160000003</c:v>
                </c:pt>
                <c:pt idx="3">
                  <c:v>86870.539679999987</c:v>
                </c:pt>
                <c:pt idx="4">
                  <c:v>87790.856879999992</c:v>
                </c:pt>
                <c:pt idx="5">
                  <c:v>83311.584959999993</c:v>
                </c:pt>
                <c:pt idx="6">
                  <c:v>84675.401760000008</c:v>
                </c:pt>
                <c:pt idx="7">
                  <c:v>83462.52784000001</c:v>
                </c:pt>
                <c:pt idx="8">
                  <c:v>90099.078560000009</c:v>
                </c:pt>
                <c:pt idx="9">
                  <c:v>94029.516640000002</c:v>
                </c:pt>
                <c:pt idx="10">
                  <c:v>95960.359182222222</c:v>
                </c:pt>
                <c:pt idx="11">
                  <c:v>96925.78045333334</c:v>
                </c:pt>
                <c:pt idx="12">
                  <c:v>97891.201724444443</c:v>
                </c:pt>
                <c:pt idx="13">
                  <c:v>98856.622995555561</c:v>
                </c:pt>
                <c:pt idx="14">
                  <c:v>99822.044266666664</c:v>
                </c:pt>
                <c:pt idx="15">
                  <c:v>100787.46553777778</c:v>
                </c:pt>
                <c:pt idx="16">
                  <c:v>101752.88680888888</c:v>
                </c:pt>
                <c:pt idx="17">
                  <c:v>102718.30808</c:v>
                </c:pt>
                <c:pt idx="18">
                  <c:v>103683.72935111112</c:v>
                </c:pt>
                <c:pt idx="19">
                  <c:v>104649.15062222222</c:v>
                </c:pt>
                <c:pt idx="20">
                  <c:v>105614.57189333334</c:v>
                </c:pt>
                <c:pt idx="21">
                  <c:v>106579.99316444443</c:v>
                </c:pt>
                <c:pt idx="22">
                  <c:v>107545.41443555556</c:v>
                </c:pt>
                <c:pt idx="23">
                  <c:v>108510.83570666666</c:v>
                </c:pt>
                <c:pt idx="24">
                  <c:v>109476.25697777778</c:v>
                </c:pt>
                <c:pt idx="25">
                  <c:v>110441.67824888889</c:v>
                </c:pt>
                <c:pt idx="26">
                  <c:v>111407.09952</c:v>
                </c:pt>
                <c:pt idx="27">
                  <c:v>112372.52079111114</c:v>
                </c:pt>
                <c:pt idx="28">
                  <c:v>113337.94206222221</c:v>
                </c:pt>
                <c:pt idx="29">
                  <c:v>114303.36333333334</c:v>
                </c:pt>
              </c:numCache>
            </c:numRef>
          </c:val>
          <c:smooth val="0"/>
        </c:ser>
        <c:dLbls>
          <c:showLegendKey val="0"/>
          <c:showVal val="0"/>
          <c:showCatName val="0"/>
          <c:showSerName val="0"/>
          <c:showPercent val="0"/>
          <c:showBubbleSize val="0"/>
        </c:dLbls>
        <c:marker val="1"/>
        <c:smooth val="0"/>
        <c:axId val="528984592"/>
        <c:axId val="528984984"/>
      </c:lineChart>
      <c:catAx>
        <c:axId val="528984592"/>
        <c:scaling>
          <c:orientation val="minMax"/>
        </c:scaling>
        <c:delete val="0"/>
        <c:axPos val="b"/>
        <c:numFmt formatCode="General" sourceLinked="1"/>
        <c:majorTickMark val="none"/>
        <c:minorTickMark val="none"/>
        <c:tickLblPos val="nextTo"/>
        <c:txPr>
          <a:bodyPr rot="3600000"/>
          <a:lstStyle/>
          <a:p>
            <a:pPr>
              <a:defRPr lang="en-US" sz="1100"/>
            </a:pPr>
            <a:endParaRPr lang="id-ID"/>
          </a:p>
        </c:txPr>
        <c:crossAx val="528984984"/>
        <c:crosses val="autoZero"/>
        <c:auto val="1"/>
        <c:lblAlgn val="ctr"/>
        <c:lblOffset val="100"/>
        <c:noMultiLvlLbl val="0"/>
      </c:catAx>
      <c:valAx>
        <c:axId val="528984984"/>
        <c:scaling>
          <c:orientation val="minMax"/>
          <c:min val="36"/>
        </c:scaling>
        <c:delete val="0"/>
        <c:axPos val="l"/>
        <c:majorGridlines/>
        <c:title>
          <c:tx>
            <c:rich>
              <a:bodyPr/>
              <a:lstStyle/>
              <a:p>
                <a:pPr>
                  <a:defRPr lang="en-US"/>
                </a:pPr>
                <a:r>
                  <a:rPr lang="en-US" sz="1400" baseline="0"/>
                  <a:t>Ton </a:t>
                </a:r>
                <a:r>
                  <a:rPr lang="id-ID" sz="1400"/>
                  <a:t>N2O/th</a:t>
                </a:r>
              </a:p>
            </c:rich>
          </c:tx>
          <c:layout>
            <c:manualLayout>
              <c:xMode val="edge"/>
              <c:yMode val="edge"/>
              <c:x val="8.6209299277123543E-3"/>
              <c:y val="0.43230628564596818"/>
            </c:manualLayout>
          </c:layout>
          <c:overlay val="0"/>
        </c:title>
        <c:numFmt formatCode="0.0" sourceLinked="0"/>
        <c:majorTickMark val="none"/>
        <c:minorTickMark val="none"/>
        <c:tickLblPos val="nextTo"/>
        <c:txPr>
          <a:bodyPr/>
          <a:lstStyle/>
          <a:p>
            <a:pPr>
              <a:defRPr lang="en-US" sz="1100"/>
            </a:pPr>
            <a:endParaRPr lang="id-ID"/>
          </a:p>
        </c:txPr>
        <c:crossAx val="528984592"/>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1"/>
      <c:txPr>
        <a:bodyPr/>
        <a:lstStyle/>
        <a:p>
          <a:pPr>
            <a:defRPr lang="en-US"/>
          </a:pPr>
          <a:endParaRPr lang="id-ID"/>
        </a:p>
      </c:txPr>
    </c:title>
    <c:autoTitleDeleted val="0"/>
    <c:plotArea>
      <c:layout>
        <c:manualLayout>
          <c:layoutTarget val="inner"/>
          <c:xMode val="edge"/>
          <c:yMode val="edge"/>
          <c:x val="0.11501616341101704"/>
          <c:y val="0.1549805753916596"/>
          <c:w val="0.86743417191898819"/>
          <c:h val="0.7306329373007544"/>
        </c:manualLayout>
      </c:layout>
      <c:lineChart>
        <c:grouping val="standard"/>
        <c:varyColors val="0"/>
        <c:ser>
          <c:idx val="0"/>
          <c:order val="0"/>
          <c:tx>
            <c:strRef>
              <c:f>'Lahan sawah'!$C$43</c:f>
              <c:strCache>
                <c:ptCount val="1"/>
                <c:pt idx="0">
                  <c:v>Emisi CH4 tahunan dari lahan padi sawah non irigasi</c:v>
                </c:pt>
              </c:strCache>
            </c:strRef>
          </c:tx>
          <c:cat>
            <c:numRef>
              <c:f>'Lahan sawah'!$B$16:$B$40</c:f>
              <c:numCache>
                <c:formatCode>General</c:formatCode>
                <c:ptCount val="2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pt idx="17">
                  <c:v>2023</c:v>
                </c:pt>
                <c:pt idx="18">
                  <c:v>2024</c:v>
                </c:pt>
                <c:pt idx="19">
                  <c:v>2025</c:v>
                </c:pt>
                <c:pt idx="20">
                  <c:v>2026</c:v>
                </c:pt>
                <c:pt idx="21">
                  <c:v>2027</c:v>
                </c:pt>
                <c:pt idx="22">
                  <c:v>2028</c:v>
                </c:pt>
                <c:pt idx="23">
                  <c:v>2029</c:v>
                </c:pt>
                <c:pt idx="24">
                  <c:v>2030</c:v>
                </c:pt>
              </c:numCache>
            </c:numRef>
          </c:cat>
          <c:val>
            <c:numRef>
              <c:f>'Lahan sawah'!$K$56:$K$80</c:f>
              <c:numCache>
                <c:formatCode>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ser>
        <c:dLbls>
          <c:showLegendKey val="0"/>
          <c:showVal val="0"/>
          <c:showCatName val="0"/>
          <c:showSerName val="0"/>
          <c:showPercent val="0"/>
          <c:showBubbleSize val="0"/>
        </c:dLbls>
        <c:marker val="1"/>
        <c:smooth val="0"/>
        <c:axId val="528985768"/>
        <c:axId val="532444248"/>
      </c:lineChart>
      <c:catAx>
        <c:axId val="528985768"/>
        <c:scaling>
          <c:orientation val="minMax"/>
        </c:scaling>
        <c:delete val="0"/>
        <c:axPos val="b"/>
        <c:numFmt formatCode="General" sourceLinked="1"/>
        <c:majorTickMark val="none"/>
        <c:minorTickMark val="none"/>
        <c:tickLblPos val="nextTo"/>
        <c:txPr>
          <a:bodyPr rot="3600000"/>
          <a:lstStyle/>
          <a:p>
            <a:pPr>
              <a:defRPr lang="en-US" sz="1100"/>
            </a:pPr>
            <a:endParaRPr lang="id-ID"/>
          </a:p>
        </c:txPr>
        <c:crossAx val="532444248"/>
        <c:crosses val="autoZero"/>
        <c:auto val="1"/>
        <c:lblAlgn val="ctr"/>
        <c:lblOffset val="100"/>
        <c:noMultiLvlLbl val="0"/>
      </c:catAx>
      <c:valAx>
        <c:axId val="532444248"/>
        <c:scaling>
          <c:orientation val="minMax"/>
        </c:scaling>
        <c:delete val="0"/>
        <c:axPos val="l"/>
        <c:majorGridlines/>
        <c:title>
          <c:tx>
            <c:rich>
              <a:bodyPr/>
              <a:lstStyle/>
              <a:p>
                <a:pPr>
                  <a:defRPr lang="en-US"/>
                </a:pPr>
                <a:r>
                  <a:rPr lang="en-US" sz="1400" baseline="0"/>
                  <a:t> Ribu Ton </a:t>
                </a:r>
                <a:r>
                  <a:rPr lang="id-ID" sz="1400"/>
                  <a:t>N2O/th</a:t>
                </a:r>
              </a:p>
            </c:rich>
          </c:tx>
          <c:layout>
            <c:manualLayout>
              <c:xMode val="edge"/>
              <c:yMode val="edge"/>
              <c:x val="3.2479454143611555E-4"/>
              <c:y val="0.38629531009562385"/>
            </c:manualLayout>
          </c:layout>
          <c:overlay val="0"/>
        </c:title>
        <c:numFmt formatCode="0.0" sourceLinked="0"/>
        <c:majorTickMark val="none"/>
        <c:minorTickMark val="none"/>
        <c:tickLblPos val="nextTo"/>
        <c:txPr>
          <a:bodyPr/>
          <a:lstStyle/>
          <a:p>
            <a:pPr>
              <a:defRPr lang="en-US" sz="1100"/>
            </a:pPr>
            <a:endParaRPr lang="id-ID"/>
          </a:p>
        </c:txPr>
        <c:crossAx val="528985768"/>
        <c:crosses val="autoZero"/>
        <c:crossBetween val="between"/>
      </c:valAx>
    </c:plotArea>
    <c:plotVisOnly val="1"/>
    <c:dispBlanksAs val="gap"/>
    <c:showDLblsOverMax val="0"/>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3.emf"/><Relationship Id="rId4"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image" Target="../media/image4.emf"/><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10</xdr:col>
      <xdr:colOff>48745</xdr:colOff>
      <xdr:row>51</xdr:row>
      <xdr:rowOff>71718</xdr:rowOff>
    </xdr:from>
    <xdr:to>
      <xdr:col>17</xdr:col>
      <xdr:colOff>612044</xdr:colOff>
      <xdr:row>75</xdr:row>
      <xdr:rowOff>177408</xdr:rowOff>
    </xdr:to>
    <xdr:pic>
      <xdr:nvPicPr>
        <xdr:cNvPr id="2" name="Picture 55"/>
        <xdr:cNvPicPr>
          <a:picLocks noChangeAspect="1" noChangeArrowheads="1"/>
        </xdr:cNvPicPr>
      </xdr:nvPicPr>
      <xdr:blipFill>
        <a:blip xmlns:r="http://schemas.openxmlformats.org/officeDocument/2006/relationships" r:embed="rId1"/>
        <a:srcRect/>
        <a:stretch>
          <a:fillRect/>
        </a:stretch>
      </xdr:blipFill>
      <xdr:spPr bwMode="auto">
        <a:xfrm>
          <a:off x="10078010" y="10616453"/>
          <a:ext cx="5986946" cy="5002661"/>
        </a:xfrm>
        <a:prstGeom prst="rect">
          <a:avLst/>
        </a:prstGeom>
        <a:noFill/>
        <a:ln w="1">
          <a:noFill/>
          <a:miter lim="800000"/>
          <a:headEnd/>
          <a:tailEnd type="none" w="med" len="med"/>
        </a:ln>
        <a:effectLst/>
      </xdr:spPr>
    </xdr:pic>
    <xdr:clientData/>
  </xdr:twoCellAnchor>
  <xdr:twoCellAnchor>
    <xdr:from>
      <xdr:col>11</xdr:col>
      <xdr:colOff>28575</xdr:colOff>
      <xdr:row>95</xdr:row>
      <xdr:rowOff>38100</xdr:rowOff>
    </xdr:from>
    <xdr:to>
      <xdr:col>18</xdr:col>
      <xdr:colOff>104775</xdr:colOff>
      <xdr:row>109</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27</xdr:col>
      <xdr:colOff>547688</xdr:colOff>
      <xdr:row>0</xdr:row>
      <xdr:rowOff>0</xdr:rowOff>
    </xdr:from>
    <xdr:to>
      <xdr:col>35</xdr:col>
      <xdr:colOff>87315</xdr:colOff>
      <xdr:row>13</xdr:row>
      <xdr:rowOff>617538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642938</xdr:colOff>
      <xdr:row>13</xdr:row>
      <xdr:rowOff>660400</xdr:rowOff>
    </xdr:from>
    <xdr:to>
      <xdr:col>35</xdr:col>
      <xdr:colOff>182565</xdr:colOff>
      <xdr:row>37</xdr:row>
      <xdr:rowOff>71438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47626</xdr:colOff>
      <xdr:row>0</xdr:row>
      <xdr:rowOff>133804</xdr:rowOff>
    </xdr:from>
    <xdr:to>
      <xdr:col>22</xdr:col>
      <xdr:colOff>689431</xdr:colOff>
      <xdr:row>20</xdr:row>
      <xdr:rowOff>158070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22</xdr:row>
      <xdr:rowOff>0</xdr:rowOff>
    </xdr:from>
    <xdr:to>
      <xdr:col>22</xdr:col>
      <xdr:colOff>641805</xdr:colOff>
      <xdr:row>44</xdr:row>
      <xdr:rowOff>187552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18</xdr:col>
      <xdr:colOff>386789</xdr:colOff>
      <xdr:row>50</xdr:row>
      <xdr:rowOff>75391</xdr:rowOff>
    </xdr:from>
    <xdr:to>
      <xdr:col>28</xdr:col>
      <xdr:colOff>337499</xdr:colOff>
      <xdr:row>67</xdr:row>
      <xdr:rowOff>189691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69850</xdr:colOff>
      <xdr:row>49</xdr:row>
      <xdr:rowOff>95250</xdr:rowOff>
    </xdr:from>
    <xdr:to>
      <xdr:col>17</xdr:col>
      <xdr:colOff>659018</xdr:colOff>
      <xdr:row>67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52</xdr:row>
      <xdr:rowOff>52917</xdr:rowOff>
    </xdr:from>
    <xdr:to>
      <xdr:col>12</xdr:col>
      <xdr:colOff>394435</xdr:colOff>
      <xdr:row>71</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105833</xdr:rowOff>
    </xdr:from>
    <xdr:to>
      <xdr:col>5</xdr:col>
      <xdr:colOff>895802</xdr:colOff>
      <xdr:row>78</xdr:row>
      <xdr:rowOff>29633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398264</xdr:colOff>
      <xdr:row>71</xdr:row>
      <xdr:rowOff>154581</xdr:rowOff>
    </xdr:from>
    <xdr:to>
      <xdr:col>6</xdr:col>
      <xdr:colOff>57909</xdr:colOff>
      <xdr:row>92</xdr:row>
      <xdr:rowOff>158352</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620514" y="14727831"/>
          <a:ext cx="6200145" cy="4004271"/>
        </a:xfrm>
        <a:prstGeom prst="rect">
          <a:avLst/>
        </a:prstGeom>
        <a:noFill/>
        <a:ln w="9525">
          <a:noFill/>
          <a:miter lim="800000"/>
          <a:headEnd/>
          <a:tailEnd/>
        </a:ln>
      </xdr:spPr>
    </xdr:pic>
    <xdr:clientData/>
  </xdr:twoCellAnchor>
  <xdr:twoCellAnchor>
    <xdr:from>
      <xdr:col>4</xdr:col>
      <xdr:colOff>1464236</xdr:colOff>
      <xdr:row>71</xdr:row>
      <xdr:rowOff>74839</xdr:rowOff>
    </xdr:from>
    <xdr:to>
      <xdr:col>12</xdr:col>
      <xdr:colOff>72430</xdr:colOff>
      <xdr:row>94</xdr:row>
      <xdr:rowOff>38554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460375</xdr:colOff>
      <xdr:row>71</xdr:row>
      <xdr:rowOff>47625</xdr:rowOff>
    </xdr:from>
    <xdr:to>
      <xdr:col>20</xdr:col>
      <xdr:colOff>830694</xdr:colOff>
      <xdr:row>94</xdr:row>
      <xdr:rowOff>11340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0.40447</cdr:x>
      <cdr:y>0.50921</cdr:y>
    </cdr:from>
    <cdr:to>
      <cdr:x>0.40551</cdr:x>
      <cdr:y>0.83987</cdr:y>
    </cdr:to>
    <cdr:cxnSp macro="">
      <cdr:nvCxnSpPr>
        <cdr:cNvPr id="3" name="Straight Connector 2"/>
        <cdr:cNvCxnSpPr/>
      </cdr:nvCxnSpPr>
      <cdr:spPr>
        <a:xfrm xmlns:a="http://schemas.openxmlformats.org/drawingml/2006/main" flipH="1">
          <a:off x="3198526" y="2250714"/>
          <a:ext cx="8255" cy="1461524"/>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0.40447</cdr:x>
      <cdr:y>0.50921</cdr:y>
    </cdr:from>
    <cdr:to>
      <cdr:x>0.40551</cdr:x>
      <cdr:y>0.83987</cdr:y>
    </cdr:to>
    <cdr:cxnSp macro="">
      <cdr:nvCxnSpPr>
        <cdr:cNvPr id="3" name="Straight Connector 2"/>
        <cdr:cNvCxnSpPr/>
      </cdr:nvCxnSpPr>
      <cdr:spPr>
        <a:xfrm xmlns:a="http://schemas.openxmlformats.org/drawingml/2006/main" flipH="1">
          <a:off x="3198526" y="2250714"/>
          <a:ext cx="8255" cy="1461524"/>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editAs="oneCell">
    <xdr:from>
      <xdr:col>16</xdr:col>
      <xdr:colOff>122326</xdr:colOff>
      <xdr:row>66</xdr:row>
      <xdr:rowOff>143416</xdr:rowOff>
    </xdr:from>
    <xdr:to>
      <xdr:col>21</xdr:col>
      <xdr:colOff>851309</xdr:colOff>
      <xdr:row>90</xdr:row>
      <xdr:rowOff>51891</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16799735" y="14794598"/>
          <a:ext cx="5872483" cy="4722930"/>
        </a:xfrm>
        <a:prstGeom prst="rect">
          <a:avLst/>
        </a:prstGeom>
        <a:noFill/>
        <a:ln w="9525">
          <a:noFill/>
          <a:miter lim="800000"/>
          <a:headEnd/>
          <a:tailEnd/>
        </a:ln>
      </xdr:spPr>
    </xdr:pic>
    <xdr:clientData/>
  </xdr:twoCellAnchor>
  <xdr:twoCellAnchor>
    <xdr:from>
      <xdr:col>1</xdr:col>
      <xdr:colOff>638608</xdr:colOff>
      <xdr:row>84</xdr:row>
      <xdr:rowOff>86590</xdr:rowOff>
    </xdr:from>
    <xdr:to>
      <xdr:col>9</xdr:col>
      <xdr:colOff>102178</xdr:colOff>
      <xdr:row>108</xdr:row>
      <xdr:rowOff>155863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68035</xdr:colOff>
      <xdr:row>52</xdr:row>
      <xdr:rowOff>27214</xdr:rowOff>
    </xdr:from>
    <xdr:to>
      <xdr:col>39</xdr:col>
      <xdr:colOff>1319892</xdr:colOff>
      <xdr:row>65</xdr:row>
      <xdr:rowOff>68035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762000</xdr:colOff>
      <xdr:row>84</xdr:row>
      <xdr:rowOff>103909</xdr:rowOff>
    </xdr:from>
    <xdr:to>
      <xdr:col>18</xdr:col>
      <xdr:colOff>658525</xdr:colOff>
      <xdr:row>108</xdr:row>
      <xdr:rowOff>173182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twoCellAnchor>
    <xdr:from>
      <xdr:col>1</xdr:col>
      <xdr:colOff>1074965</xdr:colOff>
      <xdr:row>50</xdr:row>
      <xdr:rowOff>272143</xdr:rowOff>
    </xdr:from>
    <xdr:to>
      <xdr:col>6</xdr:col>
      <xdr:colOff>843642</xdr:colOff>
      <xdr:row>57</xdr:row>
      <xdr:rowOff>68036</xdr:rowOff>
    </xdr:to>
    <xdr:sp macro="" textlink="">
      <xdr:nvSpPr>
        <xdr:cNvPr id="7" name="TextBox 6"/>
        <xdr:cNvSpPr txBox="1"/>
      </xdr:nvSpPr>
      <xdr:spPr>
        <a:xfrm>
          <a:off x="1115786" y="13049250"/>
          <a:ext cx="502103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id-ID" sz="1400">
              <a:solidFill>
                <a:schemeClr val="dk1"/>
              </a:solidFill>
              <a:latin typeface="+mn-lt"/>
              <a:ea typeface="+mn-ea"/>
              <a:cs typeface="+mn-cs"/>
            </a:rPr>
            <a:t>Untuk nilai faktor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asal padi sawah (EF</a:t>
          </a:r>
          <a:r>
            <a:rPr lang="id-ID" sz="1400" baseline="-25000">
              <a:solidFill>
                <a:schemeClr val="dk1"/>
              </a:solidFill>
              <a:latin typeface="+mn-lt"/>
              <a:ea typeface="+mn-ea"/>
              <a:cs typeface="+mn-cs"/>
            </a:rPr>
            <a:t>rice</a:t>
          </a:r>
          <a:r>
            <a:rPr lang="id-ID" sz="1400">
              <a:solidFill>
                <a:schemeClr val="dk1"/>
              </a:solidFill>
              <a:latin typeface="+mn-lt"/>
              <a:ea typeface="+mn-ea"/>
              <a:cs typeface="+mn-cs"/>
            </a:rPr>
            <a:t>)mengacu pada hasil penelitian Husny (2011).  Hasil penelitian Husny (2011) menunjukkan bahwa emisi 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dari tiga tipologi persawahan adalah berturut-turut sebesar 24,86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beririgasi; 25,67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lebak, dan 44,10 kg C-CH</a:t>
          </a:r>
          <a:r>
            <a:rPr lang="id-ID" sz="1400" baseline="-25000">
              <a:solidFill>
                <a:schemeClr val="dk1"/>
              </a:solidFill>
              <a:latin typeface="+mn-lt"/>
              <a:ea typeface="+mn-ea"/>
              <a:cs typeface="+mn-cs"/>
            </a:rPr>
            <a:t>4</a:t>
          </a:r>
          <a:r>
            <a:rPr lang="id-ID" sz="1400">
              <a:solidFill>
                <a:schemeClr val="dk1"/>
              </a:solidFill>
              <a:latin typeface="+mn-lt"/>
              <a:ea typeface="+mn-ea"/>
              <a:cs typeface="+mn-cs"/>
            </a:rPr>
            <a:t> ha</a:t>
          </a:r>
          <a:r>
            <a:rPr lang="id-ID" sz="1400" baseline="30000">
              <a:solidFill>
                <a:schemeClr val="dk1"/>
              </a:solidFill>
              <a:latin typeface="+mn-lt"/>
              <a:ea typeface="+mn-ea"/>
              <a:cs typeface="+mn-cs"/>
            </a:rPr>
            <a:t>-1</a:t>
          </a:r>
          <a:r>
            <a:rPr lang="id-ID" sz="1400">
              <a:solidFill>
                <a:schemeClr val="dk1"/>
              </a:solidFill>
              <a:latin typeface="+mn-lt"/>
              <a:ea typeface="+mn-ea"/>
              <a:cs typeface="+mn-cs"/>
            </a:rPr>
            <a:t> musim</a:t>
          </a:r>
          <a:r>
            <a:rPr lang="id-ID" sz="1400" baseline="30000">
              <a:solidFill>
                <a:schemeClr val="dk1"/>
              </a:solidFill>
              <a:latin typeface="+mn-lt"/>
              <a:ea typeface="+mn-ea"/>
              <a:cs typeface="+mn-cs"/>
            </a:rPr>
            <a:t>-1</a:t>
          </a:r>
          <a:r>
            <a:rPr lang="id-ID" sz="1400">
              <a:solidFill>
                <a:schemeClr val="dk1"/>
              </a:solidFill>
              <a:latin typeface="+mn-lt"/>
              <a:ea typeface="+mn-ea"/>
              <a:cs typeface="+mn-cs"/>
            </a:rPr>
            <a:t> untuk sawah pasang surut.</a:t>
          </a:r>
        </a:p>
        <a:p>
          <a:endParaRPr lang="id-ID" sz="14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388676</xdr:colOff>
      <xdr:row>111</xdr:row>
      <xdr:rowOff>152824</xdr:rowOff>
    </xdr:from>
    <xdr:to>
      <xdr:col>14</xdr:col>
      <xdr:colOff>588107</xdr:colOff>
      <xdr:row>132</xdr:row>
      <xdr:rowOff>124248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7706664" y="20376025"/>
          <a:ext cx="6593571" cy="3874351"/>
        </a:xfrm>
        <a:prstGeom prst="rect">
          <a:avLst/>
        </a:prstGeom>
        <a:noFill/>
        <a:ln w="9525">
          <a:noFill/>
          <a:miter lim="800000"/>
          <a:headEnd/>
          <a:tailEnd/>
        </a:ln>
      </xdr:spPr>
    </xdr:pic>
    <xdr:clientData/>
  </xdr:twoCellAnchor>
  <xdr:twoCellAnchor editAs="oneCell">
    <xdr:from>
      <xdr:col>14</xdr:col>
      <xdr:colOff>11206</xdr:colOff>
      <xdr:row>3</xdr:row>
      <xdr:rowOff>134470</xdr:rowOff>
    </xdr:from>
    <xdr:to>
      <xdr:col>23</xdr:col>
      <xdr:colOff>554131</xdr:colOff>
      <xdr:row>24</xdr:row>
      <xdr:rowOff>113739</xdr:rowOff>
    </xdr:to>
    <xdr:pic>
      <xdr:nvPicPr>
        <xdr:cNvPr id="2103" name="Picture 55"/>
        <xdr:cNvPicPr>
          <a:picLocks noChangeAspect="1" noChangeArrowheads="1"/>
        </xdr:cNvPicPr>
      </xdr:nvPicPr>
      <xdr:blipFill>
        <a:blip xmlns:r="http://schemas.openxmlformats.org/officeDocument/2006/relationships" r:embed="rId2"/>
        <a:srcRect/>
        <a:stretch>
          <a:fillRect/>
        </a:stretch>
      </xdr:blipFill>
      <xdr:spPr bwMode="auto">
        <a:xfrm>
          <a:off x="11822206" y="739588"/>
          <a:ext cx="5988984" cy="4978773"/>
        </a:xfrm>
        <a:prstGeom prst="rect">
          <a:avLst/>
        </a:prstGeom>
        <a:noFill/>
        <a:ln w="1">
          <a:noFill/>
          <a:miter lim="800000"/>
          <a:headEnd/>
          <a:tailEnd type="none" w="med" len="med"/>
        </a:ln>
        <a:effectLst/>
      </xdr:spPr>
    </xdr:pic>
    <xdr:clientData/>
  </xdr:twoCellAnchor>
  <xdr:twoCellAnchor>
    <xdr:from>
      <xdr:col>13</xdr:col>
      <xdr:colOff>194830</xdr:colOff>
      <xdr:row>0</xdr:row>
      <xdr:rowOff>146683</xdr:rowOff>
    </xdr:from>
    <xdr:to>
      <xdr:col>38</xdr:col>
      <xdr:colOff>95251</xdr:colOff>
      <xdr:row>20</xdr:row>
      <xdr:rowOff>118340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90921</xdr:colOff>
      <xdr:row>21</xdr:row>
      <xdr:rowOff>95321</xdr:rowOff>
    </xdr:from>
    <xdr:to>
      <xdr:col>26</xdr:col>
      <xdr:colOff>787098</xdr:colOff>
      <xdr:row>44</xdr:row>
      <xdr:rowOff>76772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140</xdr:row>
      <xdr:rowOff>0</xdr:rowOff>
    </xdr:from>
    <xdr:to>
      <xdr:col>14</xdr:col>
      <xdr:colOff>11615</xdr:colOff>
      <xdr:row>163</xdr:row>
      <xdr:rowOff>34848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45</xdr:row>
      <xdr:rowOff>0</xdr:rowOff>
    </xdr:from>
    <xdr:to>
      <xdr:col>27</xdr:col>
      <xdr:colOff>331052</xdr:colOff>
      <xdr:row>63</xdr:row>
      <xdr:rowOff>13201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23</xdr:row>
      <xdr:rowOff>0</xdr:rowOff>
    </xdr:from>
    <xdr:to>
      <xdr:col>60</xdr:col>
      <xdr:colOff>11546</xdr:colOff>
      <xdr:row>45</xdr:row>
      <xdr:rowOff>654282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762000</xdr:colOff>
      <xdr:row>21</xdr:row>
      <xdr:rowOff>76200</xdr:rowOff>
    </xdr:from>
    <xdr:to>
      <xdr:col>6</xdr:col>
      <xdr:colOff>523875</xdr:colOff>
      <xdr:row>37</xdr:row>
      <xdr:rowOff>171450</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2486025" y="5886450"/>
          <a:ext cx="5067300" cy="31432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171450</xdr:colOff>
      <xdr:row>45</xdr:row>
      <xdr:rowOff>180975</xdr:rowOff>
    </xdr:from>
    <xdr:to>
      <xdr:col>20</xdr:col>
      <xdr:colOff>457200</xdr:colOff>
      <xdr:row>65</xdr:row>
      <xdr:rowOff>19050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9505950" y="5819775"/>
          <a:ext cx="6991350" cy="4200525"/>
        </a:xfrm>
        <a:prstGeom prst="rect">
          <a:avLst/>
        </a:prstGeom>
        <a:noFill/>
        <a:ln w="9525">
          <a:noFill/>
          <a:miter lim="800000"/>
          <a:headEnd/>
          <a:tailEnd/>
        </a:ln>
      </xdr:spPr>
    </xdr:pic>
    <xdr:clientData/>
  </xdr:twoCellAnchor>
  <xdr:twoCellAnchor>
    <xdr:from>
      <xdr:col>6</xdr:col>
      <xdr:colOff>152399</xdr:colOff>
      <xdr:row>0</xdr:row>
      <xdr:rowOff>0</xdr:rowOff>
    </xdr:from>
    <xdr:to>
      <xdr:col>14</xdr:col>
      <xdr:colOff>352425</xdr:colOff>
      <xdr:row>15</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447676</xdr:colOff>
      <xdr:row>16</xdr:row>
      <xdr:rowOff>171450</xdr:rowOff>
    </xdr:from>
    <xdr:to>
      <xdr:col>14</xdr:col>
      <xdr:colOff>152400</xdr:colOff>
      <xdr:row>34</xdr:row>
      <xdr:rowOff>133351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hyperlink" Target="http://www.deptan.go.id/tampil.php?page=inf_basisdata"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28" workbookViewId="0">
      <selection activeCell="G63" sqref="G63"/>
    </sheetView>
  </sheetViews>
  <sheetFormatPr defaultRowHeight="12.75" x14ac:dyDescent="0.2"/>
  <cols>
    <col min="1" max="1" width="9.140625" style="196"/>
    <col min="2" max="2" width="31" style="196" customWidth="1"/>
    <col min="3" max="3" width="9.140625" style="196"/>
    <col min="4" max="13" width="11.7109375" style="196" bestFit="1" customWidth="1"/>
    <col min="14" max="257" width="9.140625" style="196"/>
    <col min="258" max="258" width="31" style="196" customWidth="1"/>
    <col min="259" max="259" width="9.140625" style="196"/>
    <col min="260" max="269" width="11.7109375" style="196" bestFit="1" customWidth="1"/>
    <col min="270" max="513" width="9.140625" style="196"/>
    <col min="514" max="514" width="31" style="196" customWidth="1"/>
    <col min="515" max="515" width="9.140625" style="196"/>
    <col min="516" max="525" width="11.7109375" style="196" bestFit="1" customWidth="1"/>
    <col min="526" max="769" width="9.140625" style="196"/>
    <col min="770" max="770" width="31" style="196" customWidth="1"/>
    <col min="771" max="771" width="9.140625" style="196"/>
    <col min="772" max="781" width="11.7109375" style="196" bestFit="1" customWidth="1"/>
    <col min="782" max="1025" width="9.140625" style="196"/>
    <col min="1026" max="1026" width="31" style="196" customWidth="1"/>
    <col min="1027" max="1027" width="9.140625" style="196"/>
    <col min="1028" max="1037" width="11.7109375" style="196" bestFit="1" customWidth="1"/>
    <col min="1038" max="1281" width="9.140625" style="196"/>
    <col min="1282" max="1282" width="31" style="196" customWidth="1"/>
    <col min="1283" max="1283" width="9.140625" style="196"/>
    <col min="1284" max="1293" width="11.7109375" style="196" bestFit="1" customWidth="1"/>
    <col min="1294" max="1537" width="9.140625" style="196"/>
    <col min="1538" max="1538" width="31" style="196" customWidth="1"/>
    <col min="1539" max="1539" width="9.140625" style="196"/>
    <col min="1540" max="1549" width="11.7109375" style="196" bestFit="1" customWidth="1"/>
    <col min="1550" max="1793" width="9.140625" style="196"/>
    <col min="1794" max="1794" width="31" style="196" customWidth="1"/>
    <col min="1795" max="1795" width="9.140625" style="196"/>
    <col min="1796" max="1805" width="11.7109375" style="196" bestFit="1" customWidth="1"/>
    <col min="1806" max="2049" width="9.140625" style="196"/>
    <col min="2050" max="2050" width="31" style="196" customWidth="1"/>
    <col min="2051" max="2051" width="9.140625" style="196"/>
    <col min="2052" max="2061" width="11.7109375" style="196" bestFit="1" customWidth="1"/>
    <col min="2062" max="2305" width="9.140625" style="196"/>
    <col min="2306" max="2306" width="31" style="196" customWidth="1"/>
    <col min="2307" max="2307" width="9.140625" style="196"/>
    <col min="2308" max="2317" width="11.7109375" style="196" bestFit="1" customWidth="1"/>
    <col min="2318" max="2561" width="9.140625" style="196"/>
    <col min="2562" max="2562" width="31" style="196" customWidth="1"/>
    <col min="2563" max="2563" width="9.140625" style="196"/>
    <col min="2564" max="2573" width="11.7109375" style="196" bestFit="1" customWidth="1"/>
    <col min="2574" max="2817" width="9.140625" style="196"/>
    <col min="2818" max="2818" width="31" style="196" customWidth="1"/>
    <col min="2819" max="2819" width="9.140625" style="196"/>
    <col min="2820" max="2829" width="11.7109375" style="196" bestFit="1" customWidth="1"/>
    <col min="2830" max="3073" width="9.140625" style="196"/>
    <col min="3074" max="3074" width="31" style="196" customWidth="1"/>
    <col min="3075" max="3075" width="9.140625" style="196"/>
    <col min="3076" max="3085" width="11.7109375" style="196" bestFit="1" customWidth="1"/>
    <col min="3086" max="3329" width="9.140625" style="196"/>
    <col min="3330" max="3330" width="31" style="196" customWidth="1"/>
    <col min="3331" max="3331" width="9.140625" style="196"/>
    <col min="3332" max="3341" width="11.7109375" style="196" bestFit="1" customWidth="1"/>
    <col min="3342" max="3585" width="9.140625" style="196"/>
    <col min="3586" max="3586" width="31" style="196" customWidth="1"/>
    <col min="3587" max="3587" width="9.140625" style="196"/>
    <col min="3588" max="3597" width="11.7109375" style="196" bestFit="1" customWidth="1"/>
    <col min="3598" max="3841" width="9.140625" style="196"/>
    <col min="3842" max="3842" width="31" style="196" customWidth="1"/>
    <col min="3843" max="3843" width="9.140625" style="196"/>
    <col min="3844" max="3853" width="11.7109375" style="196" bestFit="1" customWidth="1"/>
    <col min="3854" max="4097" width="9.140625" style="196"/>
    <col min="4098" max="4098" width="31" style="196" customWidth="1"/>
    <col min="4099" max="4099" width="9.140625" style="196"/>
    <col min="4100" max="4109" width="11.7109375" style="196" bestFit="1" customWidth="1"/>
    <col min="4110" max="4353" width="9.140625" style="196"/>
    <col min="4354" max="4354" width="31" style="196" customWidth="1"/>
    <col min="4355" max="4355" width="9.140625" style="196"/>
    <col min="4356" max="4365" width="11.7109375" style="196" bestFit="1" customWidth="1"/>
    <col min="4366" max="4609" width="9.140625" style="196"/>
    <col min="4610" max="4610" width="31" style="196" customWidth="1"/>
    <col min="4611" max="4611" width="9.140625" style="196"/>
    <col min="4612" max="4621" width="11.7109375" style="196" bestFit="1" customWidth="1"/>
    <col min="4622" max="4865" width="9.140625" style="196"/>
    <col min="4866" max="4866" width="31" style="196" customWidth="1"/>
    <col min="4867" max="4867" width="9.140625" style="196"/>
    <col min="4868" max="4877" width="11.7109375" style="196" bestFit="1" customWidth="1"/>
    <col min="4878" max="5121" width="9.140625" style="196"/>
    <col min="5122" max="5122" width="31" style="196" customWidth="1"/>
    <col min="5123" max="5123" width="9.140625" style="196"/>
    <col min="5124" max="5133" width="11.7109375" style="196" bestFit="1" customWidth="1"/>
    <col min="5134" max="5377" width="9.140625" style="196"/>
    <col min="5378" max="5378" width="31" style="196" customWidth="1"/>
    <col min="5379" max="5379" width="9.140625" style="196"/>
    <col min="5380" max="5389" width="11.7109375" style="196" bestFit="1" customWidth="1"/>
    <col min="5390" max="5633" width="9.140625" style="196"/>
    <col min="5634" max="5634" width="31" style="196" customWidth="1"/>
    <col min="5635" max="5635" width="9.140625" style="196"/>
    <col min="5636" max="5645" width="11.7109375" style="196" bestFit="1" customWidth="1"/>
    <col min="5646" max="5889" width="9.140625" style="196"/>
    <col min="5890" max="5890" width="31" style="196" customWidth="1"/>
    <col min="5891" max="5891" width="9.140625" style="196"/>
    <col min="5892" max="5901" width="11.7109375" style="196" bestFit="1" customWidth="1"/>
    <col min="5902" max="6145" width="9.140625" style="196"/>
    <col min="6146" max="6146" width="31" style="196" customWidth="1"/>
    <col min="6147" max="6147" width="9.140625" style="196"/>
    <col min="6148" max="6157" width="11.7109375" style="196" bestFit="1" customWidth="1"/>
    <col min="6158" max="6401" width="9.140625" style="196"/>
    <col min="6402" max="6402" width="31" style="196" customWidth="1"/>
    <col min="6403" max="6403" width="9.140625" style="196"/>
    <col min="6404" max="6413" width="11.7109375" style="196" bestFit="1" customWidth="1"/>
    <col min="6414" max="6657" width="9.140625" style="196"/>
    <col min="6658" max="6658" width="31" style="196" customWidth="1"/>
    <col min="6659" max="6659" width="9.140625" style="196"/>
    <col min="6660" max="6669" width="11.7109375" style="196" bestFit="1" customWidth="1"/>
    <col min="6670" max="6913" width="9.140625" style="196"/>
    <col min="6914" max="6914" width="31" style="196" customWidth="1"/>
    <col min="6915" max="6915" width="9.140625" style="196"/>
    <col min="6916" max="6925" width="11.7109375" style="196" bestFit="1" customWidth="1"/>
    <col min="6926" max="7169" width="9.140625" style="196"/>
    <col min="7170" max="7170" width="31" style="196" customWidth="1"/>
    <col min="7171" max="7171" width="9.140625" style="196"/>
    <col min="7172" max="7181" width="11.7109375" style="196" bestFit="1" customWidth="1"/>
    <col min="7182" max="7425" width="9.140625" style="196"/>
    <col min="7426" max="7426" width="31" style="196" customWidth="1"/>
    <col min="7427" max="7427" width="9.140625" style="196"/>
    <col min="7428" max="7437" width="11.7109375" style="196" bestFit="1" customWidth="1"/>
    <col min="7438" max="7681" width="9.140625" style="196"/>
    <col min="7682" max="7682" width="31" style="196" customWidth="1"/>
    <col min="7683" max="7683" width="9.140625" style="196"/>
    <col min="7684" max="7693" width="11.7109375" style="196" bestFit="1" customWidth="1"/>
    <col min="7694" max="7937" width="9.140625" style="196"/>
    <col min="7938" max="7938" width="31" style="196" customWidth="1"/>
    <col min="7939" max="7939" width="9.140625" style="196"/>
    <col min="7940" max="7949" width="11.7109375" style="196" bestFit="1" customWidth="1"/>
    <col min="7950" max="8193" width="9.140625" style="196"/>
    <col min="8194" max="8194" width="31" style="196" customWidth="1"/>
    <col min="8195" max="8195" width="9.140625" style="196"/>
    <col min="8196" max="8205" width="11.7109375" style="196" bestFit="1" customWidth="1"/>
    <col min="8206" max="8449" width="9.140625" style="196"/>
    <col min="8450" max="8450" width="31" style="196" customWidth="1"/>
    <col min="8451" max="8451" width="9.140625" style="196"/>
    <col min="8452" max="8461" width="11.7109375" style="196" bestFit="1" customWidth="1"/>
    <col min="8462" max="8705" width="9.140625" style="196"/>
    <col min="8706" max="8706" width="31" style="196" customWidth="1"/>
    <col min="8707" max="8707" width="9.140625" style="196"/>
    <col min="8708" max="8717" width="11.7109375" style="196" bestFit="1" customWidth="1"/>
    <col min="8718" max="8961" width="9.140625" style="196"/>
    <col min="8962" max="8962" width="31" style="196" customWidth="1"/>
    <col min="8963" max="8963" width="9.140625" style="196"/>
    <col min="8964" max="8973" width="11.7109375" style="196" bestFit="1" customWidth="1"/>
    <col min="8974" max="9217" width="9.140625" style="196"/>
    <col min="9218" max="9218" width="31" style="196" customWidth="1"/>
    <col min="9219" max="9219" width="9.140625" style="196"/>
    <col min="9220" max="9229" width="11.7109375" style="196" bestFit="1" customWidth="1"/>
    <col min="9230" max="9473" width="9.140625" style="196"/>
    <col min="9474" max="9474" width="31" style="196" customWidth="1"/>
    <col min="9475" max="9475" width="9.140625" style="196"/>
    <col min="9476" max="9485" width="11.7109375" style="196" bestFit="1" customWidth="1"/>
    <col min="9486" max="9729" width="9.140625" style="196"/>
    <col min="9730" max="9730" width="31" style="196" customWidth="1"/>
    <col min="9731" max="9731" width="9.140625" style="196"/>
    <col min="9732" max="9741" width="11.7109375" style="196" bestFit="1" customWidth="1"/>
    <col min="9742" max="9985" width="9.140625" style="196"/>
    <col min="9986" max="9986" width="31" style="196" customWidth="1"/>
    <col min="9987" max="9987" width="9.140625" style="196"/>
    <col min="9988" max="9997" width="11.7109375" style="196" bestFit="1" customWidth="1"/>
    <col min="9998" max="10241" width="9.140625" style="196"/>
    <col min="10242" max="10242" width="31" style="196" customWidth="1"/>
    <col min="10243" max="10243" width="9.140625" style="196"/>
    <col min="10244" max="10253" width="11.7109375" style="196" bestFit="1" customWidth="1"/>
    <col min="10254" max="10497" width="9.140625" style="196"/>
    <col min="10498" max="10498" width="31" style="196" customWidth="1"/>
    <col min="10499" max="10499" width="9.140625" style="196"/>
    <col min="10500" max="10509" width="11.7109375" style="196" bestFit="1" customWidth="1"/>
    <col min="10510" max="10753" width="9.140625" style="196"/>
    <col min="10754" max="10754" width="31" style="196" customWidth="1"/>
    <col min="10755" max="10755" width="9.140625" style="196"/>
    <col min="10756" max="10765" width="11.7109375" style="196" bestFit="1" customWidth="1"/>
    <col min="10766" max="11009" width="9.140625" style="196"/>
    <col min="11010" max="11010" width="31" style="196" customWidth="1"/>
    <col min="11011" max="11011" width="9.140625" style="196"/>
    <col min="11012" max="11021" width="11.7109375" style="196" bestFit="1" customWidth="1"/>
    <col min="11022" max="11265" width="9.140625" style="196"/>
    <col min="11266" max="11266" width="31" style="196" customWidth="1"/>
    <col min="11267" max="11267" width="9.140625" style="196"/>
    <col min="11268" max="11277" width="11.7109375" style="196" bestFit="1" customWidth="1"/>
    <col min="11278" max="11521" width="9.140625" style="196"/>
    <col min="11522" max="11522" width="31" style="196" customWidth="1"/>
    <col min="11523" max="11523" width="9.140625" style="196"/>
    <col min="11524" max="11533" width="11.7109375" style="196" bestFit="1" customWidth="1"/>
    <col min="11534" max="11777" width="9.140625" style="196"/>
    <col min="11778" max="11778" width="31" style="196" customWidth="1"/>
    <col min="11779" max="11779" width="9.140625" style="196"/>
    <col min="11780" max="11789" width="11.7109375" style="196" bestFit="1" customWidth="1"/>
    <col min="11790" max="12033" width="9.140625" style="196"/>
    <col min="12034" max="12034" width="31" style="196" customWidth="1"/>
    <col min="12035" max="12035" width="9.140625" style="196"/>
    <col min="12036" max="12045" width="11.7109375" style="196" bestFit="1" customWidth="1"/>
    <col min="12046" max="12289" width="9.140625" style="196"/>
    <col min="12290" max="12290" width="31" style="196" customWidth="1"/>
    <col min="12291" max="12291" width="9.140625" style="196"/>
    <col min="12292" max="12301" width="11.7109375" style="196" bestFit="1" customWidth="1"/>
    <col min="12302" max="12545" width="9.140625" style="196"/>
    <col min="12546" max="12546" width="31" style="196" customWidth="1"/>
    <col min="12547" max="12547" width="9.140625" style="196"/>
    <col min="12548" max="12557" width="11.7109375" style="196" bestFit="1" customWidth="1"/>
    <col min="12558" max="12801" width="9.140625" style="196"/>
    <col min="12802" max="12802" width="31" style="196" customWidth="1"/>
    <col min="12803" max="12803" width="9.140625" style="196"/>
    <col min="12804" max="12813" width="11.7109375" style="196" bestFit="1" customWidth="1"/>
    <col min="12814" max="13057" width="9.140625" style="196"/>
    <col min="13058" max="13058" width="31" style="196" customWidth="1"/>
    <col min="13059" max="13059" width="9.140625" style="196"/>
    <col min="13060" max="13069" width="11.7109375" style="196" bestFit="1" customWidth="1"/>
    <col min="13070" max="13313" width="9.140625" style="196"/>
    <col min="13314" max="13314" width="31" style="196" customWidth="1"/>
    <col min="13315" max="13315" width="9.140625" style="196"/>
    <col min="13316" max="13325" width="11.7109375" style="196" bestFit="1" customWidth="1"/>
    <col min="13326" max="13569" width="9.140625" style="196"/>
    <col min="13570" max="13570" width="31" style="196" customWidth="1"/>
    <col min="13571" max="13571" width="9.140625" style="196"/>
    <col min="13572" max="13581" width="11.7109375" style="196" bestFit="1" customWidth="1"/>
    <col min="13582" max="13825" width="9.140625" style="196"/>
    <col min="13826" max="13826" width="31" style="196" customWidth="1"/>
    <col min="13827" max="13827" width="9.140625" style="196"/>
    <col min="13828" max="13837" width="11.7109375" style="196" bestFit="1" customWidth="1"/>
    <col min="13838" max="14081" width="9.140625" style="196"/>
    <col min="14082" max="14082" width="31" style="196" customWidth="1"/>
    <col min="14083" max="14083" width="9.140625" style="196"/>
    <col min="14084" max="14093" width="11.7109375" style="196" bestFit="1" customWidth="1"/>
    <col min="14094" max="14337" width="9.140625" style="196"/>
    <col min="14338" max="14338" width="31" style="196" customWidth="1"/>
    <col min="14339" max="14339" width="9.140625" style="196"/>
    <col min="14340" max="14349" width="11.7109375" style="196" bestFit="1" customWidth="1"/>
    <col min="14350" max="14593" width="9.140625" style="196"/>
    <col min="14594" max="14594" width="31" style="196" customWidth="1"/>
    <col min="14595" max="14595" width="9.140625" style="196"/>
    <col min="14596" max="14605" width="11.7109375" style="196" bestFit="1" customWidth="1"/>
    <col min="14606" max="14849" width="9.140625" style="196"/>
    <col min="14850" max="14850" width="31" style="196" customWidth="1"/>
    <col min="14851" max="14851" width="9.140625" style="196"/>
    <col min="14852" max="14861" width="11.7109375" style="196" bestFit="1" customWidth="1"/>
    <col min="14862" max="15105" width="9.140625" style="196"/>
    <col min="15106" max="15106" width="31" style="196" customWidth="1"/>
    <col min="15107" max="15107" width="9.140625" style="196"/>
    <col min="15108" max="15117" width="11.7109375" style="196" bestFit="1" customWidth="1"/>
    <col min="15118" max="15361" width="9.140625" style="196"/>
    <col min="15362" max="15362" width="31" style="196" customWidth="1"/>
    <col min="15363" max="15363" width="9.140625" style="196"/>
    <col min="15364" max="15373" width="11.7109375" style="196" bestFit="1" customWidth="1"/>
    <col min="15374" max="15617" width="9.140625" style="196"/>
    <col min="15618" max="15618" width="31" style="196" customWidth="1"/>
    <col min="15619" max="15619" width="9.140625" style="196"/>
    <col min="15620" max="15629" width="11.7109375" style="196" bestFit="1" customWidth="1"/>
    <col min="15630" max="15873" width="9.140625" style="196"/>
    <col min="15874" max="15874" width="31" style="196" customWidth="1"/>
    <col min="15875" max="15875" width="9.140625" style="196"/>
    <col min="15876" max="15885" width="11.7109375" style="196" bestFit="1" customWidth="1"/>
    <col min="15886" max="16129" width="9.140625" style="196"/>
    <col min="16130" max="16130" width="31" style="196" customWidth="1"/>
    <col min="16131" max="16131" width="9.140625" style="196"/>
    <col min="16132" max="16141" width="11.7109375" style="196" bestFit="1" customWidth="1"/>
    <col min="16142" max="16384" width="9.140625" style="196"/>
  </cols>
  <sheetData>
    <row r="1" spans="1:19" x14ac:dyDescent="0.2">
      <c r="A1" s="206" t="s">
        <v>470</v>
      </c>
    </row>
    <row r="2" spans="1:19" x14ac:dyDescent="0.2">
      <c r="B2" s="515" t="s">
        <v>471</v>
      </c>
      <c r="C2" s="509" t="s">
        <v>472</v>
      </c>
      <c r="D2" s="516" t="s">
        <v>473</v>
      </c>
      <c r="E2" s="517"/>
      <c r="F2" s="517"/>
      <c r="G2" s="517"/>
      <c r="H2" s="517"/>
      <c r="I2" s="517"/>
      <c r="J2" s="517"/>
      <c r="K2" s="517"/>
      <c r="L2" s="517"/>
      <c r="M2" s="517"/>
      <c r="N2" s="518"/>
      <c r="R2" s="196" t="s">
        <v>510</v>
      </c>
    </row>
    <row r="3" spans="1:19" ht="15" x14ac:dyDescent="0.25">
      <c r="B3" s="515"/>
      <c r="C3" s="509"/>
      <c r="D3" s="322">
        <v>2000</v>
      </c>
      <c r="E3" s="322">
        <v>2001</v>
      </c>
      <c r="F3" s="322">
        <v>2002</v>
      </c>
      <c r="G3" s="322">
        <v>2003</v>
      </c>
      <c r="H3" s="322">
        <v>2004</v>
      </c>
      <c r="I3" s="322">
        <v>2005</v>
      </c>
      <c r="J3" s="322">
        <v>2006</v>
      </c>
      <c r="K3" s="322">
        <v>2007</v>
      </c>
      <c r="L3" s="322">
        <v>2008</v>
      </c>
      <c r="M3" s="322">
        <v>2009</v>
      </c>
      <c r="N3" s="322">
        <v>2010</v>
      </c>
      <c r="O3" s="341">
        <v>2011</v>
      </c>
      <c r="P3" s="341">
        <v>2012</v>
      </c>
      <c r="R3" s="196">
        <v>2000</v>
      </c>
      <c r="S3" s="325">
        <f>D14</f>
        <v>56702</v>
      </c>
    </row>
    <row r="4" spans="1:19" ht="15" x14ac:dyDescent="0.25">
      <c r="B4" s="323" t="s">
        <v>474</v>
      </c>
      <c r="C4" s="324" t="s">
        <v>475</v>
      </c>
      <c r="D4" s="325">
        <v>3909</v>
      </c>
      <c r="E4" s="325">
        <v>2987</v>
      </c>
      <c r="F4" s="325">
        <v>3072</v>
      </c>
      <c r="G4" s="325">
        <v>3311</v>
      </c>
      <c r="H4" s="325">
        <v>3129</v>
      </c>
      <c r="I4" s="325">
        <v>4224</v>
      </c>
      <c r="J4" s="325">
        <v>2876</v>
      </c>
      <c r="K4" s="325">
        <v>3434</v>
      </c>
      <c r="L4" s="325">
        <v>3815</v>
      </c>
      <c r="M4" s="325">
        <v>3883</v>
      </c>
      <c r="N4" s="325">
        <v>4236</v>
      </c>
      <c r="O4" s="342">
        <v>4739</v>
      </c>
      <c r="P4" s="342">
        <v>4587</v>
      </c>
      <c r="R4" s="196">
        <v>2001</v>
      </c>
      <c r="S4" s="325">
        <f>E14</f>
        <v>65032</v>
      </c>
    </row>
    <row r="5" spans="1:19" ht="15" x14ac:dyDescent="0.25">
      <c r="B5" s="323" t="s">
        <v>476</v>
      </c>
      <c r="C5" s="324" t="s">
        <v>475</v>
      </c>
      <c r="D5" s="325">
        <v>2802</v>
      </c>
      <c r="E5" s="325">
        <v>15556</v>
      </c>
      <c r="F5" s="325">
        <v>2120</v>
      </c>
      <c r="G5" s="325">
        <v>4955</v>
      </c>
      <c r="H5" s="325">
        <v>2367</v>
      </c>
      <c r="I5" s="325">
        <v>2730</v>
      </c>
      <c r="J5" s="325">
        <v>4809</v>
      </c>
      <c r="K5" s="325">
        <v>4645</v>
      </c>
      <c r="L5" s="325">
        <v>5325</v>
      </c>
      <c r="M5" s="325">
        <v>5106</v>
      </c>
      <c r="N5" s="325">
        <v>3810</v>
      </c>
      <c r="O5" s="342">
        <v>7973</v>
      </c>
      <c r="P5" s="342">
        <v>6090</v>
      </c>
      <c r="R5" s="196">
        <v>2002</v>
      </c>
      <c r="S5" s="325">
        <f>F14</f>
        <v>55265</v>
      </c>
    </row>
    <row r="6" spans="1:19" ht="15" x14ac:dyDescent="0.25">
      <c r="B6" s="323" t="s">
        <v>477</v>
      </c>
      <c r="C6" s="324" t="s">
        <v>475</v>
      </c>
      <c r="D6" s="325">
        <v>0</v>
      </c>
      <c r="E6" s="325">
        <v>0</v>
      </c>
      <c r="F6" s="325">
        <v>0</v>
      </c>
      <c r="G6" s="325">
        <v>0</v>
      </c>
      <c r="H6" s="325">
        <v>2319</v>
      </c>
      <c r="I6" s="325">
        <v>2012</v>
      </c>
      <c r="J6" s="325">
        <v>2242</v>
      </c>
      <c r="K6" s="325">
        <v>2387</v>
      </c>
      <c r="L6" s="325">
        <v>1657</v>
      </c>
      <c r="M6" s="325">
        <v>2274</v>
      </c>
      <c r="N6" s="325">
        <v>1958</v>
      </c>
      <c r="O6" s="342">
        <v>2639</v>
      </c>
      <c r="P6" s="342">
        <v>2467</v>
      </c>
      <c r="R6" s="196">
        <v>2003</v>
      </c>
      <c r="S6" s="325">
        <f>G14</f>
        <v>67396</v>
      </c>
    </row>
    <row r="7" spans="1:19" ht="15" x14ac:dyDescent="0.25">
      <c r="B7" s="323" t="s">
        <v>478</v>
      </c>
      <c r="C7" s="324" t="s">
        <v>475</v>
      </c>
      <c r="D7" s="325">
        <v>2698</v>
      </c>
      <c r="E7" s="325">
        <v>2090</v>
      </c>
      <c r="F7" s="325">
        <v>1861</v>
      </c>
      <c r="G7" s="325">
        <v>1613</v>
      </c>
      <c r="H7" s="325">
        <v>4169</v>
      </c>
      <c r="I7" s="325">
        <v>2021</v>
      </c>
      <c r="J7" s="325">
        <v>1826</v>
      </c>
      <c r="K7" s="325">
        <v>2061</v>
      </c>
      <c r="L7" s="325">
        <v>2067</v>
      </c>
      <c r="M7" s="325">
        <v>2479</v>
      </c>
      <c r="N7" s="325">
        <v>2337</v>
      </c>
      <c r="O7" s="342">
        <v>2265</v>
      </c>
      <c r="P7" s="342">
        <v>2348</v>
      </c>
      <c r="R7" s="196">
        <v>2004</v>
      </c>
      <c r="S7" s="325">
        <f>H14</f>
        <v>79125</v>
      </c>
    </row>
    <row r="8" spans="1:19" ht="15" x14ac:dyDescent="0.25">
      <c r="B8" s="323" t="s">
        <v>479</v>
      </c>
      <c r="C8" s="324" t="s">
        <v>475</v>
      </c>
      <c r="D8" s="325">
        <v>4822</v>
      </c>
      <c r="E8" s="325">
        <v>4492</v>
      </c>
      <c r="F8" s="325">
        <v>12272</v>
      </c>
      <c r="G8" s="325">
        <v>19332</v>
      </c>
      <c r="H8" s="325">
        <v>25178</v>
      </c>
      <c r="I8" s="325">
        <v>20265</v>
      </c>
      <c r="J8" s="325">
        <v>29365</v>
      </c>
      <c r="K8" s="325">
        <v>31639</v>
      </c>
      <c r="L8" s="325">
        <v>26304</v>
      </c>
      <c r="M8" s="325">
        <v>23855</v>
      </c>
      <c r="N8" s="325">
        <v>12846</v>
      </c>
      <c r="O8" s="342">
        <v>28215</v>
      </c>
      <c r="P8" s="342">
        <v>28867</v>
      </c>
      <c r="R8" s="196">
        <v>2005</v>
      </c>
      <c r="S8" s="325">
        <f>I14</f>
        <v>84397</v>
      </c>
    </row>
    <row r="9" spans="1:19" ht="15" x14ac:dyDescent="0.25">
      <c r="B9" s="323" t="s">
        <v>480</v>
      </c>
      <c r="C9" s="324" t="s">
        <v>475</v>
      </c>
      <c r="D9" s="325">
        <v>2312</v>
      </c>
      <c r="E9" s="325">
        <v>634</v>
      </c>
      <c r="F9" s="325">
        <v>2967</v>
      </c>
      <c r="G9" s="325">
        <v>2601</v>
      </c>
      <c r="H9" s="325">
        <v>1749</v>
      </c>
      <c r="I9" s="325">
        <v>2678</v>
      </c>
      <c r="J9" s="325">
        <v>2804</v>
      </c>
      <c r="K9" s="325">
        <v>3707</v>
      </c>
      <c r="L9" s="325">
        <v>1471</v>
      </c>
      <c r="M9" s="325">
        <v>3193</v>
      </c>
      <c r="N9" s="325">
        <v>3089</v>
      </c>
      <c r="O9" s="342">
        <v>4793</v>
      </c>
      <c r="P9" s="342">
        <v>5725</v>
      </c>
      <c r="R9" s="196">
        <v>2006</v>
      </c>
      <c r="S9" s="325">
        <f>J14</f>
        <v>94353</v>
      </c>
    </row>
    <row r="10" spans="1:19" ht="15" x14ac:dyDescent="0.25">
      <c r="B10" s="323" t="s">
        <v>481</v>
      </c>
      <c r="C10" s="324" t="s">
        <v>475</v>
      </c>
      <c r="D10" s="325">
        <v>3662</v>
      </c>
      <c r="E10" s="325">
        <v>3197</v>
      </c>
      <c r="F10" s="325">
        <v>3451</v>
      </c>
      <c r="G10" s="325">
        <v>4061</v>
      </c>
      <c r="H10" s="325">
        <v>4619</v>
      </c>
      <c r="I10" s="325">
        <v>6199</v>
      </c>
      <c r="J10" s="325">
        <v>5085</v>
      </c>
      <c r="K10" s="325">
        <v>5035</v>
      </c>
      <c r="L10" s="325">
        <v>4050</v>
      </c>
      <c r="M10" s="325">
        <v>5406</v>
      </c>
      <c r="N10" s="325">
        <v>5045</v>
      </c>
      <c r="O10" s="342">
        <v>5981</v>
      </c>
      <c r="P10" s="342">
        <v>5371</v>
      </c>
      <c r="R10" s="196">
        <v>2007</v>
      </c>
      <c r="S10" s="325">
        <f>K14</f>
        <v>96145</v>
      </c>
    </row>
    <row r="11" spans="1:19" ht="15" x14ac:dyDescent="0.25">
      <c r="B11" s="323" t="s">
        <v>482</v>
      </c>
      <c r="C11" s="324" t="s">
        <v>475</v>
      </c>
      <c r="D11" s="325">
        <v>22899</v>
      </c>
      <c r="E11" s="325">
        <v>19591</v>
      </c>
      <c r="F11" s="325">
        <v>16347</v>
      </c>
      <c r="G11" s="325">
        <v>15446</v>
      </c>
      <c r="H11" s="325">
        <v>20561</v>
      </c>
      <c r="I11" s="325">
        <v>23066</v>
      </c>
      <c r="J11" s="325">
        <v>22961</v>
      </c>
      <c r="K11" s="325">
        <v>23140</v>
      </c>
      <c r="L11" s="325">
        <v>19294</v>
      </c>
      <c r="M11" s="325">
        <v>22641</v>
      </c>
      <c r="N11" s="325">
        <v>20359</v>
      </c>
      <c r="O11" s="342">
        <v>20080</v>
      </c>
      <c r="P11" s="342">
        <v>18344</v>
      </c>
      <c r="R11" s="196">
        <v>2008</v>
      </c>
      <c r="S11" s="325">
        <f>L14</f>
        <v>87566</v>
      </c>
    </row>
    <row r="12" spans="1:19" ht="15" x14ac:dyDescent="0.25">
      <c r="B12" s="323" t="s">
        <v>483</v>
      </c>
      <c r="C12" s="324" t="s">
        <v>475</v>
      </c>
      <c r="D12" s="325">
        <v>8843</v>
      </c>
      <c r="E12" s="325">
        <v>8762</v>
      </c>
      <c r="F12" s="325">
        <v>7333</v>
      </c>
      <c r="G12" s="325">
        <v>9289</v>
      </c>
      <c r="H12" s="325">
        <v>8304</v>
      </c>
      <c r="I12" s="325">
        <v>10984</v>
      </c>
      <c r="J12" s="325">
        <v>12868</v>
      </c>
      <c r="K12" s="325">
        <v>11812</v>
      </c>
      <c r="L12" s="325">
        <v>16246</v>
      </c>
      <c r="M12" s="325">
        <v>13916</v>
      </c>
      <c r="N12" s="325">
        <v>13582</v>
      </c>
      <c r="O12" s="342">
        <v>20070</v>
      </c>
      <c r="P12" s="342">
        <v>14866</v>
      </c>
      <c r="R12" s="196">
        <v>2009</v>
      </c>
      <c r="S12" s="325">
        <f>M14</f>
        <v>90283</v>
      </c>
    </row>
    <row r="13" spans="1:19" ht="15" x14ac:dyDescent="0.25">
      <c r="B13" s="323" t="s">
        <v>484</v>
      </c>
      <c r="C13" s="324" t="s">
        <v>475</v>
      </c>
      <c r="D13" s="325">
        <v>4755</v>
      </c>
      <c r="E13" s="325">
        <v>7723</v>
      </c>
      <c r="F13" s="325">
        <v>5842</v>
      </c>
      <c r="G13" s="325">
        <v>6788</v>
      </c>
      <c r="H13" s="325">
        <v>6730</v>
      </c>
      <c r="I13" s="325">
        <v>10218</v>
      </c>
      <c r="J13" s="325">
        <v>9517</v>
      </c>
      <c r="K13" s="325">
        <v>8285</v>
      </c>
      <c r="L13" s="325">
        <v>7337</v>
      </c>
      <c r="M13" s="325">
        <v>7530</v>
      </c>
      <c r="N13" s="325">
        <v>2841</v>
      </c>
      <c r="O13" s="342">
        <v>3059</v>
      </c>
      <c r="P13" s="342">
        <v>2486</v>
      </c>
      <c r="R13" s="196">
        <v>2010</v>
      </c>
      <c r="S13" s="325">
        <f>N14</f>
        <v>70103</v>
      </c>
    </row>
    <row r="14" spans="1:19" ht="15" x14ac:dyDescent="0.25">
      <c r="B14" s="326" t="s">
        <v>549</v>
      </c>
      <c r="C14" s="327"/>
      <c r="D14" s="328">
        <f t="shared" ref="D14:N14" si="0">SUM(D4:D13)</f>
        <v>56702</v>
      </c>
      <c r="E14" s="328">
        <f t="shared" si="0"/>
        <v>65032</v>
      </c>
      <c r="F14" s="328">
        <f t="shared" si="0"/>
        <v>55265</v>
      </c>
      <c r="G14" s="328">
        <f t="shared" si="0"/>
        <v>67396</v>
      </c>
      <c r="H14" s="328">
        <f t="shared" si="0"/>
        <v>79125</v>
      </c>
      <c r="I14" s="328">
        <f t="shared" si="0"/>
        <v>84397</v>
      </c>
      <c r="J14" s="328">
        <f t="shared" si="0"/>
        <v>94353</v>
      </c>
      <c r="K14" s="328">
        <f t="shared" si="0"/>
        <v>96145</v>
      </c>
      <c r="L14" s="328">
        <f t="shared" si="0"/>
        <v>87566</v>
      </c>
      <c r="M14" s="328">
        <f t="shared" si="0"/>
        <v>90283</v>
      </c>
      <c r="N14" s="328">
        <f t="shared" si="0"/>
        <v>70103</v>
      </c>
      <c r="O14" s="340">
        <f>SUM(O4:O13)</f>
        <v>99814</v>
      </c>
      <c r="P14" s="340">
        <f>SUM(P4:P13)</f>
        <v>91151</v>
      </c>
      <c r="R14" s="196">
        <v>2011</v>
      </c>
      <c r="S14" s="343">
        <f>O14</f>
        <v>99814</v>
      </c>
    </row>
    <row r="15" spans="1:19" x14ac:dyDescent="0.2">
      <c r="A15" s="338" t="s">
        <v>509</v>
      </c>
      <c r="B15" s="329"/>
      <c r="C15" s="306"/>
      <c r="D15" s="330"/>
      <c r="E15" s="331"/>
      <c r="F15" s="331"/>
      <c r="G15" s="331"/>
      <c r="H15" s="331"/>
      <c r="I15" s="331"/>
      <c r="J15" s="331"/>
      <c r="K15" s="331"/>
      <c r="L15" s="331"/>
      <c r="M15" s="331"/>
      <c r="N15" s="332"/>
    </row>
    <row r="16" spans="1:19" x14ac:dyDescent="0.2">
      <c r="B16" s="515" t="s">
        <v>471</v>
      </c>
      <c r="C16" s="509" t="s">
        <v>472</v>
      </c>
      <c r="D16" s="519" t="s">
        <v>473</v>
      </c>
      <c r="E16" s="520"/>
      <c r="F16" s="520"/>
      <c r="G16" s="520"/>
      <c r="H16" s="520"/>
      <c r="I16" s="520"/>
      <c r="J16" s="520"/>
      <c r="K16" s="520"/>
      <c r="L16" s="520"/>
      <c r="M16" s="520"/>
      <c r="N16" s="521"/>
      <c r="R16" s="196" t="s">
        <v>511</v>
      </c>
    </row>
    <row r="17" spans="2:19" ht="15" x14ac:dyDescent="0.25">
      <c r="B17" s="515"/>
      <c r="C17" s="509"/>
      <c r="D17" s="322">
        <v>2000</v>
      </c>
      <c r="E17" s="322">
        <v>2001</v>
      </c>
      <c r="F17" s="322">
        <v>2002</v>
      </c>
      <c r="G17" s="322">
        <v>2003</v>
      </c>
      <c r="H17" s="322">
        <v>2004</v>
      </c>
      <c r="I17" s="322">
        <v>2005</v>
      </c>
      <c r="J17" s="322">
        <v>2006</v>
      </c>
      <c r="K17" s="322">
        <v>2007</v>
      </c>
      <c r="L17" s="322">
        <v>2008</v>
      </c>
      <c r="M17" s="322">
        <v>2009</v>
      </c>
      <c r="N17" s="322">
        <v>2010</v>
      </c>
      <c r="O17" s="341">
        <v>2011</v>
      </c>
      <c r="P17" s="341">
        <v>2012</v>
      </c>
      <c r="R17" s="196">
        <v>2000</v>
      </c>
      <c r="S17" s="325">
        <f>D28</f>
        <v>177880</v>
      </c>
    </row>
    <row r="18" spans="2:19" ht="15" x14ac:dyDescent="0.25">
      <c r="B18" s="323" t="s">
        <v>485</v>
      </c>
      <c r="C18" s="324" t="s">
        <v>475</v>
      </c>
      <c r="D18" s="325">
        <v>14950</v>
      </c>
      <c r="E18" s="325">
        <v>13194</v>
      </c>
      <c r="F18" s="325">
        <v>12570</v>
      </c>
      <c r="G18" s="325">
        <v>12498</v>
      </c>
      <c r="H18" s="325">
        <v>16406</v>
      </c>
      <c r="I18" s="325">
        <v>15807</v>
      </c>
      <c r="J18" s="325">
        <v>15267</v>
      </c>
      <c r="K18" s="325">
        <v>14696</v>
      </c>
      <c r="L18" s="325">
        <v>16233</v>
      </c>
      <c r="M18" s="325">
        <v>14455</v>
      </c>
      <c r="N18" s="325">
        <v>14091</v>
      </c>
      <c r="O18" s="342">
        <v>12348</v>
      </c>
      <c r="P18" s="342">
        <v>12994</v>
      </c>
      <c r="R18" s="196">
        <v>2001</v>
      </c>
      <c r="S18" s="325">
        <f>E28</f>
        <v>145585</v>
      </c>
    </row>
    <row r="19" spans="2:19" ht="15" x14ac:dyDescent="0.25">
      <c r="B19" s="323" t="s">
        <v>486</v>
      </c>
      <c r="C19" s="324" t="s">
        <v>475</v>
      </c>
      <c r="D19" s="325">
        <v>13310</v>
      </c>
      <c r="E19" s="325">
        <v>12699</v>
      </c>
      <c r="F19" s="325">
        <v>10483</v>
      </c>
      <c r="G19" s="325">
        <v>13353</v>
      </c>
      <c r="H19" s="325">
        <v>12170</v>
      </c>
      <c r="I19" s="325">
        <v>12653</v>
      </c>
      <c r="J19" s="325">
        <v>11593</v>
      </c>
      <c r="K19" s="325">
        <v>11799</v>
      </c>
      <c r="L19" s="325">
        <v>11510</v>
      </c>
      <c r="M19" s="325">
        <v>10837</v>
      </c>
      <c r="N19" s="325">
        <v>12168</v>
      </c>
      <c r="O19" s="342">
        <v>10009</v>
      </c>
      <c r="P19" s="342">
        <v>11438</v>
      </c>
      <c r="R19" s="196">
        <v>2002</v>
      </c>
      <c r="S19" s="325">
        <f>F28</f>
        <v>138025</v>
      </c>
    </row>
    <row r="20" spans="2:19" ht="15" x14ac:dyDescent="0.25">
      <c r="B20" s="323" t="s">
        <v>487</v>
      </c>
      <c r="C20" s="324" t="s">
        <v>475</v>
      </c>
      <c r="D20" s="325">
        <v>7836</v>
      </c>
      <c r="E20" s="325">
        <v>6698</v>
      </c>
      <c r="F20" s="325">
        <v>6589</v>
      </c>
      <c r="G20" s="325">
        <v>6640</v>
      </c>
      <c r="H20" s="325">
        <v>7230</v>
      </c>
      <c r="I20" s="325">
        <v>7713</v>
      </c>
      <c r="J20" s="325">
        <v>6756</v>
      </c>
      <c r="K20" s="325">
        <v>6864</v>
      </c>
      <c r="L20" s="325">
        <v>6242</v>
      </c>
      <c r="M20" s="325">
        <v>6163</v>
      </c>
      <c r="N20" s="325">
        <v>9150</v>
      </c>
      <c r="O20" s="342">
        <v>6758</v>
      </c>
      <c r="P20" s="342">
        <v>6238</v>
      </c>
      <c r="R20" s="196">
        <v>2003</v>
      </c>
      <c r="S20" s="325">
        <f>G28</f>
        <v>142438</v>
      </c>
    </row>
    <row r="21" spans="2:19" ht="15" x14ac:dyDescent="0.25">
      <c r="B21" s="323" t="s">
        <v>488</v>
      </c>
      <c r="C21" s="324" t="s">
        <v>475</v>
      </c>
      <c r="D21" s="325">
        <v>25889</v>
      </c>
      <c r="E21" s="325">
        <v>16851</v>
      </c>
      <c r="F21" s="325">
        <v>17867</v>
      </c>
      <c r="G21" s="325">
        <v>20304</v>
      </c>
      <c r="H21" s="325">
        <v>20246</v>
      </c>
      <c r="I21" s="325">
        <v>21473</v>
      </c>
      <c r="J21" s="325">
        <v>21575</v>
      </c>
      <c r="K21" s="325">
        <v>22070</v>
      </c>
      <c r="L21" s="325">
        <v>21379</v>
      </c>
      <c r="M21" s="325">
        <v>23212</v>
      </c>
      <c r="N21" s="325">
        <f>M21+M20</f>
        <v>29375</v>
      </c>
      <c r="O21" s="342">
        <v>29375</v>
      </c>
      <c r="P21" s="342">
        <v>38525</v>
      </c>
      <c r="R21" s="196">
        <v>2004</v>
      </c>
      <c r="S21" s="325">
        <f>H28</f>
        <v>145103</v>
      </c>
    </row>
    <row r="22" spans="2:19" ht="15" x14ac:dyDescent="0.25">
      <c r="B22" s="323" t="s">
        <v>489</v>
      </c>
      <c r="C22" s="324" t="s">
        <v>475</v>
      </c>
      <c r="D22" s="325">
        <v>20979</v>
      </c>
      <c r="E22" s="325">
        <v>15743</v>
      </c>
      <c r="F22" s="325">
        <v>16044</v>
      </c>
      <c r="G22" s="325">
        <v>14510</v>
      </c>
      <c r="H22" s="325">
        <v>13396</v>
      </c>
      <c r="I22" s="325">
        <v>13817</v>
      </c>
      <c r="J22" s="325">
        <v>12934</v>
      </c>
      <c r="K22" s="325">
        <v>12681</v>
      </c>
      <c r="L22" s="325">
        <v>11140</v>
      </c>
      <c r="M22" s="325">
        <v>12663</v>
      </c>
      <c r="N22" s="325">
        <v>12765</v>
      </c>
      <c r="O22" s="342">
        <v>11102</v>
      </c>
      <c r="P22" s="342">
        <v>10288</v>
      </c>
      <c r="R22" s="196">
        <v>2005</v>
      </c>
      <c r="S22" s="325">
        <f>I28</f>
        <v>143407</v>
      </c>
    </row>
    <row r="23" spans="2:19" ht="15" x14ac:dyDescent="0.25">
      <c r="B23" s="323" t="s">
        <v>490</v>
      </c>
      <c r="C23" s="324" t="s">
        <v>475</v>
      </c>
      <c r="D23" s="325">
        <v>27778</v>
      </c>
      <c r="E23" s="325">
        <v>23045</v>
      </c>
      <c r="F23" s="325">
        <v>19882</v>
      </c>
      <c r="G23" s="325">
        <v>20146</v>
      </c>
      <c r="H23" s="325">
        <v>21092</v>
      </c>
      <c r="I23" s="325">
        <v>17744</v>
      </c>
      <c r="J23" s="325">
        <v>17242</v>
      </c>
      <c r="K23" s="325">
        <v>16499</v>
      </c>
      <c r="L23" s="325">
        <v>13766</v>
      </c>
      <c r="M23" s="325">
        <v>15344</v>
      </c>
      <c r="N23" s="325">
        <v>13553</v>
      </c>
      <c r="O23" s="342">
        <v>1474</v>
      </c>
      <c r="P23" s="342">
        <v>1672</v>
      </c>
      <c r="R23" s="196">
        <v>2006</v>
      </c>
      <c r="S23" s="325">
        <f>J28</f>
        <v>140374</v>
      </c>
    </row>
    <row r="24" spans="2:19" ht="15" x14ac:dyDescent="0.25">
      <c r="B24" s="323" t="s">
        <v>491</v>
      </c>
      <c r="C24" s="324" t="s">
        <v>475</v>
      </c>
      <c r="D24" s="325">
        <v>16688</v>
      </c>
      <c r="E24" s="325">
        <v>11763</v>
      </c>
      <c r="F24" s="325">
        <v>13080</v>
      </c>
      <c r="G24" s="325">
        <v>12803</v>
      </c>
      <c r="H24" s="325">
        <v>11989</v>
      </c>
      <c r="I24" s="325">
        <v>12193</v>
      </c>
      <c r="J24" s="325">
        <v>12323</v>
      </c>
      <c r="K24" s="325">
        <v>12751</v>
      </c>
      <c r="L24" s="325">
        <v>11657</v>
      </c>
      <c r="M24" s="325">
        <v>13694</v>
      </c>
      <c r="N24" s="325">
        <v>13769</v>
      </c>
      <c r="O24" s="342">
        <v>11327</v>
      </c>
      <c r="P24" s="342">
        <v>13627</v>
      </c>
      <c r="R24" s="196">
        <v>2007</v>
      </c>
      <c r="S24" s="325">
        <f>K28</f>
        <v>138407</v>
      </c>
    </row>
    <row r="25" spans="2:19" ht="15" x14ac:dyDescent="0.25">
      <c r="B25" s="323" t="s">
        <v>492</v>
      </c>
      <c r="C25" s="324" t="s">
        <v>475</v>
      </c>
      <c r="D25" s="325">
        <v>21101</v>
      </c>
      <c r="E25" s="325">
        <v>19788</v>
      </c>
      <c r="F25" s="325">
        <v>17729</v>
      </c>
      <c r="G25" s="325">
        <v>18403</v>
      </c>
      <c r="H25" s="325">
        <v>17833</v>
      </c>
      <c r="I25" s="325">
        <v>16765</v>
      </c>
      <c r="J25" s="325">
        <v>14939</v>
      </c>
      <c r="K25" s="325">
        <v>15383</v>
      </c>
      <c r="L25" s="325">
        <v>12440</v>
      </c>
      <c r="M25" s="325">
        <v>13604</v>
      </c>
      <c r="N25" s="325">
        <v>12811</v>
      </c>
      <c r="O25" s="342">
        <v>11789</v>
      </c>
      <c r="P25" s="342">
        <v>10340</v>
      </c>
      <c r="R25" s="196">
        <v>2008</v>
      </c>
      <c r="S25" s="325">
        <f>L28</f>
        <v>127336</v>
      </c>
    </row>
    <row r="26" spans="2:19" ht="15" x14ac:dyDescent="0.25">
      <c r="B26" s="323" t="s">
        <v>493</v>
      </c>
      <c r="C26" s="324" t="s">
        <v>475</v>
      </c>
      <c r="D26" s="325">
        <v>15839</v>
      </c>
      <c r="E26" s="325">
        <v>14292</v>
      </c>
      <c r="F26" s="325">
        <v>12866</v>
      </c>
      <c r="G26" s="325">
        <v>12118</v>
      </c>
      <c r="H26" s="325">
        <v>13634</v>
      </c>
      <c r="I26" s="325">
        <v>14008</v>
      </c>
      <c r="J26" s="325">
        <v>15841</v>
      </c>
      <c r="K26" s="325">
        <v>14738</v>
      </c>
      <c r="L26" s="325">
        <v>12758</v>
      </c>
      <c r="M26" s="325">
        <v>13485</v>
      </c>
      <c r="N26" s="325">
        <v>14548</v>
      </c>
      <c r="O26" s="342">
        <v>14635</v>
      </c>
      <c r="P26" s="342">
        <v>14194</v>
      </c>
      <c r="R26" s="196">
        <v>2009</v>
      </c>
      <c r="S26" s="325">
        <f>M28</f>
        <v>133584</v>
      </c>
    </row>
    <row r="27" spans="2:19" ht="15" x14ac:dyDescent="0.25">
      <c r="B27" s="323" t="s">
        <v>494</v>
      </c>
      <c r="C27" s="324" t="s">
        <v>475</v>
      </c>
      <c r="D27" s="325">
        <v>13510</v>
      </c>
      <c r="E27" s="325">
        <v>11512</v>
      </c>
      <c r="F27" s="325">
        <v>10915</v>
      </c>
      <c r="G27" s="325">
        <v>11663</v>
      </c>
      <c r="H27" s="325">
        <v>11107</v>
      </c>
      <c r="I27" s="325">
        <v>11234</v>
      </c>
      <c r="J27" s="325">
        <v>11904</v>
      </c>
      <c r="K27" s="325">
        <v>10926</v>
      </c>
      <c r="L27" s="325">
        <v>10211</v>
      </c>
      <c r="M27" s="325">
        <v>10127</v>
      </c>
      <c r="N27" s="325">
        <v>12635</v>
      </c>
      <c r="O27" s="342">
        <v>10252</v>
      </c>
      <c r="P27" s="342">
        <v>10899</v>
      </c>
      <c r="R27" s="196">
        <v>2010</v>
      </c>
      <c r="S27" s="325">
        <f>N28</f>
        <v>144865</v>
      </c>
    </row>
    <row r="28" spans="2:19" ht="15" x14ac:dyDescent="0.25">
      <c r="B28" s="326" t="s">
        <v>548</v>
      </c>
      <c r="C28" s="327"/>
      <c r="D28" s="328">
        <f>SUM(D18:D27)</f>
        <v>177880</v>
      </c>
      <c r="E28" s="328">
        <f t="shared" ref="E28:P28" si="1">SUM(E18:E27)</f>
        <v>145585</v>
      </c>
      <c r="F28" s="328">
        <f t="shared" si="1"/>
        <v>138025</v>
      </c>
      <c r="G28" s="328">
        <f t="shared" si="1"/>
        <v>142438</v>
      </c>
      <c r="H28" s="328">
        <f t="shared" si="1"/>
        <v>145103</v>
      </c>
      <c r="I28" s="328">
        <f t="shared" si="1"/>
        <v>143407</v>
      </c>
      <c r="J28" s="328">
        <f t="shared" si="1"/>
        <v>140374</v>
      </c>
      <c r="K28" s="328">
        <f t="shared" si="1"/>
        <v>138407</v>
      </c>
      <c r="L28" s="328">
        <f t="shared" si="1"/>
        <v>127336</v>
      </c>
      <c r="M28" s="328">
        <f t="shared" si="1"/>
        <v>133584</v>
      </c>
      <c r="N28" s="328">
        <f t="shared" si="1"/>
        <v>144865</v>
      </c>
      <c r="O28" s="340">
        <f t="shared" si="1"/>
        <v>119069</v>
      </c>
      <c r="P28" s="340">
        <f t="shared" si="1"/>
        <v>130215</v>
      </c>
      <c r="R28" s="196">
        <v>2011</v>
      </c>
      <c r="S28" s="297">
        <f>O28</f>
        <v>119069</v>
      </c>
    </row>
    <row r="29" spans="2:19" x14ac:dyDescent="0.2">
      <c r="B29" s="206" t="s">
        <v>550</v>
      </c>
    </row>
    <row r="30" spans="2:19" x14ac:dyDescent="0.2">
      <c r="B30" s="522" t="s">
        <v>495</v>
      </c>
      <c r="C30" s="522" t="s">
        <v>472</v>
      </c>
      <c r="D30" s="523" t="s">
        <v>473</v>
      </c>
      <c r="E30" s="523"/>
      <c r="F30" s="523"/>
      <c r="G30" s="523"/>
      <c r="H30" s="523"/>
      <c r="I30" s="523"/>
      <c r="J30" s="523"/>
      <c r="K30" s="523"/>
      <c r="L30" s="523"/>
      <c r="M30" s="523"/>
      <c r="N30" s="523"/>
      <c r="P30" s="196" t="s">
        <v>512</v>
      </c>
    </row>
    <row r="31" spans="2:19" ht="15" x14ac:dyDescent="0.25">
      <c r="B31" s="522"/>
      <c r="C31" s="522"/>
      <c r="D31" s="322">
        <v>2000</v>
      </c>
      <c r="E31" s="322">
        <v>2001</v>
      </c>
      <c r="F31" s="322">
        <v>2002</v>
      </c>
      <c r="G31" s="322">
        <v>2003</v>
      </c>
      <c r="H31" s="322">
        <v>2004</v>
      </c>
      <c r="I31" s="322">
        <v>2005</v>
      </c>
      <c r="J31" s="322">
        <v>2006</v>
      </c>
      <c r="K31" s="322">
        <v>2007</v>
      </c>
      <c r="L31" s="322">
        <v>2008</v>
      </c>
      <c r="M31" s="322">
        <v>2009</v>
      </c>
      <c r="N31" s="322">
        <v>2010</v>
      </c>
      <c r="O31" s="341">
        <v>2011</v>
      </c>
      <c r="P31" s="341">
        <v>2012</v>
      </c>
      <c r="R31" s="196">
        <v>2000</v>
      </c>
      <c r="S31" s="325">
        <f>D37</f>
        <v>236064</v>
      </c>
    </row>
    <row r="32" spans="2:19" ht="15" x14ac:dyDescent="0.25">
      <c r="B32" s="333" t="s">
        <v>496</v>
      </c>
      <c r="C32" s="334" t="s">
        <v>497</v>
      </c>
      <c r="D32" s="335">
        <v>138957</v>
      </c>
      <c r="E32" s="335">
        <v>117670</v>
      </c>
      <c r="F32" s="335">
        <v>126146</v>
      </c>
      <c r="G32" s="335">
        <v>105167</v>
      </c>
      <c r="H32" s="335">
        <v>119872</v>
      </c>
      <c r="I32" s="335">
        <v>117413</v>
      </c>
      <c r="J32" s="335">
        <v>115797</v>
      </c>
      <c r="K32" s="335">
        <v>113373</v>
      </c>
      <c r="L32" s="335">
        <v>118976</v>
      </c>
      <c r="M32" s="335">
        <v>135707</v>
      </c>
      <c r="N32" s="335">
        <v>153778</v>
      </c>
      <c r="O32" s="342">
        <v>147152</v>
      </c>
      <c r="P32" s="342">
        <v>148601</v>
      </c>
      <c r="R32" s="196">
        <v>2001</v>
      </c>
      <c r="S32" s="325">
        <f>E37</f>
        <v>188815</v>
      </c>
    </row>
    <row r="33" spans="1:19" ht="15" x14ac:dyDescent="0.25">
      <c r="B33" s="333" t="s">
        <v>498</v>
      </c>
      <c r="C33" s="334" t="s">
        <v>497</v>
      </c>
      <c r="D33" s="335">
        <v>16466</v>
      </c>
      <c r="E33" s="335">
        <v>13958</v>
      </c>
      <c r="F33" s="335">
        <v>12092</v>
      </c>
      <c r="G33" s="335">
        <v>11339</v>
      </c>
      <c r="H33" s="335">
        <v>13904</v>
      </c>
      <c r="I33" s="335">
        <v>15437</v>
      </c>
      <c r="J33" s="335">
        <v>12491</v>
      </c>
      <c r="K33" s="335">
        <v>11094</v>
      </c>
      <c r="L33" s="335">
        <v>11606</v>
      </c>
      <c r="M33" s="335">
        <v>13978</v>
      </c>
      <c r="N33" s="335">
        <v>12866</v>
      </c>
      <c r="O33" s="342">
        <v>12507</v>
      </c>
      <c r="P33" s="342">
        <v>9011</v>
      </c>
      <c r="R33" s="196">
        <v>2002</v>
      </c>
      <c r="S33" s="325">
        <f>F37</f>
        <v>195022</v>
      </c>
    </row>
    <row r="34" spans="1:19" ht="15" x14ac:dyDescent="0.25">
      <c r="B34" s="333" t="s">
        <v>499</v>
      </c>
      <c r="C34" s="334" t="s">
        <v>497</v>
      </c>
      <c r="D34" s="335">
        <v>11</v>
      </c>
      <c r="E34" s="335">
        <v>0</v>
      </c>
      <c r="F34" s="335">
        <v>0</v>
      </c>
      <c r="G34" s="335">
        <v>67022</v>
      </c>
      <c r="H34" s="335">
        <v>72117</v>
      </c>
      <c r="I34" s="335">
        <v>71523</v>
      </c>
      <c r="J34" s="335">
        <v>64653</v>
      </c>
      <c r="K34" s="335">
        <v>63922</v>
      </c>
      <c r="L34" s="335">
        <v>54103</v>
      </c>
      <c r="M34" s="335">
        <v>61498</v>
      </c>
      <c r="N34" s="335">
        <v>67901</v>
      </c>
      <c r="O34" s="342">
        <v>53952</v>
      </c>
      <c r="P34" s="342">
        <v>53569</v>
      </c>
      <c r="R34" s="196">
        <v>2003</v>
      </c>
      <c r="S34" s="325">
        <f>G37</f>
        <v>228450</v>
      </c>
    </row>
    <row r="35" spans="1:19" ht="15" x14ac:dyDescent="0.25">
      <c r="B35" s="333" t="s">
        <v>500</v>
      </c>
      <c r="C35" s="334" t="s">
        <v>497</v>
      </c>
      <c r="D35" s="335">
        <v>45259</v>
      </c>
      <c r="E35" s="335">
        <v>28557</v>
      </c>
      <c r="F35" s="335">
        <v>22714</v>
      </c>
      <c r="G35" s="335">
        <v>14971</v>
      </c>
      <c r="H35" s="335">
        <v>20997</v>
      </c>
      <c r="I35" s="335">
        <v>17934</v>
      </c>
      <c r="J35" s="335">
        <v>17878</v>
      </c>
      <c r="K35" s="335">
        <v>12429</v>
      </c>
      <c r="L35" s="335">
        <v>23810</v>
      </c>
      <c r="M35" s="335">
        <v>41775</v>
      </c>
      <c r="N35" s="335">
        <v>36700</v>
      </c>
      <c r="O35" s="342">
        <v>35674</v>
      </c>
      <c r="P35" s="342">
        <v>30345</v>
      </c>
      <c r="R35" s="196">
        <v>2004</v>
      </c>
      <c r="S35" s="325">
        <f>H37</f>
        <v>258304</v>
      </c>
    </row>
    <row r="36" spans="1:19" ht="15" x14ac:dyDescent="0.25">
      <c r="B36" s="333" t="s">
        <v>502</v>
      </c>
      <c r="C36" s="334" t="s">
        <v>497</v>
      </c>
      <c r="D36" s="335">
        <v>35371</v>
      </c>
      <c r="E36" s="335">
        <v>28630</v>
      </c>
      <c r="F36" s="335">
        <v>34070</v>
      </c>
      <c r="G36" s="335">
        <v>29951</v>
      </c>
      <c r="H36" s="335">
        <v>31414</v>
      </c>
      <c r="I36" s="335">
        <v>30794</v>
      </c>
      <c r="J36" s="335">
        <v>29805</v>
      </c>
      <c r="K36" s="335">
        <v>28096</v>
      </c>
      <c r="L36" s="335">
        <v>27252</v>
      </c>
      <c r="M36" s="335">
        <v>33387</v>
      </c>
      <c r="N36" s="335">
        <v>30073</v>
      </c>
      <c r="O36" s="342">
        <v>27931</v>
      </c>
      <c r="P36" s="342">
        <v>26531</v>
      </c>
      <c r="R36" s="196">
        <v>2005</v>
      </c>
      <c r="S36" s="325">
        <f>I37</f>
        <v>253101</v>
      </c>
    </row>
    <row r="37" spans="1:19" ht="15" x14ac:dyDescent="0.25">
      <c r="B37" s="336" t="s">
        <v>503</v>
      </c>
      <c r="C37" s="337" t="s">
        <v>497</v>
      </c>
      <c r="D37" s="328">
        <f t="shared" ref="D37:P37" si="2">SUM(D32:D36)</f>
        <v>236064</v>
      </c>
      <c r="E37" s="328">
        <f t="shared" si="2"/>
        <v>188815</v>
      </c>
      <c r="F37" s="328">
        <f t="shared" si="2"/>
        <v>195022</v>
      </c>
      <c r="G37" s="328">
        <f t="shared" si="2"/>
        <v>228450</v>
      </c>
      <c r="H37" s="328">
        <f t="shared" si="2"/>
        <v>258304</v>
      </c>
      <c r="I37" s="328">
        <f t="shared" si="2"/>
        <v>253101</v>
      </c>
      <c r="J37" s="328">
        <f t="shared" si="2"/>
        <v>240624</v>
      </c>
      <c r="K37" s="328">
        <f t="shared" si="2"/>
        <v>228914</v>
      </c>
      <c r="L37" s="328">
        <f t="shared" si="2"/>
        <v>235747</v>
      </c>
      <c r="M37" s="328">
        <f t="shared" si="2"/>
        <v>286345</v>
      </c>
      <c r="N37" s="328">
        <f t="shared" si="2"/>
        <v>301318</v>
      </c>
      <c r="O37" s="340">
        <f t="shared" si="2"/>
        <v>277216</v>
      </c>
      <c r="P37" s="340">
        <f t="shared" si="2"/>
        <v>268057</v>
      </c>
      <c r="R37" s="196">
        <v>2006</v>
      </c>
      <c r="S37" s="325">
        <f>J37</f>
        <v>240624</v>
      </c>
    </row>
    <row r="38" spans="1:19" x14ac:dyDescent="0.2">
      <c r="B38" s="511" t="s">
        <v>551</v>
      </c>
      <c r="C38" s="196" t="s">
        <v>475</v>
      </c>
      <c r="D38" s="297">
        <f>D37+D28+D14+D48</f>
        <v>640970</v>
      </c>
      <c r="E38" s="297">
        <f t="shared" ref="E38:P38" si="3">E37+E28+E14+E48</f>
        <v>536556</v>
      </c>
      <c r="F38" s="297">
        <f t="shared" si="3"/>
        <v>411026</v>
      </c>
      <c r="G38" s="297">
        <f t="shared" si="3"/>
        <v>570339</v>
      </c>
      <c r="H38" s="297">
        <f t="shared" si="3"/>
        <v>602736</v>
      </c>
      <c r="I38" s="297">
        <f t="shared" si="3"/>
        <v>597118</v>
      </c>
      <c r="J38" s="297">
        <f t="shared" si="3"/>
        <v>585775</v>
      </c>
      <c r="K38" s="297">
        <f t="shared" si="3"/>
        <v>577085</v>
      </c>
      <c r="L38" s="297">
        <f t="shared" si="3"/>
        <v>563383</v>
      </c>
      <c r="M38" s="297">
        <f t="shared" si="3"/>
        <v>635069</v>
      </c>
      <c r="N38" s="297">
        <f t="shared" si="3"/>
        <v>648969</v>
      </c>
      <c r="O38" s="297">
        <f t="shared" si="3"/>
        <v>496099</v>
      </c>
      <c r="P38" s="297">
        <f t="shared" si="3"/>
        <v>489423</v>
      </c>
      <c r="R38" s="196">
        <v>2007</v>
      </c>
      <c r="S38" s="325">
        <f>K37</f>
        <v>228914</v>
      </c>
    </row>
    <row r="39" spans="1:19" x14ac:dyDescent="0.2">
      <c r="B39" s="512"/>
      <c r="R39" s="196">
        <v>2008</v>
      </c>
      <c r="S39" s="325">
        <f>L37</f>
        <v>235747</v>
      </c>
    </row>
    <row r="40" spans="1:19" x14ac:dyDescent="0.2">
      <c r="R40" s="196">
        <v>2009</v>
      </c>
      <c r="S40" s="325">
        <f>M37</f>
        <v>286345</v>
      </c>
    </row>
    <row r="41" spans="1:19" x14ac:dyDescent="0.2">
      <c r="A41" s="509" t="s">
        <v>504</v>
      </c>
      <c r="B41" s="509" t="s">
        <v>495</v>
      </c>
      <c r="C41" s="509" t="s">
        <v>472</v>
      </c>
      <c r="D41" s="510" t="s">
        <v>441</v>
      </c>
      <c r="E41" s="510"/>
      <c r="F41" s="510"/>
      <c r="G41" s="510"/>
      <c r="H41" s="510"/>
      <c r="I41" s="510"/>
      <c r="J41" s="510"/>
      <c r="K41" s="510"/>
      <c r="L41" s="510"/>
      <c r="M41" s="510"/>
      <c r="N41" s="510"/>
      <c r="R41" s="196">
        <v>2010</v>
      </c>
      <c r="S41" s="325">
        <f>N37</f>
        <v>301318</v>
      </c>
    </row>
    <row r="42" spans="1:19" x14ac:dyDescent="0.2">
      <c r="A42" s="509"/>
      <c r="B42" s="509"/>
      <c r="C42" s="509"/>
      <c r="D42" s="306">
        <v>2000</v>
      </c>
      <c r="E42" s="306">
        <v>2001</v>
      </c>
      <c r="F42" s="306">
        <v>2002</v>
      </c>
      <c r="G42" s="306">
        <v>2003</v>
      </c>
      <c r="H42" s="306">
        <v>2004</v>
      </c>
      <c r="I42" s="306">
        <v>2005</v>
      </c>
      <c r="J42" s="306">
        <v>2006</v>
      </c>
      <c r="K42" s="306">
        <v>2007</v>
      </c>
      <c r="L42" s="306">
        <v>2008</v>
      </c>
      <c r="M42" s="306">
        <v>2009</v>
      </c>
      <c r="N42" s="306">
        <v>2010</v>
      </c>
      <c r="R42" s="196">
        <v>2011</v>
      </c>
      <c r="S42" s="297">
        <f>O37</f>
        <v>277216</v>
      </c>
    </row>
    <row r="43" spans="1:19" x14ac:dyDescent="0.2">
      <c r="A43" s="306" t="s">
        <v>505</v>
      </c>
      <c r="B43" s="333" t="s">
        <v>496</v>
      </c>
      <c r="C43" s="334" t="s">
        <v>497</v>
      </c>
      <c r="D43" s="335">
        <v>138957</v>
      </c>
      <c r="E43" s="335">
        <v>117670</v>
      </c>
      <c r="F43" s="335">
        <v>126146</v>
      </c>
      <c r="G43" s="335">
        <v>105167</v>
      </c>
      <c r="H43" s="335">
        <v>119872</v>
      </c>
      <c r="I43" s="335">
        <v>117413</v>
      </c>
      <c r="J43" s="335">
        <v>115797</v>
      </c>
      <c r="K43" s="335">
        <v>113373</v>
      </c>
      <c r="L43" s="335">
        <v>118976</v>
      </c>
      <c r="M43" s="335">
        <v>135707</v>
      </c>
      <c r="N43" s="335">
        <v>153778</v>
      </c>
      <c r="R43" s="196">
        <v>2012</v>
      </c>
      <c r="S43" s="297">
        <f>P37</f>
        <v>268057</v>
      </c>
    </row>
    <row r="44" spans="1:19" x14ac:dyDescent="0.2">
      <c r="A44" s="306"/>
      <c r="B44" s="333" t="s">
        <v>498</v>
      </c>
      <c r="C44" s="334" t="s">
        <v>497</v>
      </c>
      <c r="D44" s="335">
        <v>16466</v>
      </c>
      <c r="E44" s="335">
        <v>13958</v>
      </c>
      <c r="F44" s="335">
        <v>12092</v>
      </c>
      <c r="G44" s="335">
        <v>11339</v>
      </c>
      <c r="H44" s="335">
        <v>13904</v>
      </c>
      <c r="I44" s="335">
        <v>15437</v>
      </c>
      <c r="J44" s="335">
        <v>12491</v>
      </c>
      <c r="K44" s="335">
        <v>11094</v>
      </c>
      <c r="L44" s="335">
        <v>11606</v>
      </c>
      <c r="M44" s="335">
        <v>13978</v>
      </c>
      <c r="N44" s="335">
        <v>12866</v>
      </c>
    </row>
    <row r="45" spans="1:19" x14ac:dyDescent="0.2">
      <c r="A45" s="306"/>
      <c r="B45" s="333" t="s">
        <v>499</v>
      </c>
      <c r="C45" s="334" t="s">
        <v>497</v>
      </c>
      <c r="D45" s="335">
        <v>11</v>
      </c>
      <c r="E45" s="335">
        <v>0</v>
      </c>
      <c r="F45" s="335">
        <v>0</v>
      </c>
      <c r="G45" s="335">
        <v>67022</v>
      </c>
      <c r="H45" s="335">
        <v>72117</v>
      </c>
      <c r="I45" s="335">
        <v>71523</v>
      </c>
      <c r="J45" s="335">
        <v>64653</v>
      </c>
      <c r="K45" s="335">
        <v>63922</v>
      </c>
      <c r="L45" s="335">
        <v>54103</v>
      </c>
      <c r="M45" s="335">
        <v>61498</v>
      </c>
      <c r="N45" s="335">
        <v>67901</v>
      </c>
    </row>
    <row r="46" spans="1:19" x14ac:dyDescent="0.2">
      <c r="A46" s="306"/>
      <c r="B46" s="333" t="s">
        <v>500</v>
      </c>
      <c r="C46" s="334" t="s">
        <v>497</v>
      </c>
      <c r="D46" s="335">
        <v>45259</v>
      </c>
      <c r="E46" s="335">
        <v>28557</v>
      </c>
      <c r="F46" s="335">
        <v>22714</v>
      </c>
      <c r="G46" s="335">
        <v>14971</v>
      </c>
      <c r="H46" s="335">
        <v>20997</v>
      </c>
      <c r="I46" s="335">
        <v>17934</v>
      </c>
      <c r="J46" s="335">
        <v>17878</v>
      </c>
      <c r="K46" s="335">
        <v>12429</v>
      </c>
      <c r="L46" s="335">
        <v>23810</v>
      </c>
      <c r="M46" s="335">
        <v>41775</v>
      </c>
      <c r="N46" s="335">
        <v>36700</v>
      </c>
    </row>
    <row r="47" spans="1:19" x14ac:dyDescent="0.2">
      <c r="A47" s="306"/>
      <c r="B47" s="333" t="s">
        <v>506</v>
      </c>
      <c r="C47" s="334" t="s">
        <v>497</v>
      </c>
      <c r="D47" s="335">
        <v>2188479</v>
      </c>
      <c r="E47" s="335">
        <v>1866069</v>
      </c>
      <c r="F47" s="335">
        <v>1792320</v>
      </c>
      <c r="G47" s="335">
        <v>1664386</v>
      </c>
      <c r="H47" s="335">
        <v>1880142</v>
      </c>
      <c r="I47" s="335">
        <v>1894796</v>
      </c>
      <c r="J47" s="335">
        <v>1798260</v>
      </c>
      <c r="K47" s="335">
        <v>1829085</v>
      </c>
      <c r="L47" s="335">
        <v>1803628</v>
      </c>
      <c r="M47" s="335">
        <v>1950203</v>
      </c>
      <c r="N47" s="335">
        <v>2037657</v>
      </c>
    </row>
    <row r="48" spans="1:19" x14ac:dyDescent="0.2">
      <c r="A48" s="306"/>
      <c r="B48" s="333" t="s">
        <v>507</v>
      </c>
      <c r="C48" s="334" t="s">
        <v>497</v>
      </c>
      <c r="D48" s="335">
        <v>170324</v>
      </c>
      <c r="E48" s="335">
        <v>137124</v>
      </c>
      <c r="F48" s="335">
        <v>22714</v>
      </c>
      <c r="G48" s="335">
        <v>132055</v>
      </c>
      <c r="H48" s="335">
        <v>120204</v>
      </c>
      <c r="I48" s="335">
        <v>116213</v>
      </c>
      <c r="J48" s="335">
        <v>110424</v>
      </c>
      <c r="K48" s="335">
        <v>113619</v>
      </c>
      <c r="L48" s="335">
        <v>112734</v>
      </c>
      <c r="M48" s="335">
        <v>124857</v>
      </c>
      <c r="N48" s="335">
        <v>132683</v>
      </c>
    </row>
    <row r="49" spans="1:14" x14ac:dyDescent="0.2">
      <c r="A49" s="306"/>
      <c r="B49" s="333" t="s">
        <v>508</v>
      </c>
      <c r="C49" s="334" t="s">
        <v>497</v>
      </c>
      <c r="D49" s="335">
        <v>2018155</v>
      </c>
      <c r="E49" s="335">
        <v>1728945</v>
      </c>
      <c r="F49" s="335">
        <v>1672478</v>
      </c>
      <c r="G49" s="335">
        <v>1532331</v>
      </c>
      <c r="H49" s="335">
        <v>1759938</v>
      </c>
      <c r="I49" s="335">
        <v>1778583</v>
      </c>
      <c r="J49" s="335">
        <v>1687836</v>
      </c>
      <c r="K49" s="335">
        <v>1715466</v>
      </c>
      <c r="L49" s="335">
        <v>1690894</v>
      </c>
      <c r="M49" s="335">
        <v>1825346</v>
      </c>
      <c r="N49" s="335">
        <v>1904974</v>
      </c>
    </row>
    <row r="51" spans="1:14" x14ac:dyDescent="0.2">
      <c r="B51" s="339" t="s">
        <v>515</v>
      </c>
      <c r="C51" s="339"/>
      <c r="D51" s="339"/>
      <c r="E51" s="339"/>
      <c r="F51" s="339"/>
      <c r="G51" s="339"/>
      <c r="H51" s="339"/>
      <c r="I51" s="339"/>
    </row>
    <row r="53" spans="1:14" x14ac:dyDescent="0.2">
      <c r="B53" s="196" t="s">
        <v>513</v>
      </c>
    </row>
    <row r="54" spans="1:14" x14ac:dyDescent="0.2">
      <c r="B54" s="196" t="s">
        <v>514</v>
      </c>
    </row>
    <row r="55" spans="1:14" ht="15" x14ac:dyDescent="0.25">
      <c r="C55" s="513" t="s">
        <v>403</v>
      </c>
      <c r="D55" s="514" t="s">
        <v>532</v>
      </c>
      <c r="E55" s="514"/>
    </row>
    <row r="56" spans="1:14" ht="15" x14ac:dyDescent="0.25">
      <c r="C56" s="513"/>
      <c r="D56" s="406" t="s">
        <v>501</v>
      </c>
      <c r="E56" s="406" t="s">
        <v>533</v>
      </c>
    </row>
    <row r="57" spans="1:14" ht="15" x14ac:dyDescent="0.25">
      <c r="C57" s="406">
        <v>2000</v>
      </c>
      <c r="D57" s="407">
        <v>170324</v>
      </c>
      <c r="E57" s="407">
        <v>2018155</v>
      </c>
    </row>
    <row r="58" spans="1:14" ht="15" x14ac:dyDescent="0.25">
      <c r="C58" s="406">
        <v>2001</v>
      </c>
      <c r="D58" s="407">
        <v>137124</v>
      </c>
      <c r="E58" s="407">
        <v>1728945</v>
      </c>
    </row>
    <row r="59" spans="1:14" ht="15" x14ac:dyDescent="0.25">
      <c r="C59" s="406">
        <v>2002</v>
      </c>
      <c r="D59" s="407">
        <v>22714</v>
      </c>
      <c r="E59" s="407">
        <v>1672478</v>
      </c>
    </row>
    <row r="60" spans="1:14" ht="15" x14ac:dyDescent="0.25">
      <c r="C60" s="406">
        <v>2003</v>
      </c>
      <c r="D60" s="407">
        <v>132055</v>
      </c>
      <c r="E60" s="407">
        <v>1532331</v>
      </c>
    </row>
    <row r="61" spans="1:14" ht="15" x14ac:dyDescent="0.25">
      <c r="C61" s="406">
        <v>2004</v>
      </c>
      <c r="D61" s="407">
        <v>120204</v>
      </c>
      <c r="E61" s="407">
        <v>1759938</v>
      </c>
    </row>
    <row r="62" spans="1:14" ht="15" x14ac:dyDescent="0.25">
      <c r="C62" s="406">
        <v>2005</v>
      </c>
      <c r="D62" s="407">
        <v>116213</v>
      </c>
      <c r="E62" s="407">
        <v>1778583</v>
      </c>
    </row>
    <row r="63" spans="1:14" ht="15" x14ac:dyDescent="0.25">
      <c r="C63" s="406">
        <v>2006</v>
      </c>
      <c r="D63" s="407">
        <v>110424</v>
      </c>
      <c r="E63" s="407">
        <v>1687836</v>
      </c>
    </row>
    <row r="64" spans="1:14" ht="15" x14ac:dyDescent="0.25">
      <c r="C64" s="406">
        <v>2007</v>
      </c>
      <c r="D64" s="407">
        <v>113619</v>
      </c>
      <c r="E64" s="407">
        <v>1715466</v>
      </c>
    </row>
    <row r="65" spans="3:5" ht="15" x14ac:dyDescent="0.25">
      <c r="C65" s="406">
        <v>2008</v>
      </c>
      <c r="D65" s="407">
        <v>112734</v>
      </c>
      <c r="E65" s="407">
        <v>1690894</v>
      </c>
    </row>
    <row r="66" spans="3:5" ht="15" x14ac:dyDescent="0.25">
      <c r="C66" s="406">
        <v>2009</v>
      </c>
      <c r="D66" s="407">
        <v>124857</v>
      </c>
      <c r="E66" s="407">
        <v>1825346</v>
      </c>
    </row>
    <row r="67" spans="3:5" ht="15" x14ac:dyDescent="0.25">
      <c r="C67" s="406">
        <v>2010</v>
      </c>
      <c r="D67" s="407">
        <v>132683</v>
      </c>
      <c r="E67" s="407">
        <v>1904974</v>
      </c>
    </row>
  </sheetData>
  <mergeCells count="16">
    <mergeCell ref="C55:C56"/>
    <mergeCell ref="D55:E55"/>
    <mergeCell ref="B2:B3"/>
    <mergeCell ref="C2:C3"/>
    <mergeCell ref="D2:N2"/>
    <mergeCell ref="B16:B17"/>
    <mergeCell ref="C16:C17"/>
    <mergeCell ref="D16:N16"/>
    <mergeCell ref="B30:B31"/>
    <mergeCell ref="C30:C31"/>
    <mergeCell ref="D30:N30"/>
    <mergeCell ref="A41:A42"/>
    <mergeCell ref="B41:B42"/>
    <mergeCell ref="C41:C42"/>
    <mergeCell ref="D41:N41"/>
    <mergeCell ref="B38:B3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G21"/>
  <sheetViews>
    <sheetView workbookViewId="0">
      <selection activeCell="G11" sqref="G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277</v>
      </c>
    </row>
    <row r="4" spans="2:7" ht="15.75" thickBot="1" x14ac:dyDescent="0.3"/>
    <row r="5" spans="2:7" x14ac:dyDescent="0.25">
      <c r="B5" s="147" t="s">
        <v>3</v>
      </c>
      <c r="C5" s="581" t="s">
        <v>286</v>
      </c>
      <c r="D5" s="582"/>
      <c r="E5" s="582"/>
      <c r="F5" s="582"/>
      <c r="G5" s="583"/>
    </row>
    <row r="6" spans="2:7" ht="45" x14ac:dyDescent="0.25">
      <c r="B6" s="577" t="s">
        <v>403</v>
      </c>
      <c r="C6" s="20" t="s">
        <v>278</v>
      </c>
      <c r="D6" s="148" t="s">
        <v>50</v>
      </c>
      <c r="E6" s="152" t="s">
        <v>287</v>
      </c>
      <c r="F6" s="21" t="s">
        <v>50</v>
      </c>
      <c r="G6" s="145" t="s">
        <v>27</v>
      </c>
    </row>
    <row r="7" spans="2:7" ht="17.25" x14ac:dyDescent="0.25">
      <c r="B7" s="577"/>
      <c r="C7" s="20" t="s">
        <v>279</v>
      </c>
      <c r="D7" s="149" t="s">
        <v>288</v>
      </c>
      <c r="E7" s="21" t="s">
        <v>279</v>
      </c>
      <c r="F7" s="9" t="s">
        <v>289</v>
      </c>
      <c r="G7" s="91"/>
    </row>
    <row r="8" spans="2:7" x14ac:dyDescent="0.25">
      <c r="B8" s="577"/>
      <c r="C8" s="141"/>
      <c r="D8" s="150" t="s">
        <v>280</v>
      </c>
      <c r="E8" s="153"/>
      <c r="F8" s="23" t="s">
        <v>290</v>
      </c>
      <c r="G8" s="90"/>
    </row>
    <row r="9" spans="2:7" ht="18.75" thickBot="1" x14ac:dyDescent="0.4">
      <c r="B9" s="578"/>
      <c r="C9" s="143" t="s">
        <v>281</v>
      </c>
      <c r="D9" s="151" t="s">
        <v>282</v>
      </c>
      <c r="E9" s="144" t="s">
        <v>283</v>
      </c>
      <c r="F9" s="142" t="s">
        <v>284</v>
      </c>
      <c r="G9" s="92" t="s">
        <v>285</v>
      </c>
    </row>
    <row r="10" spans="2:7" x14ac:dyDescent="0.25">
      <c r="B10" s="3"/>
      <c r="C10" s="6"/>
      <c r="D10" s="10"/>
      <c r="E10" s="8"/>
      <c r="F10" s="116"/>
      <c r="G10" s="146"/>
    </row>
    <row r="11" spans="2:7" x14ac:dyDescent="0.25">
      <c r="B11" s="3">
        <v>2000</v>
      </c>
      <c r="C11" s="85"/>
      <c r="D11" s="85"/>
      <c r="E11" s="83">
        <f>(C17*C19)+(C18*C20)</f>
        <v>350000</v>
      </c>
      <c r="F11" s="154">
        <v>0.13</v>
      </c>
      <c r="G11" s="155">
        <f>E11*F11</f>
        <v>45500</v>
      </c>
    </row>
    <row r="12" spans="2:7" x14ac:dyDescent="0.25">
      <c r="B12" s="3">
        <v>2001</v>
      </c>
      <c r="C12" s="84"/>
      <c r="D12" s="85"/>
      <c r="E12" s="83"/>
      <c r="F12" s="154"/>
      <c r="G12" s="155"/>
    </row>
    <row r="13" spans="2:7" x14ac:dyDescent="0.25">
      <c r="B13" s="3">
        <v>2002</v>
      </c>
      <c r="C13" s="84"/>
      <c r="D13" s="85"/>
      <c r="E13" s="83"/>
      <c r="F13" s="154"/>
      <c r="G13" s="155"/>
    </row>
    <row r="14" spans="2:7" x14ac:dyDescent="0.25">
      <c r="B14" s="3" t="s">
        <v>404</v>
      </c>
      <c r="C14" s="6"/>
      <c r="D14" s="10"/>
      <c r="E14" s="8"/>
      <c r="F14" s="10"/>
      <c r="G14" s="94"/>
    </row>
    <row r="15" spans="2:7" ht="15.75" thickBot="1" x14ac:dyDescent="0.3">
      <c r="B15" s="4" t="s">
        <v>22</v>
      </c>
      <c r="C15" s="156"/>
      <c r="D15" s="43"/>
      <c r="E15" s="157"/>
      <c r="F15" s="11"/>
      <c r="G15" s="195">
        <f>SUM(G11:G11)</f>
        <v>45500</v>
      </c>
    </row>
    <row r="17" spans="2:4" ht="30" x14ac:dyDescent="0.25">
      <c r="B17" s="189" t="s">
        <v>291</v>
      </c>
      <c r="C17" s="190">
        <v>300000</v>
      </c>
      <c r="D17" s="191" t="s">
        <v>195</v>
      </c>
    </row>
    <row r="18" spans="2:4" ht="45" x14ac:dyDescent="0.25">
      <c r="B18" s="189" t="s">
        <v>292</v>
      </c>
      <c r="C18" s="190">
        <v>25000</v>
      </c>
      <c r="D18" s="191" t="s">
        <v>195</v>
      </c>
    </row>
    <row r="19" spans="2:4" ht="45" x14ac:dyDescent="0.25">
      <c r="B19" s="189" t="s">
        <v>293</v>
      </c>
      <c r="C19" s="191">
        <v>1</v>
      </c>
      <c r="D19" s="191" t="s">
        <v>295</v>
      </c>
    </row>
    <row r="20" spans="2:4" ht="45" x14ac:dyDescent="0.25">
      <c r="B20" s="189" t="s">
        <v>294</v>
      </c>
      <c r="C20" s="191">
        <v>2</v>
      </c>
      <c r="D20" s="191" t="s">
        <v>295</v>
      </c>
    </row>
    <row r="21" spans="2:4" x14ac:dyDescent="0.25">
      <c r="B21" s="189" t="s">
        <v>296</v>
      </c>
      <c r="C21" s="191">
        <v>0.13</v>
      </c>
      <c r="D21" s="191"/>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I77"/>
  <sheetViews>
    <sheetView topLeftCell="A7" workbookViewId="0">
      <selection activeCell="F37" sqref="F37"/>
    </sheetView>
  </sheetViews>
  <sheetFormatPr defaultRowHeight="15" x14ac:dyDescent="0.25"/>
  <cols>
    <col min="1" max="1" width="2.28515625" customWidth="1"/>
    <col min="2" max="2" width="25.140625" customWidth="1"/>
    <col min="3" max="3" width="18.85546875" customWidth="1"/>
    <col min="4" max="4" width="14.28515625" customWidth="1"/>
    <col min="5" max="6" width="12.85546875" customWidth="1"/>
    <col min="7" max="7" width="21.28515625" customWidth="1"/>
  </cols>
  <sheetData>
    <row r="1" spans="2:6" ht="15.75" x14ac:dyDescent="0.25">
      <c r="D1" s="370" t="s">
        <v>521</v>
      </c>
    </row>
    <row r="2" spans="2:6" x14ac:dyDescent="0.25">
      <c r="B2" t="s">
        <v>0</v>
      </c>
      <c r="C2" t="s">
        <v>2</v>
      </c>
    </row>
    <row r="3" spans="2:6" x14ac:dyDescent="0.25">
      <c r="B3" t="s">
        <v>1</v>
      </c>
      <c r="C3" t="s">
        <v>42</v>
      </c>
    </row>
    <row r="4" spans="2:6" ht="15.75" thickBot="1" x14ac:dyDescent="0.3"/>
    <row r="5" spans="2:6" x14ac:dyDescent="0.25">
      <c r="B5" s="506" t="s">
        <v>3</v>
      </c>
      <c r="C5" s="576" t="s">
        <v>51</v>
      </c>
      <c r="D5" s="576"/>
      <c r="E5" s="587"/>
    </row>
    <row r="6" spans="2:6" ht="28.5" customHeight="1" x14ac:dyDescent="0.25">
      <c r="B6" s="588" t="s">
        <v>403</v>
      </c>
      <c r="C6" s="503" t="s">
        <v>43</v>
      </c>
      <c r="D6" s="503" t="s">
        <v>45</v>
      </c>
      <c r="E6" s="573" t="s">
        <v>47</v>
      </c>
      <c r="F6" s="573"/>
    </row>
    <row r="7" spans="2:6" ht="15" customHeight="1" x14ac:dyDescent="0.25">
      <c r="B7" s="588"/>
      <c r="C7" s="260" t="s">
        <v>44</v>
      </c>
      <c r="D7" s="260" t="s">
        <v>46</v>
      </c>
      <c r="E7" s="588" t="s">
        <v>48</v>
      </c>
      <c r="F7" s="588"/>
    </row>
    <row r="8" spans="2:6" ht="30" x14ac:dyDescent="0.25">
      <c r="B8" s="588"/>
      <c r="C8" s="260" t="s">
        <v>49</v>
      </c>
      <c r="D8" s="260" t="s">
        <v>50</v>
      </c>
      <c r="E8" s="503" t="s">
        <v>561</v>
      </c>
      <c r="F8" s="507" t="s">
        <v>575</v>
      </c>
    </row>
    <row r="9" spans="2:6" x14ac:dyDescent="0.25">
      <c r="B9" s="260">
        <v>2003</v>
      </c>
      <c r="C9" s="373">
        <f>data!E125</f>
        <v>44001</v>
      </c>
      <c r="D9" s="265">
        <v>0.2</v>
      </c>
      <c r="E9" s="471">
        <f>(C9*D9)</f>
        <v>8800.2000000000007</v>
      </c>
      <c r="F9" s="123">
        <f>E9/1000</f>
        <v>8.8002000000000002</v>
      </c>
    </row>
    <row r="10" spans="2:6" x14ac:dyDescent="0.25">
      <c r="B10" s="260">
        <v>2004</v>
      </c>
      <c r="C10" s="373">
        <f>data!E126</f>
        <v>79101</v>
      </c>
      <c r="D10" s="265">
        <v>0.2</v>
      </c>
      <c r="E10" s="471">
        <f t="shared" ref="E10:E36" si="0">(C10*D10)</f>
        <v>15820.2</v>
      </c>
      <c r="F10" s="123">
        <f t="shared" ref="F10:F36" si="1">E10/1000</f>
        <v>15.820200000000002</v>
      </c>
    </row>
    <row r="11" spans="2:6" x14ac:dyDescent="0.25">
      <c r="B11" s="260">
        <v>2005</v>
      </c>
      <c r="C11" s="373">
        <f>data!E127</f>
        <v>58305</v>
      </c>
      <c r="D11" s="265">
        <v>0.2</v>
      </c>
      <c r="E11" s="471">
        <f t="shared" si="0"/>
        <v>11661</v>
      </c>
      <c r="F11" s="123">
        <f t="shared" si="1"/>
        <v>11.661</v>
      </c>
    </row>
    <row r="12" spans="2:6" x14ac:dyDescent="0.25">
      <c r="B12" s="260">
        <v>2006</v>
      </c>
      <c r="C12" s="373">
        <f>data!E128</f>
        <v>67180</v>
      </c>
      <c r="D12" s="265">
        <v>0.2</v>
      </c>
      <c r="E12" s="471">
        <f t="shared" si="0"/>
        <v>13436</v>
      </c>
      <c r="F12" s="123">
        <f t="shared" si="1"/>
        <v>13.436</v>
      </c>
    </row>
    <row r="13" spans="2:6" x14ac:dyDescent="0.25">
      <c r="B13" s="260">
        <v>2007</v>
      </c>
      <c r="C13" s="373">
        <f>data!E129</f>
        <v>700348</v>
      </c>
      <c r="D13" s="265">
        <v>0.2</v>
      </c>
      <c r="E13" s="471">
        <f t="shared" si="0"/>
        <v>140069.6</v>
      </c>
      <c r="F13" s="123">
        <f t="shared" si="1"/>
        <v>140.06960000000001</v>
      </c>
    </row>
    <row r="14" spans="2:6" x14ac:dyDescent="0.25">
      <c r="B14" s="371">
        <v>2008</v>
      </c>
      <c r="C14" s="373">
        <f>data!E130</f>
        <v>710169</v>
      </c>
      <c r="D14" s="265">
        <v>0.2</v>
      </c>
      <c r="E14" s="471">
        <f t="shared" si="0"/>
        <v>142033.80000000002</v>
      </c>
      <c r="F14" s="123">
        <f t="shared" si="1"/>
        <v>142.03380000000001</v>
      </c>
    </row>
    <row r="15" spans="2:6" x14ac:dyDescent="0.25">
      <c r="B15" s="371">
        <v>2009</v>
      </c>
      <c r="C15" s="373">
        <f>data!E131</f>
        <v>666921.85</v>
      </c>
      <c r="D15" s="265">
        <v>0.2</v>
      </c>
      <c r="E15" s="471">
        <f t="shared" si="0"/>
        <v>133384.37</v>
      </c>
      <c r="F15" s="123">
        <f t="shared" si="1"/>
        <v>133.38436999999999</v>
      </c>
    </row>
    <row r="16" spans="2:6" x14ac:dyDescent="0.25">
      <c r="B16" s="372">
        <v>2010</v>
      </c>
      <c r="C16" s="373">
        <f>data!E132</f>
        <v>676493</v>
      </c>
      <c r="D16" s="265">
        <v>0.2</v>
      </c>
      <c r="E16" s="471">
        <f t="shared" si="0"/>
        <v>135298.6</v>
      </c>
      <c r="F16" s="123">
        <f t="shared" si="1"/>
        <v>135.29859999999999</v>
      </c>
    </row>
    <row r="17" spans="2:6" x14ac:dyDescent="0.25">
      <c r="B17" s="372">
        <v>2011</v>
      </c>
      <c r="C17" s="373">
        <f>data!E133</f>
        <v>908201.66443562508</v>
      </c>
      <c r="D17" s="265">
        <v>0.2</v>
      </c>
      <c r="E17" s="471">
        <f t="shared" si="0"/>
        <v>181640.33288712503</v>
      </c>
      <c r="F17" s="123">
        <f t="shared" si="1"/>
        <v>181.64033288712503</v>
      </c>
    </row>
    <row r="18" spans="2:6" x14ac:dyDescent="0.25">
      <c r="B18" s="372">
        <v>2012</v>
      </c>
      <c r="C18" s="373">
        <f>data!E134</f>
        <v>1026424.6039438248</v>
      </c>
      <c r="D18" s="265">
        <v>0.2</v>
      </c>
      <c r="E18" s="471">
        <f t="shared" si="0"/>
        <v>205284.92078876495</v>
      </c>
      <c r="F18" s="123">
        <f t="shared" si="1"/>
        <v>205.28492078876496</v>
      </c>
    </row>
    <row r="19" spans="2:6" x14ac:dyDescent="0.25">
      <c r="B19" s="372">
        <v>2013</v>
      </c>
      <c r="C19" s="373">
        <f>data!E135</f>
        <v>1144588.7991316319</v>
      </c>
      <c r="D19" s="265">
        <v>0.2</v>
      </c>
      <c r="E19" s="471">
        <f t="shared" si="0"/>
        <v>228917.75982632639</v>
      </c>
      <c r="F19" s="123">
        <f t="shared" si="1"/>
        <v>228.9177598263264</v>
      </c>
    </row>
    <row r="20" spans="2:6" x14ac:dyDescent="0.25">
      <c r="B20" s="372">
        <v>2014</v>
      </c>
      <c r="C20" s="373">
        <f>data!E136</f>
        <v>1262694.3083498478</v>
      </c>
      <c r="D20" s="265">
        <v>0.2</v>
      </c>
      <c r="E20" s="471">
        <f t="shared" si="0"/>
        <v>252538.86166996957</v>
      </c>
      <c r="F20" s="123">
        <f t="shared" si="1"/>
        <v>252.53886166996958</v>
      </c>
    </row>
    <row r="21" spans="2:6" x14ac:dyDescent="0.25">
      <c r="B21" s="372">
        <v>2015</v>
      </c>
      <c r="C21" s="373">
        <f>data!E137</f>
        <v>1380741.1898617744</v>
      </c>
      <c r="D21" s="265">
        <v>0.2</v>
      </c>
      <c r="E21" s="471">
        <f t="shared" si="0"/>
        <v>276148.23797235492</v>
      </c>
      <c r="F21" s="123">
        <f t="shared" si="1"/>
        <v>276.14823797235493</v>
      </c>
    </row>
    <row r="22" spans="2:6" x14ac:dyDescent="0.25">
      <c r="B22" s="372">
        <v>2016</v>
      </c>
      <c r="C22" s="373">
        <f>data!E138</f>
        <v>1498729.5018446445</v>
      </c>
      <c r="D22" s="265">
        <v>0.2</v>
      </c>
      <c r="E22" s="471">
        <f t="shared" si="0"/>
        <v>299745.90036892891</v>
      </c>
      <c r="F22" s="123">
        <f t="shared" si="1"/>
        <v>299.74590036892891</v>
      </c>
    </row>
    <row r="23" spans="2:6" x14ac:dyDescent="0.25">
      <c r="B23" s="372">
        <v>2017</v>
      </c>
      <c r="C23" s="373">
        <f>data!E139</f>
        <v>1616659.3023881912</v>
      </c>
      <c r="D23" s="265">
        <v>0.2</v>
      </c>
      <c r="E23" s="471">
        <f t="shared" si="0"/>
        <v>323331.86047763826</v>
      </c>
      <c r="F23" s="123">
        <f t="shared" si="1"/>
        <v>323.33186047763826</v>
      </c>
    </row>
    <row r="24" spans="2:6" x14ac:dyDescent="0.25">
      <c r="B24" s="372">
        <v>2018</v>
      </c>
      <c r="C24" s="373">
        <f>data!E140</f>
        <v>1734530.6494967937</v>
      </c>
      <c r="D24" s="265">
        <v>0.2</v>
      </c>
      <c r="E24" s="471">
        <f t="shared" si="0"/>
        <v>346906.12989935878</v>
      </c>
      <c r="F24" s="123">
        <f t="shared" si="1"/>
        <v>346.9061298993588</v>
      </c>
    </row>
    <row r="25" spans="2:6" x14ac:dyDescent="0.25">
      <c r="B25" s="372">
        <v>2019</v>
      </c>
      <c r="C25" s="373">
        <f>data!E141</f>
        <v>1852343.601088047</v>
      </c>
      <c r="D25" s="265">
        <v>0.2</v>
      </c>
      <c r="E25" s="471">
        <f t="shared" si="0"/>
        <v>370468.72021760943</v>
      </c>
      <c r="F25" s="123">
        <f t="shared" si="1"/>
        <v>370.46872021760942</v>
      </c>
    </row>
    <row r="26" spans="2:6" x14ac:dyDescent="0.25">
      <c r="B26" s="372">
        <v>2020</v>
      </c>
      <c r="C26" s="373">
        <f>data!E142</f>
        <v>1970098.214993</v>
      </c>
      <c r="D26" s="265">
        <v>0.2</v>
      </c>
      <c r="E26" s="471">
        <f t="shared" si="0"/>
        <v>394019.64299860003</v>
      </c>
      <c r="F26" s="123">
        <f t="shared" si="1"/>
        <v>394.01964299860003</v>
      </c>
    </row>
    <row r="27" spans="2:6" x14ac:dyDescent="0.25">
      <c r="B27" s="372">
        <v>2021</v>
      </c>
      <c r="C27" s="373">
        <f>data!E143</f>
        <v>2087794.54895854</v>
      </c>
      <c r="D27" s="265">
        <v>0.2</v>
      </c>
      <c r="E27" s="471">
        <f t="shared" si="0"/>
        <v>417558.90979170799</v>
      </c>
      <c r="F27" s="123">
        <f t="shared" si="1"/>
        <v>417.558909791708</v>
      </c>
    </row>
    <row r="28" spans="2:6" x14ac:dyDescent="0.25">
      <c r="B28" s="372">
        <v>2022</v>
      </c>
      <c r="C28" s="373">
        <f>data!E144</f>
        <v>2205432.6606440544</v>
      </c>
      <c r="D28" s="265">
        <v>0.2</v>
      </c>
      <c r="E28" s="471">
        <f t="shared" si="0"/>
        <v>441086.53212881088</v>
      </c>
      <c r="F28" s="123">
        <f t="shared" si="1"/>
        <v>441.08653212881086</v>
      </c>
    </row>
    <row r="29" spans="2:6" x14ac:dyDescent="0.25">
      <c r="B29" s="372">
        <v>2023</v>
      </c>
      <c r="C29" s="373">
        <f>data!E145</f>
        <v>2323012.6076242924</v>
      </c>
      <c r="D29" s="265">
        <v>0.2</v>
      </c>
      <c r="E29" s="471">
        <f t="shared" si="0"/>
        <v>464602.52152485849</v>
      </c>
      <c r="F29" s="123">
        <f t="shared" si="1"/>
        <v>464.6025215248585</v>
      </c>
    </row>
    <row r="30" spans="2:6" x14ac:dyDescent="0.25">
      <c r="B30" s="372">
        <v>2024</v>
      </c>
      <c r="C30" s="373">
        <f>data!E146</f>
        <v>2440534.4473884106</v>
      </c>
      <c r="D30" s="265">
        <v>0.2</v>
      </c>
      <c r="E30" s="471">
        <f t="shared" si="0"/>
        <v>488106.88947768213</v>
      </c>
      <c r="F30" s="123">
        <f t="shared" si="1"/>
        <v>488.1068894776821</v>
      </c>
    </row>
    <row r="31" spans="2:6" x14ac:dyDescent="0.25">
      <c r="B31" s="372">
        <v>2025</v>
      </c>
      <c r="C31" s="373">
        <f>data!E147</f>
        <v>2557998.2373402119</v>
      </c>
      <c r="D31" s="265">
        <v>0.2</v>
      </c>
      <c r="E31" s="471">
        <f t="shared" si="0"/>
        <v>511599.64746804239</v>
      </c>
      <c r="F31" s="123">
        <f t="shared" si="1"/>
        <v>511.59964746804241</v>
      </c>
    </row>
    <row r="32" spans="2:6" x14ac:dyDescent="0.25">
      <c r="B32" s="372">
        <v>2026</v>
      </c>
      <c r="C32" s="373">
        <f>data!E148</f>
        <v>2675404.0347993374</v>
      </c>
      <c r="D32" s="265">
        <v>0.2</v>
      </c>
      <c r="E32" s="471">
        <f t="shared" si="0"/>
        <v>535080.80695986748</v>
      </c>
      <c r="F32" s="123">
        <f t="shared" si="1"/>
        <v>535.08080695986746</v>
      </c>
    </row>
    <row r="33" spans="2:9" x14ac:dyDescent="0.25">
      <c r="B33" s="372">
        <v>2027</v>
      </c>
      <c r="C33" s="373">
        <f>data!E149</f>
        <v>2792751.8969991207</v>
      </c>
      <c r="D33" s="265">
        <v>0.2</v>
      </c>
      <c r="E33" s="471">
        <f t="shared" si="0"/>
        <v>558550.37939982419</v>
      </c>
      <c r="F33" s="123">
        <f t="shared" si="1"/>
        <v>558.55037939982424</v>
      </c>
    </row>
    <row r="34" spans="2:9" x14ac:dyDescent="0.25">
      <c r="B34" s="372">
        <v>2028</v>
      </c>
      <c r="C34" s="373">
        <f>data!E150</f>
        <v>2910041.8810896873</v>
      </c>
      <c r="D34" s="265">
        <v>0.2</v>
      </c>
      <c r="E34" s="471">
        <f t="shared" si="0"/>
        <v>582008.37621793745</v>
      </c>
      <c r="F34" s="123">
        <f t="shared" si="1"/>
        <v>582.00837621793744</v>
      </c>
    </row>
    <row r="35" spans="2:9" x14ac:dyDescent="0.25">
      <c r="B35" s="372">
        <v>2029</v>
      </c>
      <c r="C35" s="373">
        <f>data!E151</f>
        <v>3027274.0441358089</v>
      </c>
      <c r="D35" s="265">
        <v>0.2</v>
      </c>
      <c r="E35" s="471">
        <f t="shared" si="0"/>
        <v>605454.80882716179</v>
      </c>
      <c r="F35" s="123">
        <f t="shared" si="1"/>
        <v>605.45480882716174</v>
      </c>
    </row>
    <row r="36" spans="2:9" x14ac:dyDescent="0.25">
      <c r="B36" s="372">
        <v>2030</v>
      </c>
      <c r="C36" s="373">
        <f>data!E152</f>
        <v>3144448.443117857</v>
      </c>
      <c r="D36" s="265">
        <v>0.2</v>
      </c>
      <c r="E36" s="471">
        <f t="shared" si="0"/>
        <v>628889.68862357142</v>
      </c>
      <c r="F36" s="123">
        <f t="shared" si="1"/>
        <v>628.88968862357137</v>
      </c>
    </row>
    <row r="37" spans="2:9" x14ac:dyDescent="0.25">
      <c r="B37" s="584" t="s">
        <v>22</v>
      </c>
      <c r="C37" s="585"/>
      <c r="D37" s="586"/>
      <c r="E37" s="471">
        <f>SUM(E9:E36)</f>
        <v>8712444.6975261401</v>
      </c>
      <c r="F37" s="471">
        <f>SUM(F9:F36)</f>
        <v>8712.4446975261399</v>
      </c>
    </row>
    <row r="40" spans="2:9" x14ac:dyDescent="0.25">
      <c r="B40" t="s">
        <v>298</v>
      </c>
      <c r="E40" t="s">
        <v>301</v>
      </c>
      <c r="G40" t="s">
        <v>303</v>
      </c>
    </row>
    <row r="41" spans="2:9" x14ac:dyDescent="0.25">
      <c r="B41" s="16" t="s">
        <v>299</v>
      </c>
      <c r="C41" s="159">
        <v>225000</v>
      </c>
      <c r="D41" t="s">
        <v>195</v>
      </c>
      <c r="E41">
        <v>200</v>
      </c>
      <c r="F41" t="s">
        <v>302</v>
      </c>
      <c r="G41" s="159">
        <f>C41*E41*10^-3</f>
        <v>45000</v>
      </c>
    </row>
    <row r="42" spans="2:9" x14ac:dyDescent="0.25">
      <c r="B42" s="16" t="s">
        <v>300</v>
      </c>
      <c r="C42" s="159"/>
      <c r="F42" t="s">
        <v>302</v>
      </c>
      <c r="G42" s="159">
        <f>C42*E43*10^-3</f>
        <v>0</v>
      </c>
      <c r="I42" s="160"/>
    </row>
    <row r="43" spans="2:9" x14ac:dyDescent="0.25">
      <c r="B43" s="16" t="s">
        <v>297</v>
      </c>
      <c r="C43" s="159">
        <v>15000</v>
      </c>
      <c r="D43" t="s">
        <v>195</v>
      </c>
      <c r="E43">
        <v>300</v>
      </c>
      <c r="G43" s="159">
        <f>C43*E43*10^-3</f>
        <v>4500</v>
      </c>
    </row>
    <row r="44" spans="2:9" ht="46.5" customHeight="1" x14ac:dyDescent="0.25">
      <c r="B44" s="16" t="s">
        <v>352</v>
      </c>
      <c r="C44" s="159">
        <v>10000</v>
      </c>
      <c r="D44" t="s">
        <v>195</v>
      </c>
      <c r="G44" s="159">
        <f>(C44*E43*10^-3)*40%</f>
        <v>1200</v>
      </c>
    </row>
    <row r="45" spans="2:9" ht="48" customHeight="1" x14ac:dyDescent="0.25">
      <c r="B45" s="16" t="s">
        <v>353</v>
      </c>
      <c r="C45" s="159">
        <v>12000</v>
      </c>
      <c r="D45" t="s">
        <v>195</v>
      </c>
      <c r="E45">
        <v>160</v>
      </c>
      <c r="F45" t="s">
        <v>302</v>
      </c>
      <c r="G45" s="159">
        <f>(C45*E45*10^-3)*20%</f>
        <v>384</v>
      </c>
    </row>
    <row r="46" spans="2:9" ht="45" x14ac:dyDescent="0.25">
      <c r="B46" s="16" t="s">
        <v>354</v>
      </c>
      <c r="C46" s="159">
        <v>15000</v>
      </c>
      <c r="D46" t="s">
        <v>195</v>
      </c>
      <c r="E46">
        <v>222</v>
      </c>
      <c r="F46" t="s">
        <v>302</v>
      </c>
      <c r="G46" s="159">
        <f>(C46*E46*10^-3)*80%</f>
        <v>2664</v>
      </c>
    </row>
    <row r="47" spans="2:9" x14ac:dyDescent="0.25">
      <c r="G47" s="160"/>
    </row>
    <row r="48" spans="2:9" ht="15.75" thickBot="1" x14ac:dyDescent="0.3"/>
    <row r="49" spans="2:3" ht="30.75" thickBot="1" x14ac:dyDescent="0.3">
      <c r="B49" s="255" t="s">
        <v>403</v>
      </c>
      <c r="C49" s="256" t="s">
        <v>422</v>
      </c>
    </row>
    <row r="50" spans="2:3" ht="15.75" thickBot="1" x14ac:dyDescent="0.3">
      <c r="B50" s="257">
        <v>2003</v>
      </c>
      <c r="C50" s="258">
        <v>782850</v>
      </c>
    </row>
    <row r="51" spans="2:3" ht="15.75" thickBot="1" x14ac:dyDescent="0.3">
      <c r="B51" s="257">
        <v>2004</v>
      </c>
      <c r="C51" s="258">
        <v>749000</v>
      </c>
    </row>
    <row r="52" spans="2:3" ht="15.75" thickBot="1" x14ac:dyDescent="0.3">
      <c r="B52" s="257">
        <v>2005</v>
      </c>
      <c r="C52" s="258">
        <v>677140</v>
      </c>
    </row>
    <row r="53" spans="2:3" ht="15.75" thickBot="1" x14ac:dyDescent="0.3">
      <c r="B53" s="257">
        <v>2006</v>
      </c>
      <c r="C53" s="258">
        <v>709310</v>
      </c>
    </row>
    <row r="54" spans="2:3" ht="15.75" thickBot="1" x14ac:dyDescent="0.3">
      <c r="B54" s="257">
        <v>2007</v>
      </c>
      <c r="C54" s="258">
        <v>700350</v>
      </c>
    </row>
    <row r="55" spans="2:3" ht="15.75" thickBot="1" x14ac:dyDescent="0.3">
      <c r="B55" s="257">
        <v>2008</v>
      </c>
      <c r="C55" s="258">
        <v>665100</v>
      </c>
    </row>
    <row r="56" spans="2:3" ht="15.75" thickBot="1" x14ac:dyDescent="0.3">
      <c r="B56" s="257">
        <v>2009</v>
      </c>
      <c r="C56" s="258">
        <v>646920</v>
      </c>
    </row>
    <row r="57" spans="2:3" ht="15.75" thickBot="1" x14ac:dyDescent="0.3">
      <c r="B57" s="257">
        <v>2010</v>
      </c>
      <c r="C57" s="258">
        <v>629230</v>
      </c>
    </row>
    <row r="58" spans="2:3" ht="15.75" thickBot="1" x14ac:dyDescent="0.3">
      <c r="B58" s="257">
        <v>2011</v>
      </c>
      <c r="C58" s="258">
        <v>612030</v>
      </c>
    </row>
    <row r="59" spans="2:3" ht="15.75" thickBot="1" x14ac:dyDescent="0.3">
      <c r="B59" s="257">
        <v>2012</v>
      </c>
      <c r="C59" s="258">
        <v>595300</v>
      </c>
    </row>
    <row r="60" spans="2:3" ht="15.75" thickBot="1" x14ac:dyDescent="0.3">
      <c r="B60" s="257">
        <v>2013</v>
      </c>
      <c r="C60" s="259">
        <v>579030</v>
      </c>
    </row>
    <row r="61" spans="2:3" ht="15.75" thickBot="1" x14ac:dyDescent="0.3">
      <c r="B61" s="257">
        <v>2014</v>
      </c>
      <c r="C61" s="259">
        <v>563200</v>
      </c>
    </row>
    <row r="62" spans="2:3" ht="15.75" thickBot="1" x14ac:dyDescent="0.3">
      <c r="B62" s="257">
        <v>2015</v>
      </c>
      <c r="C62" s="259">
        <v>547800</v>
      </c>
    </row>
    <row r="63" spans="2:3" ht="15.75" thickBot="1" x14ac:dyDescent="0.3">
      <c r="B63" s="257">
        <v>2016</v>
      </c>
      <c r="C63" s="259">
        <v>532830</v>
      </c>
    </row>
    <row r="64" spans="2:3" ht="15.75" thickBot="1" x14ac:dyDescent="0.3">
      <c r="B64" s="257">
        <v>2017</v>
      </c>
      <c r="C64" s="259">
        <v>518260</v>
      </c>
    </row>
    <row r="65" spans="2:6" ht="15.75" thickBot="1" x14ac:dyDescent="0.3">
      <c r="B65" s="257">
        <v>2018</v>
      </c>
      <c r="C65" s="259">
        <v>504100</v>
      </c>
    </row>
    <row r="66" spans="2:6" ht="15.75" thickBot="1" x14ac:dyDescent="0.3">
      <c r="B66" s="257">
        <v>2019</v>
      </c>
      <c r="C66" s="259">
        <v>490320</v>
      </c>
    </row>
    <row r="67" spans="2:6" ht="15.75" thickBot="1" x14ac:dyDescent="0.3">
      <c r="B67" s="257">
        <v>2020</v>
      </c>
      <c r="C67" s="259">
        <v>476910</v>
      </c>
    </row>
    <row r="72" spans="2:6" ht="15.75" x14ac:dyDescent="0.25">
      <c r="D72" s="275"/>
      <c r="E72" s="275"/>
      <c r="F72" s="275"/>
    </row>
    <row r="73" spans="2:6" ht="15.75" x14ac:dyDescent="0.25">
      <c r="D73" s="276"/>
      <c r="E73" s="276"/>
      <c r="F73" s="276"/>
    </row>
    <row r="74" spans="2:6" ht="15.75" x14ac:dyDescent="0.25">
      <c r="D74" s="276"/>
      <c r="E74" s="276"/>
      <c r="F74" s="276"/>
    </row>
    <row r="75" spans="2:6" ht="15.75" x14ac:dyDescent="0.25">
      <c r="D75" s="276"/>
      <c r="E75" s="276"/>
      <c r="F75" s="276"/>
    </row>
    <row r="76" spans="2:6" ht="15.75" x14ac:dyDescent="0.25">
      <c r="D76" s="276"/>
      <c r="E76" s="276"/>
      <c r="F76" s="276"/>
    </row>
    <row r="77" spans="2:6" ht="15.75" x14ac:dyDescent="0.25">
      <c r="D77" s="276"/>
      <c r="E77" s="276"/>
      <c r="F77" s="276"/>
    </row>
  </sheetData>
  <mergeCells count="5">
    <mergeCell ref="B37:D37"/>
    <mergeCell ref="C5:E5"/>
    <mergeCell ref="E6:F6"/>
    <mergeCell ref="E7:F7"/>
    <mergeCell ref="B6:B8"/>
  </mergeCells>
  <pageMargins left="0.7" right="0.7" top="0.75" bottom="0.75" header="0.3" footer="0.3"/>
  <pageSetup orientation="landscape"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242"/>
  <sheetViews>
    <sheetView topLeftCell="H110" zoomScale="90" zoomScaleNormal="90" workbookViewId="0">
      <selection activeCell="P138" sqref="P138"/>
    </sheetView>
  </sheetViews>
  <sheetFormatPr defaultColWidth="11.42578125" defaultRowHeight="12.75" x14ac:dyDescent="0.2"/>
  <cols>
    <col min="1" max="1" width="16.7109375" style="209" customWidth="1"/>
    <col min="2" max="3" width="16.7109375" style="196" customWidth="1"/>
    <col min="4" max="4" width="17.42578125" style="204" bestFit="1" customWidth="1"/>
    <col min="5" max="5" width="16.7109375" style="196" customWidth="1"/>
    <col min="6" max="6" width="10.140625" style="196" customWidth="1"/>
    <col min="7" max="7" width="16.7109375" style="196" customWidth="1"/>
    <col min="8" max="8" width="23.42578125" style="196" customWidth="1"/>
    <col min="9" max="9" width="11.85546875" style="196" bestFit="1" customWidth="1"/>
    <col min="10" max="10" width="11.42578125" style="196"/>
    <col min="11" max="11" width="16.42578125" style="196" customWidth="1"/>
    <col min="12" max="12" width="21" style="196" customWidth="1"/>
    <col min="13" max="13" width="11.42578125" style="196"/>
    <col min="14" max="14" width="20.85546875" style="196" customWidth="1"/>
    <col min="15" max="250" width="11.42578125" style="196"/>
    <col min="251" max="253" width="16.7109375" style="196" customWidth="1"/>
    <col min="254" max="254" width="17.42578125" style="196" bestFit="1" customWidth="1"/>
    <col min="255" max="257" width="16.7109375" style="196" customWidth="1"/>
    <col min="258" max="506" width="11.42578125" style="196"/>
    <col min="507" max="509" width="16.7109375" style="196" customWidth="1"/>
    <col min="510" max="510" width="17.42578125" style="196" bestFit="1" customWidth="1"/>
    <col min="511" max="513" width="16.7109375" style="196" customWidth="1"/>
    <col min="514" max="762" width="11.42578125" style="196"/>
    <col min="763" max="765" width="16.7109375" style="196" customWidth="1"/>
    <col min="766" max="766" width="17.42578125" style="196" bestFit="1" customWidth="1"/>
    <col min="767" max="769" width="16.7109375" style="196" customWidth="1"/>
    <col min="770" max="1018" width="11.42578125" style="196"/>
    <col min="1019" max="1021" width="16.7109375" style="196" customWidth="1"/>
    <col min="1022" max="1022" width="17.42578125" style="196" bestFit="1" customWidth="1"/>
    <col min="1023" max="1025" width="16.7109375" style="196" customWidth="1"/>
    <col min="1026" max="1274" width="11.42578125" style="196"/>
    <col min="1275" max="1277" width="16.7109375" style="196" customWidth="1"/>
    <col min="1278" max="1278" width="17.42578125" style="196" bestFit="1" customWidth="1"/>
    <col min="1279" max="1281" width="16.7109375" style="196" customWidth="1"/>
    <col min="1282" max="1530" width="11.42578125" style="196"/>
    <col min="1531" max="1533" width="16.7109375" style="196" customWidth="1"/>
    <col min="1534" max="1534" width="17.42578125" style="196" bestFit="1" customWidth="1"/>
    <col min="1535" max="1537" width="16.7109375" style="196" customWidth="1"/>
    <col min="1538" max="1786" width="11.42578125" style="196"/>
    <col min="1787" max="1789" width="16.7109375" style="196" customWidth="1"/>
    <col min="1790" max="1790" width="17.42578125" style="196" bestFit="1" customWidth="1"/>
    <col min="1791" max="1793" width="16.7109375" style="196" customWidth="1"/>
    <col min="1794" max="2042" width="11.42578125" style="196"/>
    <col min="2043" max="2045" width="16.7109375" style="196" customWidth="1"/>
    <col min="2046" max="2046" width="17.42578125" style="196" bestFit="1" customWidth="1"/>
    <col min="2047" max="2049" width="16.7109375" style="196" customWidth="1"/>
    <col min="2050" max="2298" width="11.42578125" style="196"/>
    <col min="2299" max="2301" width="16.7109375" style="196" customWidth="1"/>
    <col min="2302" max="2302" width="17.42578125" style="196" bestFit="1" customWidth="1"/>
    <col min="2303" max="2305" width="16.7109375" style="196" customWidth="1"/>
    <col min="2306" max="2554" width="11.42578125" style="196"/>
    <col min="2555" max="2557" width="16.7109375" style="196" customWidth="1"/>
    <col min="2558" max="2558" width="17.42578125" style="196" bestFit="1" customWidth="1"/>
    <col min="2559" max="2561" width="16.7109375" style="196" customWidth="1"/>
    <col min="2562" max="2810" width="11.42578125" style="196"/>
    <col min="2811" max="2813" width="16.7109375" style="196" customWidth="1"/>
    <col min="2814" max="2814" width="17.42578125" style="196" bestFit="1" customWidth="1"/>
    <col min="2815" max="2817" width="16.7109375" style="196" customWidth="1"/>
    <col min="2818" max="3066" width="11.42578125" style="196"/>
    <col min="3067" max="3069" width="16.7109375" style="196" customWidth="1"/>
    <col min="3070" max="3070" width="17.42578125" style="196" bestFit="1" customWidth="1"/>
    <col min="3071" max="3073" width="16.7109375" style="196" customWidth="1"/>
    <col min="3074" max="3322" width="11.42578125" style="196"/>
    <col min="3323" max="3325" width="16.7109375" style="196" customWidth="1"/>
    <col min="3326" max="3326" width="17.42578125" style="196" bestFit="1" customWidth="1"/>
    <col min="3327" max="3329" width="16.7109375" style="196" customWidth="1"/>
    <col min="3330" max="3578" width="11.42578125" style="196"/>
    <col min="3579" max="3581" width="16.7109375" style="196" customWidth="1"/>
    <col min="3582" max="3582" width="17.42578125" style="196" bestFit="1" customWidth="1"/>
    <col min="3583" max="3585" width="16.7109375" style="196" customWidth="1"/>
    <col min="3586" max="3834" width="11.42578125" style="196"/>
    <col min="3835" max="3837" width="16.7109375" style="196" customWidth="1"/>
    <col min="3838" max="3838" width="17.42578125" style="196" bestFit="1" customWidth="1"/>
    <col min="3839" max="3841" width="16.7109375" style="196" customWidth="1"/>
    <col min="3842" max="4090" width="11.42578125" style="196"/>
    <col min="4091" max="4093" width="16.7109375" style="196" customWidth="1"/>
    <col min="4094" max="4094" width="17.42578125" style="196" bestFit="1" customWidth="1"/>
    <col min="4095" max="4097" width="16.7109375" style="196" customWidth="1"/>
    <col min="4098" max="4346" width="11.42578125" style="196"/>
    <col min="4347" max="4349" width="16.7109375" style="196" customWidth="1"/>
    <col min="4350" max="4350" width="17.42578125" style="196" bestFit="1" customWidth="1"/>
    <col min="4351" max="4353" width="16.7109375" style="196" customWidth="1"/>
    <col min="4354" max="4602" width="11.42578125" style="196"/>
    <col min="4603" max="4605" width="16.7109375" style="196" customWidth="1"/>
    <col min="4606" max="4606" width="17.42578125" style="196" bestFit="1" customWidth="1"/>
    <col min="4607" max="4609" width="16.7109375" style="196" customWidth="1"/>
    <col min="4610" max="4858" width="11.42578125" style="196"/>
    <col min="4859" max="4861" width="16.7109375" style="196" customWidth="1"/>
    <col min="4862" max="4862" width="17.42578125" style="196" bestFit="1" customWidth="1"/>
    <col min="4863" max="4865" width="16.7109375" style="196" customWidth="1"/>
    <col min="4866" max="5114" width="11.42578125" style="196"/>
    <col min="5115" max="5117" width="16.7109375" style="196" customWidth="1"/>
    <col min="5118" max="5118" width="17.42578125" style="196" bestFit="1" customWidth="1"/>
    <col min="5119" max="5121" width="16.7109375" style="196" customWidth="1"/>
    <col min="5122" max="5370" width="11.42578125" style="196"/>
    <col min="5371" max="5373" width="16.7109375" style="196" customWidth="1"/>
    <col min="5374" max="5374" width="17.42578125" style="196" bestFit="1" customWidth="1"/>
    <col min="5375" max="5377" width="16.7109375" style="196" customWidth="1"/>
    <col min="5378" max="5626" width="11.42578125" style="196"/>
    <col min="5627" max="5629" width="16.7109375" style="196" customWidth="1"/>
    <col min="5630" max="5630" width="17.42578125" style="196" bestFit="1" customWidth="1"/>
    <col min="5631" max="5633" width="16.7109375" style="196" customWidth="1"/>
    <col min="5634" max="5882" width="11.42578125" style="196"/>
    <col min="5883" max="5885" width="16.7109375" style="196" customWidth="1"/>
    <col min="5886" max="5886" width="17.42578125" style="196" bestFit="1" customWidth="1"/>
    <col min="5887" max="5889" width="16.7109375" style="196" customWidth="1"/>
    <col min="5890" max="6138" width="11.42578125" style="196"/>
    <col min="6139" max="6141" width="16.7109375" style="196" customWidth="1"/>
    <col min="6142" max="6142" width="17.42578125" style="196" bestFit="1" customWidth="1"/>
    <col min="6143" max="6145" width="16.7109375" style="196" customWidth="1"/>
    <col min="6146" max="6394" width="11.42578125" style="196"/>
    <col min="6395" max="6397" width="16.7109375" style="196" customWidth="1"/>
    <col min="6398" max="6398" width="17.42578125" style="196" bestFit="1" customWidth="1"/>
    <col min="6399" max="6401" width="16.7109375" style="196" customWidth="1"/>
    <col min="6402" max="6650" width="11.42578125" style="196"/>
    <col min="6651" max="6653" width="16.7109375" style="196" customWidth="1"/>
    <col min="6654" max="6654" width="17.42578125" style="196" bestFit="1" customWidth="1"/>
    <col min="6655" max="6657" width="16.7109375" style="196" customWidth="1"/>
    <col min="6658" max="6906" width="11.42578125" style="196"/>
    <col min="6907" max="6909" width="16.7109375" style="196" customWidth="1"/>
    <col min="6910" max="6910" width="17.42578125" style="196" bestFit="1" customWidth="1"/>
    <col min="6911" max="6913" width="16.7109375" style="196" customWidth="1"/>
    <col min="6914" max="7162" width="11.42578125" style="196"/>
    <col min="7163" max="7165" width="16.7109375" style="196" customWidth="1"/>
    <col min="7166" max="7166" width="17.42578125" style="196" bestFit="1" customWidth="1"/>
    <col min="7167" max="7169" width="16.7109375" style="196" customWidth="1"/>
    <col min="7170" max="7418" width="11.42578125" style="196"/>
    <col min="7419" max="7421" width="16.7109375" style="196" customWidth="1"/>
    <col min="7422" max="7422" width="17.42578125" style="196" bestFit="1" customWidth="1"/>
    <col min="7423" max="7425" width="16.7109375" style="196" customWidth="1"/>
    <col min="7426" max="7674" width="11.42578125" style="196"/>
    <col min="7675" max="7677" width="16.7109375" style="196" customWidth="1"/>
    <col min="7678" max="7678" width="17.42578125" style="196" bestFit="1" customWidth="1"/>
    <col min="7679" max="7681" width="16.7109375" style="196" customWidth="1"/>
    <col min="7682" max="7930" width="11.42578125" style="196"/>
    <col min="7931" max="7933" width="16.7109375" style="196" customWidth="1"/>
    <col min="7934" max="7934" width="17.42578125" style="196" bestFit="1" customWidth="1"/>
    <col min="7935" max="7937" width="16.7109375" style="196" customWidth="1"/>
    <col min="7938" max="8186" width="11.42578125" style="196"/>
    <col min="8187" max="8189" width="16.7109375" style="196" customWidth="1"/>
    <col min="8190" max="8190" width="17.42578125" style="196" bestFit="1" customWidth="1"/>
    <col min="8191" max="8193" width="16.7109375" style="196" customWidth="1"/>
    <col min="8194" max="8442" width="11.42578125" style="196"/>
    <col min="8443" max="8445" width="16.7109375" style="196" customWidth="1"/>
    <col min="8446" max="8446" width="17.42578125" style="196" bestFit="1" customWidth="1"/>
    <col min="8447" max="8449" width="16.7109375" style="196" customWidth="1"/>
    <col min="8450" max="8698" width="11.42578125" style="196"/>
    <col min="8699" max="8701" width="16.7109375" style="196" customWidth="1"/>
    <col min="8702" max="8702" width="17.42578125" style="196" bestFit="1" customWidth="1"/>
    <col min="8703" max="8705" width="16.7109375" style="196" customWidth="1"/>
    <col min="8706" max="8954" width="11.42578125" style="196"/>
    <col min="8955" max="8957" width="16.7109375" style="196" customWidth="1"/>
    <col min="8958" max="8958" width="17.42578125" style="196" bestFit="1" customWidth="1"/>
    <col min="8959" max="8961" width="16.7109375" style="196" customWidth="1"/>
    <col min="8962" max="9210" width="11.42578125" style="196"/>
    <col min="9211" max="9213" width="16.7109375" style="196" customWidth="1"/>
    <col min="9214" max="9214" width="17.42578125" style="196" bestFit="1" customWidth="1"/>
    <col min="9215" max="9217" width="16.7109375" style="196" customWidth="1"/>
    <col min="9218" max="9466" width="11.42578125" style="196"/>
    <col min="9467" max="9469" width="16.7109375" style="196" customWidth="1"/>
    <col min="9470" max="9470" width="17.42578125" style="196" bestFit="1" customWidth="1"/>
    <col min="9471" max="9473" width="16.7109375" style="196" customWidth="1"/>
    <col min="9474" max="9722" width="11.42578125" style="196"/>
    <col min="9723" max="9725" width="16.7109375" style="196" customWidth="1"/>
    <col min="9726" max="9726" width="17.42578125" style="196" bestFit="1" customWidth="1"/>
    <col min="9727" max="9729" width="16.7109375" style="196" customWidth="1"/>
    <col min="9730" max="9978" width="11.42578125" style="196"/>
    <col min="9979" max="9981" width="16.7109375" style="196" customWidth="1"/>
    <col min="9982" max="9982" width="17.42578125" style="196" bestFit="1" customWidth="1"/>
    <col min="9983" max="9985" width="16.7109375" style="196" customWidth="1"/>
    <col min="9986" max="10234" width="11.42578125" style="196"/>
    <col min="10235" max="10237" width="16.7109375" style="196" customWidth="1"/>
    <col min="10238" max="10238" width="17.42578125" style="196" bestFit="1" customWidth="1"/>
    <col min="10239" max="10241" width="16.7109375" style="196" customWidth="1"/>
    <col min="10242" max="10490" width="11.42578125" style="196"/>
    <col min="10491" max="10493" width="16.7109375" style="196" customWidth="1"/>
    <col min="10494" max="10494" width="17.42578125" style="196" bestFit="1" customWidth="1"/>
    <col min="10495" max="10497" width="16.7109375" style="196" customWidth="1"/>
    <col min="10498" max="10746" width="11.42578125" style="196"/>
    <col min="10747" max="10749" width="16.7109375" style="196" customWidth="1"/>
    <col min="10750" max="10750" width="17.42578125" style="196" bestFit="1" customWidth="1"/>
    <col min="10751" max="10753" width="16.7109375" style="196" customWidth="1"/>
    <col min="10754" max="11002" width="11.42578125" style="196"/>
    <col min="11003" max="11005" width="16.7109375" style="196" customWidth="1"/>
    <col min="11006" max="11006" width="17.42578125" style="196" bestFit="1" customWidth="1"/>
    <col min="11007" max="11009" width="16.7109375" style="196" customWidth="1"/>
    <col min="11010" max="11258" width="11.42578125" style="196"/>
    <col min="11259" max="11261" width="16.7109375" style="196" customWidth="1"/>
    <col min="11262" max="11262" width="17.42578125" style="196" bestFit="1" customWidth="1"/>
    <col min="11263" max="11265" width="16.7109375" style="196" customWidth="1"/>
    <col min="11266" max="11514" width="11.42578125" style="196"/>
    <col min="11515" max="11517" width="16.7109375" style="196" customWidth="1"/>
    <col min="11518" max="11518" width="17.42578125" style="196" bestFit="1" customWidth="1"/>
    <col min="11519" max="11521" width="16.7109375" style="196" customWidth="1"/>
    <col min="11522" max="11770" width="11.42578125" style="196"/>
    <col min="11771" max="11773" width="16.7109375" style="196" customWidth="1"/>
    <col min="11774" max="11774" width="17.42578125" style="196" bestFit="1" customWidth="1"/>
    <col min="11775" max="11777" width="16.7109375" style="196" customWidth="1"/>
    <col min="11778" max="12026" width="11.42578125" style="196"/>
    <col min="12027" max="12029" width="16.7109375" style="196" customWidth="1"/>
    <col min="12030" max="12030" width="17.42578125" style="196" bestFit="1" customWidth="1"/>
    <col min="12031" max="12033" width="16.7109375" style="196" customWidth="1"/>
    <col min="12034" max="12282" width="11.42578125" style="196"/>
    <col min="12283" max="12285" width="16.7109375" style="196" customWidth="1"/>
    <col min="12286" max="12286" width="17.42578125" style="196" bestFit="1" customWidth="1"/>
    <col min="12287" max="12289" width="16.7109375" style="196" customWidth="1"/>
    <col min="12290" max="12538" width="11.42578125" style="196"/>
    <col min="12539" max="12541" width="16.7109375" style="196" customWidth="1"/>
    <col min="12542" max="12542" width="17.42578125" style="196" bestFit="1" customWidth="1"/>
    <col min="12543" max="12545" width="16.7109375" style="196" customWidth="1"/>
    <col min="12546" max="12794" width="11.42578125" style="196"/>
    <col min="12795" max="12797" width="16.7109375" style="196" customWidth="1"/>
    <col min="12798" max="12798" width="17.42578125" style="196" bestFit="1" customWidth="1"/>
    <col min="12799" max="12801" width="16.7109375" style="196" customWidth="1"/>
    <col min="12802" max="13050" width="11.42578125" style="196"/>
    <col min="13051" max="13053" width="16.7109375" style="196" customWidth="1"/>
    <col min="13054" max="13054" width="17.42578125" style="196" bestFit="1" customWidth="1"/>
    <col min="13055" max="13057" width="16.7109375" style="196" customWidth="1"/>
    <col min="13058" max="13306" width="11.42578125" style="196"/>
    <col min="13307" max="13309" width="16.7109375" style="196" customWidth="1"/>
    <col min="13310" max="13310" width="17.42578125" style="196" bestFit="1" customWidth="1"/>
    <col min="13311" max="13313" width="16.7109375" style="196" customWidth="1"/>
    <col min="13314" max="13562" width="11.42578125" style="196"/>
    <col min="13563" max="13565" width="16.7109375" style="196" customWidth="1"/>
    <col min="13566" max="13566" width="17.42578125" style="196" bestFit="1" customWidth="1"/>
    <col min="13567" max="13569" width="16.7109375" style="196" customWidth="1"/>
    <col min="13570" max="13818" width="11.42578125" style="196"/>
    <col min="13819" max="13821" width="16.7109375" style="196" customWidth="1"/>
    <col min="13822" max="13822" width="17.42578125" style="196" bestFit="1" customWidth="1"/>
    <col min="13823" max="13825" width="16.7109375" style="196" customWidth="1"/>
    <col min="13826" max="14074" width="11.42578125" style="196"/>
    <col min="14075" max="14077" width="16.7109375" style="196" customWidth="1"/>
    <col min="14078" max="14078" width="17.42578125" style="196" bestFit="1" customWidth="1"/>
    <col min="14079" max="14081" width="16.7109375" style="196" customWidth="1"/>
    <col min="14082" max="14330" width="11.42578125" style="196"/>
    <col min="14331" max="14333" width="16.7109375" style="196" customWidth="1"/>
    <col min="14334" max="14334" width="17.42578125" style="196" bestFit="1" customWidth="1"/>
    <col min="14335" max="14337" width="16.7109375" style="196" customWidth="1"/>
    <col min="14338" max="14586" width="11.42578125" style="196"/>
    <col min="14587" max="14589" width="16.7109375" style="196" customWidth="1"/>
    <col min="14590" max="14590" width="17.42578125" style="196" bestFit="1" customWidth="1"/>
    <col min="14591" max="14593" width="16.7109375" style="196" customWidth="1"/>
    <col min="14594" max="14842" width="11.42578125" style="196"/>
    <col min="14843" max="14845" width="16.7109375" style="196" customWidth="1"/>
    <col min="14846" max="14846" width="17.42578125" style="196" bestFit="1" customWidth="1"/>
    <col min="14847" max="14849" width="16.7109375" style="196" customWidth="1"/>
    <col min="14850" max="15098" width="11.42578125" style="196"/>
    <col min="15099" max="15101" width="16.7109375" style="196" customWidth="1"/>
    <col min="15102" max="15102" width="17.42578125" style="196" bestFit="1" customWidth="1"/>
    <col min="15103" max="15105" width="16.7109375" style="196" customWidth="1"/>
    <col min="15106" max="15354" width="11.42578125" style="196"/>
    <col min="15355" max="15357" width="16.7109375" style="196" customWidth="1"/>
    <col min="15358" max="15358" width="17.42578125" style="196" bestFit="1" customWidth="1"/>
    <col min="15359" max="15361" width="16.7109375" style="196" customWidth="1"/>
    <col min="15362" max="15610" width="11.42578125" style="196"/>
    <col min="15611" max="15613" width="16.7109375" style="196" customWidth="1"/>
    <col min="15614" max="15614" width="17.42578125" style="196" bestFit="1" customWidth="1"/>
    <col min="15615" max="15617" width="16.7109375" style="196" customWidth="1"/>
    <col min="15618" max="15866" width="11.42578125" style="196"/>
    <col min="15867" max="15869" width="16.7109375" style="196" customWidth="1"/>
    <col min="15870" max="15870" width="17.42578125" style="196" bestFit="1" customWidth="1"/>
    <col min="15871" max="15873" width="16.7109375" style="196" customWidth="1"/>
    <col min="15874" max="16122" width="11.42578125" style="196"/>
    <col min="16123" max="16125" width="16.7109375" style="196" customWidth="1"/>
    <col min="16126" max="16126" width="17.42578125" style="196" bestFit="1" customWidth="1"/>
    <col min="16127" max="16129" width="16.7109375" style="196" customWidth="1"/>
    <col min="16130" max="16384" width="11.42578125" style="196"/>
  </cols>
  <sheetData>
    <row r="1" spans="1:14" ht="15.75" x14ac:dyDescent="0.25">
      <c r="G1" s="370" t="s">
        <v>521</v>
      </c>
    </row>
    <row r="2" spans="1:14" ht="21.75" customHeight="1" x14ac:dyDescent="0.3">
      <c r="A2" s="613" t="s">
        <v>449</v>
      </c>
      <c r="B2" s="613"/>
      <c r="C2" s="613"/>
      <c r="D2" s="613"/>
      <c r="E2" s="613"/>
      <c r="F2" s="613"/>
      <c r="G2" s="613"/>
    </row>
    <row r="4" spans="1:14" x14ac:dyDescent="0.2">
      <c r="A4" s="620" t="s">
        <v>360</v>
      </c>
      <c r="B4" s="620"/>
      <c r="C4" s="621" t="s">
        <v>361</v>
      </c>
      <c r="D4" s="621"/>
      <c r="E4" s="621"/>
      <c r="F4" s="621"/>
      <c r="G4" s="621"/>
    </row>
    <row r="5" spans="1:14" ht="13.5" customHeight="1" x14ac:dyDescent="0.2">
      <c r="A5" s="620" t="s">
        <v>362</v>
      </c>
      <c r="B5" s="620"/>
      <c r="C5" s="621" t="s">
        <v>363</v>
      </c>
      <c r="D5" s="621"/>
      <c r="E5" s="621"/>
      <c r="F5" s="621"/>
      <c r="G5" s="621"/>
    </row>
    <row r="6" spans="1:14" x14ac:dyDescent="0.2">
      <c r="A6" s="620" t="s">
        <v>364</v>
      </c>
      <c r="B6" s="620"/>
      <c r="C6" s="621" t="s">
        <v>365</v>
      </c>
      <c r="D6" s="621"/>
      <c r="E6" s="621"/>
      <c r="F6" s="621"/>
      <c r="G6" s="621"/>
    </row>
    <row r="7" spans="1:14" x14ac:dyDescent="0.2">
      <c r="A7" s="620" t="s">
        <v>366</v>
      </c>
      <c r="B7" s="620"/>
      <c r="C7" s="621" t="s">
        <v>367</v>
      </c>
      <c r="D7" s="621"/>
      <c r="E7" s="621"/>
      <c r="F7" s="621"/>
      <c r="G7" s="621"/>
    </row>
    <row r="8" spans="1:14" x14ac:dyDescent="0.2">
      <c r="A8" s="622" t="s">
        <v>3</v>
      </c>
      <c r="B8" s="622"/>
      <c r="C8" s="623" t="s">
        <v>368</v>
      </c>
      <c r="D8" s="623"/>
      <c r="E8" s="623"/>
      <c r="F8" s="623"/>
      <c r="G8" s="623"/>
    </row>
    <row r="9" spans="1:14" ht="49.5" x14ac:dyDescent="0.2">
      <c r="A9" s="617" t="s">
        <v>369</v>
      </c>
      <c r="B9" s="617"/>
      <c r="C9" s="624" t="s">
        <v>370</v>
      </c>
      <c r="D9" s="624"/>
      <c r="E9" s="624" t="s">
        <v>371</v>
      </c>
      <c r="F9" s="624"/>
      <c r="G9" s="197" t="s">
        <v>372</v>
      </c>
    </row>
    <row r="10" spans="1:14" ht="13.5" customHeight="1" x14ac:dyDescent="0.2">
      <c r="A10" s="617"/>
      <c r="B10" s="617"/>
      <c r="C10" s="617" t="s">
        <v>373</v>
      </c>
      <c r="D10" s="617"/>
      <c r="E10" s="617" t="s">
        <v>374</v>
      </c>
      <c r="F10" s="619"/>
      <c r="G10" s="609" t="s">
        <v>375</v>
      </c>
      <c r="L10" s="594" t="s">
        <v>559</v>
      </c>
      <c r="N10" s="512"/>
    </row>
    <row r="11" spans="1:14" ht="13.5" customHeight="1" x14ac:dyDescent="0.2">
      <c r="A11" s="617"/>
      <c r="B11" s="617"/>
      <c r="C11" s="617"/>
      <c r="D11" s="617"/>
      <c r="E11" s="619"/>
      <c r="F11" s="619"/>
      <c r="G11" s="609"/>
      <c r="L11" s="594"/>
      <c r="N11" s="512"/>
    </row>
    <row r="12" spans="1:14" ht="13.5" x14ac:dyDescent="0.2">
      <c r="A12" s="617"/>
      <c r="B12" s="617"/>
      <c r="C12" s="617"/>
      <c r="D12" s="617"/>
      <c r="E12" s="617" t="s">
        <v>376</v>
      </c>
      <c r="F12" s="617"/>
      <c r="G12" s="198" t="s">
        <v>377</v>
      </c>
      <c r="H12" s="609" t="s">
        <v>552</v>
      </c>
      <c r="I12" s="609" t="s">
        <v>547</v>
      </c>
      <c r="L12" s="595"/>
      <c r="N12" s="589"/>
    </row>
    <row r="13" spans="1:14" ht="13.5" x14ac:dyDescent="0.25">
      <c r="A13" s="617"/>
      <c r="B13" s="617"/>
      <c r="C13" s="618" t="s">
        <v>378</v>
      </c>
      <c r="D13" s="618"/>
      <c r="E13" s="618" t="s">
        <v>50</v>
      </c>
      <c r="F13" s="618"/>
      <c r="G13" s="199" t="s">
        <v>379</v>
      </c>
      <c r="H13" s="609"/>
      <c r="I13" s="609"/>
      <c r="K13" s="306"/>
      <c r="L13" s="286" t="s">
        <v>450</v>
      </c>
      <c r="M13" s="306"/>
      <c r="N13" s="403"/>
    </row>
    <row r="14" spans="1:14" ht="52.5" customHeight="1" x14ac:dyDescent="0.2">
      <c r="A14" s="603" t="s">
        <v>380</v>
      </c>
      <c r="B14" s="200" t="s">
        <v>381</v>
      </c>
      <c r="C14" s="603" t="s">
        <v>382</v>
      </c>
      <c r="D14" s="438"/>
      <c r="E14" s="603" t="s">
        <v>383</v>
      </c>
      <c r="F14" s="606">
        <v>0.01</v>
      </c>
      <c r="G14" s="202">
        <f>D14*$F$14</f>
        <v>0</v>
      </c>
      <c r="H14" s="379" t="s">
        <v>455</v>
      </c>
      <c r="I14" s="306"/>
      <c r="K14" s="402" t="s">
        <v>447</v>
      </c>
      <c r="L14" s="403" t="s">
        <v>552</v>
      </c>
      <c r="M14" s="476" t="s">
        <v>576</v>
      </c>
      <c r="N14" s="403"/>
    </row>
    <row r="15" spans="1:14" ht="13.5" customHeight="1" x14ac:dyDescent="0.2">
      <c r="A15" s="604"/>
      <c r="B15" s="298">
        <v>2003</v>
      </c>
      <c r="C15" s="604"/>
      <c r="D15" s="212">
        <f>data!C93*S82</f>
        <v>6158.9971455995401</v>
      </c>
      <c r="E15" s="604"/>
      <c r="F15" s="607"/>
      <c r="G15" s="377">
        <f>D15*$F$14</f>
        <v>61.589971455995403</v>
      </c>
      <c r="H15" s="380">
        <f>G15/1000</f>
        <v>6.1589971455995401E-2</v>
      </c>
      <c r="I15" s="442">
        <f>H15*310</f>
        <v>19.092891151358575</v>
      </c>
      <c r="K15" s="306">
        <v>2003</v>
      </c>
      <c r="L15" s="469">
        <f>H15+H44+H73+H102</f>
        <v>2983.800475950326</v>
      </c>
      <c r="M15" s="214">
        <f>L15/1000</f>
        <v>2.9838004759503258</v>
      </c>
      <c r="N15" s="437"/>
    </row>
    <row r="16" spans="1:14" ht="13.5" customHeight="1" x14ac:dyDescent="0.2">
      <c r="A16" s="604"/>
      <c r="B16" s="298">
        <v>2004</v>
      </c>
      <c r="C16" s="604"/>
      <c r="D16" s="212">
        <f>data!C94*S83</f>
        <v>9971.7700424806262</v>
      </c>
      <c r="E16" s="604"/>
      <c r="F16" s="607"/>
      <c r="G16" s="377">
        <f t="shared" ref="G16:G71" si="0">D16*$F$14</f>
        <v>99.717700424806267</v>
      </c>
      <c r="H16" s="380">
        <f t="shared" ref="H16:H72" si="1">G16/1000</f>
        <v>9.9717700424806266E-2</v>
      </c>
      <c r="I16" s="442">
        <f t="shared" ref="I16:I79" si="2">H16*310</f>
        <v>30.912487131689943</v>
      </c>
      <c r="K16" s="306">
        <v>2004</v>
      </c>
      <c r="L16" s="469">
        <f t="shared" ref="L16:L42" si="3">H16+H45+H74+H103</f>
        <v>2548.3884294769541</v>
      </c>
      <c r="M16" s="214">
        <f t="shared" ref="M16:M42" si="4">L16/1000</f>
        <v>2.5483884294769541</v>
      </c>
      <c r="N16" s="437"/>
    </row>
    <row r="17" spans="1:14" ht="13.5" customHeight="1" x14ac:dyDescent="0.2">
      <c r="A17" s="604"/>
      <c r="B17" s="298">
        <v>2005</v>
      </c>
      <c r="C17" s="604"/>
      <c r="D17" s="212">
        <f>data!C95*S84</f>
        <v>7396.27639508844</v>
      </c>
      <c r="E17" s="604"/>
      <c r="F17" s="607"/>
      <c r="G17" s="377">
        <f>D17*$F$14</f>
        <v>73.962763950884408</v>
      </c>
      <c r="H17" s="380">
        <f t="shared" si="1"/>
        <v>7.3962763950884414E-2</v>
      </c>
      <c r="I17" s="442">
        <f t="shared" si="2"/>
        <v>22.92845682477417</v>
      </c>
      <c r="K17" s="306">
        <v>2005</v>
      </c>
      <c r="L17" s="469">
        <f t="shared" si="3"/>
        <v>2911.678257788878</v>
      </c>
      <c r="M17" s="214">
        <f t="shared" si="4"/>
        <v>2.911678257788878</v>
      </c>
      <c r="N17" s="437"/>
    </row>
    <row r="18" spans="1:14" ht="13.5" customHeight="1" x14ac:dyDescent="0.2">
      <c r="A18" s="604"/>
      <c r="B18" s="298">
        <v>2006</v>
      </c>
      <c r="C18" s="604"/>
      <c r="D18" s="212">
        <f>data!C96*S85</f>
        <v>8741.9333353418879</v>
      </c>
      <c r="E18" s="604"/>
      <c r="F18" s="607"/>
      <c r="G18" s="377">
        <f t="shared" si="0"/>
        <v>87.419333353418878</v>
      </c>
      <c r="H18" s="380">
        <f t="shared" si="1"/>
        <v>8.7419333353418879E-2</v>
      </c>
      <c r="I18" s="442">
        <f t="shared" si="2"/>
        <v>27.099993339559852</v>
      </c>
      <c r="K18" s="306">
        <v>2006</v>
      </c>
      <c r="L18" s="469">
        <f t="shared" si="3"/>
        <v>3226.6808234990613</v>
      </c>
      <c r="M18" s="214">
        <f t="shared" si="4"/>
        <v>3.2266808234990614</v>
      </c>
      <c r="N18" s="437"/>
    </row>
    <row r="19" spans="1:14" ht="13.5" customHeight="1" x14ac:dyDescent="0.2">
      <c r="A19" s="604"/>
      <c r="B19" s="298">
        <v>2007</v>
      </c>
      <c r="C19" s="604"/>
      <c r="D19" s="212">
        <f>data!C97*S86</f>
        <v>84736.679715325867</v>
      </c>
      <c r="E19" s="604"/>
      <c r="F19" s="607"/>
      <c r="G19" s="377">
        <f t="shared" si="0"/>
        <v>847.36679715325863</v>
      </c>
      <c r="H19" s="380">
        <f t="shared" si="1"/>
        <v>0.84736679715325858</v>
      </c>
      <c r="I19" s="442">
        <f t="shared" si="2"/>
        <v>262.68370711751015</v>
      </c>
      <c r="K19" s="306">
        <v>2007</v>
      </c>
      <c r="L19" s="469">
        <f t="shared" si="3"/>
        <v>3232.621803335905</v>
      </c>
      <c r="M19" s="214">
        <f t="shared" si="4"/>
        <v>3.2326218033359049</v>
      </c>
      <c r="N19" s="437"/>
    </row>
    <row r="20" spans="1:14" ht="13.5" customHeight="1" x14ac:dyDescent="0.2">
      <c r="A20" s="604"/>
      <c r="B20" s="298">
        <v>2008</v>
      </c>
      <c r="C20" s="604"/>
      <c r="D20" s="212">
        <f>data!C98*S87</f>
        <v>90996.772180996399</v>
      </c>
      <c r="E20" s="604"/>
      <c r="F20" s="607"/>
      <c r="G20" s="377">
        <f t="shared" si="0"/>
        <v>909.96772180996402</v>
      </c>
      <c r="H20" s="380">
        <f t="shared" si="1"/>
        <v>0.90996772180996399</v>
      </c>
      <c r="I20" s="442">
        <f t="shared" si="2"/>
        <v>282.08999376108886</v>
      </c>
      <c r="K20" s="306">
        <v>2008</v>
      </c>
      <c r="L20" s="469">
        <f t="shared" si="3"/>
        <v>3117.513623180193</v>
      </c>
      <c r="M20" s="214">
        <f t="shared" si="4"/>
        <v>3.117513623180193</v>
      </c>
      <c r="N20" s="437"/>
    </row>
    <row r="21" spans="1:14" ht="13.5" customHeight="1" x14ac:dyDescent="0.2">
      <c r="A21" s="604"/>
      <c r="B21" s="298">
        <v>2009</v>
      </c>
      <c r="C21" s="604"/>
      <c r="D21" s="212">
        <f>data!C99*S88</f>
        <v>92572.97669120715</v>
      </c>
      <c r="E21" s="604"/>
      <c r="F21" s="607"/>
      <c r="G21" s="377">
        <f t="shared" si="0"/>
        <v>925.72976691207157</v>
      </c>
      <c r="H21" s="380">
        <f t="shared" si="1"/>
        <v>0.92572976691207154</v>
      </c>
      <c r="I21" s="442">
        <f t="shared" si="2"/>
        <v>286.9762277427422</v>
      </c>
      <c r="K21" s="306">
        <v>2009</v>
      </c>
      <c r="L21" s="469">
        <f t="shared" si="3"/>
        <v>3121.5513012944029</v>
      </c>
      <c r="M21" s="214">
        <f t="shared" si="4"/>
        <v>3.1215513012944029</v>
      </c>
      <c r="N21" s="437"/>
    </row>
    <row r="22" spans="1:14" ht="13.5" customHeight="1" x14ac:dyDescent="0.2">
      <c r="A22" s="604"/>
      <c r="B22" s="298">
        <v>2010</v>
      </c>
      <c r="C22" s="604"/>
      <c r="D22" s="212">
        <f>data!C100*S89</f>
        <v>91724.256039120679</v>
      </c>
      <c r="E22" s="604"/>
      <c r="F22" s="607"/>
      <c r="G22" s="377">
        <f t="shared" si="0"/>
        <v>917.24256039120678</v>
      </c>
      <c r="H22" s="380">
        <f t="shared" si="1"/>
        <v>0.91724256039120677</v>
      </c>
      <c r="I22" s="442">
        <f t="shared" si="2"/>
        <v>284.34519372127409</v>
      </c>
      <c r="K22" s="306">
        <v>2010</v>
      </c>
      <c r="L22" s="469">
        <f t="shared" si="3"/>
        <v>3084.0061551612698</v>
      </c>
      <c r="M22" s="214">
        <f t="shared" si="4"/>
        <v>3.0840061551612696</v>
      </c>
      <c r="N22" s="437"/>
    </row>
    <row r="23" spans="1:14" ht="13.5" customHeight="1" x14ac:dyDescent="0.2">
      <c r="A23" s="604"/>
      <c r="B23" s="298">
        <v>2011</v>
      </c>
      <c r="C23" s="604"/>
      <c r="D23" s="212">
        <f>data!C101*S90</f>
        <v>122380.61853076461</v>
      </c>
      <c r="E23" s="604"/>
      <c r="F23" s="607"/>
      <c r="G23" s="377">
        <f t="shared" si="0"/>
        <v>1223.806185307646</v>
      </c>
      <c r="H23" s="380">
        <f t="shared" si="1"/>
        <v>1.2238061853076461</v>
      </c>
      <c r="I23" s="442">
        <f t="shared" si="2"/>
        <v>379.37991744537027</v>
      </c>
      <c r="K23" s="306">
        <v>2011</v>
      </c>
      <c r="L23" s="469">
        <f t="shared" si="3"/>
        <v>3426.1580492141702</v>
      </c>
      <c r="M23" s="214">
        <f t="shared" si="4"/>
        <v>3.4261580492141701</v>
      </c>
      <c r="N23" s="437"/>
    </row>
    <row r="24" spans="1:14" ht="13.5" customHeight="1" x14ac:dyDescent="0.2">
      <c r="A24" s="604"/>
      <c r="B24" s="298">
        <v>2012</v>
      </c>
      <c r="C24" s="604"/>
      <c r="D24" s="212">
        <f>data!C102*S91</f>
        <v>139358.88076442984</v>
      </c>
      <c r="E24" s="604"/>
      <c r="F24" s="607"/>
      <c r="G24" s="377">
        <f t="shared" si="0"/>
        <v>1393.5888076442984</v>
      </c>
      <c r="H24" s="380">
        <f t="shared" si="1"/>
        <v>1.3935888076442984</v>
      </c>
      <c r="I24" s="442">
        <f t="shared" si="2"/>
        <v>432.01253036973247</v>
      </c>
      <c r="K24" s="306">
        <v>2012</v>
      </c>
      <c r="L24" s="469">
        <f t="shared" si="3"/>
        <v>3516.9378327928289</v>
      </c>
      <c r="M24" s="214">
        <f t="shared" si="4"/>
        <v>3.5169378327928289</v>
      </c>
      <c r="N24" s="437"/>
    </row>
    <row r="25" spans="1:14" ht="13.5" customHeight="1" x14ac:dyDescent="0.2">
      <c r="A25" s="604"/>
      <c r="B25" s="298">
        <v>2013</v>
      </c>
      <c r="C25" s="604"/>
      <c r="D25" s="212">
        <f>data!C103*S92</f>
        <v>156506.42023957614</v>
      </c>
      <c r="E25" s="604"/>
      <c r="F25" s="607"/>
      <c r="G25" s="377">
        <f t="shared" si="0"/>
        <v>1565.0642023957614</v>
      </c>
      <c r="H25" s="380">
        <f t="shared" si="1"/>
        <v>1.5650642023957615</v>
      </c>
      <c r="I25" s="442">
        <f t="shared" si="2"/>
        <v>485.16990274268608</v>
      </c>
      <c r="K25" s="306">
        <v>2013</v>
      </c>
      <c r="L25" s="469">
        <f t="shared" si="3"/>
        <v>3635.1663446466282</v>
      </c>
      <c r="M25" s="214">
        <f t="shared" si="4"/>
        <v>3.635166344646628</v>
      </c>
      <c r="N25" s="437"/>
    </row>
    <row r="26" spans="1:14" ht="13.5" customHeight="1" x14ac:dyDescent="0.2">
      <c r="A26" s="604"/>
      <c r="B26" s="298">
        <v>2014</v>
      </c>
      <c r="C26" s="604"/>
      <c r="D26" s="212">
        <f>data!C104*S93</f>
        <v>173816.81908250789</v>
      </c>
      <c r="E26" s="604"/>
      <c r="F26" s="607"/>
      <c r="G26" s="377">
        <f t="shared" si="0"/>
        <v>1738.1681908250789</v>
      </c>
      <c r="H26" s="380">
        <f t="shared" si="1"/>
        <v>1.738168190825079</v>
      </c>
      <c r="I26" s="442">
        <f t="shared" si="2"/>
        <v>538.83213915577448</v>
      </c>
      <c r="K26" s="306">
        <v>2014</v>
      </c>
      <c r="L26" s="469">
        <f t="shared" si="3"/>
        <v>3694.4370987871766</v>
      </c>
      <c r="M26" s="214">
        <f t="shared" si="4"/>
        <v>3.6944370987871769</v>
      </c>
      <c r="N26" s="437"/>
    </row>
    <row r="27" spans="1:14" ht="13.5" customHeight="1" x14ac:dyDescent="0.2">
      <c r="A27" s="604"/>
      <c r="B27" s="298">
        <v>2015</v>
      </c>
      <c r="C27" s="604"/>
      <c r="D27" s="212">
        <f>data!C105*S94</f>
        <v>191283.95956070611</v>
      </c>
      <c r="E27" s="604"/>
      <c r="F27" s="607"/>
      <c r="G27" s="377">
        <f t="shared" si="0"/>
        <v>1912.839595607061</v>
      </c>
      <c r="H27" s="380">
        <f t="shared" si="1"/>
        <v>1.912839595607061</v>
      </c>
      <c r="I27" s="442">
        <f t="shared" si="2"/>
        <v>592.98027463818892</v>
      </c>
      <c r="K27" s="306">
        <v>2015</v>
      </c>
      <c r="L27" s="469">
        <f t="shared" si="3"/>
        <v>3753.7088342604748</v>
      </c>
      <c r="M27" s="214">
        <f t="shared" si="4"/>
        <v>3.753708834260475</v>
      </c>
      <c r="N27" s="437"/>
    </row>
    <row r="28" spans="1:14" ht="13.5" customHeight="1" x14ac:dyDescent="0.2">
      <c r="A28" s="604"/>
      <c r="B28" s="298">
        <v>2016</v>
      </c>
      <c r="C28" s="604"/>
      <c r="D28" s="212">
        <f>data!C106*S95</f>
        <v>208902.00677046954</v>
      </c>
      <c r="E28" s="604"/>
      <c r="F28" s="607"/>
      <c r="G28" s="377">
        <f t="shared" si="0"/>
        <v>2089.0200677046955</v>
      </c>
      <c r="H28" s="380">
        <f t="shared" si="1"/>
        <v>2.0890200677046957</v>
      </c>
      <c r="I28" s="442">
        <f t="shared" si="2"/>
        <v>647.59622098845568</v>
      </c>
      <c r="K28" s="306">
        <v>2016</v>
      </c>
      <c r="L28" s="469">
        <f t="shared" si="3"/>
        <v>3812.9815115334159</v>
      </c>
      <c r="M28" s="214">
        <f t="shared" si="4"/>
        <v>3.8129815115334158</v>
      </c>
      <c r="N28" s="437"/>
    </row>
    <row r="29" spans="1:14" ht="13.5" customHeight="1" x14ac:dyDescent="0.2">
      <c r="A29" s="604"/>
      <c r="B29" s="298">
        <v>2017</v>
      </c>
      <c r="C29" s="604"/>
      <c r="D29" s="212">
        <f>data!C107*S96</f>
        <v>226665.39250880011</v>
      </c>
      <c r="E29" s="604"/>
      <c r="F29" s="607"/>
      <c r="G29" s="377">
        <f>D29*$F$14</f>
        <v>2266.653925088001</v>
      </c>
      <c r="H29" s="380">
        <f t="shared" si="1"/>
        <v>2.2666539250880011</v>
      </c>
      <c r="I29" s="442">
        <f t="shared" si="2"/>
        <v>702.66271677728037</v>
      </c>
      <c r="K29" s="306">
        <v>2017</v>
      </c>
      <c r="L29" s="469">
        <f t="shared" si="3"/>
        <v>3872.2550928640881</v>
      </c>
      <c r="M29" s="214">
        <f t="shared" si="4"/>
        <v>3.872255092864088</v>
      </c>
      <c r="N29" s="437"/>
    </row>
    <row r="30" spans="1:14" ht="13.5" customHeight="1" x14ac:dyDescent="0.2">
      <c r="A30" s="604"/>
      <c r="B30" s="298">
        <v>2018</v>
      </c>
      <c r="C30" s="604"/>
      <c r="D30" s="212">
        <f>data!C108*S97</f>
        <v>244568.80023684178</v>
      </c>
      <c r="E30" s="604"/>
      <c r="F30" s="607"/>
      <c r="G30" s="377">
        <f t="shared" si="0"/>
        <v>2445.688002368418</v>
      </c>
      <c r="H30" s="380">
        <f t="shared" si="1"/>
        <v>2.445688002368418</v>
      </c>
      <c r="I30" s="442">
        <f t="shared" si="2"/>
        <v>758.16328073420959</v>
      </c>
      <c r="K30" s="306">
        <v>2018</v>
      </c>
      <c r="L30" s="469">
        <f t="shared" si="3"/>
        <v>3931.5295422019235</v>
      </c>
      <c r="M30" s="214">
        <f t="shared" si="4"/>
        <v>3.9315295422019236</v>
      </c>
      <c r="N30" s="437"/>
    </row>
    <row r="31" spans="1:14" ht="13.5" customHeight="1" x14ac:dyDescent="0.2">
      <c r="A31" s="604"/>
      <c r="B31" s="298">
        <v>2019</v>
      </c>
      <c r="C31" s="604"/>
      <c r="D31" s="212">
        <f>data!C109*S98</f>
        <v>262607.15104880958</v>
      </c>
      <c r="E31" s="604"/>
      <c r="F31" s="607"/>
      <c r="G31" s="377">
        <f t="shared" si="0"/>
        <v>2626.071510488096</v>
      </c>
      <c r="H31" s="380">
        <f t="shared" si="1"/>
        <v>2.6260715104880958</v>
      </c>
      <c r="I31" s="442">
        <f t="shared" si="2"/>
        <v>814.08216825130967</v>
      </c>
      <c r="K31" s="306">
        <v>2019</v>
      </c>
      <c r="L31" s="469">
        <f t="shared" si="3"/>
        <v>3990.8048250944394</v>
      </c>
      <c r="M31" s="214">
        <f t="shared" si="4"/>
        <v>3.9908048250944392</v>
      </c>
      <c r="N31" s="437"/>
    </row>
    <row r="32" spans="1:14" ht="13.5" customHeight="1" x14ac:dyDescent="0.2">
      <c r="A32" s="604"/>
      <c r="B32" s="298">
        <v>2020</v>
      </c>
      <c r="C32" s="604"/>
      <c r="D32" s="212">
        <f>data!C110*S99</f>
        <v>280775.59056940081</v>
      </c>
      <c r="E32" s="604"/>
      <c r="F32" s="607"/>
      <c r="G32" s="377">
        <f t="shared" si="0"/>
        <v>2807.7559056940081</v>
      </c>
      <c r="H32" s="380">
        <f t="shared" si="1"/>
        <v>2.807755905694008</v>
      </c>
      <c r="I32" s="442">
        <f t="shared" si="2"/>
        <v>870.4043307651425</v>
      </c>
      <c r="K32" s="306">
        <v>2020</v>
      </c>
      <c r="L32" s="469">
        <f t="shared" si="3"/>
        <v>4050.08090860008</v>
      </c>
      <c r="M32" s="214">
        <f t="shared" si="4"/>
        <v>4.05008090860008</v>
      </c>
      <c r="N32" s="437"/>
    </row>
    <row r="33" spans="1:14" ht="13.5" customHeight="1" x14ac:dyDescent="0.2">
      <c r="A33" s="604"/>
      <c r="B33" s="298">
        <v>2021</v>
      </c>
      <c r="C33" s="604"/>
      <c r="D33" s="212">
        <f>data!C111*S100</f>
        <v>299069.47670892644</v>
      </c>
      <c r="E33" s="604"/>
      <c r="F33" s="607"/>
      <c r="G33" s="377">
        <f t="shared" si="0"/>
        <v>2990.6947670892646</v>
      </c>
      <c r="H33" s="380">
        <f t="shared" si="1"/>
        <v>2.9906947670892645</v>
      </c>
      <c r="I33" s="442">
        <f t="shared" si="2"/>
        <v>927.11537779767195</v>
      </c>
      <c r="K33" s="306">
        <v>2021</v>
      </c>
      <c r="L33" s="469">
        <f t="shared" si="3"/>
        <v>4109.357761206712</v>
      </c>
      <c r="M33" s="214">
        <f t="shared" si="4"/>
        <v>4.109357761206712</v>
      </c>
      <c r="N33" s="437"/>
    </row>
    <row r="34" spans="1:14" ht="13.5" customHeight="1" x14ac:dyDescent="0.2">
      <c r="A34" s="604"/>
      <c r="B34" s="298">
        <v>2022</v>
      </c>
      <c r="C34" s="604"/>
      <c r="D34" s="212">
        <f>data!C112*S101</f>
        <v>317484.36821037804</v>
      </c>
      <c r="E34" s="604"/>
      <c r="F34" s="607"/>
      <c r="G34" s="377">
        <f t="shared" si="0"/>
        <v>3174.8436821037803</v>
      </c>
      <c r="H34" s="380">
        <f t="shared" si="1"/>
        <v>3.1748436821037802</v>
      </c>
      <c r="I34" s="442">
        <f t="shared" si="2"/>
        <v>984.20154145217191</v>
      </c>
      <c r="K34" s="306">
        <v>2022</v>
      </c>
      <c r="L34" s="469">
        <f t="shared" si="3"/>
        <v>4168.6353527553119</v>
      </c>
      <c r="M34" s="214">
        <f t="shared" si="4"/>
        <v>4.1686353527553122</v>
      </c>
      <c r="N34" s="437"/>
    </row>
    <row r="35" spans="1:14" ht="13.5" customHeight="1" x14ac:dyDescent="0.2">
      <c r="A35" s="604"/>
      <c r="B35" s="298">
        <v>2023</v>
      </c>
      <c r="C35" s="604"/>
      <c r="D35" s="212">
        <f>data!C113*S102</f>
        <v>336016.01393070945</v>
      </c>
      <c r="E35" s="604"/>
      <c r="F35" s="607"/>
      <c r="G35" s="377">
        <f t="shared" si="0"/>
        <v>3360.1601393070946</v>
      </c>
      <c r="H35" s="380">
        <f t="shared" si="1"/>
        <v>3.3601601393070948</v>
      </c>
      <c r="I35" s="442">
        <f t="shared" si="2"/>
        <v>1041.6496431851995</v>
      </c>
      <c r="K35" s="306">
        <v>2023</v>
      </c>
      <c r="L35" s="469">
        <f t="shared" si="3"/>
        <v>4227.9136543685145</v>
      </c>
      <c r="M35" s="214">
        <f t="shared" si="4"/>
        <v>4.2279136543685141</v>
      </c>
      <c r="N35" s="437"/>
    </row>
    <row r="36" spans="1:14" ht="13.5" customHeight="1" x14ac:dyDescent="0.2">
      <c r="A36" s="604"/>
      <c r="B36" s="298">
        <v>2024</v>
      </c>
      <c r="C36" s="604"/>
      <c r="D36" s="212">
        <f>data!C114*S103</f>
        <v>354660.34280087624</v>
      </c>
      <c r="E36" s="604"/>
      <c r="F36" s="607"/>
      <c r="G36" s="377">
        <f t="shared" si="0"/>
        <v>3546.6034280087624</v>
      </c>
      <c r="H36" s="380">
        <f t="shared" si="1"/>
        <v>3.5466034280087624</v>
      </c>
      <c r="I36" s="442">
        <f t="shared" si="2"/>
        <v>1099.4470626827163</v>
      </c>
      <c r="K36" s="306">
        <v>2024</v>
      </c>
      <c r="L36" s="469">
        <f t="shared" si="3"/>
        <v>4287.1926383836208</v>
      </c>
      <c r="M36" s="214">
        <f t="shared" si="4"/>
        <v>4.2871926383836207</v>
      </c>
      <c r="N36" s="437"/>
    </row>
    <row r="37" spans="1:14" ht="13.5" customHeight="1" x14ac:dyDescent="0.2">
      <c r="A37" s="604"/>
      <c r="B37" s="298">
        <v>2025</v>
      </c>
      <c r="C37" s="604"/>
      <c r="D37" s="212">
        <f>data!C115*S104</f>
        <v>373413.45441555686</v>
      </c>
      <c r="E37" s="604"/>
      <c r="F37" s="607"/>
      <c r="G37" s="377">
        <f t="shared" si="0"/>
        <v>3734.1345441555686</v>
      </c>
      <c r="H37" s="380">
        <f t="shared" si="1"/>
        <v>3.7341345441555687</v>
      </c>
      <c r="I37" s="442">
        <f t="shared" si="2"/>
        <v>1157.5817086882264</v>
      </c>
      <c r="K37" s="306">
        <v>2025</v>
      </c>
      <c r="L37" s="469">
        <f t="shared" si="3"/>
        <v>4346.4722782897688</v>
      </c>
      <c r="M37" s="214">
        <f t="shared" si="4"/>
        <v>4.3464722782897685</v>
      </c>
      <c r="N37" s="437"/>
    </row>
    <row r="38" spans="1:14" ht="13.5" customHeight="1" x14ac:dyDescent="0.2">
      <c r="A38" s="604"/>
      <c r="B38" s="298">
        <v>2026</v>
      </c>
      <c r="C38" s="604"/>
      <c r="D38" s="212">
        <f>data!C116*S105</f>
        <v>392271.61020695622</v>
      </c>
      <c r="E38" s="604"/>
      <c r="F38" s="607"/>
      <c r="G38" s="377">
        <f t="shared" si="0"/>
        <v>3922.7161020695621</v>
      </c>
      <c r="H38" s="380">
        <f t="shared" si="1"/>
        <v>3.922716102069562</v>
      </c>
      <c r="I38" s="442">
        <f t="shared" si="2"/>
        <v>1216.0419916415642</v>
      </c>
      <c r="K38" s="306">
        <v>2026</v>
      </c>
      <c r="L38" s="469">
        <f t="shared" si="3"/>
        <v>4405.7525486689701</v>
      </c>
      <c r="M38" s="214">
        <f t="shared" si="4"/>
        <v>4.4057525486689704</v>
      </c>
      <c r="N38" s="437"/>
    </row>
    <row r="39" spans="1:14" ht="13.5" customHeight="1" x14ac:dyDescent="0.2">
      <c r="A39" s="604"/>
      <c r="B39" s="298">
        <v>2027</v>
      </c>
      <c r="C39" s="604"/>
      <c r="D39" s="212">
        <f>data!C117*S106</f>
        <v>411231.2251602569</v>
      </c>
      <c r="E39" s="604"/>
      <c r="F39" s="607"/>
      <c r="G39" s="377">
        <f t="shared" si="0"/>
        <v>4112.3122516025687</v>
      </c>
      <c r="H39" s="380">
        <f t="shared" si="1"/>
        <v>4.1123122516025683</v>
      </c>
      <c r="I39" s="442">
        <f t="shared" si="2"/>
        <v>1274.8167979967961</v>
      </c>
      <c r="K39" s="306">
        <v>2027</v>
      </c>
      <c r="L39" s="469">
        <f t="shared" si="3"/>
        <v>4465.0334251407075</v>
      </c>
      <c r="M39" s="214">
        <f t="shared" si="4"/>
        <v>4.4650334251407076</v>
      </c>
      <c r="N39" s="437"/>
    </row>
    <row r="40" spans="1:14" ht="13.5" customHeight="1" x14ac:dyDescent="0.2">
      <c r="A40" s="604"/>
      <c r="B40" s="298">
        <v>2028</v>
      </c>
      <c r="C40" s="604"/>
      <c r="D40" s="212">
        <f>data!C118*S107</f>
        <v>430288.86003346817</v>
      </c>
      <c r="E40" s="604"/>
      <c r="F40" s="607"/>
      <c r="G40" s="377">
        <f t="shared" si="0"/>
        <v>4302.8886003346815</v>
      </c>
      <c r="H40" s="380">
        <f t="shared" si="1"/>
        <v>4.3028886003346818</v>
      </c>
      <c r="I40" s="442">
        <f t="shared" si="2"/>
        <v>1333.8954661037515</v>
      </c>
      <c r="K40" s="306">
        <v>2028</v>
      </c>
      <c r="L40" s="469">
        <f t="shared" si="3"/>
        <v>4524.3148843098988</v>
      </c>
      <c r="M40" s="214">
        <f t="shared" si="4"/>
        <v>4.5243148843098986</v>
      </c>
      <c r="N40" s="437"/>
    </row>
    <row r="41" spans="1:14" ht="13.5" customHeight="1" x14ac:dyDescent="0.2">
      <c r="A41" s="604"/>
      <c r="B41" s="298">
        <v>2029</v>
      </c>
      <c r="C41" s="604"/>
      <c r="D41" s="212">
        <f>data!C119*S108</f>
        <v>449441.21404486528</v>
      </c>
      <c r="E41" s="604"/>
      <c r="F41" s="607"/>
      <c r="G41" s="377">
        <f t="shared" si="0"/>
        <v>4494.4121404486532</v>
      </c>
      <c r="H41" s="380">
        <f t="shared" si="1"/>
        <v>4.4944121404486532</v>
      </c>
      <c r="I41" s="442">
        <f t="shared" si="2"/>
        <v>1393.2677635390826</v>
      </c>
      <c r="K41" s="306">
        <v>2029</v>
      </c>
      <c r="L41" s="469">
        <f t="shared" si="3"/>
        <v>4583.5969037179293</v>
      </c>
      <c r="M41" s="214">
        <f t="shared" si="4"/>
        <v>4.5835969037179289</v>
      </c>
      <c r="N41" s="437"/>
    </row>
    <row r="42" spans="1:14" ht="13.5" customHeight="1" x14ac:dyDescent="0.2">
      <c r="A42" s="604"/>
      <c r="B42" s="298">
        <v>2030</v>
      </c>
      <c r="C42" s="605"/>
      <c r="D42" s="212">
        <f>data!C120*S109</f>
        <v>468685.11799654324</v>
      </c>
      <c r="E42" s="605"/>
      <c r="F42" s="615"/>
      <c r="G42" s="377">
        <f t="shared" si="0"/>
        <v>4686.8511799654325</v>
      </c>
      <c r="H42" s="380">
        <f t="shared" si="1"/>
        <v>4.6868511799654327</v>
      </c>
      <c r="I42" s="442">
        <f t="shared" si="2"/>
        <v>1452.923865789284</v>
      </c>
      <c r="K42" s="306">
        <v>2030</v>
      </c>
      <c r="L42" s="469">
        <f t="shared" si="3"/>
        <v>4642.8794617965941</v>
      </c>
      <c r="M42" s="214">
        <f t="shared" si="4"/>
        <v>4.6428794617965945</v>
      </c>
      <c r="N42" s="437"/>
    </row>
    <row r="43" spans="1:14" ht="50.25" customHeight="1" thickBot="1" x14ac:dyDescent="0.25">
      <c r="A43" s="604"/>
      <c r="B43" s="213" t="s">
        <v>384</v>
      </c>
      <c r="C43" s="603" t="s">
        <v>385</v>
      </c>
      <c r="D43" s="439"/>
      <c r="E43" s="603"/>
      <c r="F43" s="606">
        <v>0.01</v>
      </c>
      <c r="G43" s="377">
        <f t="shared" si="0"/>
        <v>0</v>
      </c>
      <c r="H43" s="380">
        <f t="shared" si="1"/>
        <v>0</v>
      </c>
      <c r="I43" s="380">
        <f t="shared" si="2"/>
        <v>0</v>
      </c>
    </row>
    <row r="44" spans="1:14" ht="15" customHeight="1" x14ac:dyDescent="0.2">
      <c r="A44" s="604"/>
      <c r="B44" s="298">
        <v>2003</v>
      </c>
      <c r="C44" s="604"/>
      <c r="D44" s="201">
        <f>((data!C58+data!E58+data!F58)*2000*0.16)+(data!D58*10000*0.005)</f>
        <v>132389970</v>
      </c>
      <c r="E44" s="604"/>
      <c r="F44" s="607"/>
      <c r="G44" s="377">
        <f t="shared" si="0"/>
        <v>1323899.7</v>
      </c>
      <c r="H44" s="442">
        <f t="shared" si="1"/>
        <v>1323.8996999999999</v>
      </c>
      <c r="I44" s="442">
        <f t="shared" si="2"/>
        <v>410408.90700000001</v>
      </c>
    </row>
    <row r="45" spans="1:14" ht="15" customHeight="1" x14ac:dyDescent="0.2">
      <c r="A45" s="604"/>
      <c r="B45" s="298">
        <v>2004</v>
      </c>
      <c r="C45" s="604"/>
      <c r="D45" s="201">
        <f>((data!C59+data!E59+data!F59)*2000*0.16)+(data!D59*10000*0.005)</f>
        <v>94261570</v>
      </c>
      <c r="E45" s="604"/>
      <c r="F45" s="607"/>
      <c r="G45" s="377">
        <f t="shared" si="0"/>
        <v>942615.70000000007</v>
      </c>
      <c r="H45" s="442">
        <f t="shared" si="1"/>
        <v>942.61570000000006</v>
      </c>
      <c r="I45" s="442">
        <f t="shared" si="2"/>
        <v>292210.86700000003</v>
      </c>
    </row>
    <row r="46" spans="1:14" ht="15" customHeight="1" x14ac:dyDescent="0.2">
      <c r="A46" s="604"/>
      <c r="B46" s="298">
        <v>2005</v>
      </c>
      <c r="C46" s="604"/>
      <c r="D46" s="201">
        <f>((data!C60+data!E60+data!F60)*2000*0.16)+(data!D60*10000*0.005)</f>
        <v>144050220</v>
      </c>
      <c r="E46" s="604"/>
      <c r="F46" s="607"/>
      <c r="G46" s="377">
        <f t="shared" si="0"/>
        <v>1440502.2</v>
      </c>
      <c r="H46" s="442">
        <f t="shared" si="1"/>
        <v>1440.5021999999999</v>
      </c>
      <c r="I46" s="442">
        <f t="shared" si="2"/>
        <v>446555.68199999997</v>
      </c>
    </row>
    <row r="47" spans="1:14" ht="15" customHeight="1" x14ac:dyDescent="0.2">
      <c r="A47" s="604"/>
      <c r="B47" s="298">
        <v>2006</v>
      </c>
      <c r="C47" s="604"/>
      <c r="D47" s="201">
        <f>((data!C61+data!E61+data!F61)*2000*0.16)+(data!D61*10000*0.005)</f>
        <v>153697710</v>
      </c>
      <c r="E47" s="604"/>
      <c r="F47" s="607"/>
      <c r="G47" s="377">
        <f t="shared" si="0"/>
        <v>1536977.1</v>
      </c>
      <c r="H47" s="442">
        <f t="shared" si="1"/>
        <v>1536.9771000000001</v>
      </c>
      <c r="I47" s="442">
        <f t="shared" si="2"/>
        <v>476462.90100000001</v>
      </c>
    </row>
    <row r="48" spans="1:14" ht="15" customHeight="1" x14ac:dyDescent="0.2">
      <c r="A48" s="604"/>
      <c r="B48" s="298">
        <v>2007</v>
      </c>
      <c r="C48" s="604"/>
      <c r="D48" s="201">
        <f>((data!C62+data!E62+data!F62)*2000*0.16)+(data!D62*10000*0.005)</f>
        <v>152357870</v>
      </c>
      <c r="E48" s="604"/>
      <c r="F48" s="607"/>
      <c r="G48" s="377">
        <f t="shared" si="0"/>
        <v>1523578.7</v>
      </c>
      <c r="H48" s="442">
        <f t="shared" si="1"/>
        <v>1523.5787</v>
      </c>
      <c r="I48" s="442">
        <f t="shared" si="2"/>
        <v>472309.397</v>
      </c>
    </row>
    <row r="49" spans="1:9" ht="15" customHeight="1" x14ac:dyDescent="0.2">
      <c r="A49" s="604"/>
      <c r="B49" s="298">
        <v>2008</v>
      </c>
      <c r="C49" s="604"/>
      <c r="D49" s="201">
        <f>((data!C63+data!E63+data!F63)*2000*0.16)+(data!D63*10000*0.005)</f>
        <v>149547020</v>
      </c>
      <c r="E49" s="604"/>
      <c r="F49" s="607"/>
      <c r="G49" s="377">
        <f t="shared" si="0"/>
        <v>1495470.2</v>
      </c>
      <c r="H49" s="442">
        <f t="shared" si="1"/>
        <v>1495.4702</v>
      </c>
      <c r="I49" s="442">
        <f t="shared" si="2"/>
        <v>463595.76199999999</v>
      </c>
    </row>
    <row r="50" spans="1:9" ht="15" customHeight="1" x14ac:dyDescent="0.2">
      <c r="A50" s="604"/>
      <c r="B50" s="298">
        <v>2009</v>
      </c>
      <c r="C50" s="604"/>
      <c r="D50" s="201">
        <f>((data!C64+data!E64+data!F64)*2000*0.16)+(data!D64*10000*0.005)</f>
        <v>147297310</v>
      </c>
      <c r="E50" s="604"/>
      <c r="F50" s="607"/>
      <c r="G50" s="377">
        <f t="shared" si="0"/>
        <v>1472973.1</v>
      </c>
      <c r="H50" s="442">
        <f t="shared" si="1"/>
        <v>1472.9731000000002</v>
      </c>
      <c r="I50" s="442">
        <f t="shared" si="2"/>
        <v>456621.66100000002</v>
      </c>
    </row>
    <row r="51" spans="1:9" ht="15" customHeight="1" x14ac:dyDescent="0.2">
      <c r="A51" s="604"/>
      <c r="B51" s="298">
        <v>2010</v>
      </c>
      <c r="C51" s="604"/>
      <c r="D51" s="201">
        <f>((data!C65+data!E65+data!F65)*2000*0.16)+(data!D65*10000*0.005)</f>
        <v>145901840</v>
      </c>
      <c r="E51" s="604"/>
      <c r="F51" s="607"/>
      <c r="G51" s="377">
        <f t="shared" si="0"/>
        <v>1459018.4000000001</v>
      </c>
      <c r="H51" s="442">
        <f t="shared" si="1"/>
        <v>1459.0184000000002</v>
      </c>
      <c r="I51" s="442">
        <f t="shared" si="2"/>
        <v>452295.70400000003</v>
      </c>
    </row>
    <row r="52" spans="1:9" ht="15" customHeight="1" x14ac:dyDescent="0.2">
      <c r="A52" s="604"/>
      <c r="B52" s="298">
        <v>2011</v>
      </c>
      <c r="C52" s="604"/>
      <c r="D52" s="201">
        <f>((data!C66+data!E66+data!F66)*2000*0.16)+(data!D66*10000*0.005)</f>
        <v>167154400</v>
      </c>
      <c r="E52" s="604"/>
      <c r="F52" s="607"/>
      <c r="G52" s="377">
        <f t="shared" si="0"/>
        <v>1671544</v>
      </c>
      <c r="H52" s="442">
        <f t="shared" si="1"/>
        <v>1671.5440000000001</v>
      </c>
      <c r="I52" s="442">
        <f t="shared" si="2"/>
        <v>518178.64</v>
      </c>
    </row>
    <row r="53" spans="1:9" ht="15" customHeight="1" x14ac:dyDescent="0.2">
      <c r="A53" s="604"/>
      <c r="B53" s="298">
        <v>2012</v>
      </c>
      <c r="C53" s="604"/>
      <c r="D53" s="201">
        <f>((data!C67+data!E67+data!F67)*2000*0.16)+(data!D67*10000*0.005)</f>
        <v>168556530</v>
      </c>
      <c r="E53" s="604"/>
      <c r="F53" s="607"/>
      <c r="G53" s="377">
        <f t="shared" si="0"/>
        <v>1685565.3</v>
      </c>
      <c r="H53" s="442">
        <f t="shared" si="1"/>
        <v>1685.5653</v>
      </c>
      <c r="I53" s="442">
        <f t="shared" si="2"/>
        <v>522525.24300000002</v>
      </c>
    </row>
    <row r="54" spans="1:9" ht="15" customHeight="1" x14ac:dyDescent="0.2">
      <c r="A54" s="604"/>
      <c r="B54" s="298">
        <v>2013</v>
      </c>
      <c r="C54" s="604"/>
      <c r="D54" s="201">
        <f>((data!C68+data!E68+data!F68)*2000*0.16)+(data!D68*10000*0.005)</f>
        <v>176593543.33333337</v>
      </c>
      <c r="E54" s="604"/>
      <c r="F54" s="607"/>
      <c r="G54" s="377">
        <f t="shared" si="0"/>
        <v>1765935.4333333338</v>
      </c>
      <c r="H54" s="442">
        <f t="shared" si="1"/>
        <v>1765.9354333333338</v>
      </c>
      <c r="I54" s="442">
        <f t="shared" si="2"/>
        <v>547439.98433333344</v>
      </c>
    </row>
    <row r="55" spans="1:9" ht="15" customHeight="1" x14ac:dyDescent="0.2">
      <c r="A55" s="604"/>
      <c r="B55" s="298">
        <v>2014</v>
      </c>
      <c r="C55" s="604"/>
      <c r="D55" s="201">
        <f>((data!C69+data!E69+data!F69)*2000*0.16)+(data!D69*10000*0.005)</f>
        <v>180612050</v>
      </c>
      <c r="E55" s="604"/>
      <c r="F55" s="607"/>
      <c r="G55" s="377">
        <f t="shared" si="0"/>
        <v>1806120.5</v>
      </c>
      <c r="H55" s="442">
        <f t="shared" si="1"/>
        <v>1806.1205</v>
      </c>
      <c r="I55" s="442">
        <f t="shared" si="2"/>
        <v>559897.35499999998</v>
      </c>
    </row>
    <row r="56" spans="1:9" ht="15" customHeight="1" x14ac:dyDescent="0.2">
      <c r="A56" s="604"/>
      <c r="B56" s="298">
        <v>2015</v>
      </c>
      <c r="C56" s="604"/>
      <c r="D56" s="201">
        <f>((data!C70+data!E70+data!F70)*2000*0.16)+(data!D70*10000*0.005)</f>
        <v>184630556.66666669</v>
      </c>
      <c r="E56" s="604"/>
      <c r="F56" s="607"/>
      <c r="G56" s="377">
        <f t="shared" si="0"/>
        <v>1846305.5666666669</v>
      </c>
      <c r="H56" s="442">
        <f t="shared" si="1"/>
        <v>1846.3055666666669</v>
      </c>
      <c r="I56" s="442">
        <f t="shared" si="2"/>
        <v>572354.72566666675</v>
      </c>
    </row>
    <row r="57" spans="1:9" ht="15" customHeight="1" x14ac:dyDescent="0.2">
      <c r="A57" s="604"/>
      <c r="B57" s="298">
        <v>2016</v>
      </c>
      <c r="C57" s="604"/>
      <c r="D57" s="201">
        <f>((data!C71+data!E71+data!F71)*2000*0.16)+(data!D71*10000*0.005)</f>
        <v>188649063.33333331</v>
      </c>
      <c r="E57" s="604"/>
      <c r="F57" s="607"/>
      <c r="G57" s="377">
        <f t="shared" si="0"/>
        <v>1886490.6333333331</v>
      </c>
      <c r="H57" s="442">
        <f t="shared" si="1"/>
        <v>1886.4906333333331</v>
      </c>
      <c r="I57" s="442">
        <f t="shared" si="2"/>
        <v>584812.09633333329</v>
      </c>
    </row>
    <row r="58" spans="1:9" ht="15" customHeight="1" x14ac:dyDescent="0.2">
      <c r="A58" s="604"/>
      <c r="B58" s="298">
        <v>2017</v>
      </c>
      <c r="C58" s="604"/>
      <c r="D58" s="201">
        <f>((data!C72+data!E72+data!F72)*2000*0.16)+(data!D72*10000*0.005)</f>
        <v>192667570</v>
      </c>
      <c r="E58" s="604"/>
      <c r="F58" s="607"/>
      <c r="G58" s="377">
        <f t="shared" si="0"/>
        <v>1926675.7</v>
      </c>
      <c r="H58" s="442">
        <f t="shared" si="1"/>
        <v>1926.6757</v>
      </c>
      <c r="I58" s="442">
        <f t="shared" si="2"/>
        <v>597269.46699999995</v>
      </c>
    </row>
    <row r="59" spans="1:9" ht="15" customHeight="1" x14ac:dyDescent="0.2">
      <c r="A59" s="604"/>
      <c r="B59" s="298">
        <v>2018</v>
      </c>
      <c r="C59" s="604"/>
      <c r="D59" s="201">
        <f>((data!C73+data!E73+data!F73)*2000*0.16)+(data!D73*10000*0.005)</f>
        <v>196686076.66666669</v>
      </c>
      <c r="E59" s="604"/>
      <c r="F59" s="607"/>
      <c r="G59" s="377">
        <f t="shared" si="0"/>
        <v>1966860.7666666668</v>
      </c>
      <c r="H59" s="442">
        <f t="shared" si="1"/>
        <v>1966.8607666666669</v>
      </c>
      <c r="I59" s="442">
        <f t="shared" si="2"/>
        <v>609726.83766666672</v>
      </c>
    </row>
    <row r="60" spans="1:9" ht="15" customHeight="1" x14ac:dyDescent="0.2">
      <c r="A60" s="604"/>
      <c r="B60" s="298">
        <v>2019</v>
      </c>
      <c r="C60" s="604"/>
      <c r="D60" s="201">
        <f>((data!C74+data!E74+data!F74)*2000*0.16)+(data!D74*10000*0.005)</f>
        <v>200704583.33333337</v>
      </c>
      <c r="E60" s="604"/>
      <c r="F60" s="607"/>
      <c r="G60" s="377">
        <f t="shared" si="0"/>
        <v>2007045.8333333337</v>
      </c>
      <c r="H60" s="442">
        <f t="shared" si="1"/>
        <v>2007.0458333333338</v>
      </c>
      <c r="I60" s="442">
        <f t="shared" si="2"/>
        <v>622184.20833333349</v>
      </c>
    </row>
    <row r="61" spans="1:9" ht="15" customHeight="1" x14ac:dyDescent="0.2">
      <c r="A61" s="604"/>
      <c r="B61" s="298">
        <v>2020</v>
      </c>
      <c r="C61" s="604"/>
      <c r="D61" s="201">
        <f>((data!C75+data!E75+data!F75)*2000*0.16)+(data!D75*10000*0.005)</f>
        <v>204723090</v>
      </c>
      <c r="E61" s="604"/>
      <c r="F61" s="607"/>
      <c r="G61" s="377">
        <f t="shared" si="0"/>
        <v>2047230.9000000001</v>
      </c>
      <c r="H61" s="442">
        <f t="shared" si="1"/>
        <v>2047.2309000000002</v>
      </c>
      <c r="I61" s="442">
        <f t="shared" si="2"/>
        <v>634641.57900000003</v>
      </c>
    </row>
    <row r="62" spans="1:9" ht="15" customHeight="1" x14ac:dyDescent="0.2">
      <c r="A62" s="604"/>
      <c r="B62" s="298">
        <v>2021</v>
      </c>
      <c r="C62" s="604"/>
      <c r="D62" s="201">
        <f>((data!C76+data!E76+data!F76)*2000*0.16)+(data!D76*10000*0.005)</f>
        <v>208741596.66666669</v>
      </c>
      <c r="E62" s="604"/>
      <c r="F62" s="607"/>
      <c r="G62" s="377">
        <f t="shared" si="0"/>
        <v>2087415.966666667</v>
      </c>
      <c r="H62" s="442">
        <f t="shared" si="1"/>
        <v>2087.4159666666669</v>
      </c>
      <c r="I62" s="442">
        <f t="shared" si="2"/>
        <v>647098.9496666668</v>
      </c>
    </row>
    <row r="63" spans="1:9" ht="15" customHeight="1" x14ac:dyDescent="0.2">
      <c r="A63" s="604"/>
      <c r="B63" s="298">
        <v>2022</v>
      </c>
      <c r="C63" s="604"/>
      <c r="D63" s="201">
        <f>((data!C77+data!E77+data!F77)*2000*0.16)+(data!D77*10000*0.005)</f>
        <v>212760103.33333331</v>
      </c>
      <c r="E63" s="604"/>
      <c r="F63" s="607"/>
      <c r="G63" s="377">
        <f t="shared" si="0"/>
        <v>2127601.0333333332</v>
      </c>
      <c r="H63" s="442">
        <f t="shared" si="1"/>
        <v>2127.6010333333334</v>
      </c>
      <c r="I63" s="442">
        <f t="shared" si="2"/>
        <v>659556.32033333334</v>
      </c>
    </row>
    <row r="64" spans="1:9" ht="15" customHeight="1" x14ac:dyDescent="0.2">
      <c r="A64" s="604"/>
      <c r="B64" s="298">
        <v>2023</v>
      </c>
      <c r="C64" s="604"/>
      <c r="D64" s="201">
        <f>((data!C78+data!E78+data!F78)*2000*0.16)+(data!D78*10000*0.005)</f>
        <v>216778610</v>
      </c>
      <c r="E64" s="604"/>
      <c r="F64" s="607"/>
      <c r="G64" s="377">
        <f t="shared" si="0"/>
        <v>2167786.1</v>
      </c>
      <c r="H64" s="442">
        <f t="shared" si="1"/>
        <v>2167.7861000000003</v>
      </c>
      <c r="I64" s="442">
        <f t="shared" si="2"/>
        <v>672013.69100000011</v>
      </c>
    </row>
    <row r="65" spans="1:21" ht="15" customHeight="1" x14ac:dyDescent="0.2">
      <c r="A65" s="604"/>
      <c r="B65" s="298">
        <v>2024</v>
      </c>
      <c r="C65" s="604"/>
      <c r="D65" s="201">
        <f>((data!C79+data!E79+data!F79)*2000*0.16)+(data!D79*10000*0.005)</f>
        <v>220797116.66666669</v>
      </c>
      <c r="E65" s="604"/>
      <c r="F65" s="607"/>
      <c r="G65" s="377">
        <f t="shared" si="0"/>
        <v>2207971.166666667</v>
      </c>
      <c r="H65" s="442">
        <f t="shared" si="1"/>
        <v>2207.9711666666672</v>
      </c>
      <c r="I65" s="442">
        <f t="shared" si="2"/>
        <v>684471.06166666676</v>
      </c>
    </row>
    <row r="66" spans="1:21" ht="15" customHeight="1" x14ac:dyDescent="0.2">
      <c r="A66" s="604"/>
      <c r="B66" s="298">
        <v>2025</v>
      </c>
      <c r="C66" s="604"/>
      <c r="D66" s="201">
        <f>((data!C80+data!E80+data!F80)*2000*0.16)+(data!D80*10000*0.005)</f>
        <v>224815623.33333331</v>
      </c>
      <c r="E66" s="604"/>
      <c r="F66" s="607"/>
      <c r="G66" s="377">
        <f t="shared" si="0"/>
        <v>2248156.2333333334</v>
      </c>
      <c r="H66" s="442">
        <f t="shared" si="1"/>
        <v>2248.1562333333336</v>
      </c>
      <c r="I66" s="442">
        <f t="shared" si="2"/>
        <v>696928.43233333342</v>
      </c>
    </row>
    <row r="67" spans="1:21" ht="15" customHeight="1" x14ac:dyDescent="0.2">
      <c r="A67" s="604"/>
      <c r="B67" s="298">
        <v>2026</v>
      </c>
      <c r="C67" s="604"/>
      <c r="D67" s="201">
        <f>((data!C81+data!E81+data!F81)*2000*0.16)+(data!D81*10000*0.005)</f>
        <v>228834130</v>
      </c>
      <c r="E67" s="604"/>
      <c r="F67" s="607"/>
      <c r="G67" s="377">
        <f t="shared" si="0"/>
        <v>2288341.3000000003</v>
      </c>
      <c r="H67" s="442">
        <f t="shared" si="1"/>
        <v>2288.3413000000005</v>
      </c>
      <c r="I67" s="442">
        <f t="shared" si="2"/>
        <v>709385.80300000019</v>
      </c>
      <c r="L67" s="339" t="s">
        <v>536</v>
      </c>
    </row>
    <row r="68" spans="1:21" ht="15" customHeight="1" x14ac:dyDescent="0.2">
      <c r="A68" s="604"/>
      <c r="B68" s="298">
        <v>2027</v>
      </c>
      <c r="C68" s="604"/>
      <c r="D68" s="201">
        <f>((data!C82+data!E82+data!F82)*2000*0.16)+(data!D82*10000*0.005)</f>
        <v>232852636.66666669</v>
      </c>
      <c r="E68" s="604"/>
      <c r="F68" s="607"/>
      <c r="G68" s="377">
        <f t="shared" si="0"/>
        <v>2328526.3666666667</v>
      </c>
      <c r="H68" s="442">
        <f t="shared" si="1"/>
        <v>2328.5263666666665</v>
      </c>
      <c r="I68" s="442">
        <f t="shared" si="2"/>
        <v>721843.17366666661</v>
      </c>
      <c r="L68" s="593" t="s">
        <v>571</v>
      </c>
      <c r="M68" s="593"/>
      <c r="N68" s="593"/>
      <c r="O68" s="593"/>
      <c r="P68" s="593"/>
      <c r="Q68" s="593"/>
      <c r="R68" s="593"/>
      <c r="S68" s="593"/>
      <c r="T68" s="593"/>
      <c r="U68" s="593"/>
    </row>
    <row r="69" spans="1:21" ht="15" customHeight="1" x14ac:dyDescent="0.2">
      <c r="A69" s="604"/>
      <c r="B69" s="298">
        <v>2028</v>
      </c>
      <c r="C69" s="604"/>
      <c r="D69" s="201">
        <f>((data!C83+data!E83+data!F83)*2000*0.16)+(data!D83*10000*0.005)</f>
        <v>236871143.33333337</v>
      </c>
      <c r="E69" s="604"/>
      <c r="F69" s="607"/>
      <c r="G69" s="377">
        <f t="shared" si="0"/>
        <v>2368711.4333333336</v>
      </c>
      <c r="H69" s="442">
        <f t="shared" si="1"/>
        <v>2368.7114333333334</v>
      </c>
      <c r="I69" s="442">
        <f t="shared" si="2"/>
        <v>734300.54433333338</v>
      </c>
      <c r="L69" s="593"/>
      <c r="M69" s="593"/>
      <c r="N69" s="593"/>
      <c r="O69" s="593"/>
      <c r="P69" s="593"/>
      <c r="Q69" s="593"/>
      <c r="R69" s="593"/>
      <c r="S69" s="593"/>
      <c r="T69" s="593"/>
      <c r="U69" s="593"/>
    </row>
    <row r="70" spans="1:21" ht="15" customHeight="1" x14ac:dyDescent="0.2">
      <c r="A70" s="604"/>
      <c r="B70" s="298">
        <v>2029</v>
      </c>
      <c r="C70" s="604"/>
      <c r="D70" s="201">
        <f>((data!C84+data!E84+data!F84)*2000*0.16)+(data!D84*10000*0.005)</f>
        <v>240889650</v>
      </c>
      <c r="E70" s="604"/>
      <c r="F70" s="607"/>
      <c r="G70" s="377">
        <f t="shared" si="0"/>
        <v>2408896.5</v>
      </c>
      <c r="H70" s="442">
        <f t="shared" si="1"/>
        <v>2408.8964999999998</v>
      </c>
      <c r="I70" s="442">
        <f t="shared" si="2"/>
        <v>746757.91499999992</v>
      </c>
      <c r="L70" s="593"/>
      <c r="M70" s="593"/>
      <c r="N70" s="593"/>
      <c r="O70" s="593"/>
      <c r="P70" s="593"/>
      <c r="Q70" s="593"/>
      <c r="R70" s="593"/>
      <c r="S70" s="593"/>
      <c r="T70" s="593"/>
      <c r="U70" s="593"/>
    </row>
    <row r="71" spans="1:21" ht="15.75" customHeight="1" thickBot="1" x14ac:dyDescent="0.25">
      <c r="A71" s="605"/>
      <c r="B71" s="298">
        <v>2030</v>
      </c>
      <c r="C71" s="604"/>
      <c r="D71" s="201">
        <f>((data!C85+data!E85+data!F85)*2000*0.16)+(data!D85*10000*0.005)</f>
        <v>244908156.66666666</v>
      </c>
      <c r="E71" s="605"/>
      <c r="F71" s="608"/>
      <c r="G71" s="377">
        <f t="shared" si="0"/>
        <v>2449081.5666666664</v>
      </c>
      <c r="H71" s="442">
        <f t="shared" si="1"/>
        <v>2449.0815666666663</v>
      </c>
      <c r="I71" s="442">
        <f t="shared" si="2"/>
        <v>759215.28566666658</v>
      </c>
      <c r="L71" s="593"/>
      <c r="M71" s="593"/>
      <c r="N71" s="593"/>
      <c r="O71" s="593"/>
      <c r="P71" s="593"/>
      <c r="Q71" s="593"/>
      <c r="R71" s="593"/>
      <c r="S71" s="593"/>
      <c r="T71" s="593"/>
      <c r="U71" s="593"/>
    </row>
    <row r="72" spans="1:21" ht="56.25" customHeight="1" x14ac:dyDescent="0.2">
      <c r="A72" s="625" t="s">
        <v>386</v>
      </c>
      <c r="B72" s="200" t="s">
        <v>381</v>
      </c>
      <c r="C72" s="603" t="s">
        <v>382</v>
      </c>
      <c r="D72" s="438"/>
      <c r="E72" s="603" t="s">
        <v>387</v>
      </c>
      <c r="F72" s="614">
        <v>3.0000000000000001E-3</v>
      </c>
      <c r="G72" s="202">
        <f>D72*$F$72</f>
        <v>0</v>
      </c>
      <c r="H72" s="380">
        <f t="shared" si="1"/>
        <v>0</v>
      </c>
      <c r="I72" s="380">
        <f t="shared" si="2"/>
        <v>0</v>
      </c>
      <c r="L72" s="593"/>
      <c r="M72" s="593"/>
      <c r="N72" s="593"/>
      <c r="O72" s="593"/>
      <c r="P72" s="593"/>
      <c r="Q72" s="593"/>
      <c r="R72" s="593"/>
      <c r="S72" s="593"/>
      <c r="T72" s="593"/>
      <c r="U72" s="593"/>
    </row>
    <row r="73" spans="1:21" ht="15.75" customHeight="1" x14ac:dyDescent="0.2">
      <c r="A73" s="626"/>
      <c r="B73" s="298">
        <v>2003</v>
      </c>
      <c r="C73" s="604"/>
      <c r="D73" s="504">
        <f>data!B91*S82</f>
        <v>17328.659623375086</v>
      </c>
      <c r="E73" s="604"/>
      <c r="F73" s="607"/>
      <c r="G73" s="377">
        <f>D73*$F$72</f>
        <v>51.985978870125258</v>
      </c>
      <c r="H73" s="380">
        <f>G73/1000</f>
        <v>5.1985978870125259E-2</v>
      </c>
      <c r="I73" s="442">
        <f>H73*310</f>
        <v>16.115653449738829</v>
      </c>
      <c r="L73" s="417" t="s">
        <v>535</v>
      </c>
      <c r="M73" s="432"/>
      <c r="N73" s="432"/>
      <c r="O73" s="432"/>
      <c r="P73" s="432"/>
      <c r="Q73" s="432"/>
      <c r="R73" s="432"/>
      <c r="S73" s="432"/>
      <c r="T73" s="432"/>
      <c r="U73" s="432"/>
    </row>
    <row r="74" spans="1:21" ht="15.75" customHeight="1" x14ac:dyDescent="0.2">
      <c r="A74" s="626"/>
      <c r="B74" s="298">
        <v>2004</v>
      </c>
      <c r="C74" s="604"/>
      <c r="D74" s="299">
        <f>data!B92*S83</f>
        <v>31377.258843016763</v>
      </c>
      <c r="E74" s="604"/>
      <c r="F74" s="607"/>
      <c r="G74" s="377">
        <f t="shared" ref="G74:G100" si="5">D74*$F$72</f>
        <v>94.131776529050299</v>
      </c>
      <c r="H74" s="380">
        <f t="shared" ref="H74:H129" si="6">G74/1000</f>
        <v>9.4131776529050304E-2</v>
      </c>
      <c r="I74" s="442">
        <f t="shared" si="2"/>
        <v>29.180850724005595</v>
      </c>
      <c r="L74" s="432"/>
      <c r="M74" s="432"/>
      <c r="N74" s="432"/>
      <c r="O74" s="432"/>
      <c r="P74" s="432"/>
      <c r="Q74" s="432"/>
      <c r="R74" s="432"/>
      <c r="S74" s="432"/>
      <c r="T74" s="432"/>
      <c r="U74" s="432"/>
    </row>
    <row r="75" spans="1:21" ht="15.75" customHeight="1" x14ac:dyDescent="0.2">
      <c r="A75" s="626"/>
      <c r="B75" s="298">
        <v>2005</v>
      </c>
      <c r="C75" s="604"/>
      <c r="D75" s="299">
        <f>data!B93*S84</f>
        <v>21445.008309052781</v>
      </c>
      <c r="E75" s="604"/>
      <c r="F75" s="607"/>
      <c r="G75" s="377">
        <f t="shared" si="5"/>
        <v>64.335024927158344</v>
      </c>
      <c r="H75" s="380">
        <f t="shared" si="6"/>
        <v>6.4335024927158341E-2</v>
      </c>
      <c r="I75" s="442">
        <f t="shared" si="2"/>
        <v>19.943857727419086</v>
      </c>
      <c r="L75" s="432"/>
      <c r="M75" s="432"/>
      <c r="N75" s="432"/>
      <c r="O75" s="432"/>
      <c r="P75" s="432"/>
      <c r="Q75" s="432"/>
      <c r="R75" s="432"/>
      <c r="S75" s="432"/>
      <c r="T75" s="432"/>
      <c r="U75" s="432"/>
    </row>
    <row r="76" spans="1:21" ht="15.75" customHeight="1" x14ac:dyDescent="0.2">
      <c r="A76" s="626"/>
      <c r="B76" s="298">
        <v>2006</v>
      </c>
      <c r="C76" s="604"/>
      <c r="D76" s="299">
        <f>data!B94*S85</f>
        <v>25274.721902640827</v>
      </c>
      <c r="E76" s="604"/>
      <c r="F76" s="607"/>
      <c r="G76" s="377">
        <f t="shared" si="5"/>
        <v>75.824165707922489</v>
      </c>
      <c r="H76" s="380">
        <f t="shared" si="6"/>
        <v>7.5824165707922483E-2</v>
      </c>
      <c r="I76" s="442">
        <f t="shared" si="2"/>
        <v>23.505491369455971</v>
      </c>
      <c r="L76" s="432"/>
      <c r="M76" s="432"/>
      <c r="N76" s="432"/>
      <c r="O76" s="432"/>
      <c r="P76" s="432"/>
      <c r="Q76" s="432"/>
      <c r="R76" s="432"/>
      <c r="S76" s="432"/>
      <c r="T76" s="432"/>
      <c r="U76" s="432"/>
    </row>
    <row r="77" spans="1:21" ht="15.75" customHeight="1" x14ac:dyDescent="0.2">
      <c r="A77" s="626"/>
      <c r="B77" s="298">
        <v>2007</v>
      </c>
      <c r="C77" s="604"/>
      <c r="D77" s="299">
        <f>data!B95*S86</f>
        <v>252018.84625059721</v>
      </c>
      <c r="E77" s="604"/>
      <c r="F77" s="607"/>
      <c r="G77" s="377">
        <f t="shared" si="5"/>
        <v>756.05653875179166</v>
      </c>
      <c r="H77" s="380">
        <f t="shared" si="6"/>
        <v>0.75605653875179168</v>
      </c>
      <c r="I77" s="442">
        <f t="shared" si="2"/>
        <v>234.37752701305541</v>
      </c>
      <c r="L77" s="432"/>
      <c r="M77" s="432"/>
      <c r="N77" s="432"/>
      <c r="O77" s="432"/>
      <c r="P77" s="432"/>
      <c r="Q77" s="432"/>
      <c r="R77" s="432"/>
      <c r="S77" s="432"/>
      <c r="T77" s="432"/>
      <c r="U77" s="432"/>
    </row>
    <row r="78" spans="1:21" ht="15.75" customHeight="1" x14ac:dyDescent="0.2">
      <c r="A78" s="626"/>
      <c r="B78" s="298">
        <v>2008</v>
      </c>
      <c r="C78" s="604"/>
      <c r="D78" s="299">
        <f>data!B96*S87</f>
        <v>270298.48612762691</v>
      </c>
      <c r="E78" s="604"/>
      <c r="F78" s="607"/>
      <c r="G78" s="377">
        <f t="shared" si="5"/>
        <v>810.89545838288075</v>
      </c>
      <c r="H78" s="380">
        <f t="shared" si="6"/>
        <v>0.8108954583828808</v>
      </c>
      <c r="I78" s="442">
        <f t="shared" si="2"/>
        <v>251.37759209869304</v>
      </c>
    </row>
    <row r="79" spans="1:21" ht="15.75" customHeight="1" x14ac:dyDescent="0.25">
      <c r="A79" s="626"/>
      <c r="B79" s="298">
        <v>2009</v>
      </c>
      <c r="C79" s="604"/>
      <c r="D79" s="299">
        <f>data!B97*S88</f>
        <v>268370.50916337338</v>
      </c>
      <c r="E79" s="604"/>
      <c r="F79" s="607"/>
      <c r="G79" s="377">
        <f t="shared" si="5"/>
        <v>805.11152749012012</v>
      </c>
      <c r="H79" s="380">
        <f t="shared" si="6"/>
        <v>0.80511152749012016</v>
      </c>
      <c r="I79" s="442">
        <f t="shared" si="2"/>
        <v>249.58457352193724</v>
      </c>
      <c r="N79" t="s">
        <v>546</v>
      </c>
    </row>
    <row r="80" spans="1:21" ht="15.75" customHeight="1" x14ac:dyDescent="0.2">
      <c r="A80" s="626"/>
      <c r="B80" s="298">
        <v>2010</v>
      </c>
      <c r="C80" s="604"/>
      <c r="D80" s="299">
        <f>data!B98*S89</f>
        <v>270757.53362622252</v>
      </c>
      <c r="E80" s="604"/>
      <c r="F80" s="607"/>
      <c r="G80" s="377">
        <f t="shared" si="5"/>
        <v>812.27260087866762</v>
      </c>
      <c r="H80" s="380">
        <f t="shared" si="6"/>
        <v>0.81227260087866759</v>
      </c>
      <c r="I80" s="442">
        <f t="shared" ref="I80:I129" si="7">H80*310</f>
        <v>251.80450627238696</v>
      </c>
      <c r="O80" s="628" t="s">
        <v>403</v>
      </c>
      <c r="P80" s="628" t="s">
        <v>542</v>
      </c>
      <c r="Q80" s="628" t="s">
        <v>544</v>
      </c>
      <c r="R80" s="627" t="s">
        <v>543</v>
      </c>
      <c r="S80" s="628" t="s">
        <v>570</v>
      </c>
    </row>
    <row r="81" spans="1:19" ht="22.5" customHeight="1" x14ac:dyDescent="0.2">
      <c r="A81" s="626"/>
      <c r="B81" s="298">
        <v>2011</v>
      </c>
      <c r="C81" s="604"/>
      <c r="D81" s="299">
        <f>data!B99*S90</f>
        <v>352694.34295411006</v>
      </c>
      <c r="E81" s="604"/>
      <c r="F81" s="607"/>
      <c r="G81" s="377">
        <f t="shared" si="5"/>
        <v>1058.0830288623301</v>
      </c>
      <c r="H81" s="380">
        <f t="shared" si="6"/>
        <v>1.0580830288623302</v>
      </c>
      <c r="I81" s="442">
        <f t="shared" si="7"/>
        <v>328.00573894732236</v>
      </c>
      <c r="O81" s="628"/>
      <c r="P81" s="628"/>
      <c r="Q81" s="628"/>
      <c r="R81" s="627"/>
      <c r="S81" s="628"/>
    </row>
    <row r="82" spans="1:19" ht="15.75" customHeight="1" x14ac:dyDescent="0.25">
      <c r="A82" s="626"/>
      <c r="B82" s="298">
        <v>2012</v>
      </c>
      <c r="C82" s="604"/>
      <c r="D82" s="299">
        <f>data!B100*S91</f>
        <v>401301.32839484658</v>
      </c>
      <c r="E82" s="604"/>
      <c r="F82" s="607"/>
      <c r="G82" s="377">
        <f t="shared" si="5"/>
        <v>1203.9039851845398</v>
      </c>
      <c r="H82" s="380">
        <f t="shared" si="6"/>
        <v>1.2039039851845399</v>
      </c>
      <c r="I82" s="442">
        <f t="shared" si="7"/>
        <v>373.21023540720739</v>
      </c>
      <c r="O82" s="404">
        <v>2003</v>
      </c>
      <c r="P82" s="435">
        <f>0.46*data!E125</f>
        <v>20240.46</v>
      </c>
      <c r="Q82" s="435">
        <f>0.15*data!C125</f>
        <v>220.80218978102249</v>
      </c>
      <c r="R82" s="435">
        <f>0.21*data!B125</f>
        <v>2245.1256394535008</v>
      </c>
      <c r="S82" s="436">
        <f>SUM(P82:R82)</f>
        <v>22706.387829234522</v>
      </c>
    </row>
    <row r="83" spans="1:19" ht="15.75" customHeight="1" x14ac:dyDescent="0.25">
      <c r="A83" s="626"/>
      <c r="B83" s="298">
        <v>2013</v>
      </c>
      <c r="C83" s="604"/>
      <c r="D83" s="299">
        <f>data!B101*S92</f>
        <v>445984.59252171969</v>
      </c>
      <c r="E83" s="604"/>
      <c r="F83" s="607"/>
      <c r="G83" s="377">
        <f t="shared" si="5"/>
        <v>1337.953777565159</v>
      </c>
      <c r="H83" s="380">
        <f t="shared" si="6"/>
        <v>1.3379537775651591</v>
      </c>
      <c r="I83" s="442">
        <f t="shared" si="7"/>
        <v>414.76567104519933</v>
      </c>
      <c r="O83" s="404">
        <v>2004</v>
      </c>
      <c r="P83" s="435">
        <f>0.46*data!E126</f>
        <v>36386.46</v>
      </c>
      <c r="Q83" s="435">
        <f>0.15*data!C126</f>
        <v>377.49999999999994</v>
      </c>
      <c r="R83" s="435">
        <f>0.21*data!B126</f>
        <v>2324.5328282828286</v>
      </c>
      <c r="S83" s="436">
        <f t="shared" ref="S83:S109" si="8">SUM(P83:R83)</f>
        <v>39088.492828282826</v>
      </c>
    </row>
    <row r="84" spans="1:19" ht="15.75" customHeight="1" x14ac:dyDescent="0.25">
      <c r="A84" s="626"/>
      <c r="B84" s="298">
        <v>2014</v>
      </c>
      <c r="C84" s="604"/>
      <c r="D84" s="299">
        <f>data!B102*S93</f>
        <v>491370.19878391124</v>
      </c>
      <c r="E84" s="604"/>
      <c r="F84" s="607"/>
      <c r="G84" s="377">
        <f t="shared" si="5"/>
        <v>1474.1105963517336</v>
      </c>
      <c r="H84" s="380">
        <f t="shared" si="6"/>
        <v>1.4741105963517336</v>
      </c>
      <c r="I84" s="442">
        <f t="shared" si="7"/>
        <v>456.97428486903743</v>
      </c>
      <c r="O84" s="401">
        <v>2005</v>
      </c>
      <c r="P84" s="435">
        <f>0.46*data!E127</f>
        <v>26820.300000000003</v>
      </c>
      <c r="Q84" s="435">
        <f>0.15*data!C127</f>
        <v>558.33900000000006</v>
      </c>
      <c r="R84" s="435">
        <f>0.21*data!B127</f>
        <v>2048.277</v>
      </c>
      <c r="S84" s="436">
        <f t="shared" si="8"/>
        <v>29426.916000000005</v>
      </c>
    </row>
    <row r="85" spans="1:19" ht="15.75" customHeight="1" x14ac:dyDescent="0.25">
      <c r="A85" s="626"/>
      <c r="B85" s="298">
        <v>2015</v>
      </c>
      <c r="C85" s="604"/>
      <c r="D85" s="299">
        <f>data!B103*S94</f>
        <v>536560.44384495111</v>
      </c>
      <c r="E85" s="604"/>
      <c r="F85" s="607"/>
      <c r="G85" s="377">
        <f t="shared" si="5"/>
        <v>1609.6813315348534</v>
      </c>
      <c r="H85" s="380">
        <f t="shared" si="6"/>
        <v>1.6096813315348533</v>
      </c>
      <c r="I85" s="442">
        <f t="shared" si="7"/>
        <v>499.0012127758045</v>
      </c>
      <c r="O85" s="401">
        <v>2006</v>
      </c>
      <c r="P85" s="435">
        <f>0.46*data!E128</f>
        <v>30902.800000000003</v>
      </c>
      <c r="Q85" s="435">
        <f>0.15*data!C128</f>
        <v>1035</v>
      </c>
      <c r="R85" s="435">
        <f>0.21*data!B128</f>
        <v>1992.8999999999999</v>
      </c>
      <c r="S85" s="436">
        <f t="shared" si="8"/>
        <v>33930.700000000004</v>
      </c>
    </row>
    <row r="86" spans="1:19" ht="15.75" customHeight="1" x14ac:dyDescent="0.25">
      <c r="A86" s="626"/>
      <c r="B86" s="298">
        <v>2016</v>
      </c>
      <c r="C86" s="604"/>
      <c r="D86" s="299">
        <f>data!B104*S95</f>
        <v>581561.5996815206</v>
      </c>
      <c r="E86" s="604"/>
      <c r="F86" s="607"/>
      <c r="G86" s="377">
        <f t="shared" si="5"/>
        <v>1744.6847990445619</v>
      </c>
      <c r="H86" s="380">
        <f t="shared" si="6"/>
        <v>1.744684799044562</v>
      </c>
      <c r="I86" s="442">
        <f t="shared" si="7"/>
        <v>540.85228770381423</v>
      </c>
      <c r="O86" s="401">
        <v>2007</v>
      </c>
      <c r="P86" s="435">
        <f>0.46*data!E129</f>
        <v>322160.08</v>
      </c>
      <c r="Q86" s="435">
        <f>0.15*data!C129</f>
        <v>1038.75</v>
      </c>
      <c r="R86" s="435">
        <f>0.21*data!B129</f>
        <v>13429.5</v>
      </c>
      <c r="S86" s="436">
        <f t="shared" si="8"/>
        <v>336628.33</v>
      </c>
    </row>
    <row r="87" spans="1:19" ht="15.75" customHeight="1" x14ac:dyDescent="0.25">
      <c r="A87" s="626"/>
      <c r="B87" s="298">
        <v>2017</v>
      </c>
      <c r="C87" s="604"/>
      <c r="D87" s="299">
        <f>data!B105*S96</f>
        <v>626379.64633333194</v>
      </c>
      <c r="E87" s="604"/>
      <c r="F87" s="607"/>
      <c r="G87" s="377">
        <f t="shared" si="5"/>
        <v>1879.1389389999958</v>
      </c>
      <c r="H87" s="380">
        <f t="shared" si="6"/>
        <v>1.8791389389999957</v>
      </c>
      <c r="I87" s="442">
        <f t="shared" si="7"/>
        <v>582.53307108999866</v>
      </c>
      <c r="O87" s="401">
        <v>2008</v>
      </c>
      <c r="P87" s="435">
        <f>0.46*data!E130</f>
        <v>326677.74</v>
      </c>
      <c r="Q87" s="435">
        <f>0.15*data!C130</f>
        <v>23181.599999999999</v>
      </c>
      <c r="R87" s="435">
        <f>0.21*data!B130</f>
        <v>14248.08</v>
      </c>
      <c r="S87" s="436">
        <f t="shared" si="8"/>
        <v>364107.42</v>
      </c>
    </row>
    <row r="88" spans="1:19" ht="15.75" customHeight="1" x14ac:dyDescent="0.25">
      <c r="A88" s="626"/>
      <c r="B88" s="298">
        <v>2018</v>
      </c>
      <c r="C88" s="604"/>
      <c r="D88" s="299">
        <f>data!B106*S97</f>
        <v>671020.28874055995</v>
      </c>
      <c r="E88" s="604"/>
      <c r="F88" s="607"/>
      <c r="G88" s="377">
        <f t="shared" si="5"/>
        <v>2013.0608662216798</v>
      </c>
      <c r="H88" s="380">
        <f t="shared" si="6"/>
        <v>2.01306086622168</v>
      </c>
      <c r="I88" s="442">
        <f t="shared" si="7"/>
        <v>624.04886852872085</v>
      </c>
      <c r="O88" s="401">
        <v>2009</v>
      </c>
      <c r="P88" s="435">
        <f>0.46*data!E131</f>
        <v>306784.05099999998</v>
      </c>
      <c r="Q88" s="435">
        <f>0.15*data!C131</f>
        <v>36873.907499999994</v>
      </c>
      <c r="R88" s="435">
        <f>0.21*data!B131</f>
        <v>14992.74</v>
      </c>
      <c r="S88" s="436">
        <f t="shared" si="8"/>
        <v>358650.69849999994</v>
      </c>
    </row>
    <row r="89" spans="1:19" ht="15.75" customHeight="1" x14ac:dyDescent="0.25">
      <c r="A89" s="626"/>
      <c r="B89" s="298">
        <v>2019</v>
      </c>
      <c r="C89" s="604"/>
      <c r="D89" s="299">
        <f>data!B107*S98</f>
        <v>715488.97242798703</v>
      </c>
      <c r="E89" s="604"/>
      <c r="F89" s="607"/>
      <c r="G89" s="377">
        <f t="shared" si="5"/>
        <v>2146.4669172839613</v>
      </c>
      <c r="H89" s="380">
        <f t="shared" si="6"/>
        <v>2.1464669172839614</v>
      </c>
      <c r="I89" s="442">
        <f t="shared" si="7"/>
        <v>665.4047443580281</v>
      </c>
      <c r="O89" s="401">
        <v>2010</v>
      </c>
      <c r="P89" s="435">
        <f>0.46*data!E132</f>
        <v>311186.78000000003</v>
      </c>
      <c r="Q89" s="435">
        <f>0.15*data!C132</f>
        <v>37441.379999999997</v>
      </c>
      <c r="R89" s="435">
        <f>0.21*data!B132</f>
        <v>12342.119999999999</v>
      </c>
      <c r="S89" s="436">
        <f t="shared" si="8"/>
        <v>360970.28</v>
      </c>
    </row>
    <row r="90" spans="1:19" ht="15.75" customHeight="1" x14ac:dyDescent="0.25">
      <c r="A90" s="626"/>
      <c r="B90" s="298">
        <v>2020</v>
      </c>
      <c r="C90" s="604"/>
      <c r="D90" s="299">
        <f>data!B108*S99</f>
        <v>759790.89812857506</v>
      </c>
      <c r="E90" s="604"/>
      <c r="F90" s="607"/>
      <c r="G90" s="377">
        <f t="shared" si="5"/>
        <v>2279.372694385725</v>
      </c>
      <c r="H90" s="380">
        <f t="shared" si="6"/>
        <v>2.2793726943857249</v>
      </c>
      <c r="I90" s="442">
        <f t="shared" si="7"/>
        <v>706.60553525957471</v>
      </c>
      <c r="O90" s="401">
        <v>2011</v>
      </c>
      <c r="P90" s="435">
        <f>0.46*data!E133</f>
        <v>417772.76564038754</v>
      </c>
      <c r="Q90" s="435">
        <f>0.15*data!C133</f>
        <v>39931.964706230159</v>
      </c>
      <c r="R90" s="435">
        <f>0.21*data!B133</f>
        <v>17697.988819741309</v>
      </c>
      <c r="S90" s="436">
        <f t="shared" si="8"/>
        <v>475402.71916635899</v>
      </c>
    </row>
    <row r="91" spans="1:19" ht="15.75" customHeight="1" x14ac:dyDescent="0.25">
      <c r="A91" s="626"/>
      <c r="B91" s="298">
        <v>2021</v>
      </c>
      <c r="C91" s="604"/>
      <c r="D91" s="299">
        <f>data!B109*S100</f>
        <v>803931.03542954964</v>
      </c>
      <c r="E91" s="604"/>
      <c r="F91" s="607"/>
      <c r="G91" s="377">
        <f t="shared" si="5"/>
        <v>2411.7931062886491</v>
      </c>
      <c r="H91" s="380">
        <f t="shared" si="6"/>
        <v>2.4117931062886493</v>
      </c>
      <c r="I91" s="442">
        <f t="shared" si="7"/>
        <v>747.65586294948127</v>
      </c>
      <c r="O91" s="401">
        <v>2012</v>
      </c>
      <c r="P91" s="435">
        <f>0.46*data!E134</f>
        <v>472155.31781415944</v>
      </c>
      <c r="Q91" s="435">
        <f>0.15*data!C134</f>
        <v>45997.680401068923</v>
      </c>
      <c r="R91" s="435">
        <f>0.21*data!B134</f>
        <v>19859.971276596487</v>
      </c>
      <c r="S91" s="436">
        <f t="shared" si="8"/>
        <v>538012.96949182486</v>
      </c>
    </row>
    <row r="92" spans="1:19" ht="15.75" customHeight="1" x14ac:dyDescent="0.25">
      <c r="A92" s="626"/>
      <c r="B92" s="298">
        <v>2022</v>
      </c>
      <c r="C92" s="604"/>
      <c r="D92" s="299">
        <f>data!B110*S101</f>
        <v>847914.13551371894</v>
      </c>
      <c r="E92" s="604"/>
      <c r="F92" s="607"/>
      <c r="G92" s="377">
        <f t="shared" si="5"/>
        <v>2543.7424065411569</v>
      </c>
      <c r="H92" s="380">
        <f t="shared" si="6"/>
        <v>2.5437424065411571</v>
      </c>
      <c r="I92" s="442">
        <f t="shared" si="7"/>
        <v>788.56014602775872</v>
      </c>
      <c r="O92" s="401">
        <v>2013</v>
      </c>
      <c r="P92" s="435">
        <f>0.46*data!E135</f>
        <v>526510.84760055062</v>
      </c>
      <c r="Q92" s="435">
        <f>0.15*data!C135</f>
        <v>52060.382075572015</v>
      </c>
      <c r="R92" s="435">
        <f>0.21*data!B135</f>
        <v>22020.879456402359</v>
      </c>
      <c r="S92" s="436">
        <f t="shared" si="8"/>
        <v>600592.10913252505</v>
      </c>
    </row>
    <row r="93" spans="1:19" ht="15.75" customHeight="1" x14ac:dyDescent="0.25">
      <c r="A93" s="626"/>
      <c r="B93" s="298">
        <v>2023</v>
      </c>
      <c r="C93" s="604"/>
      <c r="D93" s="299">
        <f>data!B111*S102</f>
        <v>891744.74306903186</v>
      </c>
      <c r="E93" s="604"/>
      <c r="F93" s="607"/>
      <c r="G93" s="377">
        <f t="shared" si="5"/>
        <v>2675.2342292070957</v>
      </c>
      <c r="H93" s="380">
        <f t="shared" si="6"/>
        <v>2.6752342292070956</v>
      </c>
      <c r="I93" s="442">
        <f t="shared" si="7"/>
        <v>829.32261105419968</v>
      </c>
      <c r="O93" s="401">
        <v>2014</v>
      </c>
      <c r="P93" s="435">
        <f>0.46*data!E136</f>
        <v>580839.38184092997</v>
      </c>
      <c r="Q93" s="435">
        <f>0.15*data!C136</f>
        <v>58120.072723531724</v>
      </c>
      <c r="R93" s="435">
        <f>0.21*data!B136</f>
        <v>24180.714426243601</v>
      </c>
      <c r="S93" s="436">
        <f t="shared" si="8"/>
        <v>663140.16899070528</v>
      </c>
    </row>
    <row r="94" spans="1:19" ht="15.75" customHeight="1" x14ac:dyDescent="0.25">
      <c r="A94" s="626"/>
      <c r="B94" s="298">
        <v>2024</v>
      </c>
      <c r="C94" s="604"/>
      <c r="D94" s="299">
        <f>data!B112*S103</f>
        <v>935427.20742599631</v>
      </c>
      <c r="E94" s="604"/>
      <c r="F94" s="607"/>
      <c r="G94" s="377">
        <f t="shared" si="5"/>
        <v>2806.2816222779888</v>
      </c>
      <c r="H94" s="380">
        <f t="shared" si="6"/>
        <v>2.8062816222779889</v>
      </c>
      <c r="I94" s="442">
        <f t="shared" si="7"/>
        <v>869.94730290617656</v>
      </c>
      <c r="O94" s="401">
        <v>2015</v>
      </c>
      <c r="P94" s="435">
        <f>0.46*data!E137</f>
        <v>635140.94733641623</v>
      </c>
      <c r="Q94" s="435">
        <f>0.15*data!C137</f>
        <v>64176.755334305759</v>
      </c>
      <c r="R94" s="435">
        <f>0.21*data!B137</f>
        <v>26339.477251608965</v>
      </c>
      <c r="S94" s="436">
        <f t="shared" si="8"/>
        <v>725657.17992233101</v>
      </c>
    </row>
    <row r="95" spans="1:19" ht="15.75" customHeight="1" x14ac:dyDescent="0.25">
      <c r="A95" s="626"/>
      <c r="B95" s="298">
        <v>2025</v>
      </c>
      <c r="C95" s="604"/>
      <c r="D95" s="299">
        <f>data!B113*S104</f>
        <v>978965.69298221369</v>
      </c>
      <c r="E95" s="604"/>
      <c r="F95" s="607"/>
      <c r="G95" s="377">
        <f t="shared" si="5"/>
        <v>2936.8970789466412</v>
      </c>
      <c r="H95" s="380">
        <f t="shared" si="6"/>
        <v>2.9368970789466413</v>
      </c>
      <c r="I95" s="442">
        <f t="shared" si="7"/>
        <v>910.43809447345882</v>
      </c>
      <c r="O95" s="401">
        <v>2016</v>
      </c>
      <c r="P95" s="435">
        <f>0.46*data!E138</f>
        <v>689415.57084853656</v>
      </c>
      <c r="Q95" s="435">
        <f>0.15*data!C138</f>
        <v>70230.432892817262</v>
      </c>
      <c r="R95" s="435">
        <f>0.21*data!B138</f>
        <v>28497.168996391294</v>
      </c>
      <c r="S95" s="436">
        <f t="shared" si="8"/>
        <v>788143.1727377451</v>
      </c>
    </row>
    <row r="96" spans="1:19" ht="15.75" customHeight="1" x14ac:dyDescent="0.25">
      <c r="A96" s="626"/>
      <c r="B96" s="298">
        <v>2026</v>
      </c>
      <c r="C96" s="604"/>
      <c r="D96" s="299">
        <f>data!B114*S105</f>
        <v>1022364.1889666845</v>
      </c>
      <c r="E96" s="604"/>
      <c r="F96" s="607"/>
      <c r="G96" s="377">
        <f t="shared" si="5"/>
        <v>3067.0925669000535</v>
      </c>
      <c r="H96" s="380">
        <f t="shared" si="6"/>
        <v>3.0670925669000537</v>
      </c>
      <c r="I96" s="442">
        <f t="shared" si="7"/>
        <v>950.79869573901669</v>
      </c>
      <c r="O96" s="401">
        <v>2017</v>
      </c>
      <c r="P96" s="435">
        <f>0.46*data!E139</f>
        <v>743663.27909856802</v>
      </c>
      <c r="Q96" s="435">
        <f>0.15*data!C139</f>
        <v>76281.108379518977</v>
      </c>
      <c r="R96" s="435">
        <f>0.21*data!B139</f>
        <v>30653.79072290003</v>
      </c>
      <c r="S96" s="436">
        <f t="shared" si="8"/>
        <v>850598.17820098705</v>
      </c>
    </row>
    <row r="97" spans="1:19" ht="15.75" customHeight="1" x14ac:dyDescent="0.25">
      <c r="A97" s="626"/>
      <c r="B97" s="298">
        <v>2027</v>
      </c>
      <c r="C97" s="604"/>
      <c r="D97" s="299">
        <f>data!B115*S106</f>
        <v>1065626.5185906657</v>
      </c>
      <c r="E97" s="604"/>
      <c r="F97" s="607"/>
      <c r="G97" s="377">
        <f t="shared" si="5"/>
        <v>3196.8795557719968</v>
      </c>
      <c r="H97" s="380">
        <f t="shared" si="6"/>
        <v>3.1968795557719969</v>
      </c>
      <c r="I97" s="442">
        <f t="shared" si="7"/>
        <v>991.03266228931909</v>
      </c>
      <c r="O97" s="401">
        <v>2018</v>
      </c>
      <c r="P97" s="435">
        <f>0.46*data!E140</f>
        <v>797884.09876852517</v>
      </c>
      <c r="Q97" s="435">
        <f>0.15*data!C140</f>
        <v>82328.784770429134</v>
      </c>
      <c r="R97" s="435">
        <f>0.21*data!B140</f>
        <v>32809.343491886255</v>
      </c>
      <c r="S97" s="436">
        <f t="shared" si="8"/>
        <v>913022.22703084059</v>
      </c>
    </row>
    <row r="98" spans="1:19" ht="15.75" customHeight="1" x14ac:dyDescent="0.25">
      <c r="A98" s="626"/>
      <c r="B98" s="298">
        <v>2028</v>
      </c>
      <c r="C98" s="604"/>
      <c r="D98" s="299">
        <f>data!B116*S107</f>
        <v>1108756.3476325443</v>
      </c>
      <c r="E98" s="604"/>
      <c r="F98" s="607"/>
      <c r="G98" s="377">
        <f t="shared" si="5"/>
        <v>3326.269042897633</v>
      </c>
      <c r="H98" s="380">
        <f t="shared" si="6"/>
        <v>3.3262690428976329</v>
      </c>
      <c r="I98" s="442">
        <f t="shared" si="7"/>
        <v>1031.1434032982661</v>
      </c>
      <c r="O98" s="401">
        <v>2019</v>
      </c>
      <c r="P98" s="435">
        <f>0.46*data!E141</f>
        <v>852078.0565005017</v>
      </c>
      <c r="Q98" s="435">
        <f>0.15*data!C141</f>
        <v>88373.465037184957</v>
      </c>
      <c r="R98" s="435">
        <f>0.21*data!B141</f>
        <v>34963.828362498876</v>
      </c>
      <c r="S98" s="436">
        <f t="shared" si="8"/>
        <v>975415.3499001856</v>
      </c>
    </row>
    <row r="99" spans="1:19" ht="15.75" customHeight="1" x14ac:dyDescent="0.25">
      <c r="A99" s="626"/>
      <c r="B99" s="298">
        <v>2029</v>
      </c>
      <c r="C99" s="604"/>
      <c r="D99" s="299">
        <f>data!B117*S108</f>
        <v>1151757.1924936636</v>
      </c>
      <c r="E99" s="604"/>
      <c r="F99" s="607"/>
      <c r="G99" s="377">
        <f t="shared" si="5"/>
        <v>3455.2715774809908</v>
      </c>
      <c r="H99" s="380">
        <f t="shared" si="6"/>
        <v>3.4552715774809908</v>
      </c>
      <c r="I99" s="442">
        <f t="shared" si="7"/>
        <v>1071.1341890191072</v>
      </c>
      <c r="O99" s="401">
        <v>2020</v>
      </c>
      <c r="P99" s="435">
        <f>0.46*data!E142</f>
        <v>906245.17889678001</v>
      </c>
      <c r="Q99" s="435">
        <f>0.15*data!C142</f>
        <v>94415.152146953347</v>
      </c>
      <c r="R99" s="435">
        <f>0.21*data!B142</f>
        <v>37117.246392334695</v>
      </c>
      <c r="S99" s="436">
        <f t="shared" si="8"/>
        <v>1037777.5774360681</v>
      </c>
    </row>
    <row r="100" spans="1:19" ht="15.75" customHeight="1" x14ac:dyDescent="0.25">
      <c r="A100" s="626"/>
      <c r="B100" s="298">
        <v>2030</v>
      </c>
      <c r="C100" s="605"/>
      <c r="D100" s="299">
        <f>data!B118*S109</f>
        <v>1194632.4277653135</v>
      </c>
      <c r="E100" s="605"/>
      <c r="F100" s="615"/>
      <c r="G100" s="377">
        <f t="shared" si="5"/>
        <v>3583.8972832959407</v>
      </c>
      <c r="H100" s="380">
        <f t="shared" si="6"/>
        <v>3.5838972832959408</v>
      </c>
      <c r="I100" s="442">
        <f>H100*310</f>
        <v>1111.0081578217416</v>
      </c>
      <c r="O100" s="401">
        <v>2021</v>
      </c>
      <c r="P100" s="435">
        <f>0.46*data!E143</f>
        <v>960385.49252092838</v>
      </c>
      <c r="Q100" s="435">
        <f>0.15*data!C143</f>
        <v>100453.84906253814</v>
      </c>
      <c r="R100" s="435">
        <f>0.21*data!B143</f>
        <v>39269.598637400864</v>
      </c>
      <c r="S100" s="436">
        <f t="shared" si="8"/>
        <v>1100108.9402208675</v>
      </c>
    </row>
    <row r="101" spans="1:19" ht="41.25" customHeight="1" x14ac:dyDescent="0.25">
      <c r="A101" s="626"/>
      <c r="B101" s="200" t="s">
        <v>384</v>
      </c>
      <c r="C101" s="603" t="s">
        <v>385</v>
      </c>
      <c r="D101" s="440"/>
      <c r="E101" s="603" t="s">
        <v>387</v>
      </c>
      <c r="F101" s="606">
        <v>3.0000000000000001E-3</v>
      </c>
      <c r="G101" s="376"/>
      <c r="H101" s="442"/>
      <c r="I101" s="442"/>
      <c r="O101" s="401">
        <v>2022</v>
      </c>
      <c r="P101" s="435">
        <f>0.46*data!E144</f>
        <v>1014499.0238962651</v>
      </c>
      <c r="Q101" s="435">
        <f>0.15*data!C144</f>
        <v>106489.5587423265</v>
      </c>
      <c r="R101" s="435">
        <f>0.21*data!B144</f>
        <v>41420.886152158673</v>
      </c>
      <c r="S101" s="436">
        <f t="shared" si="8"/>
        <v>1162409.4687907503</v>
      </c>
    </row>
    <row r="102" spans="1:19" ht="15" x14ac:dyDescent="0.25">
      <c r="A102" s="626"/>
      <c r="B102" s="433">
        <v>2003</v>
      </c>
      <c r="C102" s="604"/>
      <c r="D102" s="203">
        <f>data!B58*2000*0.16</f>
        <v>553262400</v>
      </c>
      <c r="E102" s="604"/>
      <c r="F102" s="607"/>
      <c r="G102" s="441">
        <f>D102*$F$101</f>
        <v>1659787.2</v>
      </c>
      <c r="H102" s="442">
        <f t="shared" si="6"/>
        <v>1659.7872</v>
      </c>
      <c r="I102" s="442">
        <f t="shared" si="7"/>
        <v>514534.03200000001</v>
      </c>
      <c r="O102" s="401">
        <v>2023</v>
      </c>
      <c r="P102" s="435">
        <f>0.46*data!E145</f>
        <v>1068585.7995071746</v>
      </c>
      <c r="Q102" s="435">
        <f>0.15*data!C145</f>
        <v>112522.28414032458</v>
      </c>
      <c r="R102" s="435">
        <f>0.21*data!B145</f>
        <v>43571.109989479781</v>
      </c>
      <c r="S102" s="436">
        <f t="shared" si="8"/>
        <v>1224679.1936369792</v>
      </c>
    </row>
    <row r="103" spans="1:19" ht="15" x14ac:dyDescent="0.25">
      <c r="A103" s="626"/>
      <c r="B103" s="433">
        <v>2004</v>
      </c>
      <c r="C103" s="604"/>
      <c r="D103" s="203">
        <f>data!B59*2000*0.16</f>
        <v>535192960</v>
      </c>
      <c r="E103" s="604"/>
      <c r="F103" s="607"/>
      <c r="G103" s="441">
        <f t="shared" ref="G103:G129" si="9">D103*$F$101</f>
        <v>1605578.8800000001</v>
      </c>
      <c r="H103" s="442">
        <f t="shared" si="6"/>
        <v>1605.57888</v>
      </c>
      <c r="I103" s="442">
        <f t="shared" si="7"/>
        <v>497729.45280000003</v>
      </c>
      <c r="O103" s="401">
        <v>2024</v>
      </c>
      <c r="P103" s="435">
        <f>0.46*data!E146</f>
        <v>1122645.8457986689</v>
      </c>
      <c r="Q103" s="435">
        <f>0.15*data!C146</f>
        <v>118552.0282061398</v>
      </c>
      <c r="R103" s="435">
        <f>0.21*data!B146</f>
        <v>45720.271200696225</v>
      </c>
      <c r="S103" s="436">
        <f t="shared" si="8"/>
        <v>1286918.145205505</v>
      </c>
    </row>
    <row r="104" spans="1:19" ht="15" x14ac:dyDescent="0.25">
      <c r="A104" s="626"/>
      <c r="B104" s="433">
        <v>2005</v>
      </c>
      <c r="C104" s="604"/>
      <c r="D104" s="203">
        <f>data!B60*2000*0.16</f>
        <v>490345920</v>
      </c>
      <c r="E104" s="604"/>
      <c r="F104" s="607"/>
      <c r="G104" s="441">
        <f t="shared" si="9"/>
        <v>1471037.76</v>
      </c>
      <c r="H104" s="442">
        <f t="shared" si="6"/>
        <v>1471.0377599999999</v>
      </c>
      <c r="I104" s="442">
        <f t="shared" si="7"/>
        <v>456021.70559999999</v>
      </c>
      <c r="O104" s="401">
        <v>2025</v>
      </c>
      <c r="P104" s="435">
        <f>0.46*data!E147</f>
        <v>1176679.1891764975</v>
      </c>
      <c r="Q104" s="435">
        <f>0.15*data!C147</f>
        <v>124578.79388503432</v>
      </c>
      <c r="R104" s="435">
        <f>0.21*data!B147</f>
        <v>47868.3708355692</v>
      </c>
      <c r="S104" s="436">
        <f t="shared" si="8"/>
        <v>1349126.353897101</v>
      </c>
    </row>
    <row r="105" spans="1:19" ht="15" x14ac:dyDescent="0.25">
      <c r="A105" s="626"/>
      <c r="B105" s="433">
        <v>2006</v>
      </c>
      <c r="C105" s="604"/>
      <c r="D105" s="203">
        <f>data!B61*2000*0.16</f>
        <v>563180160</v>
      </c>
      <c r="E105" s="604"/>
      <c r="F105" s="607"/>
      <c r="G105" s="441">
        <f t="shared" si="9"/>
        <v>1689540.48</v>
      </c>
      <c r="H105" s="442">
        <f t="shared" si="6"/>
        <v>1689.5404799999999</v>
      </c>
      <c r="I105" s="442">
        <f t="shared" si="7"/>
        <v>523757.54879999999</v>
      </c>
      <c r="O105" s="401">
        <v>2026</v>
      </c>
      <c r="P105" s="435">
        <f>0.46*data!E148</f>
        <v>1230685.8560076952</v>
      </c>
      <c r="Q105" s="435">
        <f>0.15*data!C148</f>
        <v>130602.58411792516</v>
      </c>
      <c r="R105" s="435">
        <f>0.21*data!B148</f>
        <v>50015.409942326543</v>
      </c>
      <c r="S105" s="436">
        <f t="shared" si="8"/>
        <v>1411303.8500679471</v>
      </c>
    </row>
    <row r="106" spans="1:19" ht="15" x14ac:dyDescent="0.25">
      <c r="A106" s="626"/>
      <c r="B106" s="433">
        <v>2007</v>
      </c>
      <c r="C106" s="604"/>
      <c r="D106" s="203">
        <f>data!B62*2000*0.16</f>
        <v>569146560</v>
      </c>
      <c r="E106" s="604"/>
      <c r="F106" s="607"/>
      <c r="G106" s="441">
        <f t="shared" si="9"/>
        <v>1707439.68</v>
      </c>
      <c r="H106" s="442">
        <f t="shared" si="6"/>
        <v>1707.43968</v>
      </c>
      <c r="I106" s="442">
        <f t="shared" si="7"/>
        <v>529306.30079999997</v>
      </c>
      <c r="O106" s="401">
        <v>2027</v>
      </c>
      <c r="P106" s="435">
        <f>0.46*data!E149</f>
        <v>1284665.8726195956</v>
      </c>
      <c r="Q106" s="435">
        <f>0.15*data!C149</f>
        <v>136623.40184133052</v>
      </c>
      <c r="R106" s="435">
        <f>0.21*data!B149</f>
        <v>52161.389567606449</v>
      </c>
      <c r="S106" s="436">
        <f t="shared" si="8"/>
        <v>1473450.6640285326</v>
      </c>
    </row>
    <row r="107" spans="1:19" ht="15" x14ac:dyDescent="0.25">
      <c r="A107" s="626"/>
      <c r="B107" s="433">
        <v>2008</v>
      </c>
      <c r="C107" s="604"/>
      <c r="D107" s="203">
        <f>data!B63*2000*0.16</f>
        <v>540107520</v>
      </c>
      <c r="E107" s="604"/>
      <c r="F107" s="607"/>
      <c r="G107" s="441">
        <f t="shared" si="9"/>
        <v>1620322.56</v>
      </c>
      <c r="H107" s="442">
        <f t="shared" si="6"/>
        <v>1620.3225600000001</v>
      </c>
      <c r="I107" s="442">
        <f t="shared" si="7"/>
        <v>502299.99360000005</v>
      </c>
      <c r="O107" s="401">
        <v>2028</v>
      </c>
      <c r="P107" s="435">
        <f>0.46*data!E150</f>
        <v>1338619.2653012562</v>
      </c>
      <c r="Q107" s="435">
        <f>0.15*data!C150</f>
        <v>142641.24998742342</v>
      </c>
      <c r="R107" s="435">
        <f>0.21*data!B150</f>
        <v>54306.310756532548</v>
      </c>
      <c r="S107" s="436">
        <f t="shared" si="8"/>
        <v>1535566.8260452121</v>
      </c>
    </row>
    <row r="108" spans="1:19" ht="15" x14ac:dyDescent="0.25">
      <c r="A108" s="626"/>
      <c r="B108" s="433">
        <v>2009</v>
      </c>
      <c r="C108" s="604"/>
      <c r="D108" s="203">
        <f>data!B64*2000*0.16</f>
        <v>548949120</v>
      </c>
      <c r="E108" s="604"/>
      <c r="F108" s="607"/>
      <c r="G108" s="441">
        <f t="shared" si="9"/>
        <v>1646847.36</v>
      </c>
      <c r="H108" s="442">
        <f t="shared" si="6"/>
        <v>1646.8473600000002</v>
      </c>
      <c r="I108" s="442">
        <f t="shared" si="7"/>
        <v>510522.68160000007</v>
      </c>
      <c r="O108" s="401">
        <v>2029</v>
      </c>
      <c r="P108" s="435">
        <f>0.46*data!E151</f>
        <v>1392546.0603024722</v>
      </c>
      <c r="Q108" s="435">
        <f>0.15*data!C151</f>
        <v>148656.13148408532</v>
      </c>
      <c r="R108" s="435">
        <f>0.21*data!B151</f>
        <v>56450.17455267012</v>
      </c>
      <c r="S108" s="436">
        <f t="shared" si="8"/>
        <v>1597652.3663392277</v>
      </c>
    </row>
    <row r="109" spans="1:19" ht="15" x14ac:dyDescent="0.25">
      <c r="A109" s="626"/>
      <c r="B109" s="433">
        <v>2010</v>
      </c>
      <c r="C109" s="604"/>
      <c r="D109" s="203">
        <f>data!B65*2000*0.16</f>
        <v>541086080</v>
      </c>
      <c r="E109" s="604"/>
      <c r="F109" s="607"/>
      <c r="G109" s="441">
        <f t="shared" si="9"/>
        <v>1623258.24</v>
      </c>
      <c r="H109" s="442">
        <f t="shared" si="6"/>
        <v>1623.2582399999999</v>
      </c>
      <c r="I109" s="442">
        <f t="shared" si="7"/>
        <v>503210.05439999996</v>
      </c>
      <c r="O109" s="401">
        <v>2030</v>
      </c>
      <c r="P109" s="435">
        <f>0.46*data!E152</f>
        <v>1446446.2838342143</v>
      </c>
      <c r="Q109" s="435">
        <f>0.15*data!C152</f>
        <v>154668.04925483465</v>
      </c>
      <c r="R109" s="435">
        <f>0.21*data!B152</f>
        <v>58592.981998038587</v>
      </c>
      <c r="S109" s="436">
        <f t="shared" si="8"/>
        <v>1659707.3150870875</v>
      </c>
    </row>
    <row r="110" spans="1:19" x14ac:dyDescent="0.2">
      <c r="A110" s="626"/>
      <c r="B110" s="433">
        <v>2011</v>
      </c>
      <c r="C110" s="604"/>
      <c r="D110" s="203">
        <f>data!B66*2000*0.16</f>
        <v>584110720</v>
      </c>
      <c r="E110" s="604"/>
      <c r="F110" s="607"/>
      <c r="G110" s="441">
        <f t="shared" si="9"/>
        <v>1752332.1600000001</v>
      </c>
      <c r="H110" s="442">
        <f t="shared" si="6"/>
        <v>1752.3321600000002</v>
      </c>
      <c r="I110" s="442">
        <f t="shared" si="7"/>
        <v>543222.96960000007</v>
      </c>
    </row>
    <row r="111" spans="1:19" x14ac:dyDescent="0.2">
      <c r="A111" s="626"/>
      <c r="B111" s="433">
        <v>2012</v>
      </c>
      <c r="C111" s="604"/>
      <c r="D111" s="203">
        <f>data!B67*2000*0.16</f>
        <v>609591680</v>
      </c>
      <c r="E111" s="604"/>
      <c r="F111" s="607"/>
      <c r="G111" s="441">
        <f t="shared" si="9"/>
        <v>1828775.04</v>
      </c>
      <c r="H111" s="442">
        <f t="shared" si="6"/>
        <v>1828.77504</v>
      </c>
      <c r="I111" s="442">
        <f t="shared" si="7"/>
        <v>566920.26240000001</v>
      </c>
    </row>
    <row r="112" spans="1:19" x14ac:dyDescent="0.2">
      <c r="A112" s="626"/>
      <c r="B112" s="433">
        <v>2013</v>
      </c>
      <c r="C112" s="604"/>
      <c r="D112" s="203">
        <f>data!B68*2000*0.16</f>
        <v>622109297.77777779</v>
      </c>
      <c r="E112" s="604"/>
      <c r="F112" s="607"/>
      <c r="G112" s="441">
        <f t="shared" si="9"/>
        <v>1866327.8933333333</v>
      </c>
      <c r="H112" s="442">
        <f t="shared" si="6"/>
        <v>1866.3278933333333</v>
      </c>
      <c r="I112" s="442">
        <f t="shared" si="7"/>
        <v>578561.64693333337</v>
      </c>
    </row>
    <row r="113" spans="1:9" x14ac:dyDescent="0.2">
      <c r="A113" s="626"/>
      <c r="B113" s="433">
        <v>2014</v>
      </c>
      <c r="C113" s="604"/>
      <c r="D113" s="203">
        <f>data!B69*2000*0.16</f>
        <v>628368106.66666663</v>
      </c>
      <c r="E113" s="604"/>
      <c r="F113" s="607"/>
      <c r="G113" s="441">
        <f t="shared" si="9"/>
        <v>1885104.3199999998</v>
      </c>
      <c r="H113" s="442">
        <f t="shared" si="6"/>
        <v>1885.1043199999999</v>
      </c>
      <c r="I113" s="442">
        <f t="shared" si="7"/>
        <v>584382.33919999993</v>
      </c>
    </row>
    <row r="114" spans="1:9" x14ac:dyDescent="0.2">
      <c r="A114" s="626"/>
      <c r="B114" s="433">
        <v>2015</v>
      </c>
      <c r="C114" s="604"/>
      <c r="D114" s="203">
        <f>data!B70*2000*0.16</f>
        <v>634626915.55555546</v>
      </c>
      <c r="E114" s="604"/>
      <c r="F114" s="607"/>
      <c r="G114" s="441">
        <f t="shared" si="9"/>
        <v>1903880.7466666664</v>
      </c>
      <c r="H114" s="442">
        <f t="shared" si="6"/>
        <v>1903.8807466666663</v>
      </c>
      <c r="I114" s="442">
        <f t="shared" si="7"/>
        <v>590203.03146666649</v>
      </c>
    </row>
    <row r="115" spans="1:9" x14ac:dyDescent="0.2">
      <c r="A115" s="626"/>
      <c r="B115" s="433">
        <v>2016</v>
      </c>
      <c r="C115" s="604"/>
      <c r="D115" s="203">
        <f>data!B71*2000*0.16</f>
        <v>640885724.44444454</v>
      </c>
      <c r="E115" s="604"/>
      <c r="F115" s="607"/>
      <c r="G115" s="441">
        <f t="shared" si="9"/>
        <v>1922657.1733333336</v>
      </c>
      <c r="H115" s="442">
        <f t="shared" si="6"/>
        <v>1922.6571733333335</v>
      </c>
      <c r="I115" s="442">
        <f t="shared" si="7"/>
        <v>596023.72373333341</v>
      </c>
    </row>
    <row r="116" spans="1:9" x14ac:dyDescent="0.2">
      <c r="A116" s="626"/>
      <c r="B116" s="433">
        <v>2017</v>
      </c>
      <c r="C116" s="604"/>
      <c r="D116" s="203">
        <f>data!B72*2000*0.16</f>
        <v>647144533.33333337</v>
      </c>
      <c r="E116" s="604"/>
      <c r="F116" s="607"/>
      <c r="G116" s="441">
        <f t="shared" si="9"/>
        <v>1941433.6</v>
      </c>
      <c r="H116" s="442">
        <f t="shared" si="6"/>
        <v>1941.4336000000001</v>
      </c>
      <c r="I116" s="442">
        <f t="shared" si="7"/>
        <v>601844.41599999997</v>
      </c>
    </row>
    <row r="117" spans="1:9" x14ac:dyDescent="0.2">
      <c r="A117" s="626"/>
      <c r="B117" s="433">
        <v>2018</v>
      </c>
      <c r="C117" s="604"/>
      <c r="D117" s="203">
        <f>data!B73*2000*0.16</f>
        <v>653403342.22222221</v>
      </c>
      <c r="E117" s="604"/>
      <c r="F117" s="607"/>
      <c r="G117" s="441">
        <f t="shared" si="9"/>
        <v>1960210.0266666666</v>
      </c>
      <c r="H117" s="442">
        <f t="shared" si="6"/>
        <v>1960.2100266666666</v>
      </c>
      <c r="I117" s="442">
        <f t="shared" si="7"/>
        <v>607665.10826666665</v>
      </c>
    </row>
    <row r="118" spans="1:9" x14ac:dyDescent="0.2">
      <c r="A118" s="626"/>
      <c r="B118" s="433">
        <v>2019</v>
      </c>
      <c r="C118" s="604"/>
      <c r="D118" s="203">
        <f>data!B74*2000*0.16</f>
        <v>659662151.11111116</v>
      </c>
      <c r="E118" s="604"/>
      <c r="F118" s="607"/>
      <c r="G118" s="441">
        <f t="shared" si="9"/>
        <v>1978986.4533333336</v>
      </c>
      <c r="H118" s="442">
        <f t="shared" si="6"/>
        <v>1978.9864533333337</v>
      </c>
      <c r="I118" s="442">
        <f t="shared" si="7"/>
        <v>613485.80053333344</v>
      </c>
    </row>
    <row r="119" spans="1:9" x14ac:dyDescent="0.2">
      <c r="A119" s="626"/>
      <c r="B119" s="433">
        <v>2020</v>
      </c>
      <c r="C119" s="604"/>
      <c r="D119" s="203">
        <f>data!B75*2000*0.16</f>
        <v>665920960</v>
      </c>
      <c r="E119" s="604"/>
      <c r="F119" s="607"/>
      <c r="G119" s="441">
        <f t="shared" si="9"/>
        <v>1997762.8800000001</v>
      </c>
      <c r="H119" s="442">
        <f t="shared" si="6"/>
        <v>1997.7628800000002</v>
      </c>
      <c r="I119" s="442">
        <f t="shared" si="7"/>
        <v>619306.49280000012</v>
      </c>
    </row>
    <row r="120" spans="1:9" x14ac:dyDescent="0.2">
      <c r="A120" s="626"/>
      <c r="B120" s="433">
        <v>2021</v>
      </c>
      <c r="C120" s="604"/>
      <c r="D120" s="203">
        <f>data!B76*2000*0.16</f>
        <v>672179768.88888896</v>
      </c>
      <c r="E120" s="604"/>
      <c r="F120" s="607"/>
      <c r="G120" s="441">
        <f t="shared" si="9"/>
        <v>2016539.3066666669</v>
      </c>
      <c r="H120" s="442">
        <f t="shared" si="6"/>
        <v>2016.5393066666668</v>
      </c>
      <c r="I120" s="442">
        <f t="shared" si="7"/>
        <v>625127.18506666669</v>
      </c>
    </row>
    <row r="121" spans="1:9" x14ac:dyDescent="0.2">
      <c r="A121" s="626"/>
      <c r="B121" s="433">
        <v>2022</v>
      </c>
      <c r="C121" s="604"/>
      <c r="D121" s="203">
        <f>data!B77*2000*0.16</f>
        <v>678438577.77777779</v>
      </c>
      <c r="E121" s="604"/>
      <c r="F121" s="607"/>
      <c r="G121" s="441">
        <f t="shared" si="9"/>
        <v>2035315.7333333334</v>
      </c>
      <c r="H121" s="442">
        <f t="shared" si="6"/>
        <v>2035.3157333333334</v>
      </c>
      <c r="I121" s="442">
        <f t="shared" si="7"/>
        <v>630947.87733333337</v>
      </c>
    </row>
    <row r="122" spans="1:9" x14ac:dyDescent="0.2">
      <c r="A122" s="626"/>
      <c r="B122" s="433">
        <v>2023</v>
      </c>
      <c r="C122" s="604"/>
      <c r="D122" s="203">
        <f>data!B78*2000*0.16</f>
        <v>684697386.66666675</v>
      </c>
      <c r="E122" s="604"/>
      <c r="F122" s="607"/>
      <c r="G122" s="441">
        <f t="shared" si="9"/>
        <v>2054092.1600000004</v>
      </c>
      <c r="H122" s="442">
        <f t="shared" si="6"/>
        <v>2054.0921600000006</v>
      </c>
      <c r="I122" s="442">
        <f t="shared" si="7"/>
        <v>636768.56960000016</v>
      </c>
    </row>
    <row r="123" spans="1:9" x14ac:dyDescent="0.2">
      <c r="A123" s="626"/>
      <c r="B123" s="433">
        <v>2024</v>
      </c>
      <c r="C123" s="604"/>
      <c r="D123" s="203">
        <f>data!B79*2000*0.16</f>
        <v>690956195.55555558</v>
      </c>
      <c r="E123" s="604"/>
      <c r="F123" s="607"/>
      <c r="G123" s="441">
        <f t="shared" si="9"/>
        <v>2072868.5866666669</v>
      </c>
      <c r="H123" s="442">
        <f t="shared" si="6"/>
        <v>2072.8685866666669</v>
      </c>
      <c r="I123" s="442">
        <f t="shared" si="7"/>
        <v>642589.26186666673</v>
      </c>
    </row>
    <row r="124" spans="1:9" x14ac:dyDescent="0.2">
      <c r="A124" s="626"/>
      <c r="B124" s="433">
        <v>2025</v>
      </c>
      <c r="C124" s="604"/>
      <c r="D124" s="203">
        <f>data!B80*2000*0.16</f>
        <v>697215004.44444442</v>
      </c>
      <c r="E124" s="604"/>
      <c r="F124" s="607"/>
      <c r="G124" s="441">
        <f t="shared" si="9"/>
        <v>2091645.0133333332</v>
      </c>
      <c r="H124" s="442">
        <f t="shared" si="6"/>
        <v>2091.6450133333333</v>
      </c>
      <c r="I124" s="442">
        <f t="shared" si="7"/>
        <v>648409.95413333329</v>
      </c>
    </row>
    <row r="125" spans="1:9" x14ac:dyDescent="0.2">
      <c r="A125" s="626"/>
      <c r="B125" s="433">
        <v>2026</v>
      </c>
      <c r="C125" s="604"/>
      <c r="D125" s="203">
        <f>data!B81*2000*0.16</f>
        <v>703473813.33333325</v>
      </c>
      <c r="E125" s="604"/>
      <c r="F125" s="607"/>
      <c r="G125" s="441">
        <f t="shared" si="9"/>
        <v>2110421.44</v>
      </c>
      <c r="H125" s="442">
        <f t="shared" si="6"/>
        <v>2110.4214400000001</v>
      </c>
      <c r="I125" s="442">
        <f t="shared" si="7"/>
        <v>654230.64639999997</v>
      </c>
    </row>
    <row r="126" spans="1:9" x14ac:dyDescent="0.2">
      <c r="A126" s="626"/>
      <c r="B126" s="433">
        <v>2027</v>
      </c>
      <c r="C126" s="604"/>
      <c r="D126" s="203">
        <f>data!B82*2000*0.16</f>
        <v>709732622.22222233</v>
      </c>
      <c r="E126" s="604"/>
      <c r="F126" s="607"/>
      <c r="G126" s="441">
        <f t="shared" si="9"/>
        <v>2129197.8666666672</v>
      </c>
      <c r="H126" s="442">
        <f t="shared" si="6"/>
        <v>2129.1978666666673</v>
      </c>
      <c r="I126" s="442">
        <f t="shared" si="7"/>
        <v>660051.33866666688</v>
      </c>
    </row>
    <row r="127" spans="1:9" x14ac:dyDescent="0.2">
      <c r="A127" s="626"/>
      <c r="B127" s="433">
        <v>2028</v>
      </c>
      <c r="C127" s="604"/>
      <c r="D127" s="203">
        <f>data!B83*2000*0.16</f>
        <v>715991431.11111104</v>
      </c>
      <c r="E127" s="604"/>
      <c r="F127" s="607"/>
      <c r="G127" s="441">
        <f t="shared" si="9"/>
        <v>2147974.293333333</v>
      </c>
      <c r="H127" s="442">
        <f t="shared" si="6"/>
        <v>2147.9742933333332</v>
      </c>
      <c r="I127" s="442">
        <f t="shared" si="7"/>
        <v>665872.03093333333</v>
      </c>
    </row>
    <row r="128" spans="1:9" x14ac:dyDescent="0.2">
      <c r="A128" s="626"/>
      <c r="B128" s="434">
        <v>2029</v>
      </c>
      <c r="C128" s="604"/>
      <c r="D128" s="203">
        <f>data!B84*2000*0.16</f>
        <v>722250240</v>
      </c>
      <c r="E128" s="604"/>
      <c r="F128" s="607"/>
      <c r="G128" s="441">
        <f t="shared" si="9"/>
        <v>2166750.7200000002</v>
      </c>
      <c r="H128" s="442">
        <f t="shared" si="6"/>
        <v>2166.75072</v>
      </c>
      <c r="I128" s="442">
        <f t="shared" si="7"/>
        <v>671692.72320000001</v>
      </c>
    </row>
    <row r="129" spans="1:12" x14ac:dyDescent="0.2">
      <c r="A129" s="626"/>
      <c r="B129" s="433">
        <v>2030</v>
      </c>
      <c r="C129" s="605"/>
      <c r="D129" s="203">
        <f>data!B85*2000*0.16</f>
        <v>728509048.88888907</v>
      </c>
      <c r="E129" s="605"/>
      <c r="F129" s="615"/>
      <c r="G129" s="441">
        <f t="shared" si="9"/>
        <v>2185527.1466666674</v>
      </c>
      <c r="H129" s="442">
        <f t="shared" si="6"/>
        <v>2185.5271466666672</v>
      </c>
      <c r="I129" s="442">
        <f t="shared" si="7"/>
        <v>677513.4154666668</v>
      </c>
    </row>
    <row r="130" spans="1:12" x14ac:dyDescent="0.2">
      <c r="A130" s="590" t="s">
        <v>22</v>
      </c>
      <c r="B130" s="591"/>
      <c r="C130" s="591"/>
      <c r="D130" s="591"/>
      <c r="E130" s="591"/>
      <c r="F130" s="592"/>
      <c r="G130" s="377">
        <f>SUM(G15:G129)</f>
        <v>105671449.81832024</v>
      </c>
      <c r="H130" s="380"/>
      <c r="I130" s="380"/>
    </row>
    <row r="131" spans="1:12" x14ac:dyDescent="0.2">
      <c r="F131" s="601" t="s">
        <v>553</v>
      </c>
      <c r="G131" s="602"/>
      <c r="H131" s="443">
        <f>SUM(H15:H130)</f>
        <v>105671.44981832025</v>
      </c>
      <c r="I131" s="306"/>
    </row>
    <row r="132" spans="1:12" x14ac:dyDescent="0.2">
      <c r="G132" s="214">
        <f>H131*28/44</f>
        <v>67245.468066203801</v>
      </c>
    </row>
    <row r="133" spans="1:12" x14ac:dyDescent="0.2">
      <c r="A133" s="210" t="s">
        <v>388</v>
      </c>
      <c r="B133" s="205"/>
      <c r="C133" s="206" t="s">
        <v>389</v>
      </c>
    </row>
    <row r="134" spans="1:12" x14ac:dyDescent="0.2">
      <c r="A134" s="210"/>
      <c r="B134" s="207"/>
      <c r="C134" s="206" t="s">
        <v>390</v>
      </c>
    </row>
    <row r="135" spans="1:12" x14ac:dyDescent="0.2">
      <c r="A135" s="211"/>
      <c r="B135" s="208"/>
      <c r="C135" s="206" t="s">
        <v>391</v>
      </c>
    </row>
    <row r="138" spans="1:12" ht="38.25" x14ac:dyDescent="0.2">
      <c r="A138" s="209" t="s">
        <v>392</v>
      </c>
      <c r="B138" s="196" t="s">
        <v>393</v>
      </c>
    </row>
    <row r="139" spans="1:12" ht="21" customHeight="1" x14ac:dyDescent="0.2">
      <c r="A139" s="596" t="s">
        <v>447</v>
      </c>
      <c r="B139" s="616" t="s">
        <v>451</v>
      </c>
      <c r="C139" s="616"/>
      <c r="D139" s="616"/>
      <c r="F139" s="509" t="s">
        <v>403</v>
      </c>
      <c r="G139" s="598" t="s">
        <v>452</v>
      </c>
      <c r="H139" s="599"/>
      <c r="I139" s="599"/>
      <c r="J139" s="599"/>
      <c r="K139" s="600"/>
    </row>
    <row r="140" spans="1:12" x14ac:dyDescent="0.2">
      <c r="A140" s="597"/>
      <c r="B140" s="306" t="s">
        <v>328</v>
      </c>
      <c r="C140" s="306" t="s">
        <v>329</v>
      </c>
      <c r="D140" s="381" t="s">
        <v>330</v>
      </c>
      <c r="F140" s="509"/>
      <c r="G140" s="306" t="s">
        <v>328</v>
      </c>
      <c r="H140" s="306" t="s">
        <v>329</v>
      </c>
      <c r="I140" s="381" t="s">
        <v>330</v>
      </c>
      <c r="J140" s="381"/>
      <c r="K140" s="306" t="s">
        <v>526</v>
      </c>
    </row>
    <row r="141" spans="1:12" x14ac:dyDescent="0.2">
      <c r="A141" s="306">
        <v>2006</v>
      </c>
      <c r="B141" s="382">
        <f>data!K128</f>
        <v>49871.689783344642</v>
      </c>
      <c r="C141" s="382">
        <f>data!H128</f>
        <v>7044.9886282218022</v>
      </c>
      <c r="D141" s="381">
        <f>data!I128</f>
        <v>5122.2783492866629</v>
      </c>
      <c r="F141" s="306">
        <v>2006</v>
      </c>
      <c r="G141" s="383">
        <f>data!Q128</f>
        <v>17308.310216655358</v>
      </c>
      <c r="H141" s="383">
        <f>data!N128</f>
        <v>2445.0113717781978</v>
      </c>
      <c r="I141" s="383">
        <f>data!O128</f>
        <v>1777.7216507133367</v>
      </c>
      <c r="J141" s="383"/>
      <c r="K141" s="306"/>
    </row>
    <row r="142" spans="1:12" x14ac:dyDescent="0.2">
      <c r="A142" s="379">
        <v>2007</v>
      </c>
      <c r="B142" s="382">
        <f>data!K129</f>
        <v>524055.16046011623</v>
      </c>
      <c r="C142" s="382">
        <f>data!H129</f>
        <v>47852.39268395774</v>
      </c>
      <c r="D142" s="381">
        <f>data!I129</f>
        <v>5181.8267292636019</v>
      </c>
      <c r="F142" s="379">
        <v>2007</v>
      </c>
      <c r="G142" s="383">
        <f>data!Q129</f>
        <v>176292.83953988377</v>
      </c>
      <c r="H142" s="383">
        <f>data!N129</f>
        <v>16097.607316042264</v>
      </c>
      <c r="I142" s="383">
        <f>data!O129</f>
        <v>1743.1732707363983</v>
      </c>
      <c r="J142" s="383"/>
      <c r="K142" s="306"/>
    </row>
    <row r="143" spans="1:12" x14ac:dyDescent="0.2">
      <c r="A143" s="306">
        <v>2008</v>
      </c>
      <c r="B143" s="382">
        <f>data!K130</f>
        <v>532685.4246776239</v>
      </c>
      <c r="C143" s="382">
        <f>data!H130</f>
        <v>50891.605650947065</v>
      </c>
      <c r="D143" s="381">
        <f>data!I130</f>
        <v>115920.76853731817</v>
      </c>
      <c r="F143" s="306">
        <v>2008</v>
      </c>
      <c r="G143" s="383">
        <f>data!Q130</f>
        <v>177483.5753223761</v>
      </c>
      <c r="H143" s="383">
        <f>data!N130</f>
        <v>16956.394349052935</v>
      </c>
      <c r="I143" s="383">
        <f>data!O130</f>
        <v>38623.231462681833</v>
      </c>
      <c r="J143" s="383"/>
      <c r="K143" s="384">
        <f>data!R130</f>
        <v>1286.5746685079075</v>
      </c>
      <c r="L143" s="196">
        <v>2008</v>
      </c>
    </row>
    <row r="144" spans="1:12" x14ac:dyDescent="0.2">
      <c r="A144" s="379">
        <v>2009</v>
      </c>
      <c r="B144" s="382">
        <f>data!K131</f>
        <v>494779.59255251655</v>
      </c>
      <c r="C144" s="382">
        <f>data!H131</f>
        <v>52966.167221383388</v>
      </c>
      <c r="D144" s="381">
        <f>data!I131</f>
        <v>182374.76078763136</v>
      </c>
      <c r="F144" s="379">
        <v>2009</v>
      </c>
      <c r="G144" s="383">
        <f>data!Q131</f>
        <v>172142.25744748343</v>
      </c>
      <c r="H144" s="383">
        <f>data!N131</f>
        <v>18427.832778616616</v>
      </c>
      <c r="I144" s="383">
        <f>data!O131</f>
        <v>63451.28921236864</v>
      </c>
      <c r="J144" s="383"/>
      <c r="K144" s="384">
        <f>data!R131</f>
        <v>4229.2074975156629</v>
      </c>
    </row>
    <row r="145" spans="1:11" x14ac:dyDescent="0.2">
      <c r="A145" s="306">
        <v>2010</v>
      </c>
      <c r="B145" s="382">
        <f>data!K132</f>
        <v>504592.92794788297</v>
      </c>
      <c r="C145" s="382">
        <f>data!H132</f>
        <v>43837.756726755455</v>
      </c>
      <c r="D145" s="381">
        <f>data!I132</f>
        <v>186182.32128156346</v>
      </c>
      <c r="F145" s="306">
        <v>2010</v>
      </c>
      <c r="G145" s="383">
        <f>data!Q132</f>
        <v>171900.07205211703</v>
      </c>
      <c r="H145" s="383">
        <f>data!N132</f>
        <v>14934.243273244545</v>
      </c>
      <c r="I145" s="383">
        <f>data!O132</f>
        <v>63426.878718436543</v>
      </c>
      <c r="J145" s="383"/>
      <c r="K145" s="384">
        <f>data!R132</f>
        <v>3944.8489024618007</v>
      </c>
    </row>
    <row r="146" spans="1:11" x14ac:dyDescent="0.2">
      <c r="A146" s="379">
        <v>2011</v>
      </c>
      <c r="B146" s="382">
        <f>data!K133</f>
        <v>674407.71046076785</v>
      </c>
      <c r="C146" s="382">
        <f>data!H133</f>
        <v>62581.33957033632</v>
      </c>
      <c r="D146" s="381">
        <f>data!I133</f>
        <v>197683.15009247043</v>
      </c>
      <c r="F146" s="379">
        <v>2011</v>
      </c>
      <c r="G146" s="383">
        <f>data!Q133</f>
        <v>233793.95397485726</v>
      </c>
      <c r="H146" s="383">
        <f>data!N133</f>
        <v>21694.797666527058</v>
      </c>
      <c r="I146" s="383">
        <f>data!O133</f>
        <v>68529.947949063979</v>
      </c>
      <c r="J146" s="383"/>
      <c r="K146" s="384">
        <f>data!R133</f>
        <v>6151.1277352580501</v>
      </c>
    </row>
    <row r="147" spans="1:11" x14ac:dyDescent="0.2">
      <c r="A147" s="306">
        <v>2012</v>
      </c>
      <c r="B147" s="382">
        <f>data!K134</f>
        <v>760554.83480091172</v>
      </c>
      <c r="C147" s="382">
        <f>data!H134</f>
        <v>70074.950396172688</v>
      </c>
      <c r="D147" s="381">
        <f>data!I134</f>
        <v>227220.83423852883</v>
      </c>
      <c r="F147" s="306">
        <v>2012</v>
      </c>
      <c r="G147" s="383">
        <f>data!Q134</f>
        <v>265869.76914291305</v>
      </c>
      <c r="H147" s="383">
        <f>data!N134</f>
        <v>24496.341397143908</v>
      </c>
      <c r="I147" s="383">
        <f>data!O134</f>
        <v>79430.368435264012</v>
      </c>
      <c r="J147" s="383"/>
      <c r="K147" s="384">
        <f>data!R134</f>
        <v>13097.89075768612</v>
      </c>
    </row>
    <row r="148" spans="1:11" x14ac:dyDescent="0.2">
      <c r="A148" s="379">
        <v>2013</v>
      </c>
      <c r="B148" s="382">
        <f>data!K135</f>
        <v>846323.98200450675</v>
      </c>
      <c r="C148" s="382">
        <f>data!H135</f>
        <v>77535.844367459882</v>
      </c>
      <c r="D148" s="381">
        <f>data!I135</f>
        <v>256627.53235806155</v>
      </c>
      <c r="F148" s="379">
        <v>2013</v>
      </c>
      <c r="G148" s="383">
        <f>data!Q135</f>
        <v>298264.81712712516</v>
      </c>
      <c r="H148" s="383">
        <f>data!N135</f>
        <v>27325.48637731326</v>
      </c>
      <c r="I148" s="383">
        <f>data!O135</f>
        <v>90441.681479085193</v>
      </c>
      <c r="J148" s="383"/>
      <c r="K148" s="384">
        <f>data!R135</f>
        <v>10406.536811305901</v>
      </c>
    </row>
    <row r="149" spans="1:11" x14ac:dyDescent="0.2">
      <c r="A149" s="306">
        <v>2014</v>
      </c>
      <c r="B149" s="382">
        <f>data!K136</f>
        <v>931727.31462210976</v>
      </c>
      <c r="C149" s="382">
        <f>data!H136</f>
        <v>84965.073603493729</v>
      </c>
      <c r="D149" s="381">
        <f>data!I136</f>
        <v>285907.46483528841</v>
      </c>
      <c r="F149" s="306">
        <v>2014</v>
      </c>
      <c r="G149" s="383">
        <f>data!Q136</f>
        <v>330966.9937277381</v>
      </c>
      <c r="H149" s="383">
        <f>data!N136</f>
        <v>30181.185569094851</v>
      </c>
      <c r="I149" s="383">
        <f>data!O136</f>
        <v>101559.68665492308</v>
      </c>
      <c r="J149" s="383"/>
      <c r="K149" s="384">
        <f>data!R136</f>
        <v>8582.9089910023013</v>
      </c>
    </row>
    <row r="150" spans="1:11" x14ac:dyDescent="0.2">
      <c r="A150" s="379">
        <v>2015</v>
      </c>
      <c r="B150" s="382">
        <f>data!K137</f>
        <v>1016776.4290451176</v>
      </c>
      <c r="C150" s="382">
        <f>data!H137</f>
        <v>92363.641249010019</v>
      </c>
      <c r="D150" s="381">
        <f>data!I137</f>
        <v>315064.65559052437</v>
      </c>
      <c r="F150" s="379">
        <v>2015</v>
      </c>
      <c r="G150" s="383">
        <f>data!Q137</f>
        <v>363964.76081665681</v>
      </c>
      <c r="H150" s="383">
        <f>data!N137</f>
        <v>33062.440901508875</v>
      </c>
      <c r="I150" s="383">
        <f>data!O137</f>
        <v>112780.37997151405</v>
      </c>
      <c r="J150" s="383"/>
      <c r="K150" s="384">
        <f>data!R137</f>
        <v>12090.213512061444</v>
      </c>
    </row>
    <row r="151" spans="1:11" x14ac:dyDescent="0.2">
      <c r="A151" s="306">
        <v>2016</v>
      </c>
      <c r="B151" s="382">
        <f>data!K138</f>
        <v>1101482.3881585728</v>
      </c>
      <c r="C151" s="382">
        <f>data!H138</f>
        <v>99732.504298663538</v>
      </c>
      <c r="D151" s="381">
        <f>data!I138</f>
        <v>344102.94341075153</v>
      </c>
      <c r="F151" s="306">
        <v>2016</v>
      </c>
      <c r="G151" s="383">
        <f>data!Q138</f>
        <v>397247.11368607183</v>
      </c>
      <c r="H151" s="383">
        <f>data!N138</f>
        <v>35968.300446056928</v>
      </c>
      <c r="I151" s="383">
        <f>data!O138</f>
        <v>124099.94254136352</v>
      </c>
      <c r="J151" s="383"/>
      <c r="K151" s="384">
        <f>data!R138</f>
        <v>13718.248902714529</v>
      </c>
    </row>
    <row r="152" spans="1:11" x14ac:dyDescent="0.2">
      <c r="A152" s="379">
        <v>2017</v>
      </c>
      <c r="B152" s="382">
        <f>data!K139</f>
        <v>1185855.7517576884</v>
      </c>
      <c r="C152" s="382">
        <f>data!H139</f>
        <v>107072.57622828821</v>
      </c>
      <c r="D152" s="381">
        <f>data!I139</f>
        <v>373025.99250473117</v>
      </c>
      <c r="F152" s="379">
        <v>2017</v>
      </c>
      <c r="G152" s="383">
        <f>data!Q139</f>
        <v>430803.55063050275</v>
      </c>
      <c r="H152" s="383">
        <f>data!N139</f>
        <v>38897.855785521482</v>
      </c>
      <c r="I152" s="383">
        <f>data!O139</f>
        <v>135514.73002539543</v>
      </c>
      <c r="J152" s="383"/>
      <c r="K152" s="384">
        <f>data!R139</f>
        <v>15361.511586829271</v>
      </c>
    </row>
    <row r="153" spans="1:11" x14ac:dyDescent="0.2">
      <c r="A153" s="306">
        <v>2018</v>
      </c>
      <c r="B153" s="382">
        <f>data!K140</f>
        <v>1269906.6049091788</v>
      </c>
      <c r="C153" s="382">
        <f>data!H140</f>
        <v>114384.72944819189</v>
      </c>
      <c r="D153" s="381">
        <f>data!I140</f>
        <v>401837.30234437471</v>
      </c>
      <c r="F153" s="306">
        <v>2018</v>
      </c>
      <c r="G153" s="383">
        <f>data!Q140</f>
        <v>464624.044587615</v>
      </c>
      <c r="H153" s="383">
        <f>data!N140</f>
        <v>41850.23956079028</v>
      </c>
      <c r="I153" s="383">
        <f>data!O140</f>
        <v>147021.26279181952</v>
      </c>
      <c r="J153" s="383"/>
      <c r="K153" s="384">
        <f>data!R140</f>
        <v>17019.486481593096</v>
      </c>
    </row>
    <row r="154" spans="1:11" x14ac:dyDescent="0.2">
      <c r="A154" s="379">
        <v>2019</v>
      </c>
      <c r="B154" s="382">
        <f>data!K141</f>
        <v>1353644.5844127384</v>
      </c>
      <c r="C154" s="382">
        <f>data!H141</f>
        <v>121669.79759209539</v>
      </c>
      <c r="D154" s="381">
        <f>data!I141</f>
        <v>430540.21684784145</v>
      </c>
      <c r="F154" s="379">
        <v>2019</v>
      </c>
      <c r="G154" s="383">
        <f>data!Q141</f>
        <v>498699.01667530858</v>
      </c>
      <c r="H154" s="383">
        <f>data!N141</f>
        <v>44824.62318170879</v>
      </c>
      <c r="I154" s="383">
        <f>data!O141</f>
        <v>158616.21673339157</v>
      </c>
      <c r="J154" s="383"/>
      <c r="K154" s="384">
        <f>data!R141</f>
        <v>18691.681476292491</v>
      </c>
    </row>
    <row r="155" spans="1:11" x14ac:dyDescent="0.2">
      <c r="A155" s="306">
        <v>2020</v>
      </c>
      <c r="B155" s="382">
        <f>data!K142</f>
        <v>1437078.9035129745</v>
      </c>
      <c r="C155" s="382">
        <f>data!H142</f>
        <v>128928.57765495131</v>
      </c>
      <c r="D155" s="381">
        <f>data!I142</f>
        <v>459137.9329543949</v>
      </c>
      <c r="F155" s="306">
        <v>2020</v>
      </c>
      <c r="G155" s="383">
        <f>data!Q142</f>
        <v>533019.31148002564</v>
      </c>
      <c r="H155" s="383">
        <f>data!N142</f>
        <v>47820.214689499633</v>
      </c>
      <c r="I155" s="383">
        <f>data!O142</f>
        <v>170296.41469196073</v>
      </c>
      <c r="J155" s="383"/>
      <c r="K155" s="384">
        <f>data!R142</f>
        <v>20377.626165773199</v>
      </c>
    </row>
    <row r="156" spans="1:11" x14ac:dyDescent="0.2">
      <c r="A156" s="379">
        <v>2021</v>
      </c>
      <c r="B156" s="382">
        <f>data!K143</f>
        <v>1520218.3749957865</v>
      </c>
      <c r="C156" s="382">
        <f>data!H143</f>
        <v>136161.83199057222</v>
      </c>
      <c r="D156" s="381">
        <f>data!I143</f>
        <v>487633.50863906083</v>
      </c>
      <c r="F156" s="379">
        <v>2021</v>
      </c>
      <c r="G156" s="383">
        <f>data!Q143</f>
        <v>567576.17396275362</v>
      </c>
      <c r="H156" s="383">
        <f>data!N143</f>
        <v>50836.256758955729</v>
      </c>
      <c r="I156" s="383">
        <f>data!O143</f>
        <v>182058.81844452684</v>
      </c>
      <c r="J156" s="383"/>
      <c r="K156" s="384">
        <f>data!R143</f>
        <v>22076.870666781459</v>
      </c>
    </row>
    <row r="157" spans="1:11" x14ac:dyDescent="0.2">
      <c r="A157" s="306">
        <v>2022</v>
      </c>
      <c r="B157" s="382">
        <f>data!K144</f>
        <v>1603071.4327855823</v>
      </c>
      <c r="C157" s="382">
        <f>data!H144</f>
        <v>143370.29018022047</v>
      </c>
      <c r="D157" s="381">
        <f>data!I144</f>
        <v>516029.87040772027</v>
      </c>
      <c r="F157" s="306">
        <v>2022</v>
      </c>
      <c r="G157" s="383">
        <f>data!Q144</f>
        <v>602361.22785847215</v>
      </c>
      <c r="H157" s="383">
        <f>data!N144</f>
        <v>53872.024830058952</v>
      </c>
      <c r="I157" s="383">
        <f>data!O144</f>
        <v>193900.52120778974</v>
      </c>
      <c r="J157" s="383"/>
      <c r="K157" s="384">
        <f>data!R144</f>
        <v>23788.984510927123</v>
      </c>
    </row>
    <row r="158" spans="1:11" x14ac:dyDescent="0.2">
      <c r="A158" s="379">
        <v>2023</v>
      </c>
      <c r="B158" s="382">
        <f>data!K145</f>
        <v>1685646.1521637326</v>
      </c>
      <c r="C158" s="382">
        <f>data!H145</f>
        <v>150554.65078123554</v>
      </c>
      <c r="D158" s="381">
        <f>data!I145</f>
        <v>544329.82031262014</v>
      </c>
      <c r="F158" s="379">
        <v>2023</v>
      </c>
      <c r="G158" s="383">
        <f>data!Q145</f>
        <v>637366.45546055969</v>
      </c>
      <c r="H158" s="383">
        <f>data!N145</f>
        <v>56926.825359144357</v>
      </c>
      <c r="I158" s="383">
        <f>data!O145</f>
        <v>205818.74062287709</v>
      </c>
      <c r="J158" s="383"/>
      <c r="K158" s="384">
        <f>data!R145</f>
        <v>25513.555608543636</v>
      </c>
    </row>
    <row r="159" spans="1:11" x14ac:dyDescent="0.2">
      <c r="A159" s="306">
        <v>2024</v>
      </c>
      <c r="B159" s="382">
        <f>data!K146</f>
        <v>1767950.2687032144</v>
      </c>
      <c r="C159" s="382">
        <f>data!H146</f>
        <v>157715.58296517364</v>
      </c>
      <c r="D159" s="381">
        <f>data!I146</f>
        <v>572536.04252309096</v>
      </c>
      <c r="F159" s="306">
        <v>2024</v>
      </c>
      <c r="G159" s="383">
        <f>data!Q146</f>
        <v>672584.17868519633</v>
      </c>
      <c r="H159" s="383">
        <f>data!N146</f>
        <v>59999.994180998874</v>
      </c>
      <c r="I159" s="383">
        <f>data!O146</f>
        <v>217810.81218450773</v>
      </c>
      <c r="J159" s="383"/>
      <c r="K159" s="384">
        <f>data!R146</f>
        <v>27250.189278203812</v>
      </c>
    </row>
    <row r="160" spans="1:11" x14ac:dyDescent="0.2">
      <c r="A160" s="379">
        <v>2025</v>
      </c>
      <c r="B160" s="382">
        <f>data!K147</f>
        <v>1849991.1960168108</v>
      </c>
      <c r="C160" s="382">
        <f>data!H147</f>
        <v>164853.72805295943</v>
      </c>
      <c r="D160" s="381">
        <f>data!I147</f>
        <v>600651.10948459746</v>
      </c>
      <c r="F160" s="379">
        <v>2025</v>
      </c>
      <c r="G160" s="383">
        <f>data!Q147</f>
        <v>708007.04132340092</v>
      </c>
      <c r="H160" s="383">
        <f>data!N147</f>
        <v>63090.894973560586</v>
      </c>
      <c r="I160" s="383">
        <f>data!O147</f>
        <v>229874.18308229808</v>
      </c>
      <c r="J160" s="383"/>
      <c r="K160" s="384">
        <f>data!R147</f>
        <v>28998.50733708838</v>
      </c>
    </row>
    <row r="161" spans="1:16" x14ac:dyDescent="0.2">
      <c r="A161" s="306">
        <v>2026</v>
      </c>
      <c r="B161" s="382">
        <f>data!K148</f>
        <v>1931776.0424046477</v>
      </c>
      <c r="C161" s="382">
        <f>data!H148</f>
        <v>171969.70095500484</v>
      </c>
      <c r="D161" s="381">
        <f>data!I148</f>
        <v>628677.48769534519</v>
      </c>
      <c r="F161" s="306">
        <v>2026</v>
      </c>
      <c r="G161" s="383">
        <f>data!Q148</f>
        <v>743627.9923946897</v>
      </c>
      <c r="H161" s="383">
        <f>data!N148</f>
        <v>66198.917817978698</v>
      </c>
      <c r="I161" s="383">
        <f>data!O148</f>
        <v>242006.40642415598</v>
      </c>
      <c r="J161" s="383"/>
      <c r="K161" s="384">
        <f>data!R148</f>
        <v>30758.147247801691</v>
      </c>
    </row>
    <row r="162" spans="1:16" x14ac:dyDescent="0.2">
      <c r="A162" s="379">
        <v>2027</v>
      </c>
      <c r="B162" s="382">
        <f>data!K149</f>
        <v>2013311.6264768764</v>
      </c>
      <c r="C162" s="382">
        <f>data!H149</f>
        <v>179064.09152256078</v>
      </c>
      <c r="D162" s="381">
        <f>data!I149</f>
        <v>656617.54312783154</v>
      </c>
      <c r="F162" s="379">
        <v>2027</v>
      </c>
      <c r="G162" s="383">
        <f>data!Q149</f>
        <v>779440.27052224427</v>
      </c>
      <c r="H162" s="383">
        <f>data!N149</f>
        <v>69323.477846993745</v>
      </c>
      <c r="I162" s="383">
        <f>data!O149</f>
        <v>254205.13581437196</v>
      </c>
      <c r="J162" s="383"/>
      <c r="K162" s="384">
        <f>data!R149</f>
        <v>32528.761317589782</v>
      </c>
    </row>
    <row r="163" spans="1:16" x14ac:dyDescent="0.2">
      <c r="A163" s="306">
        <v>2028</v>
      </c>
      <c r="B163" s="382">
        <f>data!K150</f>
        <v>2094604.4918302353</v>
      </c>
      <c r="C163" s="382">
        <f>data!H150</f>
        <v>186137.46581735017</v>
      </c>
      <c r="D163" s="381">
        <f>data!I150</f>
        <v>684473.54632128123</v>
      </c>
      <c r="F163" s="306">
        <v>2028</v>
      </c>
      <c r="G163" s="383">
        <f>data!Q150</f>
        <v>815437.38925945212</v>
      </c>
      <c r="H163" s="383">
        <f>data!N150</f>
        <v>72464.013975661976</v>
      </c>
      <c r="I163" s="383">
        <f>data!O150</f>
        <v>266468.12026154157</v>
      </c>
      <c r="J163" s="383"/>
      <c r="K163" s="384">
        <f>data!R150</f>
        <v>34310.015946244021</v>
      </c>
    </row>
    <row r="164" spans="1:16" x14ac:dyDescent="0.2">
      <c r="A164" s="379">
        <v>2029</v>
      </c>
      <c r="B164" s="382">
        <f>data!K151</f>
        <v>2175660.9208376105</v>
      </c>
      <c r="C164" s="382">
        <f>data!H151</f>
        <v>193190.36730439169</v>
      </c>
      <c r="D164" s="381">
        <f>data!I151</f>
        <v>712247.67716759455</v>
      </c>
      <c r="F164" s="379">
        <v>2029</v>
      </c>
      <c r="G164" s="383">
        <f>data!Q151</f>
        <v>851613.12329819833</v>
      </c>
      <c r="H164" s="383">
        <f>data!N151</f>
        <v>75619.987708323155</v>
      </c>
      <c r="I164" s="383">
        <f>data!O151</f>
        <v>278793.19939297432</v>
      </c>
      <c r="J164" s="383"/>
      <c r="K164" s="384">
        <f>data!R151</f>
        <v>36101.590919271424</v>
      </c>
    </row>
    <row r="165" spans="1:16" x14ac:dyDescent="0.2">
      <c r="A165" s="306">
        <v>2030</v>
      </c>
      <c r="B165" s="382">
        <f>data!K152</f>
        <v>2256486.9476180258</v>
      </c>
      <c r="C165" s="382">
        <f>data!H152</f>
        <v>200223.31797392806</v>
      </c>
      <c r="D165" s="381">
        <f>data!I152</f>
        <v>739942.02941151592</v>
      </c>
      <c r="F165" s="306">
        <v>2030</v>
      </c>
      <c r="G165" s="383">
        <f>data!Q152</f>
        <v>887961.49549983104</v>
      </c>
      <c r="H165" s="383">
        <f>data!N152</f>
        <v>78790.882016731892</v>
      </c>
      <c r="I165" s="383">
        <f>data!O152</f>
        <v>291178.29895404837</v>
      </c>
      <c r="J165" s="383"/>
      <c r="K165" s="384">
        <f>data!R152</f>
        <v>37903.178743184893</v>
      </c>
    </row>
    <row r="166" spans="1:16" x14ac:dyDescent="0.2">
      <c r="F166" s="209"/>
    </row>
    <row r="167" spans="1:16" x14ac:dyDescent="0.2">
      <c r="A167" s="196"/>
    </row>
    <row r="168" spans="1:16" x14ac:dyDescent="0.2">
      <c r="F168" s="209"/>
      <c r="N168" s="320" t="s">
        <v>467</v>
      </c>
      <c r="O168" s="320"/>
      <c r="P168" s="320"/>
    </row>
    <row r="169" spans="1:16" ht="15" x14ac:dyDescent="0.25">
      <c r="A169" s="196"/>
      <c r="N169" s="321" t="s">
        <v>464</v>
      </c>
      <c r="O169" s="320"/>
      <c r="P169" s="320"/>
    </row>
    <row r="170" spans="1:16" ht="15" x14ac:dyDescent="0.25">
      <c r="F170" s="209"/>
      <c r="N170" s="321" t="s">
        <v>465</v>
      </c>
      <c r="O170" s="320"/>
      <c r="P170" s="320"/>
    </row>
    <row r="171" spans="1:16" ht="15" x14ac:dyDescent="0.25">
      <c r="A171" s="196"/>
      <c r="N171" s="321" t="s">
        <v>466</v>
      </c>
      <c r="O171" s="320"/>
      <c r="P171" s="320"/>
    </row>
    <row r="172" spans="1:16" x14ac:dyDescent="0.2">
      <c r="N172" s="196" t="s">
        <v>525</v>
      </c>
    </row>
    <row r="174" spans="1:16" x14ac:dyDescent="0.2">
      <c r="D174" s="196" t="s">
        <v>530</v>
      </c>
      <c r="G174" s="318"/>
      <c r="H174" s="318"/>
      <c r="I174" s="318"/>
      <c r="J174" s="318"/>
    </row>
    <row r="175" spans="1:16" ht="12.75" customHeight="1" x14ac:dyDescent="0.2">
      <c r="A175" s="300"/>
      <c r="B175" s="610" t="s">
        <v>454</v>
      </c>
      <c r="C175" s="610"/>
      <c r="D175" s="610"/>
      <c r="E175" s="610"/>
      <c r="G175" s="611" t="s">
        <v>448</v>
      </c>
      <c r="H175" s="612"/>
      <c r="I175" s="612"/>
      <c r="J175" s="612"/>
      <c r="K175" s="612"/>
      <c r="L175" s="196" t="s">
        <v>530</v>
      </c>
      <c r="N175" s="196" t="s">
        <v>529</v>
      </c>
    </row>
    <row r="176" spans="1:16" x14ac:dyDescent="0.2">
      <c r="A176" s="301" t="s">
        <v>447</v>
      </c>
      <c r="B176" s="301" t="str">
        <f>B140</f>
        <v>Urea</v>
      </c>
      <c r="C176" s="301" t="str">
        <f>C140</f>
        <v>ZA</v>
      </c>
      <c r="D176" s="301" t="str">
        <f>D140</f>
        <v>NPK</v>
      </c>
      <c r="E176" s="302" t="s">
        <v>453</v>
      </c>
      <c r="F176" s="302" t="s">
        <v>527</v>
      </c>
      <c r="G176" s="307" t="str">
        <f>G140</f>
        <v>Urea</v>
      </c>
      <c r="H176" s="307" t="str">
        <f>H140</f>
        <v>ZA</v>
      </c>
      <c r="I176" s="307" t="str">
        <f>I140</f>
        <v>NPK</v>
      </c>
      <c r="J176" s="307"/>
      <c r="K176" s="310" t="s">
        <v>453</v>
      </c>
      <c r="L176" s="385" t="s">
        <v>527</v>
      </c>
      <c r="N176" s="196" t="s">
        <v>526</v>
      </c>
    </row>
    <row r="177" spans="1:14" x14ac:dyDescent="0.2">
      <c r="A177" s="319">
        <f>A141</f>
        <v>2006</v>
      </c>
      <c r="B177" s="304">
        <f>B141*46%*1000</f>
        <v>22940977.300338537</v>
      </c>
      <c r="C177" s="304">
        <f>C141*21%*1000</f>
        <v>1479447.6119265785</v>
      </c>
      <c r="D177" s="305">
        <f>D141*15%*1000</f>
        <v>768341.75239299936</v>
      </c>
      <c r="E177" s="303">
        <f>SUM(B177:D177)</f>
        <v>25188766.664658114</v>
      </c>
      <c r="F177" s="312">
        <f>E177/1000</f>
        <v>25188.766664658113</v>
      </c>
      <c r="G177" s="308">
        <f t="shared" ref="G177:G201" si="10">G141*46%*1000</f>
        <v>7961822.6996614644</v>
      </c>
      <c r="H177" s="308">
        <f>H141*21%*1000</f>
        <v>513452.38807342149</v>
      </c>
      <c r="I177" s="309">
        <f t="shared" ref="I177:I201" si="11">I141*15%*1000</f>
        <v>266658.24760700046</v>
      </c>
      <c r="J177" s="309"/>
      <c r="K177" s="311">
        <f>SUM(G177:I177)</f>
        <v>8741933.3353418857</v>
      </c>
      <c r="L177" s="386">
        <f>K177/1000</f>
        <v>8741.933335341886</v>
      </c>
    </row>
    <row r="178" spans="1:14" x14ac:dyDescent="0.2">
      <c r="A178" s="319">
        <f>A142</f>
        <v>2007</v>
      </c>
      <c r="B178" s="304">
        <f t="shared" ref="B178:B201" si="12">B142*46%*1000</f>
        <v>241065373.81165347</v>
      </c>
      <c r="C178" s="304">
        <f t="shared" ref="C178:C201" si="13">C142*21%*1000</f>
        <v>10049002.463631125</v>
      </c>
      <c r="D178" s="305">
        <f t="shared" ref="D178:D201" si="14">D142*15%*1000</f>
        <v>777274.0093895403</v>
      </c>
      <c r="E178" s="303">
        <f t="shared" ref="E178:E201" si="15">SUM(B178:D178)</f>
        <v>251891650.28467414</v>
      </c>
      <c r="F178" s="312">
        <f t="shared" ref="F178:F201" si="16">E178/1000</f>
        <v>251891.65028467414</v>
      </c>
      <c r="G178" s="308">
        <f t="shared" si="10"/>
        <v>81094706.188346535</v>
      </c>
      <c r="H178" s="308">
        <f t="shared" ref="H178:H201" si="17">H142*21%*1000</f>
        <v>3380497.5363688753</v>
      </c>
      <c r="I178" s="309">
        <f t="shared" si="11"/>
        <v>261475.99061045973</v>
      </c>
      <c r="J178" s="309"/>
      <c r="K178" s="311">
        <f t="shared" ref="K178:K201" si="18">SUM(G178:I178)</f>
        <v>84736679.715325877</v>
      </c>
      <c r="L178" s="386">
        <f t="shared" ref="L178:L201" si="19">K178/1000</f>
        <v>84736.679715325881</v>
      </c>
      <c r="M178" s="375" t="s">
        <v>403</v>
      </c>
      <c r="N178" s="375" t="s">
        <v>528</v>
      </c>
    </row>
    <row r="179" spans="1:14" x14ac:dyDescent="0.2">
      <c r="A179" s="319">
        <f t="shared" ref="A179:A207" si="20">A143</f>
        <v>2008</v>
      </c>
      <c r="B179" s="304">
        <f t="shared" si="12"/>
        <v>245035295.35170701</v>
      </c>
      <c r="C179" s="304">
        <f t="shared" si="13"/>
        <v>10687237.186698884</v>
      </c>
      <c r="D179" s="305">
        <f t="shared" si="14"/>
        <v>17388115.280597724</v>
      </c>
      <c r="E179" s="303">
        <f t="shared" si="15"/>
        <v>273110647.81900364</v>
      </c>
      <c r="F179" s="312">
        <f t="shared" si="16"/>
        <v>273110.64781900361</v>
      </c>
      <c r="G179" s="308">
        <f t="shared" si="10"/>
        <v>81642444.648293003</v>
      </c>
      <c r="H179" s="308">
        <f t="shared" si="17"/>
        <v>3560842.8133011162</v>
      </c>
      <c r="I179" s="309">
        <f t="shared" si="11"/>
        <v>5793484.719402275</v>
      </c>
      <c r="J179" s="309"/>
      <c r="K179" s="311">
        <f t="shared" si="18"/>
        <v>90996772.180996388</v>
      </c>
      <c r="L179" s="386">
        <f t="shared" si="19"/>
        <v>90996.772180996384</v>
      </c>
      <c r="M179" s="384">
        <v>2008</v>
      </c>
      <c r="N179" s="384">
        <f t="shared" ref="N179:N201" si="21">20%*K143*1000</f>
        <v>257314.93370158153</v>
      </c>
    </row>
    <row r="180" spans="1:14" x14ac:dyDescent="0.2">
      <c r="A180" s="319">
        <f t="shared" si="20"/>
        <v>2009</v>
      </c>
      <c r="B180" s="304">
        <f t="shared" si="12"/>
        <v>227598612.57415763</v>
      </c>
      <c r="C180" s="304">
        <f t="shared" si="13"/>
        <v>11122895.116490509</v>
      </c>
      <c r="D180" s="305">
        <f t="shared" si="14"/>
        <v>27356214.118144706</v>
      </c>
      <c r="E180" s="303">
        <f t="shared" si="15"/>
        <v>266077721.80879283</v>
      </c>
      <c r="F180" s="312">
        <f t="shared" si="16"/>
        <v>266077.72180879285</v>
      </c>
      <c r="G180" s="308">
        <f t="shared" si="10"/>
        <v>79185438.425842375</v>
      </c>
      <c r="H180" s="308">
        <f t="shared" si="17"/>
        <v>3869844.8835094892</v>
      </c>
      <c r="I180" s="309">
        <f t="shared" si="11"/>
        <v>9517693.381855296</v>
      </c>
      <c r="J180" s="309"/>
      <c r="K180" s="311">
        <f t="shared" si="18"/>
        <v>92572976.691207156</v>
      </c>
      <c r="L180" s="386">
        <f t="shared" si="19"/>
        <v>92572.97669120715</v>
      </c>
      <c r="M180" s="384">
        <v>2009</v>
      </c>
      <c r="N180" s="384">
        <f>20%*K144*1000</f>
        <v>845841.49950313254</v>
      </c>
    </row>
    <row r="181" spans="1:14" x14ac:dyDescent="0.2">
      <c r="A181" s="319">
        <f t="shared" si="20"/>
        <v>2010</v>
      </c>
      <c r="B181" s="304">
        <f t="shared" si="12"/>
        <v>232112746.85602617</v>
      </c>
      <c r="C181" s="304">
        <f t="shared" si="13"/>
        <v>9205928.9126186445</v>
      </c>
      <c r="D181" s="305">
        <f t="shared" si="14"/>
        <v>27927348.19223452</v>
      </c>
      <c r="E181" s="303">
        <f t="shared" si="15"/>
        <v>269246023.96087933</v>
      </c>
      <c r="F181" s="312">
        <f t="shared" si="16"/>
        <v>269246.02396087931</v>
      </c>
      <c r="G181" s="308">
        <f t="shared" si="10"/>
        <v>79074033.143973842</v>
      </c>
      <c r="H181" s="308">
        <f t="shared" si="17"/>
        <v>3136191.0873813545</v>
      </c>
      <c r="I181" s="309">
        <f t="shared" si="11"/>
        <v>9514031.8077654801</v>
      </c>
      <c r="J181" s="309"/>
      <c r="K181" s="311">
        <f t="shared" si="18"/>
        <v>91724256.039120674</v>
      </c>
      <c r="L181" s="386">
        <f t="shared" si="19"/>
        <v>91724.256039120679</v>
      </c>
      <c r="M181" s="384">
        <v>2010</v>
      </c>
      <c r="N181" s="384">
        <f t="shared" si="21"/>
        <v>788969.78049236024</v>
      </c>
    </row>
    <row r="182" spans="1:14" x14ac:dyDescent="0.2">
      <c r="A182" s="319">
        <f t="shared" si="20"/>
        <v>2011</v>
      </c>
      <c r="B182" s="304">
        <f t="shared" si="12"/>
        <v>310227546.81195325</v>
      </c>
      <c r="C182" s="304">
        <f t="shared" si="13"/>
        <v>13142081.309770627</v>
      </c>
      <c r="D182" s="305">
        <f t="shared" si="14"/>
        <v>29652472.513870563</v>
      </c>
      <c r="E182" s="303">
        <f t="shared" si="15"/>
        <v>353022100.63559443</v>
      </c>
      <c r="F182" s="312">
        <f t="shared" si="16"/>
        <v>353022.10063559446</v>
      </c>
      <c r="G182" s="308">
        <f t="shared" si="10"/>
        <v>107545218.82843435</v>
      </c>
      <c r="H182" s="308">
        <f t="shared" si="17"/>
        <v>4555907.5099706827</v>
      </c>
      <c r="I182" s="309">
        <f t="shared" si="11"/>
        <v>10279492.192359596</v>
      </c>
      <c r="J182" s="309"/>
      <c r="K182" s="311">
        <f t="shared" si="18"/>
        <v>122380618.53076462</v>
      </c>
      <c r="L182" s="386">
        <f t="shared" si="19"/>
        <v>122380.61853076462</v>
      </c>
      <c r="M182" s="384">
        <v>2011</v>
      </c>
      <c r="N182" s="384">
        <f t="shared" si="21"/>
        <v>1230225.5470516102</v>
      </c>
    </row>
    <row r="183" spans="1:14" x14ac:dyDescent="0.2">
      <c r="A183" s="319">
        <f t="shared" si="20"/>
        <v>2012</v>
      </c>
      <c r="B183" s="304">
        <f t="shared" si="12"/>
        <v>349855224.00841945</v>
      </c>
      <c r="C183" s="304">
        <f t="shared" si="13"/>
        <v>14715739.583196264</v>
      </c>
      <c r="D183" s="305">
        <f t="shared" si="14"/>
        <v>34083125.135779321</v>
      </c>
      <c r="E183" s="303">
        <f t="shared" si="15"/>
        <v>398654088.72739506</v>
      </c>
      <c r="F183" s="312">
        <f t="shared" si="16"/>
        <v>398654.08872739505</v>
      </c>
      <c r="G183" s="308">
        <f t="shared" si="10"/>
        <v>122300093.80574</v>
      </c>
      <c r="H183" s="308">
        <f t="shared" si="17"/>
        <v>5144231.69340022</v>
      </c>
      <c r="I183" s="309">
        <f t="shared" si="11"/>
        <v>11914555.265289603</v>
      </c>
      <c r="J183" s="309"/>
      <c r="K183" s="311">
        <f t="shared" si="18"/>
        <v>139358880.76442981</v>
      </c>
      <c r="L183" s="386">
        <f t="shared" si="19"/>
        <v>139358.88076442981</v>
      </c>
      <c r="M183" s="384">
        <v>2012</v>
      </c>
      <c r="N183" s="384">
        <f t="shared" si="21"/>
        <v>2619578.1515372242</v>
      </c>
    </row>
    <row r="184" spans="1:14" x14ac:dyDescent="0.2">
      <c r="A184" s="319">
        <f t="shared" si="20"/>
        <v>2013</v>
      </c>
      <c r="B184" s="304">
        <f t="shared" si="12"/>
        <v>389309031.72207308</v>
      </c>
      <c r="C184" s="304">
        <f t="shared" si="13"/>
        <v>16282527.317166574</v>
      </c>
      <c r="D184" s="305">
        <f t="shared" si="14"/>
        <v>38494129.853709228</v>
      </c>
      <c r="E184" s="303">
        <f t="shared" si="15"/>
        <v>444085688.89294887</v>
      </c>
      <c r="F184" s="312">
        <f t="shared" si="16"/>
        <v>444085.68889294885</v>
      </c>
      <c r="G184" s="308">
        <f t="shared" si="10"/>
        <v>137201815.87847757</v>
      </c>
      <c r="H184" s="308">
        <f t="shared" si="17"/>
        <v>5738352.1392357843</v>
      </c>
      <c r="I184" s="309">
        <f t="shared" si="11"/>
        <v>13566252.221862778</v>
      </c>
      <c r="J184" s="309"/>
      <c r="K184" s="311">
        <f t="shared" si="18"/>
        <v>156506420.23957616</v>
      </c>
      <c r="L184" s="386">
        <f t="shared" si="19"/>
        <v>156506.42023957617</v>
      </c>
      <c r="M184" s="384">
        <v>2013</v>
      </c>
      <c r="N184" s="384">
        <f t="shared" si="21"/>
        <v>2081307.3622611805</v>
      </c>
    </row>
    <row r="185" spans="1:14" x14ac:dyDescent="0.2">
      <c r="A185" s="319">
        <f t="shared" si="20"/>
        <v>2014</v>
      </c>
      <c r="B185" s="304">
        <f t="shared" si="12"/>
        <v>428594564.72617048</v>
      </c>
      <c r="C185" s="304">
        <f t="shared" si="13"/>
        <v>17842665.456733681</v>
      </c>
      <c r="D185" s="305">
        <f t="shared" si="14"/>
        <v>42886119.725293264</v>
      </c>
      <c r="E185" s="303">
        <f t="shared" si="15"/>
        <v>489323349.90819746</v>
      </c>
      <c r="F185" s="312">
        <f t="shared" si="16"/>
        <v>489323.34990819747</v>
      </c>
      <c r="G185" s="308">
        <f t="shared" si="10"/>
        <v>152244817.11475953</v>
      </c>
      <c r="H185" s="308">
        <f t="shared" si="17"/>
        <v>6338048.9695099182</v>
      </c>
      <c r="I185" s="309">
        <f t="shared" si="11"/>
        <v>15233952.998238461</v>
      </c>
      <c r="J185" s="309"/>
      <c r="K185" s="311">
        <f t="shared" si="18"/>
        <v>173816819.08250794</v>
      </c>
      <c r="L185" s="386">
        <f t="shared" si="19"/>
        <v>173816.81908250795</v>
      </c>
      <c r="M185" s="384">
        <v>2014</v>
      </c>
      <c r="N185" s="384">
        <f t="shared" si="21"/>
        <v>1716581.7982004604</v>
      </c>
    </row>
    <row r="186" spans="1:14" x14ac:dyDescent="0.2">
      <c r="A186" s="319">
        <f t="shared" si="20"/>
        <v>2015</v>
      </c>
      <c r="B186" s="304">
        <f t="shared" si="12"/>
        <v>467717157.36075407</v>
      </c>
      <c r="C186" s="304">
        <f t="shared" si="13"/>
        <v>19396364.662292104</v>
      </c>
      <c r="D186" s="305">
        <f t="shared" si="14"/>
        <v>47259698.338578649</v>
      </c>
      <c r="E186" s="303">
        <f t="shared" si="15"/>
        <v>534373220.36162484</v>
      </c>
      <c r="F186" s="312">
        <f t="shared" si="16"/>
        <v>534373.22036162484</v>
      </c>
      <c r="G186" s="308">
        <f t="shared" si="10"/>
        <v>167423789.97566214</v>
      </c>
      <c r="H186" s="308">
        <f t="shared" si="17"/>
        <v>6943112.5893168636</v>
      </c>
      <c r="I186" s="309">
        <f t="shared" si="11"/>
        <v>16917056.995727107</v>
      </c>
      <c r="J186" s="309"/>
      <c r="K186" s="311">
        <f t="shared" si="18"/>
        <v>191283959.56070614</v>
      </c>
      <c r="L186" s="386">
        <f t="shared" si="19"/>
        <v>191283.95956070613</v>
      </c>
      <c r="M186" s="384">
        <v>2015</v>
      </c>
      <c r="N186" s="384">
        <f t="shared" si="21"/>
        <v>2418042.7024122886</v>
      </c>
    </row>
    <row r="187" spans="1:14" x14ac:dyDescent="0.2">
      <c r="A187" s="319">
        <f t="shared" si="20"/>
        <v>2016</v>
      </c>
      <c r="B187" s="304">
        <f t="shared" si="12"/>
        <v>506681898.55294353</v>
      </c>
      <c r="C187" s="304">
        <f t="shared" si="13"/>
        <v>20943825.902719341</v>
      </c>
      <c r="D187" s="305">
        <f t="shared" si="14"/>
        <v>51615441.511612728</v>
      </c>
      <c r="E187" s="303">
        <f t="shared" si="15"/>
        <v>579241165.96727562</v>
      </c>
      <c r="F187" s="312">
        <f t="shared" si="16"/>
        <v>579241.16596727562</v>
      </c>
      <c r="G187" s="308">
        <f t="shared" si="10"/>
        <v>182733672.29559305</v>
      </c>
      <c r="H187" s="308">
        <f t="shared" si="17"/>
        <v>7553343.0936719542</v>
      </c>
      <c r="I187" s="309">
        <f t="shared" si="11"/>
        <v>18614991.381204527</v>
      </c>
      <c r="J187" s="309"/>
      <c r="K187" s="311">
        <f t="shared" si="18"/>
        <v>208902006.77046952</v>
      </c>
      <c r="L187" s="386">
        <f t="shared" si="19"/>
        <v>208902.00677046951</v>
      </c>
      <c r="M187" s="384">
        <v>2016</v>
      </c>
      <c r="N187" s="384">
        <f>20%*K151*1000</f>
        <v>2743649.7805429064</v>
      </c>
    </row>
    <row r="188" spans="1:14" x14ac:dyDescent="0.2">
      <c r="A188" s="319">
        <f t="shared" si="20"/>
        <v>2017</v>
      </c>
      <c r="B188" s="304">
        <f t="shared" si="12"/>
        <v>545493645.80853665</v>
      </c>
      <c r="C188" s="304">
        <f t="shared" si="13"/>
        <v>22485241.007940523</v>
      </c>
      <c r="D188" s="305">
        <f t="shared" si="14"/>
        <v>55953898.875709675</v>
      </c>
      <c r="E188" s="303">
        <f t="shared" si="15"/>
        <v>623932785.69218683</v>
      </c>
      <c r="F188" s="312">
        <f t="shared" si="16"/>
        <v>623932.78569218679</v>
      </c>
      <c r="G188" s="308">
        <f t="shared" si="10"/>
        <v>198169633.29003128</v>
      </c>
      <c r="H188" s="308">
        <f t="shared" si="17"/>
        <v>8168549.7149595115</v>
      </c>
      <c r="I188" s="309">
        <f>I152*15%*1000</f>
        <v>20327209.503809314</v>
      </c>
      <c r="J188" s="309"/>
      <c r="K188" s="311">
        <f t="shared" si="18"/>
        <v>226665392.50880009</v>
      </c>
      <c r="L188" s="386">
        <f t="shared" si="19"/>
        <v>226665.39250880008</v>
      </c>
      <c r="M188" s="384">
        <v>2017</v>
      </c>
      <c r="N188" s="384">
        <f t="shared" si="21"/>
        <v>3072302.3173658545</v>
      </c>
    </row>
    <row r="189" spans="1:14" x14ac:dyDescent="0.2">
      <c r="A189" s="319">
        <f t="shared" si="20"/>
        <v>2018</v>
      </c>
      <c r="B189" s="304">
        <f t="shared" si="12"/>
        <v>584157038.25822222</v>
      </c>
      <c r="C189" s="304">
        <f t="shared" si="13"/>
        <v>24020793.184120294</v>
      </c>
      <c r="D189" s="305">
        <f t="shared" si="14"/>
        <v>60275595.351656199</v>
      </c>
      <c r="E189" s="303">
        <f t="shared" si="15"/>
        <v>668453426.79399872</v>
      </c>
      <c r="F189" s="312">
        <f t="shared" si="16"/>
        <v>668453.42679399869</v>
      </c>
      <c r="G189" s="308">
        <f t="shared" si="10"/>
        <v>213727060.51030293</v>
      </c>
      <c r="H189" s="308">
        <f t="shared" si="17"/>
        <v>8788550.307765957</v>
      </c>
      <c r="I189" s="309">
        <f t="shared" si="11"/>
        <v>22053189.418772928</v>
      </c>
      <c r="J189" s="309"/>
      <c r="K189" s="311">
        <f t="shared" si="18"/>
        <v>244568800.23684183</v>
      </c>
      <c r="L189" s="386">
        <f t="shared" si="19"/>
        <v>244568.80023684184</v>
      </c>
      <c r="M189" s="384">
        <v>2018</v>
      </c>
      <c r="N189" s="384">
        <f t="shared" si="21"/>
        <v>3403897.2963186195</v>
      </c>
    </row>
    <row r="190" spans="1:14" x14ac:dyDescent="0.2">
      <c r="A190" s="319">
        <f t="shared" si="20"/>
        <v>2019</v>
      </c>
      <c r="B190" s="304">
        <f t="shared" si="12"/>
        <v>622676508.82985961</v>
      </c>
      <c r="C190" s="304">
        <f t="shared" si="13"/>
        <v>25550657.494340029</v>
      </c>
      <c r="D190" s="305">
        <f t="shared" si="14"/>
        <v>64581032.527176209</v>
      </c>
      <c r="E190" s="303">
        <f t="shared" si="15"/>
        <v>712808198.85137594</v>
      </c>
      <c r="F190" s="312">
        <f t="shared" si="16"/>
        <v>712808.19885137596</v>
      </c>
      <c r="G190" s="308">
        <f t="shared" si="10"/>
        <v>229401547.67064193</v>
      </c>
      <c r="H190" s="308">
        <f t="shared" si="17"/>
        <v>9413170.8681588452</v>
      </c>
      <c r="I190" s="309">
        <f t="shared" si="11"/>
        <v>23792432.510008734</v>
      </c>
      <c r="J190" s="309"/>
      <c r="K190" s="311">
        <f t="shared" si="18"/>
        <v>262607151.0488095</v>
      </c>
      <c r="L190" s="386">
        <f t="shared" si="19"/>
        <v>262607.15104880952</v>
      </c>
      <c r="M190" s="384">
        <v>2019</v>
      </c>
      <c r="N190" s="384">
        <f t="shared" si="21"/>
        <v>3738336.2952584983</v>
      </c>
    </row>
    <row r="191" spans="1:14" x14ac:dyDescent="0.2">
      <c r="A191" s="319">
        <f t="shared" si="20"/>
        <v>2020</v>
      </c>
      <c r="B191" s="304">
        <f t="shared" si="12"/>
        <v>661056295.61596835</v>
      </c>
      <c r="C191" s="304">
        <f t="shared" si="13"/>
        <v>27075001.307539772</v>
      </c>
      <c r="D191" s="305">
        <f t="shared" si="14"/>
        <v>68870689.943159238</v>
      </c>
      <c r="E191" s="303">
        <f t="shared" si="15"/>
        <v>757001986.86666739</v>
      </c>
      <c r="F191" s="312">
        <f t="shared" si="16"/>
        <v>757001.9868666674</v>
      </c>
      <c r="G191" s="308">
        <f t="shared" si="10"/>
        <v>245188883.28081182</v>
      </c>
      <c r="H191" s="308">
        <f t="shared" si="17"/>
        <v>10042245.084794922</v>
      </c>
      <c r="I191" s="309">
        <f t="shared" si="11"/>
        <v>25544462.203794107</v>
      </c>
      <c r="J191" s="309"/>
      <c r="K191" s="311">
        <f t="shared" si="18"/>
        <v>280775590.56940085</v>
      </c>
      <c r="L191" s="386">
        <f t="shared" si="19"/>
        <v>280775.59056940087</v>
      </c>
      <c r="M191" s="384">
        <v>2020</v>
      </c>
      <c r="N191" s="384">
        <f t="shared" si="21"/>
        <v>4075525.2331546401</v>
      </c>
    </row>
    <row r="192" spans="1:14" x14ac:dyDescent="0.2">
      <c r="A192" s="319">
        <f t="shared" si="20"/>
        <v>2021</v>
      </c>
      <c r="B192" s="304">
        <f t="shared" si="12"/>
        <v>699300452.49806178</v>
      </c>
      <c r="C192" s="304">
        <f t="shared" si="13"/>
        <v>28593984.718020163</v>
      </c>
      <c r="D192" s="305">
        <f t="shared" si="14"/>
        <v>73145026.295859113</v>
      </c>
      <c r="E192" s="303">
        <f t="shared" si="15"/>
        <v>801039463.51194108</v>
      </c>
      <c r="F192" s="312">
        <f t="shared" si="16"/>
        <v>801039.46351194102</v>
      </c>
      <c r="G192" s="308">
        <f t="shared" si="10"/>
        <v>261085040.0228667</v>
      </c>
      <c r="H192" s="308">
        <f t="shared" si="17"/>
        <v>10675613.919380702</v>
      </c>
      <c r="I192" s="309">
        <f t="shared" si="11"/>
        <v>27308822.766679026</v>
      </c>
      <c r="J192" s="309"/>
      <c r="K192" s="311">
        <f t="shared" si="18"/>
        <v>299069476.70892644</v>
      </c>
      <c r="L192" s="386">
        <f t="shared" si="19"/>
        <v>299069.47670892644</v>
      </c>
      <c r="M192" s="384">
        <v>2021</v>
      </c>
      <c r="N192" s="384">
        <f t="shared" si="21"/>
        <v>4415374.1333562918</v>
      </c>
    </row>
    <row r="193" spans="1:14" x14ac:dyDescent="0.2">
      <c r="A193" s="319">
        <f t="shared" si="20"/>
        <v>2022</v>
      </c>
      <c r="B193" s="304">
        <f t="shared" si="12"/>
        <v>737412859.08136785</v>
      </c>
      <c r="C193" s="304">
        <f t="shared" si="13"/>
        <v>30107760.937846299</v>
      </c>
      <c r="D193" s="305">
        <f t="shared" si="14"/>
        <v>77404480.561158031</v>
      </c>
      <c r="E193" s="303">
        <f t="shared" si="15"/>
        <v>844925100.58037221</v>
      </c>
      <c r="F193" s="312">
        <f t="shared" si="16"/>
        <v>844925.10058037227</v>
      </c>
      <c r="G193" s="308">
        <f t="shared" si="10"/>
        <v>277086164.81489718</v>
      </c>
      <c r="H193" s="308">
        <f t="shared" si="17"/>
        <v>11313125.21431238</v>
      </c>
      <c r="I193" s="309">
        <f t="shared" si="11"/>
        <v>29085078.181168459</v>
      </c>
      <c r="J193" s="309"/>
      <c r="K193" s="311">
        <f t="shared" si="18"/>
        <v>317484368.21037799</v>
      </c>
      <c r="L193" s="386">
        <f t="shared" si="19"/>
        <v>317484.36821037799</v>
      </c>
      <c r="M193" s="384">
        <v>2022</v>
      </c>
      <c r="N193" s="384">
        <f t="shared" si="21"/>
        <v>4757796.9021854252</v>
      </c>
    </row>
    <row r="194" spans="1:14" x14ac:dyDescent="0.2">
      <c r="A194" s="319">
        <f t="shared" si="20"/>
        <v>2023</v>
      </c>
      <c r="B194" s="304">
        <f t="shared" si="12"/>
        <v>775397229.9953171</v>
      </c>
      <c r="C194" s="304">
        <f t="shared" si="13"/>
        <v>31616476.66405946</v>
      </c>
      <c r="D194" s="305">
        <f t="shared" si="14"/>
        <v>81649473.046893016</v>
      </c>
      <c r="E194" s="303">
        <f t="shared" si="15"/>
        <v>888663179.70626962</v>
      </c>
      <c r="F194" s="312">
        <f t="shared" si="16"/>
        <v>888663.17970626964</v>
      </c>
      <c r="G194" s="308">
        <f t="shared" si="10"/>
        <v>293188569.51185745</v>
      </c>
      <c r="H194" s="308">
        <f t="shared" si="17"/>
        <v>11954633.325420314</v>
      </c>
      <c r="I194" s="309">
        <f t="shared" si="11"/>
        <v>30872811.093431562</v>
      </c>
      <c r="J194" s="309"/>
      <c r="K194" s="311">
        <f t="shared" si="18"/>
        <v>336016013.93070936</v>
      </c>
      <c r="L194" s="386">
        <f t="shared" si="19"/>
        <v>336016.01393070933</v>
      </c>
      <c r="M194" s="384">
        <v>2023</v>
      </c>
      <c r="N194" s="384">
        <f t="shared" si="21"/>
        <v>5102711.1217087274</v>
      </c>
    </row>
    <row r="195" spans="1:14" x14ac:dyDescent="0.2">
      <c r="A195" s="319">
        <f t="shared" si="20"/>
        <v>2024</v>
      </c>
      <c r="B195" s="304">
        <f t="shared" si="12"/>
        <v>813257123.60347867</v>
      </c>
      <c r="C195" s="304">
        <f t="shared" si="13"/>
        <v>33120272.422686465</v>
      </c>
      <c r="D195" s="305">
        <f t="shared" si="14"/>
        <v>85880406.378463641</v>
      </c>
      <c r="E195" s="303">
        <f t="shared" si="15"/>
        <v>932257802.40462875</v>
      </c>
      <c r="F195" s="312">
        <f t="shared" si="16"/>
        <v>932257.80240462872</v>
      </c>
      <c r="G195" s="308">
        <f t="shared" si="10"/>
        <v>309388722.19519031</v>
      </c>
      <c r="H195" s="308">
        <f t="shared" si="17"/>
        <v>12599998.778009763</v>
      </c>
      <c r="I195" s="309">
        <f t="shared" si="11"/>
        <v>32671621.827676158</v>
      </c>
      <c r="J195" s="309"/>
      <c r="K195" s="311">
        <f t="shared" si="18"/>
        <v>354660342.80087626</v>
      </c>
      <c r="L195" s="386">
        <f t="shared" si="19"/>
        <v>354660.34280087624</v>
      </c>
      <c r="M195" s="384">
        <v>2024</v>
      </c>
      <c r="N195" s="384">
        <f t="shared" si="21"/>
        <v>5450037.8556407634</v>
      </c>
    </row>
    <row r="196" spans="1:14" x14ac:dyDescent="0.2">
      <c r="A196" s="319">
        <f t="shared" si="20"/>
        <v>2025</v>
      </c>
      <c r="B196" s="304">
        <f t="shared" si="12"/>
        <v>850995950.16773295</v>
      </c>
      <c r="C196" s="304">
        <f t="shared" si="13"/>
        <v>34619282.891121484</v>
      </c>
      <c r="D196" s="305">
        <f t="shared" si="14"/>
        <v>90097666.422689617</v>
      </c>
      <c r="E196" s="303">
        <f t="shared" si="15"/>
        <v>975712899.48154402</v>
      </c>
      <c r="F196" s="312">
        <f t="shared" si="16"/>
        <v>975712.89948154404</v>
      </c>
      <c r="G196" s="308">
        <f t="shared" si="10"/>
        <v>325683239.00876445</v>
      </c>
      <c r="H196" s="308">
        <f t="shared" si="17"/>
        <v>13249087.944447722</v>
      </c>
      <c r="I196" s="309">
        <f t="shared" si="11"/>
        <v>34481127.462344706</v>
      </c>
      <c r="J196" s="309"/>
      <c r="K196" s="311">
        <f t="shared" si="18"/>
        <v>373413454.41555685</v>
      </c>
      <c r="L196" s="386">
        <f t="shared" si="19"/>
        <v>373413.45441555686</v>
      </c>
      <c r="M196" s="384">
        <v>2025</v>
      </c>
      <c r="N196" s="384">
        <f t="shared" si="21"/>
        <v>5799701.467417676</v>
      </c>
    </row>
    <row r="197" spans="1:14" x14ac:dyDescent="0.2">
      <c r="A197" s="319">
        <f t="shared" si="20"/>
        <v>2026</v>
      </c>
      <c r="B197" s="304">
        <f t="shared" si="12"/>
        <v>888616979.50613797</v>
      </c>
      <c r="C197" s="304">
        <f t="shared" si="13"/>
        <v>36113637.200551011</v>
      </c>
      <c r="D197" s="305">
        <f t="shared" si="14"/>
        <v>94301623.154301777</v>
      </c>
      <c r="E197" s="303">
        <f t="shared" si="15"/>
        <v>1019032239.8609908</v>
      </c>
      <c r="F197" s="312">
        <f t="shared" si="16"/>
        <v>1019032.2398609908</v>
      </c>
      <c r="G197" s="308">
        <f t="shared" si="10"/>
        <v>342068876.50155729</v>
      </c>
      <c r="H197" s="308">
        <f t="shared" si="17"/>
        <v>13901772.741775528</v>
      </c>
      <c r="I197" s="309">
        <f t="shared" si="11"/>
        <v>36300960.963623397</v>
      </c>
      <c r="J197" s="309"/>
      <c r="K197" s="311">
        <f t="shared" si="18"/>
        <v>392271610.20695621</v>
      </c>
      <c r="L197" s="386">
        <f t="shared" si="19"/>
        <v>392271.61020695622</v>
      </c>
      <c r="M197" s="384">
        <v>2026</v>
      </c>
      <c r="N197" s="384">
        <f t="shared" si="21"/>
        <v>6151629.4495603386</v>
      </c>
    </row>
    <row r="198" spans="1:14" x14ac:dyDescent="0.2">
      <c r="A198" s="319">
        <f t="shared" si="20"/>
        <v>2027</v>
      </c>
      <c r="B198" s="304">
        <f t="shared" si="12"/>
        <v>926123348.17936313</v>
      </c>
      <c r="C198" s="304">
        <f t="shared" si="13"/>
        <v>37603459.219737761</v>
      </c>
      <c r="D198" s="305">
        <f t="shared" si="14"/>
        <v>98492631.469174728</v>
      </c>
      <c r="E198" s="303">
        <f t="shared" si="15"/>
        <v>1062219438.8682756</v>
      </c>
      <c r="F198" s="312">
        <f t="shared" si="16"/>
        <v>1062219.4388682756</v>
      </c>
      <c r="G198" s="308">
        <f t="shared" si="10"/>
        <v>358542524.4402324</v>
      </c>
      <c r="H198" s="308">
        <f t="shared" si="17"/>
        <v>14557930.347868685</v>
      </c>
      <c r="I198" s="309">
        <f t="shared" si="11"/>
        <v>38130770.372155793</v>
      </c>
      <c r="J198" s="309"/>
      <c r="K198" s="311">
        <f t="shared" si="18"/>
        <v>411231225.16025686</v>
      </c>
      <c r="L198" s="386">
        <f t="shared" si="19"/>
        <v>411231.22516025684</v>
      </c>
      <c r="M198" s="384">
        <v>2027</v>
      </c>
      <c r="N198" s="384">
        <f t="shared" si="21"/>
        <v>6505752.2635179562</v>
      </c>
    </row>
    <row r="199" spans="1:14" x14ac:dyDescent="0.2">
      <c r="A199" s="319">
        <f t="shared" si="20"/>
        <v>2028</v>
      </c>
      <c r="B199" s="304">
        <f t="shared" si="12"/>
        <v>963518066.24190831</v>
      </c>
      <c r="C199" s="304">
        <f t="shared" si="13"/>
        <v>39088867.821643539</v>
      </c>
      <c r="D199" s="305">
        <f t="shared" si="14"/>
        <v>102671031.94819218</v>
      </c>
      <c r="E199" s="303">
        <f t="shared" si="15"/>
        <v>1105277966.011744</v>
      </c>
      <c r="F199" s="312">
        <f t="shared" si="16"/>
        <v>1105277.966011744</v>
      </c>
      <c r="G199" s="308">
        <f t="shared" si="10"/>
        <v>375101199.05934799</v>
      </c>
      <c r="H199" s="308">
        <f t="shared" si="17"/>
        <v>15217442.934889013</v>
      </c>
      <c r="I199" s="309">
        <f t="shared" si="11"/>
        <v>39970218.039231233</v>
      </c>
      <c r="J199" s="309"/>
      <c r="K199" s="311">
        <f t="shared" si="18"/>
        <v>430288860.03346825</v>
      </c>
      <c r="L199" s="386">
        <f t="shared" si="19"/>
        <v>430288.86003346823</v>
      </c>
      <c r="M199" s="384">
        <v>2028</v>
      </c>
      <c r="N199" s="384">
        <f t="shared" si="21"/>
        <v>6862003.189248804</v>
      </c>
    </row>
    <row r="200" spans="1:14" x14ac:dyDescent="0.2">
      <c r="A200" s="319">
        <f t="shared" si="20"/>
        <v>2029</v>
      </c>
      <c r="B200" s="304">
        <f t="shared" si="12"/>
        <v>1000804023.5853009</v>
      </c>
      <c r="C200" s="304">
        <f t="shared" si="13"/>
        <v>40569977.133922257</v>
      </c>
      <c r="D200" s="305">
        <f t="shared" si="14"/>
        <v>106837151.57513918</v>
      </c>
      <c r="E200" s="303">
        <f t="shared" si="15"/>
        <v>1148211152.2943623</v>
      </c>
      <c r="F200" s="312">
        <f t="shared" si="16"/>
        <v>1148211.1522943622</v>
      </c>
      <c r="G200" s="308">
        <f t="shared" si="10"/>
        <v>391742036.71717125</v>
      </c>
      <c r="H200" s="308">
        <f t="shared" si="17"/>
        <v>15880197.418747863</v>
      </c>
      <c r="I200" s="309">
        <f t="shared" si="11"/>
        <v>41818979.908946142</v>
      </c>
      <c r="J200" s="309"/>
      <c r="K200" s="311">
        <f t="shared" si="18"/>
        <v>449441214.04486525</v>
      </c>
      <c r="L200" s="386">
        <f t="shared" si="19"/>
        <v>449441.21404486528</v>
      </c>
      <c r="M200" s="384">
        <v>2029</v>
      </c>
      <c r="N200" s="384">
        <f t="shared" si="21"/>
        <v>7220318.1838542847</v>
      </c>
    </row>
    <row r="201" spans="1:14" x14ac:dyDescent="0.2">
      <c r="A201" s="319">
        <f t="shared" si="20"/>
        <v>2030</v>
      </c>
      <c r="B201" s="304">
        <f t="shared" si="12"/>
        <v>1037983995.904292</v>
      </c>
      <c r="C201" s="304">
        <f t="shared" si="13"/>
        <v>42046896.77452489</v>
      </c>
      <c r="D201" s="305">
        <f t="shared" si="14"/>
        <v>110991304.41172738</v>
      </c>
      <c r="E201" s="303">
        <f t="shared" si="15"/>
        <v>1191022197.0905442</v>
      </c>
      <c r="F201" s="312">
        <f t="shared" si="16"/>
        <v>1191022.1970905443</v>
      </c>
      <c r="G201" s="308">
        <f t="shared" si="10"/>
        <v>408462287.92992228</v>
      </c>
      <c r="H201" s="308">
        <f t="shared" si="17"/>
        <v>16546085.223513694</v>
      </c>
      <c r="I201" s="309">
        <f t="shared" si="11"/>
        <v>43676744.843107253</v>
      </c>
      <c r="J201" s="309"/>
      <c r="K201" s="311">
        <f t="shared" si="18"/>
        <v>468685117.99654329</v>
      </c>
      <c r="L201" s="386">
        <f t="shared" si="19"/>
        <v>468685.1179965433</v>
      </c>
      <c r="M201" s="384">
        <v>2030</v>
      </c>
      <c r="N201" s="384">
        <f t="shared" si="21"/>
        <v>7580635.7486369787</v>
      </c>
    </row>
    <row r="202" spans="1:14" x14ac:dyDescent="0.2">
      <c r="A202" s="319">
        <f t="shared" si="20"/>
        <v>0</v>
      </c>
    </row>
    <row r="203" spans="1:14" x14ac:dyDescent="0.2">
      <c r="A203" s="319">
        <f t="shared" si="20"/>
        <v>0</v>
      </c>
    </row>
    <row r="204" spans="1:14" x14ac:dyDescent="0.2">
      <c r="A204" s="319">
        <f t="shared" si="20"/>
        <v>0</v>
      </c>
    </row>
    <row r="205" spans="1:14" x14ac:dyDescent="0.2">
      <c r="A205" s="319">
        <f t="shared" si="20"/>
        <v>0</v>
      </c>
    </row>
    <row r="206" spans="1:14" x14ac:dyDescent="0.2">
      <c r="A206" s="319">
        <f t="shared" si="20"/>
        <v>0</v>
      </c>
    </row>
    <row r="207" spans="1:14" x14ac:dyDescent="0.2">
      <c r="A207" s="319">
        <f t="shared" si="20"/>
        <v>0</v>
      </c>
    </row>
    <row r="208" spans="1:14" ht="25.5" x14ac:dyDescent="0.2">
      <c r="A208" s="209" t="s">
        <v>394</v>
      </c>
      <c r="B208" s="196" t="s">
        <v>395</v>
      </c>
    </row>
    <row r="210" spans="1:9" x14ac:dyDescent="0.2">
      <c r="B210" s="196" t="s">
        <v>396</v>
      </c>
      <c r="D210" s="196"/>
      <c r="E210" s="204"/>
      <c r="G210" s="196" t="s">
        <v>400</v>
      </c>
    </row>
    <row r="211" spans="1:9" x14ac:dyDescent="0.2">
      <c r="B211" s="209" t="s">
        <v>405</v>
      </c>
      <c r="C211" s="196" t="s">
        <v>406</v>
      </c>
      <c r="D211" s="196" t="s">
        <v>397</v>
      </c>
      <c r="E211" s="204" t="s">
        <v>398</v>
      </c>
      <c r="F211" s="196" t="s">
        <v>399</v>
      </c>
      <c r="G211" s="209" t="s">
        <v>407</v>
      </c>
      <c r="H211" s="196" t="s">
        <v>408</v>
      </c>
      <c r="I211" s="196" t="s">
        <v>397</v>
      </c>
    </row>
    <row r="212" spans="1:9" x14ac:dyDescent="0.2">
      <c r="A212" s="209">
        <v>2000</v>
      </c>
    </row>
    <row r="213" spans="1:9" x14ac:dyDescent="0.2">
      <c r="A213" s="209">
        <v>2001</v>
      </c>
    </row>
    <row r="214" spans="1:9" x14ac:dyDescent="0.2">
      <c r="A214" s="209">
        <v>2002</v>
      </c>
    </row>
    <row r="215" spans="1:9" x14ac:dyDescent="0.2">
      <c r="A215" s="209">
        <v>2003</v>
      </c>
    </row>
    <row r="216" spans="1:9" x14ac:dyDescent="0.2">
      <c r="A216" s="209">
        <v>2004</v>
      </c>
    </row>
    <row r="217" spans="1:9" x14ac:dyDescent="0.2">
      <c r="A217" s="209">
        <v>2005</v>
      </c>
    </row>
    <row r="218" spans="1:9" x14ac:dyDescent="0.2">
      <c r="A218" s="209">
        <v>2006</v>
      </c>
    </row>
    <row r="219" spans="1:9" x14ac:dyDescent="0.2">
      <c r="A219" s="209">
        <v>2007</v>
      </c>
    </row>
    <row r="220" spans="1:9" x14ac:dyDescent="0.2">
      <c r="A220" s="209">
        <v>2008</v>
      </c>
    </row>
    <row r="221" spans="1:9" x14ac:dyDescent="0.2">
      <c r="A221" s="209">
        <v>2009</v>
      </c>
    </row>
    <row r="222" spans="1:9" x14ac:dyDescent="0.2">
      <c r="A222" s="209">
        <v>2010</v>
      </c>
    </row>
    <row r="223" spans="1:9" x14ac:dyDescent="0.2">
      <c r="A223" s="209">
        <v>2011</v>
      </c>
    </row>
    <row r="224" spans="1:9" x14ac:dyDescent="0.2">
      <c r="A224" s="209">
        <v>2012</v>
      </c>
    </row>
    <row r="225" spans="1:1" x14ac:dyDescent="0.2">
      <c r="A225" s="209">
        <v>2013</v>
      </c>
    </row>
    <row r="226" spans="1:1" x14ac:dyDescent="0.2">
      <c r="A226" s="209">
        <v>2014</v>
      </c>
    </row>
    <row r="227" spans="1:1" x14ac:dyDescent="0.2">
      <c r="A227" s="209">
        <v>2015</v>
      </c>
    </row>
    <row r="228" spans="1:1" x14ac:dyDescent="0.2">
      <c r="A228" s="209">
        <v>2016</v>
      </c>
    </row>
    <row r="229" spans="1:1" x14ac:dyDescent="0.2">
      <c r="A229" s="209">
        <v>2017</v>
      </c>
    </row>
    <row r="230" spans="1:1" x14ac:dyDescent="0.2">
      <c r="A230" s="209">
        <v>2018</v>
      </c>
    </row>
    <row r="231" spans="1:1" x14ac:dyDescent="0.2">
      <c r="A231" s="209">
        <v>2019</v>
      </c>
    </row>
    <row r="232" spans="1:1" x14ac:dyDescent="0.2">
      <c r="A232" s="209">
        <v>2020</v>
      </c>
    </row>
    <row r="233" spans="1:1" x14ac:dyDescent="0.2">
      <c r="A233" s="209">
        <v>2021</v>
      </c>
    </row>
    <row r="234" spans="1:1" x14ac:dyDescent="0.2">
      <c r="A234" s="209">
        <v>2022</v>
      </c>
    </row>
    <row r="235" spans="1:1" x14ac:dyDescent="0.2">
      <c r="A235" s="209">
        <v>2023</v>
      </c>
    </row>
    <row r="236" spans="1:1" x14ac:dyDescent="0.2">
      <c r="A236" s="209">
        <v>2024</v>
      </c>
    </row>
    <row r="237" spans="1:1" x14ac:dyDescent="0.2">
      <c r="A237" s="209">
        <v>2025</v>
      </c>
    </row>
    <row r="238" spans="1:1" x14ac:dyDescent="0.2">
      <c r="A238" s="209">
        <v>2026</v>
      </c>
    </row>
    <row r="239" spans="1:1" x14ac:dyDescent="0.2">
      <c r="A239" s="209">
        <v>2027</v>
      </c>
    </row>
    <row r="240" spans="1:1" x14ac:dyDescent="0.2">
      <c r="A240" s="209">
        <v>2028</v>
      </c>
    </row>
    <row r="241" spans="1:1" x14ac:dyDescent="0.2">
      <c r="A241" s="209">
        <v>2029</v>
      </c>
    </row>
    <row r="242" spans="1:1" x14ac:dyDescent="0.2">
      <c r="A242" s="209">
        <v>2030</v>
      </c>
    </row>
  </sheetData>
  <mergeCells count="53">
    <mergeCell ref="A72:A129"/>
    <mergeCell ref="F101:F129"/>
    <mergeCell ref="R80:R81"/>
    <mergeCell ref="S80:S81"/>
    <mergeCell ref="O80:O81"/>
    <mergeCell ref="E101:E129"/>
    <mergeCell ref="P80:P81"/>
    <mergeCell ref="Q80:Q81"/>
    <mergeCell ref="A7:B7"/>
    <mergeCell ref="C7:G7"/>
    <mergeCell ref="A8:B8"/>
    <mergeCell ref="C8:G8"/>
    <mergeCell ref="A9:B13"/>
    <mergeCell ref="C9:D9"/>
    <mergeCell ref="E9:F9"/>
    <mergeCell ref="C10:D11"/>
    <mergeCell ref="C4:G4"/>
    <mergeCell ref="A5:B5"/>
    <mergeCell ref="C5:G5"/>
    <mergeCell ref="A6:B6"/>
    <mergeCell ref="C6:G6"/>
    <mergeCell ref="B175:E175"/>
    <mergeCell ref="G175:K175"/>
    <mergeCell ref="A2:G2"/>
    <mergeCell ref="F72:F100"/>
    <mergeCell ref="F14:F42"/>
    <mergeCell ref="H12:H13"/>
    <mergeCell ref="B139:D139"/>
    <mergeCell ref="C12:D12"/>
    <mergeCell ref="E12:F12"/>
    <mergeCell ref="C13:D13"/>
    <mergeCell ref="E13:F13"/>
    <mergeCell ref="E10:F11"/>
    <mergeCell ref="G10:G11"/>
    <mergeCell ref="A14:A71"/>
    <mergeCell ref="A4:B4"/>
    <mergeCell ref="C101:C129"/>
    <mergeCell ref="N10:N12"/>
    <mergeCell ref="A130:F130"/>
    <mergeCell ref="L68:U72"/>
    <mergeCell ref="L10:L12"/>
    <mergeCell ref="A139:A140"/>
    <mergeCell ref="F139:F140"/>
    <mergeCell ref="G139:K139"/>
    <mergeCell ref="F131:G131"/>
    <mergeCell ref="E72:E100"/>
    <mergeCell ref="C72:C100"/>
    <mergeCell ref="C43:C71"/>
    <mergeCell ref="C14:C42"/>
    <mergeCell ref="F43:F71"/>
    <mergeCell ref="E14:E42"/>
    <mergeCell ref="E43:E71"/>
    <mergeCell ref="I12:I13"/>
  </mergeCells>
  <hyperlinks>
    <hyperlink ref="B134" r:id="rId1" display="http://www.deptan.go.id/tampil.php?page=inf_basisdata"/>
  </hyperlinks>
  <pageMargins left="0.75" right="0.75" top="1" bottom="1" header="0.5" footer="0.5"/>
  <pageSetup orientation="portrait" horizontalDpi="4294967292" verticalDpi="4294967292"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tabSelected="1" topLeftCell="Y11" zoomScale="70" zoomScaleNormal="70" workbookViewId="0">
      <selection activeCell="AF17" sqref="AF17"/>
    </sheetView>
  </sheetViews>
  <sheetFormatPr defaultRowHeight="15" x14ac:dyDescent="0.25"/>
  <cols>
    <col min="1" max="1" width="43.28515625" customWidth="1"/>
    <col min="2" max="2" width="15.85546875" customWidth="1"/>
    <col min="3" max="12" width="15.28515625" style="234" customWidth="1"/>
    <col min="13" max="13" width="13.85546875" style="234" bestFit="1" customWidth="1"/>
    <col min="14" max="16" width="13.5703125" bestFit="1" customWidth="1"/>
    <col min="17" max="18" width="13.85546875" bestFit="1" customWidth="1"/>
    <col min="19" max="28" width="12.5703125" bestFit="1" customWidth="1"/>
    <col min="29" max="29" width="12.5703125" customWidth="1"/>
    <col min="30" max="30" width="13.5703125" customWidth="1"/>
    <col min="31" max="31" width="11.7109375" bestFit="1" customWidth="1"/>
    <col min="32" max="32" width="10.7109375" bestFit="1" customWidth="1"/>
    <col min="36" max="36" width="12.5703125" bestFit="1" customWidth="1"/>
  </cols>
  <sheetData>
    <row r="1" spans="1:36" x14ac:dyDescent="0.25">
      <c r="C1" s="344"/>
      <c r="D1" s="344"/>
      <c r="E1" s="344"/>
      <c r="F1" s="344"/>
      <c r="G1" s="344"/>
      <c r="H1" s="344"/>
      <c r="I1" s="344"/>
      <c r="J1" s="344"/>
      <c r="K1" s="344"/>
      <c r="L1" s="344"/>
      <c r="M1" s="344"/>
      <c r="N1" s="344"/>
      <c r="O1" s="344"/>
      <c r="P1" s="344"/>
      <c r="Q1" s="344"/>
      <c r="R1" s="344"/>
      <c r="S1" s="344"/>
      <c r="T1" s="344"/>
      <c r="U1" s="344"/>
      <c r="V1" s="344"/>
      <c r="W1" s="344"/>
      <c r="X1" s="344"/>
      <c r="Y1" s="344"/>
      <c r="Z1" s="344"/>
      <c r="AA1" s="344"/>
      <c r="AB1" s="344"/>
      <c r="AC1" s="344"/>
      <c r="AD1" s="344"/>
    </row>
    <row r="4" spans="1:36" x14ac:dyDescent="0.25">
      <c r="C4" s="282">
        <v>2003</v>
      </c>
      <c r="D4" s="282">
        <v>2004</v>
      </c>
      <c r="E4" s="282">
        <v>2005</v>
      </c>
      <c r="F4" s="282">
        <v>2006</v>
      </c>
      <c r="G4" s="282">
        <v>2007</v>
      </c>
      <c r="H4" s="282">
        <v>2008</v>
      </c>
      <c r="I4" s="282">
        <v>2009</v>
      </c>
      <c r="J4" s="282">
        <v>2010</v>
      </c>
      <c r="K4" s="282">
        <v>2011</v>
      </c>
      <c r="L4" s="282">
        <v>2012</v>
      </c>
      <c r="M4" s="282">
        <v>2013</v>
      </c>
      <c r="N4" s="282">
        <v>2014</v>
      </c>
      <c r="O4" s="282">
        <v>2015</v>
      </c>
      <c r="P4" s="282">
        <v>2016</v>
      </c>
      <c r="Q4" s="282">
        <v>2017</v>
      </c>
      <c r="R4" s="282">
        <v>2018</v>
      </c>
      <c r="S4" s="282">
        <v>2019</v>
      </c>
      <c r="T4" s="282">
        <v>2020</v>
      </c>
      <c r="U4" s="282">
        <v>2021</v>
      </c>
      <c r="V4" s="282">
        <v>2022</v>
      </c>
      <c r="W4" s="282">
        <v>2023</v>
      </c>
      <c r="X4" s="282">
        <v>2024</v>
      </c>
      <c r="Y4" s="282">
        <v>2025</v>
      </c>
      <c r="Z4" s="282">
        <v>2026</v>
      </c>
      <c r="AA4" s="282">
        <v>2027</v>
      </c>
      <c r="AB4" s="282">
        <v>2028</v>
      </c>
      <c r="AC4" s="282">
        <v>2029</v>
      </c>
      <c r="AD4" s="282">
        <v>2030</v>
      </c>
    </row>
    <row r="5" spans="1:36" s="484" customFormat="1" x14ac:dyDescent="0.25">
      <c r="A5" s="481" t="s">
        <v>562</v>
      </c>
      <c r="B5" s="482" t="s">
        <v>564</v>
      </c>
      <c r="C5" s="483">
        <v>75635.858160000003</v>
      </c>
      <c r="D5" s="483">
        <v>86870.539679999987</v>
      </c>
      <c r="E5" s="483">
        <v>87790.856879999992</v>
      </c>
      <c r="F5" s="483">
        <v>83311.584959999993</v>
      </c>
      <c r="G5" s="483">
        <v>84675.401760000008</v>
      </c>
      <c r="H5" s="483">
        <v>83462.52784000001</v>
      </c>
      <c r="I5" s="483">
        <v>90099.078560000009</v>
      </c>
      <c r="J5" s="483">
        <v>94029.516640000002</v>
      </c>
      <c r="K5" s="483">
        <v>95960.359182222222</v>
      </c>
      <c r="L5" s="483">
        <v>96925.78045333334</v>
      </c>
      <c r="M5" s="483">
        <v>97891.201724444443</v>
      </c>
      <c r="N5" s="483">
        <v>98856.622995555561</v>
      </c>
      <c r="O5" s="483">
        <v>99822.044266666664</v>
      </c>
      <c r="P5" s="483">
        <v>100787.46553777778</v>
      </c>
      <c r="Q5" s="483">
        <v>101752.88680888888</v>
      </c>
      <c r="R5" s="483">
        <v>102718.30808</v>
      </c>
      <c r="S5" s="483">
        <v>103683.72935111112</v>
      </c>
      <c r="T5" s="483">
        <v>104649.15062222222</v>
      </c>
      <c r="U5" s="483">
        <v>105614.57189333334</v>
      </c>
      <c r="V5" s="483">
        <v>106579.99316444443</v>
      </c>
      <c r="W5" s="483">
        <v>107545.41443555556</v>
      </c>
      <c r="X5" s="483">
        <v>108510.83570666666</v>
      </c>
      <c r="Y5" s="483">
        <v>109476.25697777778</v>
      </c>
      <c r="Z5" s="483">
        <v>110441.67824888889</v>
      </c>
      <c r="AA5" s="483">
        <v>111407.09952</v>
      </c>
      <c r="AB5" s="483">
        <v>112372.52079111114</v>
      </c>
      <c r="AC5" s="483">
        <v>113337.94206222221</v>
      </c>
      <c r="AD5" s="483">
        <v>114303.36333333334</v>
      </c>
    </row>
    <row r="6" spans="1:36" s="484" customFormat="1" x14ac:dyDescent="0.25">
      <c r="A6" s="481" t="s">
        <v>402</v>
      </c>
      <c r="B6" s="482" t="s">
        <v>565</v>
      </c>
      <c r="C6" s="485">
        <v>54020.374319999995</v>
      </c>
      <c r="D6" s="485">
        <v>57553.667653333338</v>
      </c>
      <c r="E6" s="485">
        <v>57302.330603432318</v>
      </c>
      <c r="F6" s="485">
        <v>62376.535083333336</v>
      </c>
      <c r="G6" s="485">
        <v>66691.821326666657</v>
      </c>
      <c r="H6" s="485">
        <v>73113.19415666665</v>
      </c>
      <c r="I6" s="485">
        <v>78119.209699999992</v>
      </c>
      <c r="J6" s="485">
        <v>82742.088163333305</v>
      </c>
      <c r="K6" s="485">
        <v>83626.515777702138</v>
      </c>
      <c r="L6" s="485">
        <v>87317.885810407024</v>
      </c>
      <c r="M6" s="485">
        <v>91009.255887556486</v>
      </c>
      <c r="N6" s="485">
        <v>94700.626009137966</v>
      </c>
      <c r="O6" s="485">
        <v>98391.996175138833</v>
      </c>
      <c r="P6" s="485">
        <v>102083.36638554648</v>
      </c>
      <c r="Q6" s="485">
        <v>105774.73664034835</v>
      </c>
      <c r="R6" s="485">
        <v>109466.10693953185</v>
      </c>
      <c r="S6" s="485">
        <v>113157.47728308433</v>
      </c>
      <c r="T6" s="485">
        <v>116848.8476709932</v>
      </c>
      <c r="U6" s="485">
        <v>120540.21810324602</v>
      </c>
      <c r="V6" s="485">
        <v>124231.58857983003</v>
      </c>
      <c r="W6" s="485">
        <v>127922.95910073277</v>
      </c>
      <c r="X6" s="485">
        <v>131614.32966594165</v>
      </c>
      <c r="Y6" s="485">
        <v>135305.70027544408</v>
      </c>
      <c r="Z6" s="485">
        <v>138997.07092922746</v>
      </c>
      <c r="AA6" s="485">
        <v>142688.44162727924</v>
      </c>
      <c r="AB6" s="485">
        <v>146379.81236958696</v>
      </c>
      <c r="AC6" s="485">
        <v>150071.18315613799</v>
      </c>
      <c r="AD6" s="485">
        <v>153762.55398691981</v>
      </c>
      <c r="AE6" s="486"/>
      <c r="AF6" s="486"/>
      <c r="AG6" s="486"/>
    </row>
    <row r="7" spans="1:36" s="490" customFormat="1" x14ac:dyDescent="0.25">
      <c r="A7" s="481" t="s">
        <v>355</v>
      </c>
      <c r="B7" s="487" t="s">
        <v>566</v>
      </c>
      <c r="C7" s="488">
        <v>55.924108332148585</v>
      </c>
      <c r="D7" s="488">
        <v>60.879888151227618</v>
      </c>
      <c r="E7" s="488">
        <v>61.093479693426644</v>
      </c>
      <c r="F7" s="488">
        <v>67.117733343864757</v>
      </c>
      <c r="G7" s="488">
        <v>72.216468225633818</v>
      </c>
      <c r="H7" s="488">
        <v>80.603814810629558</v>
      </c>
      <c r="I7" s="488">
        <v>87.130818878132857</v>
      </c>
      <c r="J7" s="488">
        <v>93.858461489236163</v>
      </c>
      <c r="K7" s="488">
        <v>94.45211377716943</v>
      </c>
      <c r="L7" s="488">
        <v>99.22453922505494</v>
      </c>
      <c r="M7" s="488">
        <v>103.99696488197617</v>
      </c>
      <c r="N7" s="488">
        <v>108.76939074787379</v>
      </c>
      <c r="O7" s="488">
        <v>113.5418168226885</v>
      </c>
      <c r="P7" s="488">
        <v>118.31424310636106</v>
      </c>
      <c r="Q7" s="488">
        <v>123.08666959883223</v>
      </c>
      <c r="R7" s="488">
        <v>127.85909630004281</v>
      </c>
      <c r="S7" s="488">
        <v>132.63152320993353</v>
      </c>
      <c r="T7" s="488">
        <v>137.40395032844515</v>
      </c>
      <c r="U7" s="488">
        <v>142.17637765551868</v>
      </c>
      <c r="V7" s="488">
        <v>146.94880519109486</v>
      </c>
      <c r="W7" s="488">
        <v>151.72123293511439</v>
      </c>
      <c r="X7" s="488">
        <v>156.49366088751827</v>
      </c>
      <c r="Y7" s="488">
        <v>161.26608904824747</v>
      </c>
      <c r="Z7" s="488">
        <v>166.03851741724282</v>
      </c>
      <c r="AA7" s="488">
        <v>170.81094599444523</v>
      </c>
      <c r="AB7" s="489">
        <v>175.58337477979561</v>
      </c>
      <c r="AC7" s="489">
        <v>180.35580377323498</v>
      </c>
      <c r="AD7" s="489">
        <v>185.12823297470428</v>
      </c>
    </row>
    <row r="8" spans="1:36" s="490" customFormat="1" ht="15" hidden="1" customHeight="1" x14ac:dyDescent="0.25">
      <c r="A8" s="481" t="s">
        <v>356</v>
      </c>
      <c r="B8" s="487" t="s">
        <v>359</v>
      </c>
      <c r="C8" s="491"/>
      <c r="D8" s="492"/>
      <c r="E8" s="491"/>
      <c r="F8" s="491"/>
      <c r="G8" s="491"/>
      <c r="H8" s="491"/>
      <c r="I8" s="491"/>
      <c r="J8" s="491"/>
      <c r="K8" s="491"/>
      <c r="L8" s="493"/>
      <c r="M8" s="493"/>
      <c r="N8" s="494"/>
      <c r="O8" s="494"/>
      <c r="P8" s="494"/>
      <c r="Q8" s="494"/>
      <c r="R8" s="494"/>
      <c r="S8" s="494"/>
      <c r="T8" s="494"/>
      <c r="U8" s="494"/>
      <c r="V8" s="494"/>
      <c r="W8" s="494"/>
      <c r="X8" s="494"/>
      <c r="Y8" s="494"/>
      <c r="Z8" s="494"/>
      <c r="AA8" s="494"/>
      <c r="AB8" s="484"/>
      <c r="AC8" s="484"/>
      <c r="AD8" s="484"/>
    </row>
    <row r="9" spans="1:36" s="490" customFormat="1" x14ac:dyDescent="0.25">
      <c r="A9" s="481" t="s">
        <v>357</v>
      </c>
      <c r="B9" s="487" t="s">
        <v>567</v>
      </c>
      <c r="C9" s="495">
        <v>8800.2000000000007</v>
      </c>
      <c r="D9" s="495">
        <v>15820.2</v>
      </c>
      <c r="E9" s="495">
        <v>11661</v>
      </c>
      <c r="F9" s="495">
        <v>13436</v>
      </c>
      <c r="G9" s="495">
        <v>140069.6</v>
      </c>
      <c r="H9" s="495">
        <v>142033.80000000002</v>
      </c>
      <c r="I9" s="495">
        <v>133384.37</v>
      </c>
      <c r="J9" s="495">
        <v>135298.6</v>
      </c>
      <c r="K9" s="495">
        <v>181640.33288712503</v>
      </c>
      <c r="L9" s="495">
        <v>205284.92078876495</v>
      </c>
      <c r="M9" s="495">
        <v>228917.75982632639</v>
      </c>
      <c r="N9" s="495">
        <v>252538.86166996957</v>
      </c>
      <c r="O9" s="495">
        <v>276148.23797235492</v>
      </c>
      <c r="P9" s="495">
        <v>299745.90036892891</v>
      </c>
      <c r="Q9" s="495">
        <v>323331.86047763826</v>
      </c>
      <c r="R9" s="495">
        <v>346906.12989935878</v>
      </c>
      <c r="S9" s="495">
        <v>370468.72021760943</v>
      </c>
      <c r="T9" s="495">
        <v>394019.64299860003</v>
      </c>
      <c r="U9" s="495">
        <v>417558.90979170799</v>
      </c>
      <c r="V9" s="495">
        <v>441086.53212881088</v>
      </c>
      <c r="W9" s="495">
        <v>464602.52152485849</v>
      </c>
      <c r="X9" s="495">
        <v>488106.88947768213</v>
      </c>
      <c r="Y9" s="495">
        <v>511599.64746804239</v>
      </c>
      <c r="Z9" s="495">
        <v>535080.80695986748</v>
      </c>
      <c r="AA9" s="495">
        <v>558550.37939982419</v>
      </c>
      <c r="AB9" s="483">
        <v>582008.37621793745</v>
      </c>
      <c r="AC9" s="483">
        <v>605454.80882716179</v>
      </c>
      <c r="AD9" s="483">
        <v>628889.68862357142</v>
      </c>
    </row>
    <row r="10" spans="1:36" s="490" customFormat="1" ht="15" hidden="1" customHeight="1" x14ac:dyDescent="0.25">
      <c r="A10" s="481" t="s">
        <v>401</v>
      </c>
      <c r="B10" s="487" t="s">
        <v>359</v>
      </c>
      <c r="C10" s="491"/>
      <c r="D10" s="491">
        <f>'Direct N2O'!G132</f>
        <v>67245.468066203801</v>
      </c>
      <c r="E10" s="491"/>
      <c r="F10" s="492"/>
      <c r="G10" s="491"/>
      <c r="H10" s="491"/>
      <c r="I10" s="491"/>
      <c r="J10" s="491"/>
      <c r="K10" s="491"/>
      <c r="L10" s="493"/>
      <c r="M10" s="493"/>
      <c r="N10" s="494"/>
      <c r="O10" s="494"/>
      <c r="P10" s="494"/>
      <c r="Q10" s="494"/>
      <c r="R10" s="494"/>
      <c r="S10" s="494"/>
      <c r="T10" s="494"/>
      <c r="U10" s="494"/>
      <c r="V10" s="494"/>
      <c r="W10" s="494"/>
      <c r="X10" s="494"/>
      <c r="Y10" s="494"/>
      <c r="Z10" s="494"/>
      <c r="AA10" s="494"/>
      <c r="AB10" s="484"/>
      <c r="AC10" s="484"/>
      <c r="AD10" s="484"/>
    </row>
    <row r="11" spans="1:36" s="490" customFormat="1" x14ac:dyDescent="0.25">
      <c r="A11" s="481" t="s">
        <v>563</v>
      </c>
      <c r="B11" s="487" t="s">
        <v>568</v>
      </c>
      <c r="C11" s="495">
        <v>2983.800475950326</v>
      </c>
      <c r="D11" s="495">
        <v>2548.3884294769541</v>
      </c>
      <c r="E11" s="495">
        <v>2911.678257788878</v>
      </c>
      <c r="F11" s="495">
        <v>3226.6808234990613</v>
      </c>
      <c r="G11" s="495">
        <v>3232.621803335905</v>
      </c>
      <c r="H11" s="495">
        <v>3117.513623180193</v>
      </c>
      <c r="I11" s="495">
        <v>3121.5513012944029</v>
      </c>
      <c r="J11" s="495">
        <v>3084.0061551612698</v>
      </c>
      <c r="K11" s="495">
        <v>3426.1580492141702</v>
      </c>
      <c r="L11" s="495">
        <v>3516.9378327928289</v>
      </c>
      <c r="M11" s="495">
        <v>3635.1663446466282</v>
      </c>
      <c r="N11" s="495">
        <v>3694.4370987871766</v>
      </c>
      <c r="O11" s="495">
        <v>3753.7088342604748</v>
      </c>
      <c r="P11" s="495">
        <v>3812.9815115334159</v>
      </c>
      <c r="Q11" s="495">
        <v>3872.2550928640881</v>
      </c>
      <c r="R11" s="495">
        <v>3931.5295422019235</v>
      </c>
      <c r="S11" s="495">
        <v>3990.8048250944394</v>
      </c>
      <c r="T11" s="495">
        <v>4050.08090860008</v>
      </c>
      <c r="U11" s="495">
        <v>4109.357761206712</v>
      </c>
      <c r="V11" s="495">
        <v>4168.6353527553119</v>
      </c>
      <c r="W11" s="495">
        <v>4227.9136543685145</v>
      </c>
      <c r="X11" s="495">
        <v>4287.1926383836208</v>
      </c>
      <c r="Y11" s="495">
        <v>4346.4722782897688</v>
      </c>
      <c r="Z11" s="495">
        <v>4405.7525486689701</v>
      </c>
      <c r="AA11" s="495">
        <v>4465.0334251407075</v>
      </c>
      <c r="AB11" s="483">
        <v>4524.3148843098988</v>
      </c>
      <c r="AC11" s="483">
        <v>4583.5969037179293</v>
      </c>
      <c r="AD11" s="483">
        <v>4642.8794617965941</v>
      </c>
    </row>
    <row r="12" spans="1:36" s="490" customFormat="1" x14ac:dyDescent="0.25">
      <c r="A12" s="496"/>
      <c r="B12" s="496"/>
      <c r="C12" s="497"/>
      <c r="D12" s="497"/>
      <c r="E12" s="497"/>
      <c r="F12" s="497"/>
      <c r="G12" s="497"/>
      <c r="H12" s="497"/>
      <c r="I12" s="497"/>
      <c r="J12" s="497"/>
      <c r="K12" s="497"/>
      <c r="L12" s="497"/>
      <c r="M12" s="497"/>
      <c r="N12" s="497"/>
      <c r="O12" s="497"/>
      <c r="P12" s="497"/>
      <c r="Q12" s="497"/>
      <c r="R12" s="497"/>
      <c r="S12" s="497"/>
      <c r="T12" s="497"/>
      <c r="U12" s="497"/>
      <c r="V12" s="497"/>
      <c r="W12" s="497"/>
      <c r="X12" s="497"/>
      <c r="Y12" s="497"/>
      <c r="Z12" s="497"/>
      <c r="AA12" s="497"/>
      <c r="AB12" s="497"/>
      <c r="AC12" s="497"/>
      <c r="AD12" s="497"/>
      <c r="AJ12" s="498"/>
    </row>
    <row r="13" spans="1:36" x14ac:dyDescent="0.25">
      <c r="C13" s="283"/>
      <c r="D13" s="283"/>
      <c r="E13" s="283"/>
      <c r="F13" s="284"/>
      <c r="G13" s="283"/>
      <c r="H13" s="283"/>
      <c r="I13" s="283"/>
      <c r="J13" s="283"/>
      <c r="K13" s="283"/>
      <c r="AG13">
        <v>15820.2</v>
      </c>
      <c r="AH13">
        <v>2983.800475950326</v>
      </c>
      <c r="AJ13" s="472">
        <v>87790.856880000007</v>
      </c>
    </row>
    <row r="14" spans="1:36" x14ac:dyDescent="0.25">
      <c r="A14" s="629"/>
      <c r="B14" s="629"/>
      <c r="C14" s="630" t="s">
        <v>577</v>
      </c>
      <c r="D14" s="631"/>
      <c r="E14" s="631"/>
      <c r="F14" s="631"/>
      <c r="G14" s="631"/>
      <c r="H14" s="631"/>
      <c r="I14" s="631"/>
      <c r="J14" s="631"/>
      <c r="K14" s="631"/>
      <c r="L14" s="631"/>
      <c r="M14" s="632"/>
      <c r="AG14">
        <v>11661</v>
      </c>
      <c r="AH14">
        <v>2548.3884294769541</v>
      </c>
      <c r="AJ14" s="472">
        <v>83311.584959999993</v>
      </c>
    </row>
    <row r="15" spans="1:36" x14ac:dyDescent="0.25">
      <c r="A15" s="629"/>
      <c r="B15" s="629"/>
      <c r="C15" s="282">
        <v>2003</v>
      </c>
      <c r="D15" s="282">
        <v>2004</v>
      </c>
      <c r="E15" s="282">
        <v>2005</v>
      </c>
      <c r="F15" s="282">
        <v>2006</v>
      </c>
      <c r="G15" s="282">
        <v>2007</v>
      </c>
      <c r="H15" s="282">
        <v>2008</v>
      </c>
      <c r="I15" s="282">
        <v>2009</v>
      </c>
      <c r="J15" s="282">
        <v>2010</v>
      </c>
      <c r="K15" s="282">
        <v>2011</v>
      </c>
      <c r="L15" s="282">
        <v>2012</v>
      </c>
      <c r="M15" s="282">
        <v>2013</v>
      </c>
      <c r="N15" s="282">
        <v>2014</v>
      </c>
      <c r="O15" s="282">
        <v>2015</v>
      </c>
      <c r="P15" s="282">
        <v>2016</v>
      </c>
      <c r="Q15" s="282">
        <v>2017</v>
      </c>
      <c r="R15" s="282">
        <v>2018</v>
      </c>
      <c r="S15" s="282">
        <v>2019</v>
      </c>
      <c r="T15" s="282">
        <v>2020</v>
      </c>
      <c r="U15" s="282">
        <v>2021</v>
      </c>
      <c r="V15" s="282">
        <v>2022</v>
      </c>
      <c r="W15" s="282">
        <v>2023</v>
      </c>
      <c r="X15" s="282">
        <v>2024</v>
      </c>
      <c r="Y15" s="282">
        <v>2025</v>
      </c>
      <c r="Z15" s="282">
        <v>2026</v>
      </c>
      <c r="AA15" s="282">
        <v>2027</v>
      </c>
      <c r="AB15" s="282">
        <v>2028</v>
      </c>
      <c r="AC15" s="282">
        <v>2029</v>
      </c>
      <c r="AD15" s="282">
        <v>2030</v>
      </c>
      <c r="AG15">
        <v>13436</v>
      </c>
      <c r="AH15">
        <v>2911.678257788878</v>
      </c>
      <c r="AJ15" s="472">
        <v>84675.401760000008</v>
      </c>
    </row>
    <row r="16" spans="1:36" x14ac:dyDescent="0.25">
      <c r="A16" s="387" t="s">
        <v>562</v>
      </c>
      <c r="B16" s="633" t="s">
        <v>569</v>
      </c>
      <c r="C16" s="475">
        <f>C5*21</f>
        <v>1588353.0213600001</v>
      </c>
      <c r="D16" s="475">
        <f t="shared" ref="D16:AA16" si="0">D5*21</f>
        <v>1824281.3332799997</v>
      </c>
      <c r="E16" s="475">
        <f t="shared" si="0"/>
        <v>1843607.9944799999</v>
      </c>
      <c r="F16" s="475">
        <f t="shared" si="0"/>
        <v>1749543.2841599998</v>
      </c>
      <c r="G16" s="475">
        <f t="shared" si="0"/>
        <v>1778183.4369600001</v>
      </c>
      <c r="H16" s="475">
        <f t="shared" si="0"/>
        <v>1752713.0846400002</v>
      </c>
      <c r="I16" s="475">
        <f t="shared" si="0"/>
        <v>1892080.6497600002</v>
      </c>
      <c r="J16" s="475">
        <f t="shared" si="0"/>
        <v>1974619.84944</v>
      </c>
      <c r="K16" s="475">
        <f t="shared" si="0"/>
        <v>2015167.5428266667</v>
      </c>
      <c r="L16" s="475">
        <f t="shared" si="0"/>
        <v>2035441.3895200002</v>
      </c>
      <c r="M16" s="475">
        <f t="shared" si="0"/>
        <v>2055715.2362133332</v>
      </c>
      <c r="N16" s="475">
        <f t="shared" si="0"/>
        <v>2075989.0829066667</v>
      </c>
      <c r="O16" s="475">
        <f t="shared" si="0"/>
        <v>2096262.9295999999</v>
      </c>
      <c r="P16" s="475">
        <f t="shared" si="0"/>
        <v>2116536.7762933336</v>
      </c>
      <c r="Q16" s="475">
        <f t="shared" si="0"/>
        <v>2136810.6229866664</v>
      </c>
      <c r="R16" s="475">
        <f t="shared" si="0"/>
        <v>2157084.4696800001</v>
      </c>
      <c r="S16" s="475">
        <f t="shared" si="0"/>
        <v>2177358.3163733333</v>
      </c>
      <c r="T16" s="475">
        <f t="shared" si="0"/>
        <v>2197632.1630666666</v>
      </c>
      <c r="U16" s="475">
        <f t="shared" si="0"/>
        <v>2217906.0097600003</v>
      </c>
      <c r="V16" s="475">
        <f t="shared" si="0"/>
        <v>2238179.8564533331</v>
      </c>
      <c r="W16" s="475">
        <f t="shared" si="0"/>
        <v>2258453.7031466668</v>
      </c>
      <c r="X16" s="475">
        <f t="shared" si="0"/>
        <v>2278727.54984</v>
      </c>
      <c r="Y16" s="475">
        <f t="shared" si="0"/>
        <v>2299001.3965333332</v>
      </c>
      <c r="Z16" s="475">
        <f t="shared" si="0"/>
        <v>2319275.2432266665</v>
      </c>
      <c r="AA16" s="475">
        <f t="shared" si="0"/>
        <v>2339549.0899200002</v>
      </c>
      <c r="AB16" s="475">
        <f t="shared" ref="AB16:AD17" si="1">AB5*21</f>
        <v>2359822.9366133339</v>
      </c>
      <c r="AC16" s="475">
        <f t="shared" si="1"/>
        <v>2380096.7833066662</v>
      </c>
      <c r="AD16" s="475">
        <f t="shared" si="1"/>
        <v>2400370.6300000004</v>
      </c>
      <c r="AF16" s="473">
        <f>SUM(C16:AD16)</f>
        <v>58558764.382346675</v>
      </c>
      <c r="AG16">
        <v>140069.6</v>
      </c>
      <c r="AH16">
        <v>3226.6808234990613</v>
      </c>
      <c r="AJ16" s="472">
        <v>83462.52784000001</v>
      </c>
    </row>
    <row r="17" spans="1:36" x14ac:dyDescent="0.25">
      <c r="A17" s="387" t="s">
        <v>402</v>
      </c>
      <c r="B17" s="634"/>
      <c r="C17" s="475">
        <f>C6*21</f>
        <v>1134427.86072</v>
      </c>
      <c r="D17" s="475">
        <f t="shared" ref="D17:AA17" si="2">D6*21</f>
        <v>1208627.0207200001</v>
      </c>
      <c r="E17" s="475">
        <f t="shared" si="2"/>
        <v>1203348.9426720787</v>
      </c>
      <c r="F17" s="475">
        <f t="shared" si="2"/>
        <v>1309907.2367500002</v>
      </c>
      <c r="G17" s="475">
        <f t="shared" si="2"/>
        <v>1400528.2478599998</v>
      </c>
      <c r="H17" s="475">
        <f t="shared" si="2"/>
        <v>1535377.0772899997</v>
      </c>
      <c r="I17" s="475">
        <f t="shared" si="2"/>
        <v>1640503.4036999999</v>
      </c>
      <c r="J17" s="475">
        <f t="shared" si="2"/>
        <v>1737583.8514299993</v>
      </c>
      <c r="K17" s="475">
        <f t="shared" si="2"/>
        <v>1756156.8313317448</v>
      </c>
      <c r="L17" s="475">
        <f t="shared" si="2"/>
        <v>1833675.6020185475</v>
      </c>
      <c r="M17" s="475">
        <f t="shared" si="2"/>
        <v>1911194.3736386863</v>
      </c>
      <c r="N17" s="475">
        <f t="shared" si="2"/>
        <v>1988713.1461918973</v>
      </c>
      <c r="O17" s="475">
        <f t="shared" si="2"/>
        <v>2066231.9196779155</v>
      </c>
      <c r="P17" s="475">
        <f t="shared" si="2"/>
        <v>2143750.6940964763</v>
      </c>
      <c r="Q17" s="475">
        <f t="shared" si="2"/>
        <v>2221269.4694473152</v>
      </c>
      <c r="R17" s="475">
        <f t="shared" si="2"/>
        <v>2298788.2457301687</v>
      </c>
      <c r="S17" s="475">
        <f t="shared" si="2"/>
        <v>2376307.0229447708</v>
      </c>
      <c r="T17" s="475">
        <f t="shared" si="2"/>
        <v>2453825.801090857</v>
      </c>
      <c r="U17" s="475">
        <f t="shared" si="2"/>
        <v>2531344.5801681667</v>
      </c>
      <c r="V17" s="475">
        <f t="shared" si="2"/>
        <v>2608863.3601764305</v>
      </c>
      <c r="W17" s="475">
        <f t="shared" si="2"/>
        <v>2686382.1411153884</v>
      </c>
      <c r="X17" s="475">
        <f t="shared" si="2"/>
        <v>2763900.9229847747</v>
      </c>
      <c r="Y17" s="475">
        <f t="shared" si="2"/>
        <v>2841419.7057843255</v>
      </c>
      <c r="Z17" s="475">
        <f t="shared" si="2"/>
        <v>2918938.4895137767</v>
      </c>
      <c r="AA17" s="475">
        <f t="shared" si="2"/>
        <v>2996457.2741728639</v>
      </c>
      <c r="AB17" s="475">
        <f t="shared" si="1"/>
        <v>3073976.0597613263</v>
      </c>
      <c r="AC17" s="475">
        <f t="shared" si="1"/>
        <v>3151494.846278898</v>
      </c>
      <c r="AD17" s="475">
        <f t="shared" si="1"/>
        <v>3229013.6337253163</v>
      </c>
      <c r="AF17" s="473">
        <f t="shared" ref="AF17:AF21" si="3">SUM(C17:AD17)</f>
        <v>61022007.760991722</v>
      </c>
      <c r="AG17">
        <v>142033.80000000002</v>
      </c>
      <c r="AH17">
        <v>3232.621803335905</v>
      </c>
      <c r="AJ17" s="472">
        <v>90099.078560000009</v>
      </c>
    </row>
    <row r="18" spans="1:36" x14ac:dyDescent="0.25">
      <c r="A18" s="387" t="s">
        <v>355</v>
      </c>
      <c r="B18" s="634"/>
      <c r="C18" s="475">
        <f>C7*298</f>
        <v>16665.384282980278</v>
      </c>
      <c r="D18" s="475">
        <f t="shared" ref="D18:AA18" si="4">D7*298</f>
        <v>18142.206669065828</v>
      </c>
      <c r="E18" s="475">
        <f t="shared" si="4"/>
        <v>18205.85694864114</v>
      </c>
      <c r="F18" s="475">
        <f t="shared" si="4"/>
        <v>20001.084536471699</v>
      </c>
      <c r="G18" s="475">
        <f t="shared" si="4"/>
        <v>21520.507531238876</v>
      </c>
      <c r="H18" s="475">
        <f t="shared" si="4"/>
        <v>24019.936813567609</v>
      </c>
      <c r="I18" s="475">
        <f t="shared" si="4"/>
        <v>25964.984025683592</v>
      </c>
      <c r="J18" s="475">
        <f t="shared" si="4"/>
        <v>27969.821523792376</v>
      </c>
      <c r="K18" s="475">
        <f t="shared" si="4"/>
        <v>28146.72990559649</v>
      </c>
      <c r="L18" s="475">
        <f t="shared" si="4"/>
        <v>29568.912689066372</v>
      </c>
      <c r="M18" s="475">
        <f t="shared" si="4"/>
        <v>30991.095534828899</v>
      </c>
      <c r="N18" s="475">
        <f t="shared" si="4"/>
        <v>32413.278442866387</v>
      </c>
      <c r="O18" s="475">
        <f t="shared" si="4"/>
        <v>33835.461413161174</v>
      </c>
      <c r="P18" s="475">
        <f t="shared" si="4"/>
        <v>35257.644445695594</v>
      </c>
      <c r="Q18" s="475">
        <f t="shared" si="4"/>
        <v>36679.827540452003</v>
      </c>
      <c r="R18" s="475">
        <f t="shared" si="4"/>
        <v>38102.010697412756</v>
      </c>
      <c r="S18" s="475">
        <f t="shared" si="4"/>
        <v>39524.193916560194</v>
      </c>
      <c r="T18" s="475">
        <f t="shared" si="4"/>
        <v>40946.377197876653</v>
      </c>
      <c r="U18" s="475">
        <f t="shared" si="4"/>
        <v>42368.560541344566</v>
      </c>
      <c r="V18" s="475">
        <f t="shared" si="4"/>
        <v>43790.74394694627</v>
      </c>
      <c r="W18" s="475">
        <f t="shared" si="4"/>
        <v>45212.927414664089</v>
      </c>
      <c r="X18" s="475">
        <f t="shared" si="4"/>
        <v>46635.110944480446</v>
      </c>
      <c r="Y18" s="475">
        <f t="shared" si="4"/>
        <v>48057.294536377747</v>
      </c>
      <c r="Z18" s="475">
        <f t="shared" si="4"/>
        <v>49479.478190338355</v>
      </c>
      <c r="AA18" s="475">
        <f t="shared" si="4"/>
        <v>50901.661906344678</v>
      </c>
      <c r="AB18" s="475">
        <f>AB7*298</f>
        <v>52323.845684379092</v>
      </c>
      <c r="AC18" s="475">
        <f>AC7*298</f>
        <v>53746.029524424026</v>
      </c>
      <c r="AD18" s="475">
        <f>AD7*298</f>
        <v>55168.213426461873</v>
      </c>
      <c r="AF18" s="473">
        <f t="shared" si="3"/>
        <v>1005639.180230719</v>
      </c>
      <c r="AG18">
        <v>133384.37</v>
      </c>
      <c r="AH18">
        <v>3117.513623180193</v>
      </c>
      <c r="AJ18" s="472">
        <v>94029.516640000002</v>
      </c>
    </row>
    <row r="19" spans="1:36" x14ac:dyDescent="0.25">
      <c r="A19" s="387" t="s">
        <v>357</v>
      </c>
      <c r="B19" s="634"/>
      <c r="C19" s="474">
        <f>C9/1000</f>
        <v>8.8002000000000002</v>
      </c>
      <c r="D19" s="474">
        <f t="shared" ref="D19:AD19" si="5">D9/1000</f>
        <v>15.820200000000002</v>
      </c>
      <c r="E19" s="474">
        <f t="shared" si="5"/>
        <v>11.661</v>
      </c>
      <c r="F19" s="474">
        <f t="shared" si="5"/>
        <v>13.436</v>
      </c>
      <c r="G19" s="474">
        <f t="shared" si="5"/>
        <v>140.06960000000001</v>
      </c>
      <c r="H19" s="474">
        <f t="shared" si="5"/>
        <v>142.03380000000001</v>
      </c>
      <c r="I19" s="474">
        <f t="shared" si="5"/>
        <v>133.38436999999999</v>
      </c>
      <c r="J19" s="474">
        <f t="shared" si="5"/>
        <v>135.29859999999999</v>
      </c>
      <c r="K19" s="474">
        <f t="shared" si="5"/>
        <v>181.64033288712503</v>
      </c>
      <c r="L19" s="474">
        <f t="shared" si="5"/>
        <v>205.28492078876496</v>
      </c>
      <c r="M19" s="474">
        <f t="shared" si="5"/>
        <v>228.9177598263264</v>
      </c>
      <c r="N19" s="474">
        <f t="shared" si="5"/>
        <v>252.53886166996958</v>
      </c>
      <c r="O19" s="474">
        <f t="shared" si="5"/>
        <v>276.14823797235493</v>
      </c>
      <c r="P19" s="474">
        <f t="shared" si="5"/>
        <v>299.74590036892891</v>
      </c>
      <c r="Q19" s="474">
        <f t="shared" si="5"/>
        <v>323.33186047763826</v>
      </c>
      <c r="R19" s="474">
        <f t="shared" si="5"/>
        <v>346.9061298993588</v>
      </c>
      <c r="S19" s="474">
        <f t="shared" si="5"/>
        <v>370.46872021760942</v>
      </c>
      <c r="T19" s="474">
        <f t="shared" si="5"/>
        <v>394.01964299860003</v>
      </c>
      <c r="U19" s="474">
        <f t="shared" si="5"/>
        <v>417.558909791708</v>
      </c>
      <c r="V19" s="474">
        <f t="shared" si="5"/>
        <v>441.08653212881086</v>
      </c>
      <c r="W19" s="474">
        <f t="shared" si="5"/>
        <v>464.6025215248585</v>
      </c>
      <c r="X19" s="474">
        <f t="shared" si="5"/>
        <v>488.1068894776821</v>
      </c>
      <c r="Y19" s="474">
        <f t="shared" si="5"/>
        <v>511.59964746804241</v>
      </c>
      <c r="Z19" s="474">
        <f t="shared" si="5"/>
        <v>535.08080695986746</v>
      </c>
      <c r="AA19" s="474">
        <f t="shared" si="5"/>
        <v>558.55037939982424</v>
      </c>
      <c r="AB19" s="474">
        <f t="shared" si="5"/>
        <v>582.00837621793744</v>
      </c>
      <c r="AC19" s="474">
        <f t="shared" si="5"/>
        <v>605.45480882716174</v>
      </c>
      <c r="AD19" s="474">
        <f t="shared" si="5"/>
        <v>628.88968862357137</v>
      </c>
      <c r="AF19" s="473">
        <f t="shared" si="3"/>
        <v>8712.4446975261399</v>
      </c>
      <c r="AG19">
        <v>135298.6</v>
      </c>
      <c r="AH19">
        <v>3121.5513012944029</v>
      </c>
      <c r="AJ19" s="472">
        <v>95960.359182222222</v>
      </c>
    </row>
    <row r="20" spans="1:36" ht="15" hidden="1" customHeight="1" x14ac:dyDescent="0.25">
      <c r="A20" s="387" t="s">
        <v>401</v>
      </c>
      <c r="B20" s="634"/>
      <c r="C20" s="405"/>
      <c r="D20" s="405"/>
      <c r="E20" s="405"/>
      <c r="F20" s="405"/>
      <c r="G20" s="405"/>
      <c r="H20" s="405"/>
      <c r="I20" s="405"/>
      <c r="J20" s="405"/>
      <c r="K20" s="405"/>
      <c r="L20" s="405"/>
      <c r="M20" s="405"/>
      <c r="N20" s="405"/>
      <c r="O20" s="405"/>
      <c r="P20" s="405"/>
      <c r="Q20" s="405"/>
      <c r="R20" s="405"/>
      <c r="S20" s="405"/>
      <c r="T20" s="405"/>
      <c r="U20" s="405"/>
      <c r="V20" s="405"/>
      <c r="W20" s="405"/>
      <c r="X20" s="405"/>
      <c r="Y20" s="405"/>
      <c r="Z20" s="405"/>
      <c r="AA20" s="405"/>
      <c r="AB20" s="405"/>
      <c r="AC20" s="405"/>
      <c r="AD20" s="405"/>
      <c r="AF20" s="473">
        <f t="shared" si="3"/>
        <v>0</v>
      </c>
      <c r="AG20">
        <v>181640.33288712503</v>
      </c>
      <c r="AH20">
        <v>3084.0061551612698</v>
      </c>
      <c r="AJ20" s="472">
        <v>96925.78045333334</v>
      </c>
    </row>
    <row r="21" spans="1:36" x14ac:dyDescent="0.25">
      <c r="A21" s="387" t="s">
        <v>563</v>
      </c>
      <c r="B21" s="634"/>
      <c r="C21" s="475">
        <f>C11*298</f>
        <v>889172.54183319712</v>
      </c>
      <c r="D21" s="475">
        <f t="shared" ref="D21:AA21" si="6">D11*298</f>
        <v>759419.75198413234</v>
      </c>
      <c r="E21" s="475">
        <f t="shared" si="6"/>
        <v>867680.12082108564</v>
      </c>
      <c r="F21" s="475">
        <f t="shared" si="6"/>
        <v>961550.88540272031</v>
      </c>
      <c r="G21" s="475">
        <f t="shared" si="6"/>
        <v>963321.29739409965</v>
      </c>
      <c r="H21" s="475">
        <f t="shared" si="6"/>
        <v>929019.05970769748</v>
      </c>
      <c r="I21" s="475">
        <f t="shared" si="6"/>
        <v>930222.28778573207</v>
      </c>
      <c r="J21" s="475">
        <f t="shared" si="6"/>
        <v>919033.83423805842</v>
      </c>
      <c r="K21" s="475">
        <f t="shared" si="6"/>
        <v>1020995.0986658228</v>
      </c>
      <c r="L21" s="475">
        <f t="shared" si="6"/>
        <v>1048047.4741722631</v>
      </c>
      <c r="M21" s="475">
        <f t="shared" si="6"/>
        <v>1083279.5707046953</v>
      </c>
      <c r="N21" s="475">
        <f t="shared" si="6"/>
        <v>1100942.2554385785</v>
      </c>
      <c r="O21" s="475">
        <f t="shared" si="6"/>
        <v>1118605.2326096215</v>
      </c>
      <c r="P21" s="475">
        <f t="shared" si="6"/>
        <v>1136268.4904369579</v>
      </c>
      <c r="Q21" s="475">
        <f t="shared" si="6"/>
        <v>1153932.0176734983</v>
      </c>
      <c r="R21" s="475">
        <f t="shared" si="6"/>
        <v>1171595.8035761733</v>
      </c>
      <c r="S21" s="475">
        <f t="shared" si="6"/>
        <v>1189259.8378781429</v>
      </c>
      <c r="T21" s="475">
        <f t="shared" si="6"/>
        <v>1206924.1107628238</v>
      </c>
      <c r="U21" s="475">
        <f t="shared" si="6"/>
        <v>1224588.6128396001</v>
      </c>
      <c r="V21" s="475">
        <f t="shared" si="6"/>
        <v>1242253.3351210831</v>
      </c>
      <c r="W21" s="475">
        <f t="shared" si="6"/>
        <v>1259918.2690018173</v>
      </c>
      <c r="X21" s="475">
        <f t="shared" si="6"/>
        <v>1277583.4062383189</v>
      </c>
      <c r="Y21" s="475">
        <f t="shared" si="6"/>
        <v>1295248.7389303511</v>
      </c>
      <c r="Z21" s="475">
        <f t="shared" si="6"/>
        <v>1312914.2595033532</v>
      </c>
      <c r="AA21" s="475">
        <f t="shared" si="6"/>
        <v>1330579.960691931</v>
      </c>
      <c r="AB21" s="475">
        <f>AB11*298</f>
        <v>1348245.8355243499</v>
      </c>
      <c r="AC21" s="475">
        <f>AC11*298</f>
        <v>1365911.8773079428</v>
      </c>
      <c r="AD21" s="475">
        <f>AD11*298</f>
        <v>1383578.079615385</v>
      </c>
      <c r="AF21" s="473">
        <f t="shared" si="3"/>
        <v>31490092.045859434</v>
      </c>
      <c r="AG21">
        <v>205284.92078876495</v>
      </c>
      <c r="AH21">
        <v>3426.1580492141702</v>
      </c>
      <c r="AJ21" s="472">
        <v>97891.201724444443</v>
      </c>
    </row>
    <row r="22" spans="1:36" ht="15" hidden="1" customHeight="1" x14ac:dyDescent="0.25">
      <c r="A22" s="387" t="s">
        <v>457</v>
      </c>
      <c r="B22" s="634"/>
      <c r="C22" s="405"/>
      <c r="D22" s="405"/>
      <c r="E22" s="405"/>
      <c r="F22" s="405"/>
      <c r="G22" s="405"/>
      <c r="H22" s="405"/>
      <c r="I22" s="405"/>
      <c r="J22" s="405"/>
      <c r="K22" s="405"/>
      <c r="L22" s="405"/>
      <c r="M22" s="405"/>
      <c r="N22" s="314">
        <f>M22/$M$23</f>
        <v>0</v>
      </c>
      <c r="AG22">
        <v>252538.86166996957</v>
      </c>
      <c r="AH22">
        <v>3635.1663446466282</v>
      </c>
      <c r="AJ22" s="472">
        <v>99822.044266666664</v>
      </c>
    </row>
    <row r="23" spans="1:36" x14ac:dyDescent="0.25">
      <c r="A23" s="173" t="s">
        <v>419</v>
      </c>
      <c r="B23" s="635"/>
      <c r="C23" s="313">
        <f>SUM(C16:C22)</f>
        <v>3628627.6083961772</v>
      </c>
      <c r="D23" s="313">
        <f t="shared" ref="D23:AD23" si="7">SUM(D16:D22)</f>
        <v>3810486.1328531979</v>
      </c>
      <c r="E23" s="313">
        <f t="shared" si="7"/>
        <v>3932854.5759218051</v>
      </c>
      <c r="F23" s="313">
        <f t="shared" si="7"/>
        <v>4041015.9268491925</v>
      </c>
      <c r="G23" s="313">
        <f t="shared" si="7"/>
        <v>4163693.5593453385</v>
      </c>
      <c r="H23" s="313">
        <f t="shared" si="7"/>
        <v>4241271.192251265</v>
      </c>
      <c r="I23" s="313">
        <f t="shared" si="7"/>
        <v>4488904.7096414156</v>
      </c>
      <c r="J23" s="313">
        <f t="shared" si="7"/>
        <v>4659342.6552318502</v>
      </c>
      <c r="K23" s="313">
        <f t="shared" si="7"/>
        <v>4820647.8430627175</v>
      </c>
      <c r="L23" s="313">
        <f t="shared" si="7"/>
        <v>4946938.6633206662</v>
      </c>
      <c r="M23" s="313">
        <f t="shared" si="7"/>
        <v>5081409.1938513704</v>
      </c>
      <c r="N23" s="313">
        <f t="shared" si="7"/>
        <v>5198310.301841679</v>
      </c>
      <c r="O23" s="313">
        <f t="shared" si="7"/>
        <v>5315211.6915386701</v>
      </c>
      <c r="P23" s="313">
        <f t="shared" si="7"/>
        <v>5432113.3511728328</v>
      </c>
      <c r="Q23" s="313">
        <f t="shared" si="7"/>
        <v>5549015.2695084093</v>
      </c>
      <c r="R23" s="313">
        <f t="shared" si="7"/>
        <v>5665917.4358136542</v>
      </c>
      <c r="S23" s="313">
        <f t="shared" si="7"/>
        <v>5782819.8398330249</v>
      </c>
      <c r="T23" s="313">
        <f t="shared" si="7"/>
        <v>5899722.4717612229</v>
      </c>
      <c r="U23" s="313">
        <f t="shared" si="7"/>
        <v>6016625.3222189033</v>
      </c>
      <c r="V23" s="313">
        <f t="shared" si="7"/>
        <v>6133528.3822299223</v>
      </c>
      <c r="W23" s="313">
        <f t="shared" si="7"/>
        <v>6250431.6432000613</v>
      </c>
      <c r="X23" s="313">
        <f t="shared" si="7"/>
        <v>6367335.0968970526</v>
      </c>
      <c r="Y23" s="313">
        <f t="shared" si="7"/>
        <v>6484238.7354318555</v>
      </c>
      <c r="Z23" s="313">
        <f t="shared" si="7"/>
        <v>6601142.5512410942</v>
      </c>
      <c r="AA23" s="313">
        <f t="shared" si="7"/>
        <v>6718046.5370705398</v>
      </c>
      <c r="AB23" s="313">
        <f t="shared" si="7"/>
        <v>6834950.6859596074</v>
      </c>
      <c r="AC23" s="313">
        <f t="shared" si="7"/>
        <v>6951854.9912267588</v>
      </c>
      <c r="AD23" s="313">
        <f t="shared" si="7"/>
        <v>7068759.446455786</v>
      </c>
      <c r="AE23" s="473">
        <f>SUM(C23:AD23)</f>
        <v>152085215.81412607</v>
      </c>
      <c r="AG23">
        <v>299745.90036892891</v>
      </c>
      <c r="AH23">
        <v>3753.7088342604748</v>
      </c>
      <c r="AJ23" s="472">
        <v>101752.88680888888</v>
      </c>
    </row>
    <row r="24" spans="1:36" x14ac:dyDescent="0.25">
      <c r="AG24">
        <v>323331.86047763826</v>
      </c>
      <c r="AH24">
        <v>3812.9815115334159</v>
      </c>
      <c r="AJ24" s="472">
        <v>102718.30808</v>
      </c>
    </row>
    <row r="25" spans="1:36" x14ac:dyDescent="0.25">
      <c r="AG25">
        <v>346906.12989935878</v>
      </c>
      <c r="AH25">
        <v>3872.2550928640881</v>
      </c>
      <c r="AJ25" s="472">
        <v>103683.72935111112</v>
      </c>
    </row>
    <row r="26" spans="1:36" x14ac:dyDescent="0.25">
      <c r="AG26">
        <v>370468.72021760943</v>
      </c>
      <c r="AH26">
        <v>3931.5295422019235</v>
      </c>
      <c r="AJ26" s="472">
        <v>104649.15062222222</v>
      </c>
    </row>
    <row r="27" spans="1:36" x14ac:dyDescent="0.25">
      <c r="C27" s="480">
        <v>2003</v>
      </c>
      <c r="D27" s="480">
        <v>2004</v>
      </c>
      <c r="E27" s="480">
        <v>2005</v>
      </c>
      <c r="F27" s="480">
        <v>2006</v>
      </c>
      <c r="G27" s="480">
        <v>2007</v>
      </c>
      <c r="H27" s="480">
        <v>2008</v>
      </c>
      <c r="I27" s="480">
        <v>2009</v>
      </c>
      <c r="J27" s="480">
        <v>2010</v>
      </c>
      <c r="K27" s="480">
        <v>2011</v>
      </c>
      <c r="L27" s="480">
        <v>2012</v>
      </c>
      <c r="M27" s="480">
        <v>2013</v>
      </c>
      <c r="N27">
        <v>2014</v>
      </c>
      <c r="O27">
        <v>2015</v>
      </c>
      <c r="P27">
        <v>2016</v>
      </c>
      <c r="Q27">
        <v>2017</v>
      </c>
      <c r="R27">
        <v>2018</v>
      </c>
      <c r="S27">
        <v>2019</v>
      </c>
      <c r="T27">
        <v>2020</v>
      </c>
      <c r="U27">
        <v>2021</v>
      </c>
      <c r="V27">
        <v>2022</v>
      </c>
      <c r="W27">
        <v>2023</v>
      </c>
      <c r="X27">
        <v>2024</v>
      </c>
      <c r="Y27">
        <v>2025</v>
      </c>
      <c r="Z27">
        <v>2026</v>
      </c>
      <c r="AA27">
        <v>2027</v>
      </c>
      <c r="AB27">
        <v>2028</v>
      </c>
      <c r="AC27">
        <v>2029</v>
      </c>
      <c r="AD27">
        <v>2030</v>
      </c>
      <c r="AG27">
        <v>394019.64299860003</v>
      </c>
      <c r="AH27">
        <v>3990.8048250944394</v>
      </c>
      <c r="AJ27" s="472">
        <v>105614.57189333334</v>
      </c>
    </row>
    <row r="28" spans="1:36" x14ac:dyDescent="0.25">
      <c r="A28" t="s">
        <v>562</v>
      </c>
      <c r="B28" t="s">
        <v>580</v>
      </c>
      <c r="C28" s="234">
        <f>C5/1000</f>
        <v>75.635858159999998</v>
      </c>
      <c r="D28" s="234">
        <f t="shared" ref="D28:AD28" si="8">D5/1000</f>
        <v>86.870539679999993</v>
      </c>
      <c r="E28" s="234">
        <f t="shared" si="8"/>
        <v>87.790856879999993</v>
      </c>
      <c r="F28" s="234">
        <f t="shared" si="8"/>
        <v>83.31158495999999</v>
      </c>
      <c r="G28" s="234">
        <f t="shared" si="8"/>
        <v>84.675401760000014</v>
      </c>
      <c r="H28" s="234">
        <f t="shared" si="8"/>
        <v>83.462527840000007</v>
      </c>
      <c r="I28" s="234">
        <f t="shared" si="8"/>
        <v>90.099078560000009</v>
      </c>
      <c r="J28" s="234">
        <f t="shared" si="8"/>
        <v>94.029516639999997</v>
      </c>
      <c r="K28" s="234">
        <f t="shared" si="8"/>
        <v>95.96035918222222</v>
      </c>
      <c r="L28" s="234">
        <f t="shared" si="8"/>
        <v>96.925780453333346</v>
      </c>
      <c r="M28" s="234">
        <f t="shared" si="8"/>
        <v>97.891201724444443</v>
      </c>
      <c r="N28" s="234">
        <f t="shared" si="8"/>
        <v>98.856622995555554</v>
      </c>
      <c r="O28" s="234">
        <f t="shared" si="8"/>
        <v>99.822044266666666</v>
      </c>
      <c r="P28" s="234">
        <f t="shared" si="8"/>
        <v>100.78746553777778</v>
      </c>
      <c r="Q28" s="234">
        <f t="shared" si="8"/>
        <v>101.75288680888889</v>
      </c>
      <c r="R28" s="234">
        <f t="shared" si="8"/>
        <v>102.71830808</v>
      </c>
      <c r="S28" s="234">
        <f t="shared" si="8"/>
        <v>103.68372935111113</v>
      </c>
      <c r="T28" s="234">
        <f t="shared" si="8"/>
        <v>104.64915062222222</v>
      </c>
      <c r="U28" s="234">
        <f t="shared" si="8"/>
        <v>105.61457189333333</v>
      </c>
      <c r="V28" s="234">
        <f t="shared" si="8"/>
        <v>106.57999316444443</v>
      </c>
      <c r="W28" s="234">
        <f t="shared" si="8"/>
        <v>107.54541443555556</v>
      </c>
      <c r="X28" s="234">
        <f t="shared" si="8"/>
        <v>108.51083570666667</v>
      </c>
      <c r="Y28" s="234">
        <f t="shared" si="8"/>
        <v>109.47625697777778</v>
      </c>
      <c r="Z28" s="234">
        <f t="shared" si="8"/>
        <v>110.44167824888889</v>
      </c>
      <c r="AA28" s="234">
        <f t="shared" si="8"/>
        <v>111.40709952</v>
      </c>
      <c r="AB28" s="234">
        <f t="shared" si="8"/>
        <v>112.37252079111114</v>
      </c>
      <c r="AC28" s="234">
        <f t="shared" si="8"/>
        <v>113.33794206222221</v>
      </c>
      <c r="AD28" s="234">
        <f t="shared" si="8"/>
        <v>114.30336333333334</v>
      </c>
      <c r="AG28">
        <v>417558.90979170799</v>
      </c>
      <c r="AH28">
        <v>4050.08090860008</v>
      </c>
      <c r="AJ28" s="472">
        <v>106579.99316444443</v>
      </c>
    </row>
    <row r="29" spans="1:36" x14ac:dyDescent="0.25">
      <c r="A29" t="s">
        <v>402</v>
      </c>
      <c r="B29" t="s">
        <v>580</v>
      </c>
      <c r="C29" s="234">
        <f>C6/1000</f>
        <v>54.020374319999995</v>
      </c>
      <c r="D29" s="234">
        <f t="shared" ref="D29:AD29" si="9">D6/1000</f>
        <v>57.553667653333335</v>
      </c>
      <c r="E29" s="234">
        <f t="shared" si="9"/>
        <v>57.302330603432317</v>
      </c>
      <c r="F29" s="234">
        <f t="shared" si="9"/>
        <v>62.376535083333337</v>
      </c>
      <c r="G29" s="234">
        <f t="shared" si="9"/>
        <v>66.691821326666656</v>
      </c>
      <c r="H29" s="234">
        <f t="shared" si="9"/>
        <v>73.113194156666651</v>
      </c>
      <c r="I29" s="234">
        <f t="shared" si="9"/>
        <v>78.119209699999999</v>
      </c>
      <c r="J29" s="234">
        <f t="shared" si="9"/>
        <v>82.742088163333307</v>
      </c>
      <c r="K29" s="234">
        <f t="shared" si="9"/>
        <v>83.626515777702139</v>
      </c>
      <c r="L29" s="234">
        <f t="shared" si="9"/>
        <v>87.31788581040702</v>
      </c>
      <c r="M29" s="234">
        <f t="shared" si="9"/>
        <v>91.009255887556492</v>
      </c>
      <c r="N29" s="234">
        <f t="shared" si="9"/>
        <v>94.700626009137963</v>
      </c>
      <c r="O29" s="234">
        <f t="shared" si="9"/>
        <v>98.391996175138829</v>
      </c>
      <c r="P29" s="234">
        <f t="shared" si="9"/>
        <v>102.08336638554648</v>
      </c>
      <c r="Q29" s="234">
        <f t="shared" si="9"/>
        <v>105.77473664034835</v>
      </c>
      <c r="R29" s="234">
        <f t="shared" si="9"/>
        <v>109.46610693953185</v>
      </c>
      <c r="S29" s="234">
        <f t="shared" si="9"/>
        <v>113.15747728308433</v>
      </c>
      <c r="T29" s="234">
        <f t="shared" si="9"/>
        <v>116.84884767099319</v>
      </c>
      <c r="U29" s="234">
        <f t="shared" si="9"/>
        <v>120.54021810324602</v>
      </c>
      <c r="V29" s="234">
        <f t="shared" si="9"/>
        <v>124.23158857983003</v>
      </c>
      <c r="W29" s="234">
        <f t="shared" si="9"/>
        <v>127.92295910073277</v>
      </c>
      <c r="X29" s="234">
        <f t="shared" si="9"/>
        <v>131.61432966594165</v>
      </c>
      <c r="Y29" s="234">
        <f t="shared" si="9"/>
        <v>135.30570027544408</v>
      </c>
      <c r="Z29" s="234">
        <f t="shared" si="9"/>
        <v>138.99707092922745</v>
      </c>
      <c r="AA29" s="234">
        <f t="shared" si="9"/>
        <v>142.68844162727925</v>
      </c>
      <c r="AB29" s="234">
        <f t="shared" si="9"/>
        <v>146.37981236958697</v>
      </c>
      <c r="AC29" s="234">
        <f t="shared" si="9"/>
        <v>150.07118315613801</v>
      </c>
      <c r="AD29" s="234">
        <f t="shared" si="9"/>
        <v>153.76255398691981</v>
      </c>
      <c r="AG29">
        <v>441086.53212881088</v>
      </c>
      <c r="AH29">
        <v>4109.357761206712</v>
      </c>
      <c r="AJ29" s="472">
        <v>107545.41443555556</v>
      </c>
    </row>
    <row r="30" spans="1:36" x14ac:dyDescent="0.25">
      <c r="A30" t="s">
        <v>355</v>
      </c>
      <c r="B30" t="s">
        <v>581</v>
      </c>
      <c r="C30" s="234">
        <f>C7/1000</f>
        <v>5.5924108332148587E-2</v>
      </c>
      <c r="D30" s="234">
        <f t="shared" ref="D30:AD30" si="10">D7/1000</f>
        <v>6.0879888151227621E-2</v>
      </c>
      <c r="E30" s="234">
        <f t="shared" si="10"/>
        <v>6.1093479693426642E-2</v>
      </c>
      <c r="F30" s="234">
        <f t="shared" si="10"/>
        <v>6.7117733343864755E-2</v>
      </c>
      <c r="G30" s="234">
        <f t="shared" si="10"/>
        <v>7.2216468225633823E-2</v>
      </c>
      <c r="H30" s="234">
        <f t="shared" si="10"/>
        <v>8.0603814810629559E-2</v>
      </c>
      <c r="I30" s="234">
        <f t="shared" si="10"/>
        <v>8.7130818878132857E-2</v>
      </c>
      <c r="J30" s="234">
        <f t="shared" si="10"/>
        <v>9.385846148923617E-2</v>
      </c>
      <c r="K30" s="234">
        <f t="shared" si="10"/>
        <v>9.445211377716943E-2</v>
      </c>
      <c r="L30" s="234">
        <f t="shared" si="10"/>
        <v>9.9224539225054934E-2</v>
      </c>
      <c r="M30" s="234">
        <f t="shared" si="10"/>
        <v>0.10399696488197617</v>
      </c>
      <c r="N30" s="234">
        <f t="shared" si="10"/>
        <v>0.10876939074787378</v>
      </c>
      <c r="O30" s="234">
        <f t="shared" si="10"/>
        <v>0.1135418168226885</v>
      </c>
      <c r="P30" s="234">
        <f t="shared" si="10"/>
        <v>0.11831424310636106</v>
      </c>
      <c r="Q30" s="234">
        <f t="shared" si="10"/>
        <v>0.12308666959883223</v>
      </c>
      <c r="R30" s="234">
        <f t="shared" si="10"/>
        <v>0.1278590963000428</v>
      </c>
      <c r="S30" s="234">
        <f t="shared" si="10"/>
        <v>0.13263152320993354</v>
      </c>
      <c r="T30" s="234">
        <f t="shared" si="10"/>
        <v>0.13740395032844516</v>
      </c>
      <c r="U30" s="234">
        <f t="shared" si="10"/>
        <v>0.14217637765551869</v>
      </c>
      <c r="V30" s="234">
        <f t="shared" si="10"/>
        <v>0.14694880519109485</v>
      </c>
      <c r="W30" s="234">
        <f t="shared" si="10"/>
        <v>0.15172123293511439</v>
      </c>
      <c r="X30" s="234">
        <f t="shared" si="10"/>
        <v>0.15649366088751829</v>
      </c>
      <c r="Y30" s="234">
        <f t="shared" si="10"/>
        <v>0.16126608904824746</v>
      </c>
      <c r="Z30" s="234">
        <f t="shared" si="10"/>
        <v>0.16603851741724282</v>
      </c>
      <c r="AA30" s="234">
        <f t="shared" si="10"/>
        <v>0.17081094599444524</v>
      </c>
      <c r="AB30" s="234">
        <f t="shared" si="10"/>
        <v>0.1755833747797956</v>
      </c>
      <c r="AC30" s="234">
        <f t="shared" si="10"/>
        <v>0.18035580377323499</v>
      </c>
      <c r="AD30" s="234">
        <f t="shared" si="10"/>
        <v>0.18512823297470427</v>
      </c>
      <c r="AG30">
        <v>464602.52152485849</v>
      </c>
      <c r="AH30">
        <v>4168.6353527553119</v>
      </c>
      <c r="AJ30" s="472">
        <v>108510.83570666666</v>
      </c>
    </row>
    <row r="31" spans="1:36" x14ac:dyDescent="0.25">
      <c r="A31" t="s">
        <v>357</v>
      </c>
      <c r="B31" t="s">
        <v>582</v>
      </c>
      <c r="C31" s="234">
        <f>C9/1000</f>
        <v>8.8002000000000002</v>
      </c>
      <c r="D31" s="234">
        <f t="shared" ref="D31:AD31" si="11">D9/1000</f>
        <v>15.820200000000002</v>
      </c>
      <c r="E31" s="234">
        <f t="shared" si="11"/>
        <v>11.661</v>
      </c>
      <c r="F31" s="234">
        <f t="shared" si="11"/>
        <v>13.436</v>
      </c>
      <c r="G31" s="234">
        <f t="shared" si="11"/>
        <v>140.06960000000001</v>
      </c>
      <c r="H31" s="234">
        <f t="shared" si="11"/>
        <v>142.03380000000001</v>
      </c>
      <c r="I31" s="234">
        <f t="shared" si="11"/>
        <v>133.38436999999999</v>
      </c>
      <c r="J31" s="234">
        <f t="shared" si="11"/>
        <v>135.29859999999999</v>
      </c>
      <c r="K31" s="234">
        <f t="shared" si="11"/>
        <v>181.64033288712503</v>
      </c>
      <c r="L31" s="234">
        <f t="shared" si="11"/>
        <v>205.28492078876496</v>
      </c>
      <c r="M31" s="234">
        <f t="shared" si="11"/>
        <v>228.9177598263264</v>
      </c>
      <c r="N31" s="234">
        <f t="shared" si="11"/>
        <v>252.53886166996958</v>
      </c>
      <c r="O31" s="234">
        <f t="shared" si="11"/>
        <v>276.14823797235493</v>
      </c>
      <c r="P31" s="234">
        <f t="shared" si="11"/>
        <v>299.74590036892891</v>
      </c>
      <c r="Q31" s="234">
        <f t="shared" si="11"/>
        <v>323.33186047763826</v>
      </c>
      <c r="R31" s="234">
        <f t="shared" si="11"/>
        <v>346.9061298993588</v>
      </c>
      <c r="S31" s="234">
        <f t="shared" si="11"/>
        <v>370.46872021760942</v>
      </c>
      <c r="T31" s="234">
        <f t="shared" si="11"/>
        <v>394.01964299860003</v>
      </c>
      <c r="U31" s="234">
        <f t="shared" si="11"/>
        <v>417.558909791708</v>
      </c>
      <c r="V31" s="234">
        <f t="shared" si="11"/>
        <v>441.08653212881086</v>
      </c>
      <c r="W31" s="234">
        <f t="shared" si="11"/>
        <v>464.6025215248585</v>
      </c>
      <c r="X31" s="234">
        <f t="shared" si="11"/>
        <v>488.1068894776821</v>
      </c>
      <c r="Y31" s="234">
        <f t="shared" si="11"/>
        <v>511.59964746804241</v>
      </c>
      <c r="Z31" s="234">
        <f t="shared" si="11"/>
        <v>535.08080695986746</v>
      </c>
      <c r="AA31" s="234">
        <f t="shared" si="11"/>
        <v>558.55037939982424</v>
      </c>
      <c r="AB31" s="234">
        <f t="shared" si="11"/>
        <v>582.00837621793744</v>
      </c>
      <c r="AC31" s="234">
        <f t="shared" si="11"/>
        <v>605.45480882716174</v>
      </c>
      <c r="AD31" s="234">
        <f t="shared" si="11"/>
        <v>628.88968862357137</v>
      </c>
      <c r="AG31">
        <v>511599.64746804239</v>
      </c>
      <c r="AH31">
        <v>4287.1926383836208</v>
      </c>
      <c r="AJ31" s="472">
        <v>110441.67824888889</v>
      </c>
    </row>
    <row r="32" spans="1:36" x14ac:dyDescent="0.25">
      <c r="A32" t="s">
        <v>563</v>
      </c>
      <c r="B32" t="s">
        <v>583</v>
      </c>
      <c r="C32" s="234">
        <f>C11/1000</f>
        <v>2.9838004759503258</v>
      </c>
      <c r="D32" s="234">
        <f t="shared" ref="D32:AD32" si="12">D11/1000</f>
        <v>2.5483884294769541</v>
      </c>
      <c r="E32" s="234">
        <f t="shared" si="12"/>
        <v>2.911678257788878</v>
      </c>
      <c r="F32" s="234">
        <f t="shared" si="12"/>
        <v>3.2266808234990614</v>
      </c>
      <c r="G32" s="234">
        <f t="shared" si="12"/>
        <v>3.2326218033359049</v>
      </c>
      <c r="H32" s="234">
        <f t="shared" si="12"/>
        <v>3.117513623180193</v>
      </c>
      <c r="I32" s="234">
        <f t="shared" si="12"/>
        <v>3.1215513012944029</v>
      </c>
      <c r="J32" s="234">
        <f t="shared" si="12"/>
        <v>3.0840061551612696</v>
      </c>
      <c r="K32" s="234">
        <f t="shared" si="12"/>
        <v>3.4261580492141701</v>
      </c>
      <c r="L32" s="234">
        <f t="shared" si="12"/>
        <v>3.5169378327928289</v>
      </c>
      <c r="M32" s="234">
        <f t="shared" si="12"/>
        <v>3.635166344646628</v>
      </c>
      <c r="N32" s="234">
        <f t="shared" si="12"/>
        <v>3.6944370987871769</v>
      </c>
      <c r="O32" s="234">
        <f t="shared" si="12"/>
        <v>3.753708834260475</v>
      </c>
      <c r="P32" s="234">
        <f t="shared" si="12"/>
        <v>3.8129815115334158</v>
      </c>
      <c r="Q32" s="234">
        <f t="shared" si="12"/>
        <v>3.872255092864088</v>
      </c>
      <c r="R32" s="234">
        <f t="shared" si="12"/>
        <v>3.9315295422019236</v>
      </c>
      <c r="S32" s="234">
        <f t="shared" si="12"/>
        <v>3.9908048250944392</v>
      </c>
      <c r="T32" s="234">
        <f t="shared" si="12"/>
        <v>4.05008090860008</v>
      </c>
      <c r="U32" s="234">
        <f t="shared" si="12"/>
        <v>4.109357761206712</v>
      </c>
      <c r="V32" s="234">
        <f t="shared" si="12"/>
        <v>4.1686353527553122</v>
      </c>
      <c r="W32" s="234">
        <f t="shared" si="12"/>
        <v>4.2279136543685141</v>
      </c>
      <c r="X32" s="234">
        <f t="shared" si="12"/>
        <v>4.2871926383836207</v>
      </c>
      <c r="Y32" s="234">
        <f t="shared" si="12"/>
        <v>4.3464722782897685</v>
      </c>
      <c r="Z32" s="234">
        <f t="shared" si="12"/>
        <v>4.4057525486689704</v>
      </c>
      <c r="AA32" s="234">
        <f t="shared" si="12"/>
        <v>4.4650334251407076</v>
      </c>
      <c r="AB32" s="234">
        <f t="shared" si="12"/>
        <v>4.5243148843098986</v>
      </c>
      <c r="AC32" s="234">
        <f t="shared" si="12"/>
        <v>4.5835969037179289</v>
      </c>
      <c r="AD32" s="234">
        <f t="shared" si="12"/>
        <v>4.6428794617965945</v>
      </c>
      <c r="AG32">
        <v>558550.37939982419</v>
      </c>
      <c r="AH32">
        <v>4405.7525486689701</v>
      </c>
      <c r="AJ32" s="472">
        <v>112372.52079111114</v>
      </c>
    </row>
    <row r="33" spans="1:49" x14ac:dyDescent="0.25">
      <c r="AJ33" s="472"/>
    </row>
    <row r="34" spans="1:49" x14ac:dyDescent="0.25">
      <c r="AG34">
        <v>605454.80882716179</v>
      </c>
      <c r="AH34">
        <v>4524.3148843098988</v>
      </c>
      <c r="AJ34" s="472">
        <v>114303.36333333334</v>
      </c>
    </row>
    <row r="35" spans="1:49" x14ac:dyDescent="0.25">
      <c r="C35" s="234" t="s">
        <v>579</v>
      </c>
      <c r="AG35">
        <v>628889.68862357142</v>
      </c>
      <c r="AH35">
        <v>4583.5969037179293</v>
      </c>
    </row>
    <row r="36" spans="1:49" x14ac:dyDescent="0.25">
      <c r="C36" s="480">
        <v>2003</v>
      </c>
      <c r="D36" s="480">
        <v>2004</v>
      </c>
      <c r="E36" s="480">
        <v>2005</v>
      </c>
      <c r="F36" s="480">
        <v>2006</v>
      </c>
      <c r="G36" s="480">
        <v>2007</v>
      </c>
      <c r="H36" s="480">
        <v>2008</v>
      </c>
      <c r="I36" s="480">
        <v>2009</v>
      </c>
      <c r="J36" s="480">
        <v>2010</v>
      </c>
      <c r="K36" s="480">
        <v>2011</v>
      </c>
      <c r="L36" s="480">
        <v>2012</v>
      </c>
      <c r="M36" s="480">
        <v>2013</v>
      </c>
      <c r="N36">
        <v>2014</v>
      </c>
      <c r="O36">
        <v>2015</v>
      </c>
      <c r="P36">
        <v>2016</v>
      </c>
      <c r="Q36">
        <v>2017</v>
      </c>
      <c r="R36">
        <v>2018</v>
      </c>
      <c r="S36">
        <v>2019</v>
      </c>
      <c r="T36">
        <v>2020</v>
      </c>
      <c r="U36">
        <v>2021</v>
      </c>
      <c r="V36">
        <v>2022</v>
      </c>
      <c r="W36">
        <v>2023</v>
      </c>
      <c r="X36">
        <v>2024</v>
      </c>
      <c r="Y36">
        <v>2025</v>
      </c>
      <c r="Z36">
        <v>2026</v>
      </c>
      <c r="AA36">
        <v>2027</v>
      </c>
      <c r="AB36">
        <v>2028</v>
      </c>
      <c r="AC36">
        <v>2029</v>
      </c>
      <c r="AD36">
        <v>2030</v>
      </c>
      <c r="AH36">
        <v>4642.8794617965941</v>
      </c>
    </row>
    <row r="37" spans="1:49" x14ac:dyDescent="0.25">
      <c r="A37" t="s">
        <v>562</v>
      </c>
      <c r="B37" s="636" t="s">
        <v>578</v>
      </c>
      <c r="C37" s="473">
        <f>C28*21</f>
        <v>1588.35302136</v>
      </c>
      <c r="D37" s="473">
        <f t="shared" ref="D37:AD37" si="13">D28*21</f>
        <v>1824.2813332799999</v>
      </c>
      <c r="E37" s="473">
        <f t="shared" si="13"/>
        <v>1843.6079944799999</v>
      </c>
      <c r="F37" s="473">
        <f t="shared" si="13"/>
        <v>1749.5432841599998</v>
      </c>
      <c r="G37" s="473">
        <f t="shared" si="13"/>
        <v>1778.1834369600003</v>
      </c>
      <c r="H37" s="473">
        <f t="shared" si="13"/>
        <v>1752.71308464</v>
      </c>
      <c r="I37" s="473">
        <f t="shared" si="13"/>
        <v>1892.0806497600001</v>
      </c>
      <c r="J37" s="473">
        <f t="shared" si="13"/>
        <v>1974.6198494400001</v>
      </c>
      <c r="K37" s="473">
        <f t="shared" si="13"/>
        <v>2015.1675428266667</v>
      </c>
      <c r="L37" s="473">
        <f t="shared" si="13"/>
        <v>2035.4413895200003</v>
      </c>
      <c r="M37" s="473">
        <f t="shared" si="13"/>
        <v>2055.7152362133334</v>
      </c>
      <c r="N37" s="473">
        <f t="shared" si="13"/>
        <v>2075.9890829066667</v>
      </c>
      <c r="O37" s="473">
        <f t="shared" si="13"/>
        <v>2096.2629296</v>
      </c>
      <c r="P37" s="473">
        <f t="shared" si="13"/>
        <v>2116.5367762933333</v>
      </c>
      <c r="Q37" s="473">
        <f t="shared" si="13"/>
        <v>2136.8106229866667</v>
      </c>
      <c r="R37" s="473">
        <f t="shared" si="13"/>
        <v>2157.08446968</v>
      </c>
      <c r="S37" s="473">
        <f t="shared" si="13"/>
        <v>2177.3583163733338</v>
      </c>
      <c r="T37" s="473">
        <f t="shared" si="13"/>
        <v>2197.6321630666666</v>
      </c>
      <c r="U37" s="473">
        <f t="shared" si="13"/>
        <v>2217.90600976</v>
      </c>
      <c r="V37" s="473">
        <f t="shared" si="13"/>
        <v>2238.1798564533328</v>
      </c>
      <c r="W37" s="473">
        <f t="shared" si="13"/>
        <v>2258.4537031466666</v>
      </c>
      <c r="X37" s="473">
        <f t="shared" si="13"/>
        <v>2278.7275498399999</v>
      </c>
      <c r="Y37" s="473">
        <f t="shared" si="13"/>
        <v>2299.0013965333333</v>
      </c>
      <c r="Z37" s="473">
        <f t="shared" si="13"/>
        <v>2319.2752432266666</v>
      </c>
      <c r="AA37" s="473">
        <f t="shared" si="13"/>
        <v>2339.5490899199999</v>
      </c>
      <c r="AB37" s="473">
        <f t="shared" si="13"/>
        <v>2359.8229366133342</v>
      </c>
      <c r="AC37" s="473">
        <f t="shared" si="13"/>
        <v>2380.0967833066666</v>
      </c>
      <c r="AD37" s="473">
        <f t="shared" si="13"/>
        <v>2400.3706299999999</v>
      </c>
    </row>
    <row r="38" spans="1:49" x14ac:dyDescent="0.25">
      <c r="A38" t="s">
        <v>402</v>
      </c>
      <c r="B38" s="636"/>
      <c r="C38" s="473">
        <f>C29*21</f>
        <v>1134.4278607199999</v>
      </c>
      <c r="D38" s="473">
        <f t="shared" ref="D38:AD38" si="14">D29*21</f>
        <v>1208.62702072</v>
      </c>
      <c r="E38" s="473">
        <f t="shared" si="14"/>
        <v>1203.3489426720787</v>
      </c>
      <c r="F38" s="473">
        <f t="shared" si="14"/>
        <v>1309.90723675</v>
      </c>
      <c r="G38" s="473">
        <f t="shared" si="14"/>
        <v>1400.5282478599997</v>
      </c>
      <c r="H38" s="473">
        <f t="shared" si="14"/>
        <v>1535.3770772899998</v>
      </c>
      <c r="I38" s="473">
        <f t="shared" si="14"/>
        <v>1640.5034037</v>
      </c>
      <c r="J38" s="473">
        <f t="shared" si="14"/>
        <v>1737.5838514299994</v>
      </c>
      <c r="K38" s="473">
        <f t="shared" si="14"/>
        <v>1756.1568313317448</v>
      </c>
      <c r="L38" s="473">
        <f t="shared" si="14"/>
        <v>1833.6756020185474</v>
      </c>
      <c r="M38" s="473">
        <f t="shared" si="14"/>
        <v>1911.1943736386863</v>
      </c>
      <c r="N38" s="473">
        <f t="shared" si="14"/>
        <v>1988.7131461918973</v>
      </c>
      <c r="O38" s="473">
        <f t="shared" si="14"/>
        <v>2066.2319196779154</v>
      </c>
      <c r="P38" s="473">
        <f t="shared" si="14"/>
        <v>2143.7506940964763</v>
      </c>
      <c r="Q38" s="473">
        <f t="shared" si="14"/>
        <v>2221.2694694473153</v>
      </c>
      <c r="R38" s="473">
        <f t="shared" si="14"/>
        <v>2298.7882457301689</v>
      </c>
      <c r="S38" s="473">
        <f t="shared" si="14"/>
        <v>2376.3070229447708</v>
      </c>
      <c r="T38" s="473">
        <f t="shared" si="14"/>
        <v>2453.8258010908571</v>
      </c>
      <c r="U38" s="473">
        <f t="shared" si="14"/>
        <v>2531.3445801681664</v>
      </c>
      <c r="V38" s="473">
        <f t="shared" si="14"/>
        <v>2608.8633601764304</v>
      </c>
      <c r="W38" s="473">
        <f t="shared" si="14"/>
        <v>2686.3821411153881</v>
      </c>
      <c r="X38" s="473">
        <f t="shared" si="14"/>
        <v>2763.9009229847748</v>
      </c>
      <c r="Y38" s="473">
        <f t="shared" si="14"/>
        <v>2841.4197057843257</v>
      </c>
      <c r="Z38" s="473">
        <f t="shared" si="14"/>
        <v>2918.9384895137764</v>
      </c>
      <c r="AA38" s="473">
        <f t="shared" si="14"/>
        <v>2996.4572741728643</v>
      </c>
      <c r="AB38" s="473">
        <f t="shared" si="14"/>
        <v>3073.9760597613263</v>
      </c>
      <c r="AC38" s="473">
        <f t="shared" si="14"/>
        <v>3151.494846278898</v>
      </c>
      <c r="AD38" s="473">
        <f t="shared" si="14"/>
        <v>3229.0136337253161</v>
      </c>
    </row>
    <row r="39" spans="1:49" x14ac:dyDescent="0.25">
      <c r="A39" t="s">
        <v>355</v>
      </c>
      <c r="B39" s="636"/>
      <c r="C39" s="234">
        <f>C30*298</f>
        <v>16.665384282980281</v>
      </c>
      <c r="D39" s="234">
        <f t="shared" ref="D39:AD39" si="15">D30*298</f>
        <v>18.142206669065832</v>
      </c>
      <c r="E39" s="234">
        <f t="shared" si="15"/>
        <v>18.205856948641138</v>
      </c>
      <c r="F39" s="234">
        <f t="shared" si="15"/>
        <v>20.001084536471698</v>
      </c>
      <c r="G39" s="234">
        <f t="shared" si="15"/>
        <v>21.520507531238881</v>
      </c>
      <c r="H39" s="234">
        <f t="shared" si="15"/>
        <v>24.019936813567607</v>
      </c>
      <c r="I39" s="234">
        <f t="shared" si="15"/>
        <v>25.964984025683592</v>
      </c>
      <c r="J39" s="234">
        <f t="shared" si="15"/>
        <v>27.96982152379238</v>
      </c>
      <c r="K39" s="234">
        <f t="shared" si="15"/>
        <v>28.146729905596491</v>
      </c>
      <c r="L39" s="234">
        <f t="shared" si="15"/>
        <v>29.568912689066369</v>
      </c>
      <c r="M39" s="234">
        <f t="shared" si="15"/>
        <v>30.991095534828897</v>
      </c>
      <c r="N39" s="234">
        <f t="shared" si="15"/>
        <v>32.413278442866385</v>
      </c>
      <c r="O39" s="234">
        <f t="shared" si="15"/>
        <v>33.835461413161177</v>
      </c>
      <c r="P39" s="234">
        <f t="shared" si="15"/>
        <v>35.257644445695597</v>
      </c>
      <c r="Q39" s="234">
        <f t="shared" si="15"/>
        <v>36.679827540452003</v>
      </c>
      <c r="R39" s="234">
        <f t="shared" si="15"/>
        <v>38.102010697412751</v>
      </c>
      <c r="S39" s="234">
        <f t="shared" si="15"/>
        <v>39.524193916560193</v>
      </c>
      <c r="T39" s="234">
        <f t="shared" si="15"/>
        <v>40.946377197876657</v>
      </c>
      <c r="U39" s="234">
        <f t="shared" si="15"/>
        <v>42.368560541344571</v>
      </c>
      <c r="V39" s="234">
        <f t="shared" si="15"/>
        <v>43.790743946946264</v>
      </c>
      <c r="W39" s="234">
        <f t="shared" si="15"/>
        <v>45.212927414664087</v>
      </c>
      <c r="X39" s="234">
        <f t="shared" si="15"/>
        <v>46.635110944480452</v>
      </c>
      <c r="Y39" s="234">
        <f t="shared" si="15"/>
        <v>48.057294536377746</v>
      </c>
      <c r="Z39" s="234">
        <f t="shared" si="15"/>
        <v>49.479478190338362</v>
      </c>
      <c r="AA39" s="234">
        <f t="shared" si="15"/>
        <v>50.901661906344678</v>
      </c>
      <c r="AB39" s="234">
        <f t="shared" si="15"/>
        <v>52.323845684379087</v>
      </c>
      <c r="AC39" s="234">
        <f t="shared" si="15"/>
        <v>53.746029524424024</v>
      </c>
      <c r="AD39" s="234">
        <f t="shared" si="15"/>
        <v>55.168213426461868</v>
      </c>
    </row>
    <row r="40" spans="1:49" x14ac:dyDescent="0.25">
      <c r="A40" t="s">
        <v>357</v>
      </c>
      <c r="B40" s="636"/>
      <c r="C40" s="234">
        <f>C31/1000</f>
        <v>8.8002000000000011E-3</v>
      </c>
      <c r="D40" s="234">
        <f t="shared" ref="D40:AD40" si="16">D31/1000</f>
        <v>1.5820200000000003E-2</v>
      </c>
      <c r="E40" s="234">
        <f t="shared" si="16"/>
        <v>1.1660999999999999E-2</v>
      </c>
      <c r="F40" s="234">
        <f t="shared" si="16"/>
        <v>1.3436E-2</v>
      </c>
      <c r="G40" s="234">
        <f t="shared" si="16"/>
        <v>0.14006960000000002</v>
      </c>
      <c r="H40" s="234">
        <f t="shared" si="16"/>
        <v>0.14203380000000002</v>
      </c>
      <c r="I40" s="234">
        <f t="shared" si="16"/>
        <v>0.13338437</v>
      </c>
      <c r="J40" s="234">
        <f t="shared" si="16"/>
        <v>0.13529859999999999</v>
      </c>
      <c r="K40" s="234">
        <f t="shared" si="16"/>
        <v>0.18164033288712503</v>
      </c>
      <c r="L40" s="234">
        <f t="shared" si="16"/>
        <v>0.20528492078876495</v>
      </c>
      <c r="M40" s="234">
        <f t="shared" si="16"/>
        <v>0.22891775982632639</v>
      </c>
      <c r="N40" s="234">
        <f t="shared" si="16"/>
        <v>0.25253886166996958</v>
      </c>
      <c r="O40" s="234">
        <f t="shared" si="16"/>
        <v>0.27614823797235494</v>
      </c>
      <c r="P40" s="234">
        <f t="shared" si="16"/>
        <v>0.2997459003689289</v>
      </c>
      <c r="Q40" s="234">
        <f t="shared" si="16"/>
        <v>0.32333186047763823</v>
      </c>
      <c r="R40" s="234">
        <f t="shared" si="16"/>
        <v>0.34690612989935882</v>
      </c>
      <c r="S40" s="234">
        <f t="shared" si="16"/>
        <v>0.3704687202176094</v>
      </c>
      <c r="T40" s="234">
        <f t="shared" si="16"/>
        <v>0.39401964299860004</v>
      </c>
      <c r="U40" s="234">
        <f t="shared" si="16"/>
        <v>0.41755890979170801</v>
      </c>
      <c r="V40" s="234">
        <f t="shared" si="16"/>
        <v>0.44108653212881088</v>
      </c>
      <c r="W40" s="234">
        <f t="shared" si="16"/>
        <v>0.46460252152485848</v>
      </c>
      <c r="X40" s="234">
        <f t="shared" si="16"/>
        <v>0.4881068894776821</v>
      </c>
      <c r="Y40" s="234">
        <f t="shared" si="16"/>
        <v>0.51159964746804243</v>
      </c>
      <c r="Z40" s="234">
        <f t="shared" si="16"/>
        <v>0.53508080695986748</v>
      </c>
      <c r="AA40" s="234">
        <f t="shared" si="16"/>
        <v>0.55855037939982422</v>
      </c>
      <c r="AB40" s="234">
        <f t="shared" si="16"/>
        <v>0.58200837621793744</v>
      </c>
      <c r="AC40" s="234">
        <f t="shared" si="16"/>
        <v>0.60545480882716174</v>
      </c>
      <c r="AD40" s="234">
        <f t="shared" si="16"/>
        <v>0.62888968862357142</v>
      </c>
    </row>
    <row r="41" spans="1:49" x14ac:dyDescent="0.25">
      <c r="A41" t="s">
        <v>563</v>
      </c>
      <c r="B41" s="636"/>
      <c r="C41" s="473">
        <f>C32*298</f>
        <v>889.1725418331971</v>
      </c>
      <c r="D41" s="473">
        <f t="shared" ref="D41:AD41" si="17">D32*298</f>
        <v>759.41975198413229</v>
      </c>
      <c r="E41" s="473">
        <f t="shared" si="17"/>
        <v>867.68012082108567</v>
      </c>
      <c r="F41" s="473">
        <f t="shared" si="17"/>
        <v>961.55088540272027</v>
      </c>
      <c r="G41" s="473">
        <f t="shared" si="17"/>
        <v>963.3212973940997</v>
      </c>
      <c r="H41" s="473">
        <f t="shared" si="17"/>
        <v>929.01905970769747</v>
      </c>
      <c r="I41" s="473">
        <f t="shared" si="17"/>
        <v>930.22228778573208</v>
      </c>
      <c r="J41" s="473">
        <f t="shared" si="17"/>
        <v>919.03383423805838</v>
      </c>
      <c r="K41" s="473">
        <f t="shared" si="17"/>
        <v>1020.9950986658226</v>
      </c>
      <c r="L41" s="473">
        <f t="shared" si="17"/>
        <v>1048.047474172263</v>
      </c>
      <c r="M41" s="473">
        <f t="shared" si="17"/>
        <v>1083.2795707046951</v>
      </c>
      <c r="N41" s="473">
        <f t="shared" si="17"/>
        <v>1100.9422554385787</v>
      </c>
      <c r="O41" s="473">
        <f t="shared" si="17"/>
        <v>1118.6052326096215</v>
      </c>
      <c r="P41" s="473">
        <f t="shared" si="17"/>
        <v>1136.268490436958</v>
      </c>
      <c r="Q41" s="473">
        <f t="shared" si="17"/>
        <v>1153.9320176734982</v>
      </c>
      <c r="R41" s="473">
        <f t="shared" si="17"/>
        <v>1171.5958035761732</v>
      </c>
      <c r="S41" s="473">
        <f t="shared" si="17"/>
        <v>1189.2598378781429</v>
      </c>
      <c r="T41" s="473">
        <f t="shared" si="17"/>
        <v>1206.9241107628238</v>
      </c>
      <c r="U41" s="473">
        <f t="shared" si="17"/>
        <v>1224.5886128396003</v>
      </c>
      <c r="V41" s="473">
        <f t="shared" si="17"/>
        <v>1242.253335121083</v>
      </c>
      <c r="W41" s="473">
        <f t="shared" si="17"/>
        <v>1259.9182690018172</v>
      </c>
      <c r="X41" s="473">
        <f t="shared" si="17"/>
        <v>1277.583406238319</v>
      </c>
      <c r="Y41" s="473">
        <f t="shared" si="17"/>
        <v>1295.248738930351</v>
      </c>
      <c r="Z41" s="473">
        <f t="shared" si="17"/>
        <v>1312.9142595033532</v>
      </c>
      <c r="AA41" s="473">
        <f t="shared" si="17"/>
        <v>1330.5799606919309</v>
      </c>
      <c r="AB41" s="473">
        <f t="shared" si="17"/>
        <v>1348.2458355243498</v>
      </c>
      <c r="AC41" s="473">
        <f t="shared" si="17"/>
        <v>1365.9118773079429</v>
      </c>
      <c r="AD41" s="473">
        <f t="shared" si="17"/>
        <v>1383.5780796153851</v>
      </c>
    </row>
    <row r="42" spans="1:49" x14ac:dyDescent="0.25">
      <c r="A42" t="s">
        <v>419</v>
      </c>
      <c r="C42" s="473">
        <f>SUM(C37:C41)</f>
        <v>3628.6276083961775</v>
      </c>
      <c r="D42" s="473">
        <f t="shared" ref="D42:AD42" si="18">SUM(D37:D41)</f>
        <v>3810.4861328531979</v>
      </c>
      <c r="E42" s="473">
        <f t="shared" si="18"/>
        <v>3932.854575921805</v>
      </c>
      <c r="F42" s="473">
        <f t="shared" si="18"/>
        <v>4041.0159268491921</v>
      </c>
      <c r="G42" s="473">
        <f t="shared" si="18"/>
        <v>4163.6935593453391</v>
      </c>
      <c r="H42" s="473">
        <f t="shared" si="18"/>
        <v>4241.2711922512644</v>
      </c>
      <c r="I42" s="473">
        <f t="shared" si="18"/>
        <v>4488.904709641416</v>
      </c>
      <c r="J42" s="473">
        <f t="shared" si="18"/>
        <v>4659.3426552318506</v>
      </c>
      <c r="K42" s="473">
        <f t="shared" si="18"/>
        <v>4820.6478430627176</v>
      </c>
      <c r="L42" s="473">
        <f t="shared" si="18"/>
        <v>4946.9386633206659</v>
      </c>
      <c r="M42" s="473">
        <f t="shared" si="18"/>
        <v>5081.4091938513693</v>
      </c>
      <c r="N42" s="473">
        <f t="shared" si="18"/>
        <v>5198.3103018416787</v>
      </c>
      <c r="O42" s="473">
        <f t="shared" si="18"/>
        <v>5315.2116915386696</v>
      </c>
      <c r="P42" s="473">
        <f t="shared" si="18"/>
        <v>5432.1133511728322</v>
      </c>
      <c r="Q42" s="473">
        <f t="shared" si="18"/>
        <v>5549.0152695084098</v>
      </c>
      <c r="R42" s="473">
        <f t="shared" si="18"/>
        <v>5665.9174358136543</v>
      </c>
      <c r="S42" s="473">
        <f t="shared" si="18"/>
        <v>5782.8198398330251</v>
      </c>
      <c r="T42" s="473">
        <f t="shared" si="18"/>
        <v>5899.7224717612226</v>
      </c>
      <c r="U42" s="473">
        <f t="shared" si="18"/>
        <v>6016.6253222189025</v>
      </c>
      <c r="V42" s="473">
        <f t="shared" si="18"/>
        <v>6133.5283822299216</v>
      </c>
      <c r="W42" s="473">
        <f t="shared" si="18"/>
        <v>6250.4316432000605</v>
      </c>
      <c r="X42" s="473">
        <f t="shared" si="18"/>
        <v>6367.3350968970517</v>
      </c>
      <c r="Y42" s="473">
        <f t="shared" si="18"/>
        <v>6484.2387354318562</v>
      </c>
      <c r="Z42" s="473">
        <f t="shared" si="18"/>
        <v>6601.1425512410951</v>
      </c>
      <c r="AA42" s="473">
        <f t="shared" si="18"/>
        <v>6718.0465370705397</v>
      </c>
      <c r="AB42" s="473">
        <f t="shared" si="18"/>
        <v>6834.9506859596077</v>
      </c>
      <c r="AC42" s="473">
        <f t="shared" si="18"/>
        <v>6951.8549912267572</v>
      </c>
      <c r="AD42" s="473">
        <f t="shared" si="18"/>
        <v>7068.7594464557869</v>
      </c>
    </row>
    <row r="45" spans="1:49" x14ac:dyDescent="0.25">
      <c r="H45" s="234" t="s">
        <v>584</v>
      </c>
    </row>
    <row r="46" spans="1:49" ht="30" x14ac:dyDescent="0.25">
      <c r="H46" s="500" t="s">
        <v>403</v>
      </c>
      <c r="I46" s="501" t="s">
        <v>585</v>
      </c>
      <c r="V46">
        <v>3628.6276083961775</v>
      </c>
      <c r="W46">
        <v>3810.4861328531979</v>
      </c>
      <c r="X46">
        <v>3932.854575921805</v>
      </c>
      <c r="Y46">
        <v>4041.0159268491921</v>
      </c>
      <c r="Z46">
        <v>4163.6935593453391</v>
      </c>
      <c r="AA46">
        <v>4241.2711922512644</v>
      </c>
      <c r="AB46">
        <v>4488.904709641416</v>
      </c>
      <c r="AC46">
        <v>4659.3426552318506</v>
      </c>
      <c r="AD46">
        <v>4820.6478430627176</v>
      </c>
      <c r="AE46">
        <v>4946.9386633206659</v>
      </c>
      <c r="AF46">
        <v>5081.4091938513693</v>
      </c>
      <c r="AG46">
        <v>5198.3103018416787</v>
      </c>
      <c r="AH46">
        <v>5315.2116915386696</v>
      </c>
      <c r="AI46">
        <v>5432.1133511728322</v>
      </c>
      <c r="AJ46">
        <v>5549.0152695084098</v>
      </c>
      <c r="AK46">
        <v>5665.9174358136543</v>
      </c>
      <c r="AL46">
        <v>5782.8198398330251</v>
      </c>
      <c r="AM46">
        <v>5899.7224717612226</v>
      </c>
      <c r="AN46">
        <v>6016.6253222189025</v>
      </c>
      <c r="AO46">
        <v>6133.5283822299216</v>
      </c>
      <c r="AP46">
        <v>6250.4316432000605</v>
      </c>
      <c r="AQ46">
        <v>6367.3350968970517</v>
      </c>
      <c r="AR46">
        <v>6484.2387354318562</v>
      </c>
      <c r="AS46">
        <v>6601.1425512410951</v>
      </c>
      <c r="AT46">
        <v>6718.0465370705397</v>
      </c>
      <c r="AU46">
        <v>6834.9506859596077</v>
      </c>
      <c r="AV46">
        <v>6951.8549912267572</v>
      </c>
      <c r="AW46">
        <v>7068.7594464557869</v>
      </c>
    </row>
    <row r="47" spans="1:49" x14ac:dyDescent="0.25">
      <c r="H47" s="499">
        <v>2003</v>
      </c>
      <c r="I47" s="502">
        <v>3628.6276083961775</v>
      </c>
    </row>
    <row r="48" spans="1:49" x14ac:dyDescent="0.25">
      <c r="H48" s="499">
        <v>2004</v>
      </c>
      <c r="I48" s="502">
        <v>3810.4861328531979</v>
      </c>
    </row>
    <row r="49" spans="8:9" x14ac:dyDescent="0.25">
      <c r="H49" s="499">
        <v>2005</v>
      </c>
      <c r="I49" s="502">
        <v>3932.854575921805</v>
      </c>
    </row>
    <row r="50" spans="8:9" x14ac:dyDescent="0.25">
      <c r="H50" s="499">
        <v>2006</v>
      </c>
      <c r="I50" s="502">
        <v>4041.0159268491921</v>
      </c>
    </row>
    <row r="51" spans="8:9" x14ac:dyDescent="0.25">
      <c r="H51" s="499">
        <v>2007</v>
      </c>
      <c r="I51" s="502">
        <v>4163.6935593453391</v>
      </c>
    </row>
    <row r="52" spans="8:9" x14ac:dyDescent="0.25">
      <c r="H52" s="499">
        <v>2008</v>
      </c>
      <c r="I52" s="502">
        <v>4241.2711922512644</v>
      </c>
    </row>
    <row r="53" spans="8:9" x14ac:dyDescent="0.25">
      <c r="H53" s="499">
        <v>2009</v>
      </c>
      <c r="I53" s="502">
        <v>4488.904709641416</v>
      </c>
    </row>
    <row r="54" spans="8:9" x14ac:dyDescent="0.25">
      <c r="H54" s="499">
        <v>2010</v>
      </c>
      <c r="I54" s="502">
        <v>4659.3426552318506</v>
      </c>
    </row>
    <row r="55" spans="8:9" x14ac:dyDescent="0.25">
      <c r="H55" s="499">
        <v>2011</v>
      </c>
      <c r="I55" s="502">
        <v>4820.6478430627176</v>
      </c>
    </row>
    <row r="56" spans="8:9" x14ac:dyDescent="0.25">
      <c r="H56" s="499">
        <v>2012</v>
      </c>
      <c r="I56" s="502">
        <v>4946.9386633206659</v>
      </c>
    </row>
    <row r="57" spans="8:9" x14ac:dyDescent="0.25">
      <c r="H57" s="499">
        <v>2013</v>
      </c>
      <c r="I57" s="502">
        <v>5081.4091938513693</v>
      </c>
    </row>
    <row r="58" spans="8:9" x14ac:dyDescent="0.25">
      <c r="H58" s="499">
        <v>2014</v>
      </c>
      <c r="I58" s="502">
        <v>5198.3103018416787</v>
      </c>
    </row>
    <row r="59" spans="8:9" x14ac:dyDescent="0.25">
      <c r="H59" s="499">
        <v>2015</v>
      </c>
      <c r="I59" s="502">
        <v>5315.2116915386696</v>
      </c>
    </row>
    <row r="60" spans="8:9" x14ac:dyDescent="0.25">
      <c r="H60" s="499">
        <v>2016</v>
      </c>
      <c r="I60" s="502">
        <v>5432.1133511728322</v>
      </c>
    </row>
    <row r="61" spans="8:9" x14ac:dyDescent="0.25">
      <c r="H61" s="499">
        <v>2017</v>
      </c>
      <c r="I61" s="502">
        <v>5549.0152695084098</v>
      </c>
    </row>
    <row r="62" spans="8:9" x14ac:dyDescent="0.25">
      <c r="H62" s="499">
        <v>2018</v>
      </c>
      <c r="I62" s="502">
        <v>5665.9174358136543</v>
      </c>
    </row>
    <row r="63" spans="8:9" x14ac:dyDescent="0.25">
      <c r="H63" s="499">
        <v>2019</v>
      </c>
      <c r="I63" s="502">
        <v>5782.8198398330251</v>
      </c>
    </row>
    <row r="64" spans="8:9" x14ac:dyDescent="0.25">
      <c r="H64" s="499">
        <v>2020</v>
      </c>
      <c r="I64" s="502">
        <v>5899.7224717612226</v>
      </c>
    </row>
    <row r="65" spans="8:9" x14ac:dyDescent="0.25">
      <c r="H65" s="499">
        <v>2021</v>
      </c>
      <c r="I65" s="502">
        <v>6016.6253222189025</v>
      </c>
    </row>
    <row r="66" spans="8:9" x14ac:dyDescent="0.25">
      <c r="H66" s="499">
        <v>2022</v>
      </c>
      <c r="I66" s="502">
        <v>6133.5283822299216</v>
      </c>
    </row>
    <row r="67" spans="8:9" x14ac:dyDescent="0.25">
      <c r="H67" s="499">
        <v>2023</v>
      </c>
      <c r="I67" s="502">
        <v>6250.4316432000605</v>
      </c>
    </row>
    <row r="68" spans="8:9" x14ac:dyDescent="0.25">
      <c r="H68" s="499">
        <v>2024</v>
      </c>
      <c r="I68" s="502">
        <v>6367.3350968970517</v>
      </c>
    </row>
    <row r="69" spans="8:9" x14ac:dyDescent="0.25">
      <c r="H69" s="499">
        <v>2025</v>
      </c>
      <c r="I69" s="502">
        <v>6484.2387354318562</v>
      </c>
    </row>
    <row r="70" spans="8:9" x14ac:dyDescent="0.25">
      <c r="H70" s="499">
        <v>2026</v>
      </c>
      <c r="I70" s="502">
        <v>6601.1425512410951</v>
      </c>
    </row>
    <row r="71" spans="8:9" x14ac:dyDescent="0.25">
      <c r="H71" s="499">
        <v>2027</v>
      </c>
      <c r="I71" s="502">
        <v>6718.0465370705397</v>
      </c>
    </row>
    <row r="72" spans="8:9" x14ac:dyDescent="0.25">
      <c r="H72" s="499">
        <v>2028</v>
      </c>
      <c r="I72" s="502">
        <v>6834.9506859596077</v>
      </c>
    </row>
    <row r="73" spans="8:9" x14ac:dyDescent="0.25">
      <c r="H73" s="499">
        <v>2029</v>
      </c>
      <c r="I73" s="502">
        <v>6951.8549912267572</v>
      </c>
    </row>
    <row r="74" spans="8:9" x14ac:dyDescent="0.25">
      <c r="H74" s="499">
        <v>2030</v>
      </c>
      <c r="I74" s="502">
        <v>7068.7594464557869</v>
      </c>
    </row>
  </sheetData>
  <mergeCells count="5">
    <mergeCell ref="B14:B15"/>
    <mergeCell ref="A14:A15"/>
    <mergeCell ref="C14:M14"/>
    <mergeCell ref="B16:B23"/>
    <mergeCell ref="B37:B4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G156"/>
  <sheetViews>
    <sheetView topLeftCell="A160" workbookViewId="0">
      <selection activeCell="E178" sqref="E178"/>
    </sheetView>
  </sheetViews>
  <sheetFormatPr defaultRowHeight="15" x14ac:dyDescent="0.25"/>
  <cols>
    <col min="1" max="1" width="21.28515625" customWidth="1"/>
    <col min="2" max="2" width="19.7109375" customWidth="1"/>
    <col min="3" max="4" width="15.85546875" customWidth="1"/>
    <col min="5" max="5" width="17.28515625" bestFit="1" customWidth="1"/>
    <col min="6" max="6" width="12.28515625" customWidth="1"/>
    <col min="7" max="7" width="14.85546875" customWidth="1"/>
    <col min="8" max="8" width="18.140625" customWidth="1"/>
    <col min="9" max="9" width="18.85546875" customWidth="1"/>
    <col min="10" max="10" width="16" customWidth="1"/>
    <col min="11" max="11" width="13.85546875" bestFit="1" customWidth="1"/>
    <col min="12" max="12" width="11.85546875" customWidth="1"/>
    <col min="13" max="13" width="11.5703125" customWidth="1"/>
    <col min="14" max="14" width="10.28515625" customWidth="1"/>
    <col min="15" max="15" width="10.5703125" bestFit="1" customWidth="1"/>
    <col min="16" max="17" width="11.5703125" bestFit="1" customWidth="1"/>
    <col min="18" max="18" width="11.140625" customWidth="1"/>
    <col min="19" max="19" width="10.85546875" customWidth="1"/>
    <col min="20" max="20" width="10.42578125" customWidth="1"/>
    <col min="21" max="21" width="11" customWidth="1"/>
    <col min="22" max="22" width="11.85546875" customWidth="1"/>
    <col min="23" max="23" width="10.7109375" customWidth="1"/>
    <col min="24" max="25" width="11.7109375" customWidth="1"/>
    <col min="26" max="27" width="10.85546875" bestFit="1" customWidth="1"/>
    <col min="28" max="28" width="10.5703125" bestFit="1" customWidth="1"/>
    <col min="29" max="29" width="10.85546875" bestFit="1" customWidth="1"/>
    <col min="30" max="30" width="10.28515625" bestFit="1" customWidth="1"/>
    <col min="31" max="31" width="10.5703125" bestFit="1" customWidth="1"/>
    <col min="32" max="33" width="10.28515625" bestFit="1" customWidth="1"/>
  </cols>
  <sheetData>
    <row r="2" spans="1:22" ht="15.75" thickBot="1" x14ac:dyDescent="0.3"/>
    <row r="3" spans="1:22" ht="24" customHeight="1" thickBot="1" x14ac:dyDescent="0.3">
      <c r="A3" s="527" t="s">
        <v>403</v>
      </c>
      <c r="B3" s="392" t="s">
        <v>413</v>
      </c>
      <c r="C3" s="392" t="s">
        <v>412</v>
      </c>
      <c r="D3" s="392" t="s">
        <v>19</v>
      </c>
      <c r="E3" s="392" t="s">
        <v>60</v>
      </c>
      <c r="F3" s="392" t="s">
        <v>20</v>
      </c>
      <c r="G3" s="392" t="s">
        <v>21</v>
      </c>
      <c r="H3" s="392" t="s">
        <v>61</v>
      </c>
      <c r="I3" s="390" t="s">
        <v>414</v>
      </c>
      <c r="J3" s="228" t="s">
        <v>415</v>
      </c>
      <c r="K3" s="228" t="s">
        <v>416</v>
      </c>
      <c r="L3" s="228" t="s">
        <v>72</v>
      </c>
      <c r="V3" s="27"/>
    </row>
    <row r="4" spans="1:22" x14ac:dyDescent="0.25">
      <c r="A4" s="527"/>
      <c r="B4" s="392" t="s">
        <v>66</v>
      </c>
      <c r="C4" s="392" t="s">
        <v>66</v>
      </c>
      <c r="D4" s="392" t="s">
        <v>66</v>
      </c>
      <c r="E4" s="392" t="s">
        <v>66</v>
      </c>
      <c r="F4" s="392" t="s">
        <v>66</v>
      </c>
      <c r="G4" s="392" t="s">
        <v>66</v>
      </c>
      <c r="H4" s="392" t="s">
        <v>66</v>
      </c>
      <c r="I4" s="345" t="s">
        <v>66</v>
      </c>
      <c r="J4" s="345" t="s">
        <v>66</v>
      </c>
      <c r="K4" s="345" t="s">
        <v>66</v>
      </c>
      <c r="L4" s="345" t="s">
        <v>66</v>
      </c>
      <c r="V4" s="27"/>
    </row>
    <row r="5" spans="1:22" x14ac:dyDescent="0.25">
      <c r="A5" s="392">
        <v>2000</v>
      </c>
      <c r="B5" s="361">
        <v>84756</v>
      </c>
      <c r="C5" s="361">
        <v>165686</v>
      </c>
      <c r="D5" s="361">
        <v>166898</v>
      </c>
      <c r="E5" s="361">
        <v>3036812</v>
      </c>
      <c r="F5" s="361">
        <v>1160462</v>
      </c>
      <c r="G5" s="361">
        <v>10763</v>
      </c>
      <c r="H5" s="361">
        <v>9253</v>
      </c>
      <c r="I5" s="391">
        <v>26939832</v>
      </c>
      <c r="J5" s="346">
        <v>5962619</v>
      </c>
      <c r="K5" s="346">
        <v>27674161</v>
      </c>
      <c r="L5" s="346">
        <v>3481702</v>
      </c>
      <c r="V5" s="27"/>
    </row>
    <row r="6" spans="1:22" x14ac:dyDescent="0.25">
      <c r="A6" s="392">
        <v>2001</v>
      </c>
      <c r="B6" s="361">
        <v>84934</v>
      </c>
      <c r="C6" s="361">
        <v>189518</v>
      </c>
      <c r="D6" s="361">
        <v>153372</v>
      </c>
      <c r="E6" s="361">
        <v>3087038</v>
      </c>
      <c r="F6" s="361">
        <v>922633</v>
      </c>
      <c r="G6" s="361">
        <v>11851</v>
      </c>
      <c r="H6" s="361">
        <v>12337</v>
      </c>
      <c r="I6" s="391">
        <v>27703049</v>
      </c>
      <c r="J6" s="346">
        <v>7403492</v>
      </c>
      <c r="K6" s="346">
        <v>31490528.333333332</v>
      </c>
      <c r="L6" s="346">
        <v>4055539</v>
      </c>
      <c r="V6" s="27"/>
    </row>
    <row r="7" spans="1:22" x14ac:dyDescent="0.25">
      <c r="A7" s="392">
        <v>2002</v>
      </c>
      <c r="B7" s="361">
        <v>91219</v>
      </c>
      <c r="C7" s="361">
        <v>205843</v>
      </c>
      <c r="D7" s="361">
        <v>148778</v>
      </c>
      <c r="E7" s="361">
        <v>3162234</v>
      </c>
      <c r="F7" s="361">
        <v>878043</v>
      </c>
      <c r="G7" s="361">
        <v>11963</v>
      </c>
      <c r="H7" s="361">
        <v>9702</v>
      </c>
      <c r="I7" s="391">
        <v>30273580</v>
      </c>
      <c r="J7" s="346">
        <v>8588803</v>
      </c>
      <c r="K7" s="346">
        <v>42146199.5</v>
      </c>
      <c r="L7" s="346">
        <v>4293637</v>
      </c>
      <c r="V7" s="27"/>
    </row>
    <row r="8" spans="1:22" x14ac:dyDescent="0.25">
      <c r="A8" s="392">
        <v>2003</v>
      </c>
      <c r="B8" s="361">
        <v>95513</v>
      </c>
      <c r="C8" s="361">
        <v>223818</v>
      </c>
      <c r="D8" s="361">
        <v>146758</v>
      </c>
      <c r="E8" s="361">
        <v>3288884</v>
      </c>
      <c r="F8" s="361">
        <v>930066</v>
      </c>
      <c r="G8" s="361">
        <v>12124</v>
      </c>
      <c r="H8" s="361">
        <v>11207</v>
      </c>
      <c r="I8" s="391">
        <v>31294784</v>
      </c>
      <c r="J8" s="346">
        <v>8446127</v>
      </c>
      <c r="K8" s="346">
        <v>46245137</v>
      </c>
      <c r="L8" s="346">
        <v>4952224</v>
      </c>
      <c r="V8" s="27"/>
    </row>
    <row r="9" spans="1:22" x14ac:dyDescent="0.25">
      <c r="A9" s="392">
        <v>2004</v>
      </c>
      <c r="B9" s="361">
        <v>98958</v>
      </c>
      <c r="C9" s="361">
        <v>232949</v>
      </c>
      <c r="D9" s="361">
        <v>149960</v>
      </c>
      <c r="E9" s="361">
        <v>3529456</v>
      </c>
      <c r="F9" s="361">
        <v>1144102</v>
      </c>
      <c r="G9" s="361">
        <v>14242</v>
      </c>
      <c r="H9" s="361">
        <v>8092</v>
      </c>
      <c r="I9" s="391">
        <v>30779120</v>
      </c>
      <c r="J9" s="346">
        <v>9720685</v>
      </c>
      <c r="K9" s="346">
        <v>51922827.666666664</v>
      </c>
      <c r="L9" s="346">
        <v>4880019</v>
      </c>
      <c r="V9" s="27"/>
    </row>
    <row r="10" spans="1:22" x14ac:dyDescent="0.25">
      <c r="A10" s="392">
        <v>2005</v>
      </c>
      <c r="B10" s="361">
        <v>92755</v>
      </c>
      <c r="C10" s="361">
        <v>234948</v>
      </c>
      <c r="D10" s="361">
        <v>147157</v>
      </c>
      <c r="E10" s="361">
        <v>3737803</v>
      </c>
      <c r="F10" s="361">
        <v>999267</v>
      </c>
      <c r="G10" s="361">
        <v>12569</v>
      </c>
      <c r="H10" s="361">
        <v>9056.7545957063885</v>
      </c>
      <c r="I10" s="391">
        <v>31043932</v>
      </c>
      <c r="J10" s="346">
        <v>10171904</v>
      </c>
      <c r="K10" s="346">
        <v>53943997.833333336</v>
      </c>
      <c r="L10" s="346">
        <v>5335872</v>
      </c>
      <c r="V10" s="27"/>
    </row>
    <row r="11" spans="1:22" x14ac:dyDescent="0.25">
      <c r="A11" s="392">
        <v>2006</v>
      </c>
      <c r="B11" s="361">
        <v>97367</v>
      </c>
      <c r="C11" s="361">
        <v>254243</v>
      </c>
      <c r="D11" s="361">
        <v>149444</v>
      </c>
      <c r="E11" s="361">
        <v>4221806</v>
      </c>
      <c r="F11" s="361">
        <v>1148547</v>
      </c>
      <c r="G11" s="361">
        <v>15555</v>
      </c>
      <c r="H11" s="361">
        <v>12487</v>
      </c>
      <c r="I11" s="391">
        <v>29319161</v>
      </c>
      <c r="J11" s="346">
        <v>10351105</v>
      </c>
      <c r="K11" s="346">
        <v>57325681.666666664</v>
      </c>
      <c r="L11" s="346">
        <v>5296757</v>
      </c>
      <c r="V11" s="27"/>
    </row>
    <row r="12" spans="1:22" x14ac:dyDescent="0.25">
      <c r="A12" s="392">
        <v>2007</v>
      </c>
      <c r="B12" s="361">
        <v>103489</v>
      </c>
      <c r="C12" s="361">
        <v>272264</v>
      </c>
      <c r="D12" s="361">
        <v>149030</v>
      </c>
      <c r="E12" s="361">
        <v>4605417</v>
      </c>
      <c r="F12" s="361">
        <v>1294453</v>
      </c>
      <c r="G12" s="361">
        <v>15755</v>
      </c>
      <c r="H12" s="361">
        <v>7043</v>
      </c>
      <c r="I12" s="391">
        <v>27789274</v>
      </c>
      <c r="J12" s="346">
        <v>11462744</v>
      </c>
      <c r="K12" s="346">
        <v>58084469.833333336</v>
      </c>
      <c r="L12" s="346">
        <v>6534753</v>
      </c>
      <c r="V12" s="27"/>
    </row>
    <row r="13" spans="1:22" x14ac:dyDescent="0.25">
      <c r="A13" s="392">
        <v>2008</v>
      </c>
      <c r="B13" s="361">
        <v>111250</v>
      </c>
      <c r="C13" s="361">
        <v>295554</v>
      </c>
      <c r="D13" s="361">
        <v>145847</v>
      </c>
      <c r="E13" s="361">
        <v>5311836</v>
      </c>
      <c r="F13" s="361">
        <v>1431012</v>
      </c>
      <c r="G13" s="361">
        <v>13717</v>
      </c>
      <c r="H13" s="361">
        <v>4773</v>
      </c>
      <c r="I13" s="391">
        <v>27761015</v>
      </c>
      <c r="J13" s="346">
        <v>10303478</v>
      </c>
      <c r="K13" s="346">
        <v>69562266.333333343</v>
      </c>
      <c r="L13" s="346">
        <v>7962095</v>
      </c>
      <c r="V13" s="27"/>
    </row>
    <row r="14" spans="1:22" x14ac:dyDescent="0.25">
      <c r="A14" s="392">
        <v>2009</v>
      </c>
      <c r="B14" s="361">
        <v>117839</v>
      </c>
      <c r="C14" s="361">
        <v>310981</v>
      </c>
      <c r="D14" s="361">
        <v>142502</v>
      </c>
      <c r="E14" s="361">
        <v>5817834</v>
      </c>
      <c r="F14" s="361">
        <v>1615002</v>
      </c>
      <c r="G14" s="361">
        <v>13757</v>
      </c>
      <c r="H14" s="361">
        <v>8146</v>
      </c>
      <c r="I14" s="391">
        <v>28371910</v>
      </c>
      <c r="J14" s="346">
        <v>10501767</v>
      </c>
      <c r="K14" s="346">
        <v>73088484.5</v>
      </c>
      <c r="L14" s="346">
        <v>8213920</v>
      </c>
      <c r="V14" s="27"/>
    </row>
    <row r="15" spans="1:22" x14ac:dyDescent="0.25">
      <c r="A15" s="392">
        <v>2010</v>
      </c>
      <c r="B15" s="361">
        <v>120475</v>
      </c>
      <c r="C15" s="361">
        <v>327750</v>
      </c>
      <c r="D15" s="361">
        <v>139730</v>
      </c>
      <c r="E15" s="361">
        <v>6275299</v>
      </c>
      <c r="F15" s="361">
        <v>1801320</v>
      </c>
      <c r="G15" s="361">
        <v>13929</v>
      </c>
      <c r="H15" s="361">
        <v>8327</v>
      </c>
      <c r="I15" s="391">
        <v>27394516</v>
      </c>
      <c r="J15" s="346">
        <v>11252390</v>
      </c>
      <c r="K15" s="346">
        <v>82969025.666666657</v>
      </c>
      <c r="L15" s="346">
        <v>9871091</v>
      </c>
      <c r="V15" s="27"/>
    </row>
    <row r="16" spans="1:22" ht="15.75" thickBot="1" x14ac:dyDescent="0.3">
      <c r="A16" s="392">
        <v>2011</v>
      </c>
      <c r="B16" s="393">
        <v>121483.19999999998</v>
      </c>
      <c r="C16" s="394">
        <v>337319.26666666666</v>
      </c>
      <c r="D16" s="393">
        <v>141532.19999999998</v>
      </c>
      <c r="E16" s="393">
        <v>6340767.2000000002</v>
      </c>
      <c r="F16" s="395">
        <v>1755509.8</v>
      </c>
      <c r="G16" s="393">
        <v>15104.533333333333</v>
      </c>
      <c r="H16" s="393">
        <v>6488.116973047092</v>
      </c>
      <c r="I16" s="226">
        <v>27616728.729221676</v>
      </c>
      <c r="J16" s="226">
        <v>12107700.666666666</v>
      </c>
      <c r="K16" s="226">
        <v>83956352.76666671</v>
      </c>
      <c r="L16" s="226">
        <v>9464803.7333333343</v>
      </c>
      <c r="V16" s="27"/>
    </row>
    <row r="17" spans="1:22" ht="15.75" thickBot="1" x14ac:dyDescent="0.3">
      <c r="A17" s="392">
        <v>2012</v>
      </c>
      <c r="B17" s="393">
        <v>125138.34545454544</v>
      </c>
      <c r="C17" s="394">
        <v>352325.16969696968</v>
      </c>
      <c r="D17" s="393">
        <v>140491.18181818182</v>
      </c>
      <c r="E17" s="393">
        <v>6711132.0181818185</v>
      </c>
      <c r="F17" s="393">
        <v>1853521.6727272726</v>
      </c>
      <c r="G17" s="393">
        <v>15387.866666666667</v>
      </c>
      <c r="H17" s="393">
        <v>6010.1245209519011</v>
      </c>
      <c r="I17" s="226">
        <v>27608894.78166661</v>
      </c>
      <c r="J17" s="226">
        <v>12535356</v>
      </c>
      <c r="K17" s="226">
        <v>88916078.39090915</v>
      </c>
      <c r="L17" s="226">
        <v>10069387.921212122</v>
      </c>
      <c r="V17" s="27"/>
    </row>
    <row r="18" spans="1:22" ht="15.75" thickBot="1" x14ac:dyDescent="0.3">
      <c r="A18" s="392">
        <v>2013</v>
      </c>
      <c r="B18" s="394">
        <v>128793.49090909091</v>
      </c>
      <c r="C18" s="396">
        <v>367331.07272727269</v>
      </c>
      <c r="D18" s="394">
        <v>139450.16363636364</v>
      </c>
      <c r="E18" s="393">
        <v>7081496.8363636369</v>
      </c>
      <c r="F18" s="394">
        <v>1951533.5454545454</v>
      </c>
      <c r="G18" s="394">
        <v>15671.2</v>
      </c>
      <c r="H18" s="394">
        <v>5532.1320688567112</v>
      </c>
      <c r="I18" s="227">
        <v>27601063.05634195</v>
      </c>
      <c r="J18" s="226">
        <v>12963011.333333332</v>
      </c>
      <c r="K18" s="226">
        <v>93875804.01515159</v>
      </c>
      <c r="L18" s="226">
        <v>10673972.109090909</v>
      </c>
      <c r="V18" s="27"/>
    </row>
    <row r="19" spans="1:22" ht="15.75" thickBot="1" x14ac:dyDescent="0.3">
      <c r="A19" s="392">
        <v>2014</v>
      </c>
      <c r="B19" s="394">
        <v>132448.63636363635</v>
      </c>
      <c r="C19" s="394">
        <v>382336.97575757571</v>
      </c>
      <c r="D19" s="394">
        <v>138409.14545454545</v>
      </c>
      <c r="E19" s="394">
        <v>7451861.6545454543</v>
      </c>
      <c r="F19" s="394">
        <v>2049545.4181818182</v>
      </c>
      <c r="G19" s="394">
        <v>15954.533333333333</v>
      </c>
      <c r="H19" s="394">
        <v>5054.1396167615203</v>
      </c>
      <c r="I19" s="226">
        <v>27593233.552617323</v>
      </c>
      <c r="J19" s="226">
        <v>13390666.666666666</v>
      </c>
      <c r="K19" s="226">
        <v>98835529.639394015</v>
      </c>
      <c r="L19" s="226">
        <v>11278556.296969697</v>
      </c>
      <c r="V19" s="27"/>
    </row>
    <row r="20" spans="1:22" ht="20.25" customHeight="1" thickBot="1" x14ac:dyDescent="0.3">
      <c r="A20" s="392">
        <v>2015</v>
      </c>
      <c r="B20" s="394">
        <v>136103.7818181818</v>
      </c>
      <c r="C20" s="394">
        <v>397342.87878787878</v>
      </c>
      <c r="D20" s="394">
        <v>137368.12727272726</v>
      </c>
      <c r="E20" s="394">
        <v>7822226.4727272727</v>
      </c>
      <c r="F20" s="394">
        <v>2147557.290909091</v>
      </c>
      <c r="G20" s="394">
        <v>16237.866666666667</v>
      </c>
      <c r="H20" s="394">
        <v>4576.1471646663304</v>
      </c>
      <c r="I20" s="226">
        <v>27585406.269862529</v>
      </c>
      <c r="J20" s="226">
        <v>13818322</v>
      </c>
      <c r="K20" s="226">
        <v>103795255.26363644</v>
      </c>
      <c r="L20" s="226">
        <v>11883140.484848484</v>
      </c>
      <c r="V20" s="27"/>
    </row>
    <row r="21" spans="1:22" ht="15.75" thickBot="1" x14ac:dyDescent="0.3">
      <c r="A21" s="392">
        <v>2016</v>
      </c>
      <c r="B21" s="394">
        <v>139758.92727272725</v>
      </c>
      <c r="C21" s="394">
        <v>412348.7818181818</v>
      </c>
      <c r="D21" s="394">
        <v>136327.10909090907</v>
      </c>
      <c r="E21" s="394">
        <v>8192591.290909091</v>
      </c>
      <c r="F21" s="394">
        <v>2245569.1636363636</v>
      </c>
      <c r="G21" s="394">
        <v>16521.2</v>
      </c>
      <c r="H21" s="394">
        <v>4098.1547125711395</v>
      </c>
      <c r="I21" s="226">
        <v>27577581.20744757</v>
      </c>
      <c r="J21" s="226">
        <v>14245977.333333332</v>
      </c>
      <c r="K21" s="226">
        <v>108754980.88787888</v>
      </c>
      <c r="L21" s="226">
        <v>12487724.672727272</v>
      </c>
      <c r="V21" s="27" t="s">
        <v>60</v>
      </c>
    </row>
    <row r="22" spans="1:22" ht="15.75" thickBot="1" x14ac:dyDescent="0.3">
      <c r="A22" s="392">
        <v>2017</v>
      </c>
      <c r="B22" s="394">
        <v>143414.07272727272</v>
      </c>
      <c r="C22" s="394">
        <v>427354.68484848482</v>
      </c>
      <c r="D22" s="394">
        <v>135286.09090909091</v>
      </c>
      <c r="E22" s="394">
        <v>8562956.1090909094</v>
      </c>
      <c r="F22" s="394">
        <v>2343581.0363636361</v>
      </c>
      <c r="G22" s="394">
        <v>16804.533333333333</v>
      </c>
      <c r="H22" s="394">
        <v>3620.1622604759486</v>
      </c>
      <c r="I22" s="226">
        <v>27569758.364742592</v>
      </c>
      <c r="J22" s="226">
        <v>14673632.666666666</v>
      </c>
      <c r="K22" s="226">
        <v>113714706.51212132</v>
      </c>
      <c r="L22" s="226">
        <v>13092308.860606059</v>
      </c>
      <c r="V22" s="27" t="s">
        <v>20</v>
      </c>
    </row>
    <row r="23" spans="1:22" ht="15.75" thickBot="1" x14ac:dyDescent="0.3">
      <c r="A23" s="392">
        <v>2018</v>
      </c>
      <c r="B23" s="394">
        <v>147069.21818181817</v>
      </c>
      <c r="C23" s="394">
        <v>442360.58787878783</v>
      </c>
      <c r="D23" s="394">
        <v>134245.07272727272</v>
      </c>
      <c r="E23" s="394">
        <v>8933320.9272727277</v>
      </c>
      <c r="F23" s="394">
        <v>2441592.9090909092</v>
      </c>
      <c r="G23" s="394">
        <v>17087.866666666669</v>
      </c>
      <c r="H23" s="394">
        <v>3142.1698083807587</v>
      </c>
      <c r="I23" s="226">
        <v>27561937.741117943</v>
      </c>
      <c r="J23" s="226">
        <v>15101288</v>
      </c>
      <c r="K23" s="226">
        <v>118674432.13636374</v>
      </c>
      <c r="L23" s="226">
        <v>13696893.048484847</v>
      </c>
      <c r="V23" s="27" t="s">
        <v>21</v>
      </c>
    </row>
    <row r="24" spans="1:22" ht="15.75" thickBot="1" x14ac:dyDescent="0.3">
      <c r="A24" s="392">
        <v>2019</v>
      </c>
      <c r="B24" s="394">
        <v>150724.36363636365</v>
      </c>
      <c r="C24" s="394">
        <v>457366.49090909091</v>
      </c>
      <c r="D24" s="394">
        <v>133204.05454545454</v>
      </c>
      <c r="E24" s="394">
        <v>9303685.7454545461</v>
      </c>
      <c r="F24" s="394">
        <v>2539604.7818181817</v>
      </c>
      <c r="G24" s="394">
        <v>17371.2</v>
      </c>
      <c r="H24" s="394">
        <v>2664.1773562855687</v>
      </c>
      <c r="I24" s="226">
        <v>27554119.335944142</v>
      </c>
      <c r="J24" s="226">
        <v>15528943.333333332</v>
      </c>
      <c r="K24" s="226">
        <v>123634157.76060618</v>
      </c>
      <c r="L24" s="226">
        <v>14301477.236363638</v>
      </c>
      <c r="V24" s="27" t="s">
        <v>69</v>
      </c>
    </row>
    <row r="25" spans="1:22" ht="15.75" thickBot="1" x14ac:dyDescent="0.3">
      <c r="A25" s="392">
        <v>2020</v>
      </c>
      <c r="B25" s="394">
        <v>154379.50909090909</v>
      </c>
      <c r="C25" s="394">
        <v>472372.39393939392</v>
      </c>
      <c r="D25" s="394">
        <v>132163.03636363635</v>
      </c>
      <c r="E25" s="394">
        <v>9674050.5636363626</v>
      </c>
      <c r="F25" s="394">
        <v>2637616.6545454543</v>
      </c>
      <c r="G25" s="394">
        <v>17654.533333333333</v>
      </c>
      <c r="H25" s="397">
        <v>2186.184904190377</v>
      </c>
      <c r="I25" s="226">
        <v>27546303.148591895</v>
      </c>
      <c r="J25" s="226">
        <v>15956598.666666666</v>
      </c>
      <c r="K25" s="226">
        <v>128593883.38484861</v>
      </c>
      <c r="L25" s="226">
        <v>14906061.424242426</v>
      </c>
      <c r="V25" s="27" t="s">
        <v>70</v>
      </c>
    </row>
    <row r="26" spans="1:22" ht="15.75" thickBot="1" x14ac:dyDescent="0.3">
      <c r="A26" s="392">
        <v>2021</v>
      </c>
      <c r="B26" s="393">
        <v>158034.65454545454</v>
      </c>
      <c r="C26" s="393">
        <v>487378.29696969694</v>
      </c>
      <c r="D26" s="393">
        <v>131122.01818181819</v>
      </c>
      <c r="E26" s="393">
        <v>10044415.381818183</v>
      </c>
      <c r="F26" s="393">
        <v>2735628.5272727273</v>
      </c>
      <c r="G26" s="393">
        <v>17937.866666666669</v>
      </c>
      <c r="H26" s="393">
        <v>1708.192452095187</v>
      </c>
      <c r="I26" s="226">
        <v>27538489.17843207</v>
      </c>
      <c r="J26" s="225">
        <v>16384254</v>
      </c>
      <c r="K26" s="225">
        <v>133553609.00909105</v>
      </c>
      <c r="L26" s="225">
        <v>15510645.612121213</v>
      </c>
      <c r="V26" s="27" t="s">
        <v>71</v>
      </c>
    </row>
    <row r="27" spans="1:22" ht="15.75" thickBot="1" x14ac:dyDescent="0.3">
      <c r="A27" s="392">
        <v>2022</v>
      </c>
      <c r="B27" s="393">
        <v>161689.79999999999</v>
      </c>
      <c r="C27" s="393">
        <v>502384.2</v>
      </c>
      <c r="D27" s="393">
        <v>130081</v>
      </c>
      <c r="E27" s="393">
        <v>10414780.199999999</v>
      </c>
      <c r="F27" s="393">
        <v>2833640.4000000004</v>
      </c>
      <c r="G27" s="393">
        <v>18221.2</v>
      </c>
      <c r="H27" s="393">
        <v>1230.1999999999971</v>
      </c>
      <c r="I27" s="225">
        <v>27530677.424835734</v>
      </c>
      <c r="J27" s="225">
        <v>16811909.333333332</v>
      </c>
      <c r="K27" s="225">
        <v>138513334.63333347</v>
      </c>
      <c r="L27" s="225">
        <v>16115229.800000001</v>
      </c>
      <c r="V27" s="27" t="s">
        <v>72</v>
      </c>
    </row>
    <row r="28" spans="1:22" ht="15.75" thickBot="1" x14ac:dyDescent="0.3">
      <c r="A28" s="392">
        <v>2023</v>
      </c>
      <c r="B28" s="393">
        <v>165344.94545454544</v>
      </c>
      <c r="C28" s="393">
        <v>517390.10303030303</v>
      </c>
      <c r="D28" s="393">
        <v>129039.98181818181</v>
      </c>
      <c r="E28" s="393">
        <v>10785145.018181819</v>
      </c>
      <c r="F28" s="393">
        <v>2931652.2727272725</v>
      </c>
      <c r="G28" s="393">
        <v>18504.533333333333</v>
      </c>
      <c r="H28" s="393">
        <v>752.20754790480714</v>
      </c>
      <c r="I28" s="225">
        <v>27522867.887174107</v>
      </c>
      <c r="J28" s="225">
        <v>17239564.666666664</v>
      </c>
      <c r="K28" s="225">
        <v>143473060.25757593</v>
      </c>
      <c r="L28" s="225">
        <v>16719813.987878788</v>
      </c>
      <c r="V28" s="27"/>
    </row>
    <row r="29" spans="1:22" ht="15.75" thickBot="1" x14ac:dyDescent="0.3">
      <c r="A29" s="392">
        <v>2024</v>
      </c>
      <c r="B29" s="393">
        <v>169000.09090909088</v>
      </c>
      <c r="C29" s="393">
        <v>532396.0060606061</v>
      </c>
      <c r="D29" s="393">
        <v>127998.96363636362</v>
      </c>
      <c r="E29" s="393">
        <v>11155509.836363636</v>
      </c>
      <c r="F29" s="393">
        <v>3029664.1454545455</v>
      </c>
      <c r="G29" s="393">
        <v>18787.866666666669</v>
      </c>
      <c r="H29" s="393">
        <v>274.21509580961538</v>
      </c>
      <c r="I29" s="225">
        <v>27515060.564818621</v>
      </c>
      <c r="J29" s="225">
        <v>17667220</v>
      </c>
      <c r="K29" s="225">
        <v>148432785.88181835</v>
      </c>
      <c r="L29" s="225">
        <v>17324398.175757576</v>
      </c>
      <c r="V29" s="27"/>
    </row>
    <row r="30" spans="1:22" ht="15.75" thickBot="1" x14ac:dyDescent="0.3">
      <c r="A30" s="392">
        <v>2025</v>
      </c>
      <c r="B30" s="393">
        <v>172655.23636363633</v>
      </c>
      <c r="C30" s="393">
        <v>547401.90909090906</v>
      </c>
      <c r="D30" s="393">
        <v>126957.94545454545</v>
      </c>
      <c r="E30" s="393">
        <v>11525874.654545456</v>
      </c>
      <c r="F30" s="393">
        <v>3127676.0181818185</v>
      </c>
      <c r="G30" s="393">
        <v>19071.2</v>
      </c>
      <c r="H30" s="398">
        <v>0</v>
      </c>
      <c r="I30" s="225">
        <v>27507255.457140852</v>
      </c>
      <c r="J30" s="225">
        <v>18094875.333333332</v>
      </c>
      <c r="K30" s="225">
        <v>153392511.50606078</v>
      </c>
      <c r="L30" s="225">
        <v>17928982.363636363</v>
      </c>
      <c r="V30" s="27"/>
    </row>
    <row r="31" spans="1:22" ht="15.75" thickBot="1" x14ac:dyDescent="0.3">
      <c r="A31" s="392">
        <v>2026</v>
      </c>
      <c r="B31" s="393">
        <v>176310.38181818181</v>
      </c>
      <c r="C31" s="393">
        <v>562407.81212121202</v>
      </c>
      <c r="D31" s="393">
        <v>125916.92727272728</v>
      </c>
      <c r="E31" s="393">
        <v>11896239.472727273</v>
      </c>
      <c r="F31" s="393">
        <v>3225687.8909090906</v>
      </c>
      <c r="G31" s="393">
        <v>19354.533333333333</v>
      </c>
      <c r="H31" s="398">
        <v>0</v>
      </c>
      <c r="I31" s="225">
        <v>27499452.563512575</v>
      </c>
      <c r="J31" s="225">
        <v>18522530.666666664</v>
      </c>
      <c r="K31" s="225">
        <v>158352237.1303032</v>
      </c>
      <c r="L31" s="225">
        <v>18533566.551515151</v>
      </c>
      <c r="V31" s="27"/>
    </row>
    <row r="32" spans="1:22" ht="15.75" thickBot="1" x14ac:dyDescent="0.3">
      <c r="A32" s="392">
        <v>2027</v>
      </c>
      <c r="B32" s="393">
        <v>179965.52727272728</v>
      </c>
      <c r="C32" s="393">
        <v>577413.71515151509</v>
      </c>
      <c r="D32" s="393">
        <v>124875.90909090909</v>
      </c>
      <c r="E32" s="393">
        <v>12266604.290909089</v>
      </c>
      <c r="F32" s="393">
        <v>3323699.7636363637</v>
      </c>
      <c r="G32" s="393">
        <v>19637.866666666665</v>
      </c>
      <c r="H32" s="398">
        <v>0</v>
      </c>
      <c r="I32" s="225">
        <v>27491651.883305736</v>
      </c>
      <c r="J32" s="225">
        <v>18950186</v>
      </c>
      <c r="K32" s="225">
        <v>163311962.75454563</v>
      </c>
      <c r="L32" s="225">
        <v>19138150.739393938</v>
      </c>
      <c r="V32" s="27"/>
    </row>
    <row r="33" spans="1:33" ht="15.75" thickBot="1" x14ac:dyDescent="0.3">
      <c r="A33" s="392">
        <v>2028</v>
      </c>
      <c r="B33" s="393">
        <v>183620.67272727273</v>
      </c>
      <c r="C33" s="393">
        <v>592419.61818181816</v>
      </c>
      <c r="D33" s="393">
        <v>123834.8909090909</v>
      </c>
      <c r="E33" s="393">
        <v>12636969.109090909</v>
      </c>
      <c r="F33" s="393">
        <v>3421711.6363636367</v>
      </c>
      <c r="G33" s="393">
        <v>19921.2</v>
      </c>
      <c r="H33" s="398">
        <v>0</v>
      </c>
      <c r="I33" s="225">
        <v>27483853.415892471</v>
      </c>
      <c r="J33" s="225">
        <v>19377841.333333332</v>
      </c>
      <c r="K33" s="225">
        <v>168271688.37878808</v>
      </c>
      <c r="L33" s="225">
        <v>19742734.92727273</v>
      </c>
    </row>
    <row r="34" spans="1:33" ht="15.75" thickBot="1" x14ac:dyDescent="0.3">
      <c r="A34" s="392">
        <v>2029</v>
      </c>
      <c r="B34" s="393">
        <v>187275.81818181818</v>
      </c>
      <c r="C34" s="393">
        <v>607425.52121212124</v>
      </c>
      <c r="D34" s="393">
        <v>122793.87272727273</v>
      </c>
      <c r="E34" s="393">
        <v>13007333.927272726</v>
      </c>
      <c r="F34" s="393">
        <v>3519723.5090909088</v>
      </c>
      <c r="G34" s="393">
        <v>20204.533333333333</v>
      </c>
      <c r="H34" s="398">
        <v>0</v>
      </c>
      <c r="I34" s="225">
        <v>27476057.160645064</v>
      </c>
      <c r="J34" s="225">
        <v>19805496.666666664</v>
      </c>
      <c r="K34" s="225">
        <v>173231414.00303051</v>
      </c>
      <c r="L34" s="225">
        <v>20347319.115151517</v>
      </c>
    </row>
    <row r="35" spans="1:33" ht="15.75" thickBot="1" x14ac:dyDescent="0.3">
      <c r="A35" s="392">
        <v>2030</v>
      </c>
      <c r="B35" s="393">
        <v>190930.96363636362</v>
      </c>
      <c r="C35" s="394">
        <v>622431.42424242431</v>
      </c>
      <c r="D35" s="393">
        <v>121752.85454545454</v>
      </c>
      <c r="E35" s="393">
        <v>13377698.745454546</v>
      </c>
      <c r="F35" s="393">
        <v>3617735.3818181818</v>
      </c>
      <c r="G35" s="393">
        <v>20487.866666666669</v>
      </c>
      <c r="H35" s="398">
        <v>0</v>
      </c>
      <c r="I35" s="225">
        <v>27468263.116936017</v>
      </c>
      <c r="J35" s="225">
        <v>20233152</v>
      </c>
      <c r="K35" s="225">
        <v>178191139.62727293</v>
      </c>
      <c r="L35" s="225">
        <v>20951903.303030305</v>
      </c>
    </row>
    <row r="36" spans="1:33" ht="25.5" thickBot="1" x14ac:dyDescent="0.3">
      <c r="B36" s="225"/>
      <c r="C36" s="226"/>
      <c r="D36" s="225"/>
      <c r="E36" s="225"/>
      <c r="F36" s="225"/>
      <c r="G36" s="225"/>
      <c r="H36" s="352" t="s">
        <v>519</v>
      </c>
      <c r="I36" s="225"/>
      <c r="J36" s="225"/>
      <c r="K36" s="225"/>
      <c r="L36" s="225"/>
    </row>
    <row r="37" spans="1:33" x14ac:dyDescent="0.25">
      <c r="V37" s="27" t="s">
        <v>59</v>
      </c>
    </row>
    <row r="40" spans="1:33" x14ac:dyDescent="0.25">
      <c r="A40" s="230" t="s">
        <v>403</v>
      </c>
      <c r="B40" s="230"/>
      <c r="C40" s="231">
        <v>2000</v>
      </c>
      <c r="D40" s="231">
        <v>2001</v>
      </c>
      <c r="E40" s="231">
        <v>2002</v>
      </c>
      <c r="F40" s="231">
        <v>2003</v>
      </c>
      <c r="G40" s="231">
        <v>2004</v>
      </c>
      <c r="H40" s="231">
        <v>2005</v>
      </c>
      <c r="I40" s="231">
        <v>2006</v>
      </c>
      <c r="J40" s="231">
        <v>2007</v>
      </c>
      <c r="K40" s="231">
        <v>2008</v>
      </c>
      <c r="L40" s="231">
        <v>2009</v>
      </c>
      <c r="M40" s="231">
        <v>2010</v>
      </c>
      <c r="N40" s="231">
        <v>2011</v>
      </c>
      <c r="O40" s="231">
        <v>2012</v>
      </c>
      <c r="P40" s="231">
        <v>2013</v>
      </c>
      <c r="Q40" s="231">
        <v>2014</v>
      </c>
      <c r="R40" s="231">
        <v>2015</v>
      </c>
      <c r="S40" s="231">
        <v>2016</v>
      </c>
      <c r="T40" s="231">
        <v>2017</v>
      </c>
      <c r="U40" s="231">
        <v>2018</v>
      </c>
      <c r="V40" s="231">
        <v>2019</v>
      </c>
      <c r="W40" s="231">
        <v>2020</v>
      </c>
      <c r="X40" s="231">
        <v>2021</v>
      </c>
      <c r="Y40" s="231">
        <v>2022</v>
      </c>
      <c r="Z40" s="231">
        <v>2023</v>
      </c>
      <c r="AA40" s="231">
        <v>2024</v>
      </c>
      <c r="AB40" s="231">
        <v>2025</v>
      </c>
      <c r="AC40" s="231">
        <v>2026</v>
      </c>
      <c r="AD40" s="231">
        <v>2027</v>
      </c>
      <c r="AE40" s="231">
        <v>2028</v>
      </c>
      <c r="AF40" s="231">
        <v>2029</v>
      </c>
      <c r="AG40" s="231">
        <v>2030</v>
      </c>
    </row>
    <row r="41" spans="1:33" ht="15.75" thickBot="1" x14ac:dyDescent="0.3">
      <c r="A41" s="230" t="s">
        <v>413</v>
      </c>
      <c r="B41" s="230" t="s">
        <v>66</v>
      </c>
      <c r="C41" s="353">
        <v>84756</v>
      </c>
      <c r="D41" s="353">
        <v>84934</v>
      </c>
      <c r="E41" s="353">
        <v>91219</v>
      </c>
      <c r="F41" s="353">
        <v>95513</v>
      </c>
      <c r="G41" s="353">
        <v>98958</v>
      </c>
      <c r="H41" s="353">
        <v>92755</v>
      </c>
      <c r="I41" s="353">
        <v>97367</v>
      </c>
      <c r="J41" s="353">
        <v>103489</v>
      </c>
      <c r="K41" s="353">
        <v>111250</v>
      </c>
      <c r="L41" s="353">
        <v>117839</v>
      </c>
      <c r="M41" s="353">
        <v>120475</v>
      </c>
      <c r="N41" s="354">
        <v>121483.19999999998</v>
      </c>
      <c r="O41" s="354">
        <v>125138.34545454544</v>
      </c>
      <c r="P41" s="226">
        <v>128793.49090909091</v>
      </c>
      <c r="Q41" s="226">
        <v>132448.63636363635</v>
      </c>
      <c r="R41" s="226">
        <v>136103.7818181818</v>
      </c>
      <c r="S41" s="226">
        <v>139758.92727272725</v>
      </c>
      <c r="T41" s="226">
        <v>143414.07272727272</v>
      </c>
      <c r="U41" s="226">
        <v>147069.21818181817</v>
      </c>
      <c r="V41" s="226">
        <v>150724.36363636365</v>
      </c>
      <c r="W41" s="226">
        <v>154379.50909090909</v>
      </c>
      <c r="X41" s="225">
        <v>158034.65454545454</v>
      </c>
      <c r="Y41" s="225">
        <v>161689.79999999999</v>
      </c>
      <c r="Z41" s="225">
        <v>165344.94545454544</v>
      </c>
      <c r="AA41" s="225">
        <v>169000.09090909088</v>
      </c>
      <c r="AB41" s="225">
        <v>172655.23636363633</v>
      </c>
      <c r="AC41" s="225">
        <v>176310.38181818181</v>
      </c>
      <c r="AD41" s="225">
        <v>179965.52727272728</v>
      </c>
      <c r="AE41" s="225">
        <v>183620.67272727273</v>
      </c>
      <c r="AF41" s="225">
        <v>187275.81818181818</v>
      </c>
      <c r="AG41" s="225">
        <v>190930.96363636362</v>
      </c>
    </row>
    <row r="42" spans="1:33" ht="15.75" thickBot="1" x14ac:dyDescent="0.3">
      <c r="A42" s="230" t="s">
        <v>412</v>
      </c>
      <c r="B42" s="230" t="s">
        <v>66</v>
      </c>
      <c r="C42" s="346">
        <v>165686</v>
      </c>
      <c r="D42" s="346">
        <v>189518</v>
      </c>
      <c r="E42" s="346">
        <v>205843</v>
      </c>
      <c r="F42" s="346">
        <v>223818</v>
      </c>
      <c r="G42" s="346">
        <v>232949</v>
      </c>
      <c r="H42" s="346">
        <v>234948</v>
      </c>
      <c r="I42" s="346">
        <v>254243</v>
      </c>
      <c r="J42" s="346">
        <v>272264</v>
      </c>
      <c r="K42" s="346">
        <v>295554</v>
      </c>
      <c r="L42" s="346">
        <v>310981</v>
      </c>
      <c r="M42" s="346">
        <v>327750</v>
      </c>
      <c r="N42" s="347">
        <v>337319.26666666666</v>
      </c>
      <c r="O42" s="347">
        <v>352325.16969696968</v>
      </c>
      <c r="P42" s="227">
        <v>367331.07272727269</v>
      </c>
      <c r="Q42" s="226">
        <v>382336.97575757571</v>
      </c>
      <c r="R42" s="226">
        <v>397342.87878787878</v>
      </c>
      <c r="S42" s="226">
        <v>412348.7818181818</v>
      </c>
      <c r="T42" s="226">
        <v>427354.68484848482</v>
      </c>
      <c r="U42" s="226">
        <v>442360.58787878783</v>
      </c>
      <c r="V42" s="226">
        <v>457366.49090909091</v>
      </c>
      <c r="W42" s="226">
        <v>472372.39393939392</v>
      </c>
      <c r="X42" s="225">
        <v>487378.29696969694</v>
      </c>
      <c r="Y42" s="225">
        <v>502384.2</v>
      </c>
      <c r="Z42" s="225">
        <v>517390.10303030303</v>
      </c>
      <c r="AA42" s="225">
        <v>532396.0060606061</v>
      </c>
      <c r="AB42" s="225">
        <v>547401.90909090906</v>
      </c>
      <c r="AC42" s="225">
        <v>562407.81212121202</v>
      </c>
      <c r="AD42" s="225">
        <v>577413.71515151509</v>
      </c>
      <c r="AE42" s="225">
        <v>592419.61818181816</v>
      </c>
      <c r="AF42" s="225">
        <v>607425.52121212124</v>
      </c>
      <c r="AG42" s="226">
        <v>622431.42424242431</v>
      </c>
    </row>
    <row r="43" spans="1:33" ht="15.75" thickBot="1" x14ac:dyDescent="0.3">
      <c r="A43" s="230" t="s">
        <v>19</v>
      </c>
      <c r="B43" s="230" t="s">
        <v>66</v>
      </c>
      <c r="C43" s="346">
        <v>166898</v>
      </c>
      <c r="D43" s="346">
        <v>153372</v>
      </c>
      <c r="E43" s="346">
        <v>148778</v>
      </c>
      <c r="F43" s="346">
        <v>146758</v>
      </c>
      <c r="G43" s="346">
        <v>149960</v>
      </c>
      <c r="H43" s="346">
        <v>147157</v>
      </c>
      <c r="I43" s="346">
        <v>149444</v>
      </c>
      <c r="J43" s="346">
        <v>149030</v>
      </c>
      <c r="K43" s="346">
        <v>145847</v>
      </c>
      <c r="L43" s="346">
        <v>142502</v>
      </c>
      <c r="M43" s="346">
        <v>139730</v>
      </c>
      <c r="N43" s="356">
        <v>141532.19999999998</v>
      </c>
      <c r="O43" s="356">
        <v>140491.18181818182</v>
      </c>
      <c r="P43" s="226">
        <v>139450.16363636364</v>
      </c>
      <c r="Q43" s="226">
        <v>138409.14545454545</v>
      </c>
      <c r="R43" s="226">
        <v>137368.12727272726</v>
      </c>
      <c r="S43" s="226">
        <v>136327.10909090907</v>
      </c>
      <c r="T43" s="226">
        <v>135286.09090909091</v>
      </c>
      <c r="U43" s="226">
        <v>134245.07272727272</v>
      </c>
      <c r="V43" s="226">
        <v>133204.05454545454</v>
      </c>
      <c r="W43" s="226">
        <v>132163.03636363635</v>
      </c>
      <c r="X43" s="225">
        <v>131122.01818181819</v>
      </c>
      <c r="Y43" s="225">
        <v>130081</v>
      </c>
      <c r="Z43" s="225">
        <v>129039.98181818181</v>
      </c>
      <c r="AA43" s="225">
        <v>127998.96363636362</v>
      </c>
      <c r="AB43" s="225">
        <v>126957.94545454545</v>
      </c>
      <c r="AC43" s="225">
        <v>125916.92727272728</v>
      </c>
      <c r="AD43" s="225">
        <v>124875.90909090909</v>
      </c>
      <c r="AE43" s="225">
        <v>123834.8909090909</v>
      </c>
      <c r="AF43" s="225">
        <v>122793.87272727273</v>
      </c>
      <c r="AG43" s="225">
        <v>121752.85454545454</v>
      </c>
    </row>
    <row r="44" spans="1:33" ht="15.75" thickBot="1" x14ac:dyDescent="0.3">
      <c r="A44" s="230" t="s">
        <v>60</v>
      </c>
      <c r="B44" s="230" t="s">
        <v>66</v>
      </c>
      <c r="C44" s="346">
        <v>3036812</v>
      </c>
      <c r="D44" s="346">
        <v>3087038</v>
      </c>
      <c r="E44" s="346">
        <v>3162234</v>
      </c>
      <c r="F44" s="346">
        <v>3288884</v>
      </c>
      <c r="G44" s="346">
        <v>3529456</v>
      </c>
      <c r="H44" s="346">
        <v>3737803</v>
      </c>
      <c r="I44" s="346">
        <v>4221806</v>
      </c>
      <c r="J44" s="346">
        <v>4605417</v>
      </c>
      <c r="K44" s="346">
        <v>5311836</v>
      </c>
      <c r="L44" s="346">
        <v>5817834</v>
      </c>
      <c r="M44" s="346">
        <v>6275299</v>
      </c>
      <c r="N44" s="356">
        <v>6340767.2000000002</v>
      </c>
      <c r="O44" s="356">
        <v>6711132.0181818185</v>
      </c>
      <c r="P44" s="225">
        <v>7081496.8363636369</v>
      </c>
      <c r="Q44" s="226">
        <v>7451861.6545454543</v>
      </c>
      <c r="R44" s="226">
        <v>7822226.4727272727</v>
      </c>
      <c r="S44" s="226">
        <v>8192591.290909091</v>
      </c>
      <c r="T44" s="226">
        <v>8562956.1090909094</v>
      </c>
      <c r="U44" s="226">
        <v>8933320.9272727277</v>
      </c>
      <c r="V44" s="226">
        <v>9303685.7454545461</v>
      </c>
      <c r="W44" s="226">
        <v>9674050.5636363626</v>
      </c>
      <c r="X44" s="225">
        <v>10044415.381818183</v>
      </c>
      <c r="Y44" s="225">
        <v>10414780.199999999</v>
      </c>
      <c r="Z44" s="225">
        <v>10785145.018181819</v>
      </c>
      <c r="AA44" s="225">
        <v>11155509.836363636</v>
      </c>
      <c r="AB44" s="225">
        <v>11525874.654545456</v>
      </c>
      <c r="AC44" s="225">
        <v>11896239.472727273</v>
      </c>
      <c r="AD44" s="225">
        <v>12266604.290909089</v>
      </c>
      <c r="AE44" s="225">
        <v>12636969.109090909</v>
      </c>
      <c r="AF44" s="225">
        <v>13007333.927272726</v>
      </c>
      <c r="AG44" s="225">
        <v>13377698.745454546</v>
      </c>
    </row>
    <row r="45" spans="1:33" ht="15.75" thickBot="1" x14ac:dyDescent="0.3">
      <c r="A45" s="230" t="s">
        <v>20</v>
      </c>
      <c r="B45" s="230" t="s">
        <v>66</v>
      </c>
      <c r="C45" s="346">
        <v>1160462</v>
      </c>
      <c r="D45" s="346">
        <v>922633</v>
      </c>
      <c r="E45" s="346">
        <v>878043</v>
      </c>
      <c r="F45" s="346">
        <v>930066</v>
      </c>
      <c r="G45" s="346">
        <v>1144102</v>
      </c>
      <c r="H45" s="346">
        <v>999267</v>
      </c>
      <c r="I45" s="346">
        <v>1148547</v>
      </c>
      <c r="J45" s="346">
        <v>1294453</v>
      </c>
      <c r="K45" s="346">
        <v>1431012</v>
      </c>
      <c r="L45" s="346">
        <v>1615002</v>
      </c>
      <c r="M45" s="346">
        <v>1801320</v>
      </c>
      <c r="N45" s="60">
        <v>1755509.8</v>
      </c>
      <c r="O45" s="356">
        <v>1853521.6727272726</v>
      </c>
      <c r="P45" s="226">
        <v>1951533.5454545454</v>
      </c>
      <c r="Q45" s="226">
        <v>2049545.4181818182</v>
      </c>
      <c r="R45" s="226">
        <v>2147557.290909091</v>
      </c>
      <c r="S45" s="226">
        <v>2245569.1636363636</v>
      </c>
      <c r="T45" s="226">
        <v>2343581.0363636361</v>
      </c>
      <c r="U45" s="226">
        <v>2441592.9090909092</v>
      </c>
      <c r="V45" s="226">
        <v>2539604.7818181817</v>
      </c>
      <c r="W45" s="226">
        <v>2637616.6545454543</v>
      </c>
      <c r="X45" s="225">
        <v>2735628.5272727273</v>
      </c>
      <c r="Y45" s="225">
        <v>2833640.4000000004</v>
      </c>
      <c r="Z45" s="225">
        <v>2931652.2727272725</v>
      </c>
      <c r="AA45" s="225">
        <v>3029664.1454545455</v>
      </c>
      <c r="AB45" s="225">
        <v>3127676.0181818185</v>
      </c>
      <c r="AC45" s="225">
        <v>3225687.8909090906</v>
      </c>
      <c r="AD45" s="225">
        <v>3323699.7636363637</v>
      </c>
      <c r="AE45" s="225">
        <v>3421711.6363636367</v>
      </c>
      <c r="AF45" s="225">
        <v>3519723.5090909088</v>
      </c>
      <c r="AG45" s="225">
        <v>3617735.3818181818</v>
      </c>
    </row>
    <row r="46" spans="1:33" ht="15.75" thickBot="1" x14ac:dyDescent="0.3">
      <c r="A46" s="230" t="s">
        <v>21</v>
      </c>
      <c r="B46" s="230" t="s">
        <v>66</v>
      </c>
      <c r="C46" s="346">
        <v>10763</v>
      </c>
      <c r="D46" s="346">
        <v>11851</v>
      </c>
      <c r="E46" s="346">
        <v>11963</v>
      </c>
      <c r="F46" s="346">
        <v>12124</v>
      </c>
      <c r="G46" s="346">
        <v>14242</v>
      </c>
      <c r="H46" s="346">
        <v>12569</v>
      </c>
      <c r="I46" s="346">
        <v>15555</v>
      </c>
      <c r="J46" s="346">
        <v>15755</v>
      </c>
      <c r="K46" s="346">
        <v>13717</v>
      </c>
      <c r="L46" s="346">
        <v>13757</v>
      </c>
      <c r="M46" s="346">
        <v>13929</v>
      </c>
      <c r="N46" s="356">
        <v>15104.533333333333</v>
      </c>
      <c r="O46" s="356">
        <v>15387.866666666667</v>
      </c>
      <c r="P46" s="226">
        <v>15671.2</v>
      </c>
      <c r="Q46" s="226">
        <v>15954.533333333333</v>
      </c>
      <c r="R46" s="226">
        <v>16237.866666666667</v>
      </c>
      <c r="S46" s="226">
        <v>16521.2</v>
      </c>
      <c r="T46" s="226">
        <v>16804.533333333333</v>
      </c>
      <c r="U46" s="226">
        <v>17087.866666666669</v>
      </c>
      <c r="V46" s="226">
        <v>17371.2</v>
      </c>
      <c r="W46" s="226">
        <v>17654.533333333333</v>
      </c>
      <c r="X46" s="225">
        <v>17937.866666666669</v>
      </c>
      <c r="Y46" s="225">
        <v>18221.2</v>
      </c>
      <c r="Z46" s="225">
        <v>18504.533333333333</v>
      </c>
      <c r="AA46" s="225">
        <v>18787.866666666669</v>
      </c>
      <c r="AB46" s="225">
        <v>19071.2</v>
      </c>
      <c r="AC46" s="225">
        <v>19354.533333333333</v>
      </c>
      <c r="AD46" s="225">
        <v>19637.866666666665</v>
      </c>
      <c r="AE46" s="225">
        <v>19921.2</v>
      </c>
      <c r="AF46" s="225">
        <v>20204.533333333333</v>
      </c>
      <c r="AG46" s="225">
        <v>20487.866666666669</v>
      </c>
    </row>
    <row r="47" spans="1:33" ht="15.75" thickBot="1" x14ac:dyDescent="0.3">
      <c r="A47" s="230" t="s">
        <v>61</v>
      </c>
      <c r="B47" s="230" t="s">
        <v>66</v>
      </c>
      <c r="C47" s="346">
        <v>9253</v>
      </c>
      <c r="D47" s="346">
        <v>12337</v>
      </c>
      <c r="E47" s="346">
        <v>9702</v>
      </c>
      <c r="F47" s="346">
        <v>11207</v>
      </c>
      <c r="G47" s="346">
        <v>8092</v>
      </c>
      <c r="H47" s="346">
        <v>9056.7545957063885</v>
      </c>
      <c r="I47" s="346">
        <v>12487</v>
      </c>
      <c r="J47" s="346">
        <v>7043</v>
      </c>
      <c r="K47" s="346">
        <v>4773</v>
      </c>
      <c r="L47" s="346">
        <v>8146</v>
      </c>
      <c r="M47" s="346">
        <v>8327</v>
      </c>
      <c r="N47" s="356">
        <v>6488.116973047092</v>
      </c>
      <c r="O47" s="356">
        <v>6010.1245209519011</v>
      </c>
      <c r="P47" s="226">
        <v>5532.1320688567112</v>
      </c>
      <c r="Q47" s="226">
        <v>5054.1396167615203</v>
      </c>
      <c r="R47" s="226">
        <v>4576.1471646663304</v>
      </c>
      <c r="S47" s="226">
        <v>4098.1547125711395</v>
      </c>
      <c r="T47" s="226">
        <v>3620.1622604759486</v>
      </c>
      <c r="U47" s="226">
        <v>3142.1698083807587</v>
      </c>
      <c r="V47" s="226">
        <v>2664.1773562855687</v>
      </c>
      <c r="W47" s="351">
        <v>2186.184904190377</v>
      </c>
      <c r="X47" s="225">
        <v>1708.192452095187</v>
      </c>
      <c r="Y47" s="225">
        <v>1230.1999999999971</v>
      </c>
      <c r="Z47" s="225">
        <v>752.20754790480714</v>
      </c>
      <c r="AA47" s="225">
        <v>274.21509580961538</v>
      </c>
      <c r="AB47" s="352">
        <v>-203.77735628557457</v>
      </c>
      <c r="AC47" s="352">
        <v>-681.76980838076452</v>
      </c>
      <c r="AD47" s="352">
        <v>-1159.7622604759563</v>
      </c>
      <c r="AE47" s="352">
        <v>-1637.7547125711462</v>
      </c>
      <c r="AF47" s="352">
        <v>-2115.7471646663362</v>
      </c>
      <c r="AG47" s="352">
        <v>-2593.7396167615261</v>
      </c>
    </row>
    <row r="48" spans="1:33" ht="15.75" thickBot="1" x14ac:dyDescent="0.3">
      <c r="A48" s="230" t="s">
        <v>414</v>
      </c>
      <c r="B48" s="230" t="s">
        <v>66</v>
      </c>
      <c r="C48" s="355">
        <v>26939832</v>
      </c>
      <c r="D48" s="355">
        <v>27703049</v>
      </c>
      <c r="E48" s="355">
        <v>30273580</v>
      </c>
      <c r="F48" s="355">
        <v>31294784</v>
      </c>
      <c r="G48" s="355">
        <v>30779120</v>
      </c>
      <c r="H48" s="355">
        <v>31043932</v>
      </c>
      <c r="I48" s="355">
        <v>29319161</v>
      </c>
      <c r="J48" s="355">
        <v>27789274</v>
      </c>
      <c r="K48" s="355">
        <v>27761015</v>
      </c>
      <c r="L48" s="355">
        <v>28371910</v>
      </c>
      <c r="M48" s="355">
        <v>27394516</v>
      </c>
      <c r="N48" s="226">
        <v>27616728.729221676</v>
      </c>
      <c r="O48" s="226">
        <v>27608894.78166661</v>
      </c>
      <c r="P48" s="227">
        <v>27601063.05634195</v>
      </c>
      <c r="Q48" s="226">
        <v>27593233.552617323</v>
      </c>
      <c r="R48" s="226">
        <v>27585406.269862529</v>
      </c>
      <c r="S48" s="226">
        <v>27577581.20744757</v>
      </c>
      <c r="T48" s="226">
        <v>27569758.364742592</v>
      </c>
      <c r="U48" s="226">
        <v>27561937.741117943</v>
      </c>
      <c r="V48" s="226">
        <v>27554119.335944142</v>
      </c>
      <c r="W48" s="226">
        <v>27546303.148591895</v>
      </c>
      <c r="X48" s="226">
        <v>27538489.17843207</v>
      </c>
      <c r="Y48" s="225">
        <v>27530677.424835734</v>
      </c>
      <c r="Z48" s="225">
        <v>27522867.887174107</v>
      </c>
      <c r="AA48" s="225">
        <v>27515060.564818621</v>
      </c>
      <c r="AB48" s="225">
        <v>27507255.457140852</v>
      </c>
      <c r="AC48" s="225">
        <v>27499452.563512575</v>
      </c>
      <c r="AD48" s="225">
        <v>27491651.883305736</v>
      </c>
      <c r="AE48" s="225">
        <v>27483853.415892471</v>
      </c>
      <c r="AF48" s="225">
        <v>27476057.160645064</v>
      </c>
      <c r="AG48" s="225">
        <v>27468263.116936017</v>
      </c>
    </row>
    <row r="49" spans="1:33" ht="15.75" thickBot="1" x14ac:dyDescent="0.3">
      <c r="A49" s="230" t="s">
        <v>415</v>
      </c>
      <c r="B49" s="230" t="s">
        <v>66</v>
      </c>
      <c r="C49" s="346">
        <v>5962619</v>
      </c>
      <c r="D49" s="346">
        <v>7403492</v>
      </c>
      <c r="E49" s="346">
        <v>8588803</v>
      </c>
      <c r="F49" s="346">
        <v>8446127</v>
      </c>
      <c r="G49" s="346">
        <v>9720685</v>
      </c>
      <c r="H49" s="346">
        <v>10171904</v>
      </c>
      <c r="I49" s="346">
        <v>10351105</v>
      </c>
      <c r="J49" s="346">
        <v>11462744</v>
      </c>
      <c r="K49" s="346">
        <v>10303478</v>
      </c>
      <c r="L49" s="346">
        <v>10501767</v>
      </c>
      <c r="M49" s="346">
        <v>11252390</v>
      </c>
      <c r="N49" s="226">
        <v>12107700.666666666</v>
      </c>
      <c r="O49" s="226">
        <v>12535356</v>
      </c>
      <c r="P49" s="226">
        <v>12963011.333333332</v>
      </c>
      <c r="Q49" s="226">
        <v>13390666.666666666</v>
      </c>
      <c r="R49" s="226">
        <v>13818322</v>
      </c>
      <c r="S49" s="226">
        <v>14245977.333333332</v>
      </c>
      <c r="T49" s="226">
        <v>14673632.666666666</v>
      </c>
      <c r="U49" s="226">
        <v>15101288</v>
      </c>
      <c r="V49" s="226">
        <v>15528943.333333332</v>
      </c>
      <c r="W49" s="226">
        <v>15956598.666666666</v>
      </c>
      <c r="X49" s="225">
        <v>16384254</v>
      </c>
      <c r="Y49" s="225">
        <v>16811909.333333332</v>
      </c>
      <c r="Z49" s="225">
        <v>17239564.666666664</v>
      </c>
      <c r="AA49" s="225">
        <v>17667220</v>
      </c>
      <c r="AB49" s="225">
        <v>18094875.333333332</v>
      </c>
      <c r="AC49" s="225">
        <v>18522530.666666664</v>
      </c>
      <c r="AD49" s="225">
        <v>18950186</v>
      </c>
      <c r="AE49" s="225">
        <v>19377841.333333332</v>
      </c>
      <c r="AF49" s="225">
        <v>19805496.666666664</v>
      </c>
      <c r="AG49" s="225">
        <v>20233152</v>
      </c>
    </row>
    <row r="50" spans="1:33" ht="15.75" thickBot="1" x14ac:dyDescent="0.3">
      <c r="A50" s="230" t="s">
        <v>416</v>
      </c>
      <c r="B50" s="230" t="s">
        <v>66</v>
      </c>
      <c r="C50" s="346">
        <v>27674161</v>
      </c>
      <c r="D50" s="346">
        <v>31490528.333333332</v>
      </c>
      <c r="E50" s="346">
        <v>42146199.5</v>
      </c>
      <c r="F50" s="346">
        <v>46245137</v>
      </c>
      <c r="G50" s="346">
        <v>51922827.666666664</v>
      </c>
      <c r="H50" s="346">
        <v>53943997.833333336</v>
      </c>
      <c r="I50" s="346">
        <v>57325681.666666664</v>
      </c>
      <c r="J50" s="346">
        <v>58084469.833333336</v>
      </c>
      <c r="K50" s="346">
        <v>69562266.333333343</v>
      </c>
      <c r="L50" s="346">
        <v>73088484.5</v>
      </c>
      <c r="M50" s="346">
        <v>82969025.666666657</v>
      </c>
      <c r="N50" s="226">
        <v>83956352.76666671</v>
      </c>
      <c r="O50" s="226">
        <v>88916078.39090915</v>
      </c>
      <c r="P50" s="226">
        <v>93875804.01515159</v>
      </c>
      <c r="Q50" s="226">
        <v>98835529.639394015</v>
      </c>
      <c r="R50" s="226">
        <v>103795255.26363644</v>
      </c>
      <c r="S50" s="226">
        <v>108754980.88787888</v>
      </c>
      <c r="T50" s="226">
        <v>113714706.51212132</v>
      </c>
      <c r="U50" s="226">
        <v>118674432.13636374</v>
      </c>
      <c r="V50" s="226">
        <v>123634157.76060618</v>
      </c>
      <c r="W50" s="226">
        <v>128593883.38484861</v>
      </c>
      <c r="X50" s="225">
        <v>133553609.00909105</v>
      </c>
      <c r="Y50" s="225">
        <v>138513334.63333347</v>
      </c>
      <c r="Z50" s="225">
        <v>143473060.25757593</v>
      </c>
      <c r="AA50" s="225">
        <v>148432785.88181835</v>
      </c>
      <c r="AB50" s="225">
        <v>153392511.50606078</v>
      </c>
      <c r="AC50" s="225">
        <v>158352237.1303032</v>
      </c>
      <c r="AD50" s="225">
        <v>163311962.75454563</v>
      </c>
      <c r="AE50" s="225">
        <v>168271688.37878808</v>
      </c>
      <c r="AF50" s="225">
        <v>173231414.00303051</v>
      </c>
      <c r="AG50" s="225">
        <v>178191139.62727293</v>
      </c>
    </row>
    <row r="51" spans="1:33" ht="15.75" thickBot="1" x14ac:dyDescent="0.3">
      <c r="A51" s="230" t="s">
        <v>72</v>
      </c>
      <c r="B51" s="230" t="s">
        <v>66</v>
      </c>
      <c r="C51" s="346">
        <v>3481702</v>
      </c>
      <c r="D51" s="346">
        <v>4055539</v>
      </c>
      <c r="E51" s="346">
        <v>4293637</v>
      </c>
      <c r="F51" s="346">
        <v>4952224</v>
      </c>
      <c r="G51" s="346">
        <v>4880019</v>
      </c>
      <c r="H51" s="346">
        <v>5335872</v>
      </c>
      <c r="I51" s="346">
        <v>5296757</v>
      </c>
      <c r="J51" s="346">
        <v>6534753</v>
      </c>
      <c r="K51" s="346">
        <v>7962095</v>
      </c>
      <c r="L51" s="346">
        <v>8213920</v>
      </c>
      <c r="M51" s="346">
        <v>9871091</v>
      </c>
      <c r="N51" s="226">
        <v>9464803.7333333343</v>
      </c>
      <c r="O51" s="226">
        <v>10069387.921212122</v>
      </c>
      <c r="P51" s="226">
        <v>10673972.109090909</v>
      </c>
      <c r="Q51" s="226">
        <v>11278556.296969697</v>
      </c>
      <c r="R51" s="226">
        <v>11883140.484848484</v>
      </c>
      <c r="S51" s="226">
        <v>12487724.672727272</v>
      </c>
      <c r="T51" s="226">
        <v>13092308.860606059</v>
      </c>
      <c r="U51" s="226">
        <v>13696893.048484847</v>
      </c>
      <c r="V51" s="226">
        <v>14301477.236363638</v>
      </c>
      <c r="W51" s="226">
        <v>14906061.424242426</v>
      </c>
      <c r="X51" s="225">
        <v>15510645.612121213</v>
      </c>
      <c r="Y51" s="225">
        <v>16115229.800000001</v>
      </c>
      <c r="Z51" s="225">
        <v>16719813.987878788</v>
      </c>
      <c r="AA51" s="225">
        <v>17324398.175757576</v>
      </c>
      <c r="AB51" s="225">
        <v>17928982.363636363</v>
      </c>
      <c r="AC51" s="225">
        <v>18533566.551515151</v>
      </c>
      <c r="AD51" s="225">
        <v>19138150.739393938</v>
      </c>
      <c r="AE51" s="225">
        <v>19742734.92727273</v>
      </c>
      <c r="AF51" s="225">
        <v>20347319.115151517</v>
      </c>
      <c r="AG51" s="225">
        <v>20951903.303030305</v>
      </c>
    </row>
    <row r="52" spans="1:33" x14ac:dyDescent="0.25">
      <c r="A52" s="229"/>
      <c r="B52" s="229"/>
      <c r="C52" s="229"/>
      <c r="D52" s="229"/>
      <c r="E52" s="229"/>
      <c r="F52" s="229"/>
      <c r="G52" s="229"/>
      <c r="H52" s="229"/>
      <c r="I52" s="229"/>
      <c r="J52" s="229"/>
      <c r="K52" s="229"/>
      <c r="L52" s="229"/>
      <c r="M52" s="229"/>
      <c r="N52" s="229"/>
      <c r="O52" s="229"/>
    </row>
    <row r="54" spans="1:33" ht="21" x14ac:dyDescent="0.35">
      <c r="A54" s="271" t="s">
        <v>428</v>
      </c>
    </row>
    <row r="55" spans="1:33" ht="19.5" customHeight="1" x14ac:dyDescent="0.25">
      <c r="A55" s="408"/>
      <c r="B55" s="408"/>
      <c r="G55" s="422"/>
      <c r="H55" s="422"/>
    </row>
    <row r="56" spans="1:33" ht="15" customHeight="1" x14ac:dyDescent="0.25">
      <c r="A56" s="528" t="s">
        <v>403</v>
      </c>
      <c r="B56" s="428" t="s">
        <v>537</v>
      </c>
      <c r="C56" s="530" t="s">
        <v>539</v>
      </c>
      <c r="D56" s="530"/>
      <c r="E56" s="530"/>
      <c r="F56" s="530"/>
      <c r="G56" s="529" t="s">
        <v>439</v>
      </c>
      <c r="H56" s="424" t="s">
        <v>438</v>
      </c>
      <c r="I56" s="524" t="s">
        <v>538</v>
      </c>
    </row>
    <row r="57" spans="1:33" ht="30" x14ac:dyDescent="0.25">
      <c r="A57" s="528"/>
      <c r="B57" s="287" t="s">
        <v>533</v>
      </c>
      <c r="C57" s="420" t="s">
        <v>459</v>
      </c>
      <c r="D57" s="421" t="s">
        <v>468</v>
      </c>
      <c r="E57" s="421" t="s">
        <v>469</v>
      </c>
      <c r="F57" s="260" t="s">
        <v>501</v>
      </c>
      <c r="G57" s="529"/>
      <c r="H57" s="424"/>
      <c r="I57" s="525"/>
    </row>
    <row r="58" spans="1:33" x14ac:dyDescent="0.25">
      <c r="A58" s="399">
        <v>2001</v>
      </c>
      <c r="B58" s="348">
        <f>'Horti dominan sayur buah'!E58</f>
        <v>1728945</v>
      </c>
      <c r="C58" s="411">
        <v>188815</v>
      </c>
      <c r="D58" s="412">
        <f>'Horti dominan sayur buah'!S18</f>
        <v>145585</v>
      </c>
      <c r="E58" s="412">
        <f>'Horti dominan sayur buah'!S4</f>
        <v>65032</v>
      </c>
      <c r="F58" s="346">
        <v>137124</v>
      </c>
      <c r="G58" s="425">
        <f>SUM(C58:F58)</f>
        <v>536556</v>
      </c>
      <c r="H58" s="413"/>
      <c r="I58" s="426">
        <f>B58+G58</f>
        <v>2265501</v>
      </c>
    </row>
    <row r="59" spans="1:33" x14ac:dyDescent="0.25">
      <c r="A59" s="399">
        <v>2002</v>
      </c>
      <c r="B59" s="348">
        <f>'Horti dominan sayur buah'!E59</f>
        <v>1672478</v>
      </c>
      <c r="C59" s="411">
        <v>195022</v>
      </c>
      <c r="D59" s="412">
        <f>'Horti dominan sayur buah'!S19</f>
        <v>138025</v>
      </c>
      <c r="E59" s="412">
        <f>'Horti dominan sayur buah'!S5</f>
        <v>55265</v>
      </c>
      <c r="F59" s="346">
        <v>22714</v>
      </c>
      <c r="G59" s="425">
        <f t="shared" ref="G59:G87" si="0">SUM(C59:F59)</f>
        <v>411026</v>
      </c>
      <c r="H59" s="413"/>
      <c r="I59" s="426">
        <f t="shared" ref="I59:I86" si="1">B59+G59</f>
        <v>2083504</v>
      </c>
    </row>
    <row r="60" spans="1:33" x14ac:dyDescent="0.25">
      <c r="A60" s="399">
        <v>2003</v>
      </c>
      <c r="B60" s="348">
        <f>'Horti dominan sayur buah'!E60</f>
        <v>1532331</v>
      </c>
      <c r="C60" s="411">
        <v>228450</v>
      </c>
      <c r="D60" s="412">
        <f>'Horti dominan sayur buah'!S20</f>
        <v>142438</v>
      </c>
      <c r="E60" s="412">
        <f>'Horti dominan sayur buah'!S6</f>
        <v>67396</v>
      </c>
      <c r="F60" s="346">
        <v>132055</v>
      </c>
      <c r="G60" s="425">
        <f t="shared" si="0"/>
        <v>570339</v>
      </c>
      <c r="H60" s="413"/>
      <c r="I60" s="426">
        <f t="shared" si="1"/>
        <v>2102670</v>
      </c>
    </row>
    <row r="61" spans="1:33" x14ac:dyDescent="0.25">
      <c r="A61" s="399">
        <v>2004</v>
      </c>
      <c r="B61" s="348">
        <f>'Horti dominan sayur buah'!E61</f>
        <v>1759938</v>
      </c>
      <c r="C61" s="411">
        <v>258304</v>
      </c>
      <c r="D61" s="412">
        <f>'Horti dominan sayur buah'!S21</f>
        <v>145103</v>
      </c>
      <c r="E61" s="412">
        <f>'Horti dominan sayur buah'!S7</f>
        <v>79125</v>
      </c>
      <c r="F61" s="346">
        <v>120204</v>
      </c>
      <c r="G61" s="425">
        <f t="shared" si="0"/>
        <v>602736</v>
      </c>
      <c r="H61" s="413"/>
      <c r="I61" s="426">
        <f t="shared" si="1"/>
        <v>2362674</v>
      </c>
    </row>
    <row r="62" spans="1:33" x14ac:dyDescent="0.25">
      <c r="A62" s="399">
        <v>2005</v>
      </c>
      <c r="B62" s="348">
        <f>'Horti dominan sayur buah'!E62</f>
        <v>1778583</v>
      </c>
      <c r="C62" s="411">
        <v>253101</v>
      </c>
      <c r="D62" s="412">
        <f>'Horti dominan sayur buah'!S22</f>
        <v>143407</v>
      </c>
      <c r="E62" s="412">
        <f>'Horti dominan sayur buah'!S8</f>
        <v>84397</v>
      </c>
      <c r="F62" s="346">
        <v>116213</v>
      </c>
      <c r="G62" s="425">
        <f t="shared" si="0"/>
        <v>597118</v>
      </c>
      <c r="H62" s="413"/>
      <c r="I62" s="426">
        <f t="shared" si="1"/>
        <v>2375701</v>
      </c>
    </row>
    <row r="63" spans="1:33" x14ac:dyDescent="0.25">
      <c r="A63" s="399">
        <v>2006</v>
      </c>
      <c r="B63" s="348">
        <f>'Horti dominan sayur buah'!E63</f>
        <v>1687836</v>
      </c>
      <c r="C63" s="411">
        <v>240624</v>
      </c>
      <c r="D63" s="412">
        <f>'Horti dominan sayur buah'!S23</f>
        <v>140374</v>
      </c>
      <c r="E63" s="412">
        <f>'Horti dominan sayur buah'!S9</f>
        <v>94353</v>
      </c>
      <c r="F63" s="346">
        <v>110424</v>
      </c>
      <c r="G63" s="425">
        <f t="shared" si="0"/>
        <v>585775</v>
      </c>
      <c r="H63" s="413">
        <v>11447</v>
      </c>
      <c r="I63" s="426">
        <f t="shared" si="1"/>
        <v>2273611</v>
      </c>
    </row>
    <row r="64" spans="1:33" x14ac:dyDescent="0.25">
      <c r="A64" s="399">
        <f t="shared" ref="A64:A87" si="2">+A63+1</f>
        <v>2007</v>
      </c>
      <c r="B64" s="348">
        <f>'Horti dominan sayur buah'!E64</f>
        <v>1715466</v>
      </c>
      <c r="C64" s="411">
        <v>228914</v>
      </c>
      <c r="D64" s="412">
        <f>'Horti dominan sayur buah'!S24</f>
        <v>138407</v>
      </c>
      <c r="E64" s="412">
        <f>'Horti dominan sayur buah'!S10</f>
        <v>96145</v>
      </c>
      <c r="F64" s="346">
        <v>113619</v>
      </c>
      <c r="G64" s="425">
        <f t="shared" si="0"/>
        <v>577085</v>
      </c>
      <c r="H64" s="413">
        <v>32447</v>
      </c>
      <c r="I64" s="426">
        <f t="shared" si="1"/>
        <v>2292551</v>
      </c>
    </row>
    <row r="65" spans="1:9" x14ac:dyDescent="0.25">
      <c r="A65" s="399">
        <f t="shared" si="2"/>
        <v>2008</v>
      </c>
      <c r="B65" s="348">
        <f>'Horti dominan sayur buah'!E65</f>
        <v>1690894</v>
      </c>
      <c r="C65" s="411">
        <v>235747</v>
      </c>
      <c r="D65" s="412">
        <f>'Horti dominan sayur buah'!S25</f>
        <v>127336</v>
      </c>
      <c r="E65" s="412">
        <f>'Horti dominan sayur buah'!S11</f>
        <v>87566</v>
      </c>
      <c r="F65" s="346">
        <v>112734</v>
      </c>
      <c r="G65" s="425">
        <f t="shared" si="0"/>
        <v>563383</v>
      </c>
      <c r="H65" s="413">
        <v>12487</v>
      </c>
      <c r="I65" s="426">
        <f t="shared" si="1"/>
        <v>2254277</v>
      </c>
    </row>
    <row r="66" spans="1:9" x14ac:dyDescent="0.25">
      <c r="A66" s="399">
        <f t="shared" si="2"/>
        <v>2009</v>
      </c>
      <c r="B66" s="348">
        <f>'Horti dominan sayur buah'!E66</f>
        <v>1825346</v>
      </c>
      <c r="C66" s="411">
        <v>286345</v>
      </c>
      <c r="D66" s="412">
        <f>'Horti dominan sayur buah'!S26</f>
        <v>133584</v>
      </c>
      <c r="E66" s="412">
        <f>'Horti dominan sayur buah'!S12</f>
        <v>90283</v>
      </c>
      <c r="F66" s="346">
        <v>124857</v>
      </c>
      <c r="G66" s="425">
        <f t="shared" si="0"/>
        <v>635069</v>
      </c>
      <c r="H66" s="413">
        <v>12966</v>
      </c>
      <c r="I66" s="426">
        <f t="shared" si="1"/>
        <v>2460415</v>
      </c>
    </row>
    <row r="67" spans="1:9" x14ac:dyDescent="0.25">
      <c r="A67" s="399">
        <f t="shared" si="2"/>
        <v>2010</v>
      </c>
      <c r="B67" s="348">
        <f>'Horti dominan sayur buah'!E67</f>
        <v>1904974</v>
      </c>
      <c r="C67" s="411">
        <v>301318</v>
      </c>
      <c r="D67" s="412">
        <f>'Horti dominan sayur buah'!S27</f>
        <v>144865</v>
      </c>
      <c r="E67" s="412">
        <f>'Horti dominan sayur buah'!S13</f>
        <v>70103</v>
      </c>
      <c r="F67" s="346">
        <v>132683</v>
      </c>
      <c r="G67" s="425">
        <f t="shared" si="0"/>
        <v>648969</v>
      </c>
      <c r="H67" s="413">
        <v>8932</v>
      </c>
      <c r="I67" s="426">
        <f t="shared" si="1"/>
        <v>2553943</v>
      </c>
    </row>
    <row r="68" spans="1:9" x14ac:dyDescent="0.25">
      <c r="A68" s="399">
        <f t="shared" si="2"/>
        <v>2011</v>
      </c>
      <c r="B68" s="348">
        <v>1944091.5555555555</v>
      </c>
      <c r="C68" s="414">
        <v>326318.66666666669</v>
      </c>
      <c r="D68" s="414">
        <v>144705</v>
      </c>
      <c r="E68" s="415">
        <v>71229.888888888891</v>
      </c>
      <c r="F68" s="346">
        <v>131696.11111111112</v>
      </c>
      <c r="G68" s="425">
        <f t="shared" si="0"/>
        <v>673949.66666666674</v>
      </c>
      <c r="H68" s="413"/>
      <c r="I68" s="426">
        <f t="shared" si="1"/>
        <v>2618041.222222222</v>
      </c>
    </row>
    <row r="69" spans="1:9" x14ac:dyDescent="0.25">
      <c r="A69" s="399">
        <f t="shared" si="2"/>
        <v>2012</v>
      </c>
      <c r="B69" s="348">
        <v>1963650.3333333333</v>
      </c>
      <c r="C69" s="414">
        <v>338819</v>
      </c>
      <c r="D69" s="415">
        <v>144625</v>
      </c>
      <c r="E69" s="415">
        <v>71793.333333333328</v>
      </c>
      <c r="F69" s="346">
        <v>131202.66666666666</v>
      </c>
      <c r="G69" s="425">
        <f t="shared" si="0"/>
        <v>686440</v>
      </c>
      <c r="H69" s="413"/>
      <c r="I69" s="426">
        <f t="shared" si="1"/>
        <v>2650090.333333333</v>
      </c>
    </row>
    <row r="70" spans="1:9" x14ac:dyDescent="0.25">
      <c r="A70" s="399">
        <f t="shared" si="2"/>
        <v>2013</v>
      </c>
      <c r="B70" s="348">
        <v>1983209.111111111</v>
      </c>
      <c r="C70" s="414">
        <v>351319.33333333337</v>
      </c>
      <c r="D70" s="415">
        <v>144545</v>
      </c>
      <c r="E70" s="415">
        <v>72356.777777777781</v>
      </c>
      <c r="F70" s="346">
        <v>130709.22222222222</v>
      </c>
      <c r="G70" s="425">
        <f t="shared" si="0"/>
        <v>698930.33333333337</v>
      </c>
      <c r="H70" s="413"/>
      <c r="I70" s="426">
        <f t="shared" si="1"/>
        <v>2682139.4444444445</v>
      </c>
    </row>
    <row r="71" spans="1:9" x14ac:dyDescent="0.25">
      <c r="A71" s="399">
        <f t="shared" si="2"/>
        <v>2014</v>
      </c>
      <c r="B71" s="348">
        <v>2002767.888888889</v>
      </c>
      <c r="C71" s="414">
        <v>363819.66666666669</v>
      </c>
      <c r="D71" s="415">
        <v>144465</v>
      </c>
      <c r="E71" s="415">
        <v>72920.222222222219</v>
      </c>
      <c r="F71" s="346">
        <v>130215.77777777778</v>
      </c>
      <c r="G71" s="425">
        <f t="shared" si="0"/>
        <v>711420.66666666663</v>
      </c>
      <c r="H71" s="413"/>
      <c r="I71" s="426">
        <f t="shared" si="1"/>
        <v>2714188.5555555555</v>
      </c>
    </row>
    <row r="72" spans="1:9" x14ac:dyDescent="0.25">
      <c r="A72" s="399">
        <f t="shared" si="2"/>
        <v>2015</v>
      </c>
      <c r="B72" s="348">
        <v>2022326.6666666667</v>
      </c>
      <c r="C72" s="414">
        <v>376320</v>
      </c>
      <c r="D72" s="415">
        <v>144385</v>
      </c>
      <c r="E72" s="415">
        <v>73483.666666666672</v>
      </c>
      <c r="F72" s="346">
        <v>129722.33333333333</v>
      </c>
      <c r="G72" s="425">
        <f t="shared" si="0"/>
        <v>723911</v>
      </c>
      <c r="H72" s="413"/>
      <c r="I72" s="426">
        <f t="shared" si="1"/>
        <v>2746237.666666667</v>
      </c>
    </row>
    <row r="73" spans="1:9" x14ac:dyDescent="0.25">
      <c r="A73" s="399">
        <f t="shared" si="2"/>
        <v>2016</v>
      </c>
      <c r="B73" s="348">
        <v>2041885.4444444445</v>
      </c>
      <c r="C73" s="414">
        <v>388820.33333333337</v>
      </c>
      <c r="D73" s="415">
        <v>144305</v>
      </c>
      <c r="E73" s="415">
        <v>74047.111111111109</v>
      </c>
      <c r="F73" s="346">
        <v>129228.88888888889</v>
      </c>
      <c r="G73" s="425">
        <f t="shared" si="0"/>
        <v>736401.33333333337</v>
      </c>
      <c r="H73" s="413"/>
      <c r="I73" s="426">
        <f t="shared" si="1"/>
        <v>2778286.777777778</v>
      </c>
    </row>
    <row r="74" spans="1:9" x14ac:dyDescent="0.25">
      <c r="A74" s="399">
        <f t="shared" si="2"/>
        <v>2017</v>
      </c>
      <c r="B74" s="348">
        <v>2061444.2222222222</v>
      </c>
      <c r="C74" s="414">
        <v>401320.66666666669</v>
      </c>
      <c r="D74" s="415">
        <v>144225</v>
      </c>
      <c r="E74" s="415">
        <v>74610.555555555562</v>
      </c>
      <c r="F74" s="346">
        <v>128735.44444444444</v>
      </c>
      <c r="G74" s="425">
        <f t="shared" si="0"/>
        <v>748891.66666666674</v>
      </c>
      <c r="H74" s="413"/>
      <c r="I74" s="426">
        <f t="shared" si="1"/>
        <v>2810335.888888889</v>
      </c>
    </row>
    <row r="75" spans="1:9" x14ac:dyDescent="0.25">
      <c r="A75" s="399">
        <f t="shared" si="2"/>
        <v>2018</v>
      </c>
      <c r="B75" s="348">
        <v>2081003</v>
      </c>
      <c r="C75" s="414">
        <v>413821</v>
      </c>
      <c r="D75" s="415">
        <v>144145</v>
      </c>
      <c r="E75" s="415">
        <v>75174</v>
      </c>
      <c r="F75" s="346">
        <v>128242</v>
      </c>
      <c r="G75" s="425">
        <f t="shared" si="0"/>
        <v>761382</v>
      </c>
      <c r="H75" s="413"/>
      <c r="I75" s="426">
        <f t="shared" si="1"/>
        <v>2842385</v>
      </c>
    </row>
    <row r="76" spans="1:9" x14ac:dyDescent="0.25">
      <c r="A76" s="399">
        <f t="shared" si="2"/>
        <v>2019</v>
      </c>
      <c r="B76" s="348">
        <v>2100561.777777778</v>
      </c>
      <c r="C76" s="414">
        <v>426321.33333333337</v>
      </c>
      <c r="D76" s="415">
        <v>144065</v>
      </c>
      <c r="E76" s="415">
        <v>75737.444444444438</v>
      </c>
      <c r="F76" s="346">
        <v>127748.55555555556</v>
      </c>
      <c r="G76" s="425">
        <f t="shared" si="0"/>
        <v>773872.33333333326</v>
      </c>
      <c r="H76" s="413"/>
      <c r="I76" s="426">
        <f t="shared" si="1"/>
        <v>2874434.111111111</v>
      </c>
    </row>
    <row r="77" spans="1:9" x14ac:dyDescent="0.25">
      <c r="A77" s="399">
        <f t="shared" si="2"/>
        <v>2020</v>
      </c>
      <c r="B77" s="348">
        <v>2120120.5555555555</v>
      </c>
      <c r="C77" s="414">
        <v>438821.66666666669</v>
      </c>
      <c r="D77" s="415">
        <v>143985</v>
      </c>
      <c r="E77" s="415">
        <v>76300.888888888891</v>
      </c>
      <c r="F77" s="346">
        <v>127255.11111111111</v>
      </c>
      <c r="G77" s="425">
        <f t="shared" si="0"/>
        <v>786362.66666666674</v>
      </c>
      <c r="H77" s="413"/>
      <c r="I77" s="426">
        <f t="shared" si="1"/>
        <v>2906483.222222222</v>
      </c>
    </row>
    <row r="78" spans="1:9" x14ac:dyDescent="0.25">
      <c r="A78" s="399">
        <f t="shared" si="2"/>
        <v>2021</v>
      </c>
      <c r="B78" s="348">
        <v>2139679.3333333335</v>
      </c>
      <c r="C78" s="414">
        <v>451322</v>
      </c>
      <c r="D78" s="415">
        <v>143905</v>
      </c>
      <c r="E78" s="415">
        <v>76864.333333333328</v>
      </c>
      <c r="F78" s="346">
        <v>126761.66666666667</v>
      </c>
      <c r="G78" s="425">
        <f t="shared" si="0"/>
        <v>798853</v>
      </c>
      <c r="H78" s="413"/>
      <c r="I78" s="426">
        <f t="shared" si="1"/>
        <v>2938532.3333333335</v>
      </c>
    </row>
    <row r="79" spans="1:9" x14ac:dyDescent="0.25">
      <c r="A79" s="399">
        <f t="shared" si="2"/>
        <v>2022</v>
      </c>
      <c r="B79" s="348">
        <v>2159238.111111111</v>
      </c>
      <c r="C79" s="414">
        <v>463822.33333333337</v>
      </c>
      <c r="D79" s="415">
        <v>143825</v>
      </c>
      <c r="E79" s="415">
        <v>77427.777777777781</v>
      </c>
      <c r="F79" s="346">
        <v>126268.22222222222</v>
      </c>
      <c r="G79" s="425">
        <f t="shared" si="0"/>
        <v>811343.33333333337</v>
      </c>
      <c r="H79" s="413"/>
      <c r="I79" s="426">
        <f t="shared" si="1"/>
        <v>2970581.4444444445</v>
      </c>
    </row>
    <row r="80" spans="1:9" x14ac:dyDescent="0.25">
      <c r="A80" s="399">
        <f t="shared" si="2"/>
        <v>2023</v>
      </c>
      <c r="B80" s="348">
        <v>2178796.888888889</v>
      </c>
      <c r="C80" s="414">
        <v>476322.66666666669</v>
      </c>
      <c r="D80" s="415">
        <v>143745</v>
      </c>
      <c r="E80" s="415">
        <v>77991.222222222219</v>
      </c>
      <c r="F80" s="346">
        <v>125774.77777777778</v>
      </c>
      <c r="G80" s="425">
        <f t="shared" si="0"/>
        <v>823833.66666666674</v>
      </c>
      <c r="H80" s="413"/>
      <c r="I80" s="426">
        <f t="shared" si="1"/>
        <v>3002630.555555556</v>
      </c>
    </row>
    <row r="81" spans="1:9" x14ac:dyDescent="0.25">
      <c r="A81" s="399">
        <f t="shared" si="2"/>
        <v>2024</v>
      </c>
      <c r="B81" s="348">
        <v>2198355.6666666665</v>
      </c>
      <c r="C81" s="414">
        <v>488823</v>
      </c>
      <c r="D81" s="415">
        <v>143665</v>
      </c>
      <c r="E81" s="415">
        <v>78554.666666666672</v>
      </c>
      <c r="F81" s="346">
        <v>125281.33333333333</v>
      </c>
      <c r="G81" s="425">
        <f t="shared" si="0"/>
        <v>836324</v>
      </c>
      <c r="H81" s="413"/>
      <c r="I81" s="426">
        <f t="shared" si="1"/>
        <v>3034679.6666666665</v>
      </c>
    </row>
    <row r="82" spans="1:9" x14ac:dyDescent="0.25">
      <c r="A82" s="399">
        <f t="shared" si="2"/>
        <v>2025</v>
      </c>
      <c r="B82" s="348">
        <v>2217914.4444444445</v>
      </c>
      <c r="C82" s="414">
        <v>501323.33333333337</v>
      </c>
      <c r="D82" s="415">
        <v>143585</v>
      </c>
      <c r="E82" s="415">
        <v>79118.111111111109</v>
      </c>
      <c r="F82" s="346">
        <v>124787.88888888889</v>
      </c>
      <c r="G82" s="425">
        <f t="shared" si="0"/>
        <v>848814.33333333337</v>
      </c>
      <c r="H82" s="413"/>
      <c r="I82" s="426">
        <f t="shared" si="1"/>
        <v>3066728.777777778</v>
      </c>
    </row>
    <row r="83" spans="1:9" x14ac:dyDescent="0.25">
      <c r="A83" s="399">
        <f t="shared" si="2"/>
        <v>2026</v>
      </c>
      <c r="B83" s="348">
        <v>2237473.222222222</v>
      </c>
      <c r="C83" s="414">
        <v>513823.66666666669</v>
      </c>
      <c r="D83" s="415">
        <v>143505</v>
      </c>
      <c r="E83" s="415">
        <v>79681.555555555562</v>
      </c>
      <c r="F83" s="346">
        <v>124294.44444444444</v>
      </c>
      <c r="G83" s="425">
        <f t="shared" si="0"/>
        <v>861304.66666666674</v>
      </c>
      <c r="H83" s="413"/>
      <c r="I83" s="426">
        <f t="shared" si="1"/>
        <v>3098777.888888889</v>
      </c>
    </row>
    <row r="84" spans="1:9" x14ac:dyDescent="0.25">
      <c r="A84" s="399">
        <f t="shared" si="2"/>
        <v>2027</v>
      </c>
      <c r="B84" s="416">
        <v>2257032</v>
      </c>
      <c r="C84" s="416">
        <v>526324</v>
      </c>
      <c r="D84" s="416">
        <v>143425</v>
      </c>
      <c r="E84" s="416">
        <v>80245</v>
      </c>
      <c r="F84" s="346">
        <v>123801</v>
      </c>
      <c r="G84" s="425">
        <f t="shared" si="0"/>
        <v>873795</v>
      </c>
      <c r="H84" s="427"/>
      <c r="I84" s="426">
        <f t="shared" si="1"/>
        <v>3130827</v>
      </c>
    </row>
    <row r="85" spans="1:9" x14ac:dyDescent="0.25">
      <c r="A85" s="399">
        <f t="shared" si="2"/>
        <v>2028</v>
      </c>
      <c r="B85" s="416">
        <v>2276590.777777778</v>
      </c>
      <c r="C85" s="416">
        <v>538824.33333333337</v>
      </c>
      <c r="D85" s="416">
        <v>143345</v>
      </c>
      <c r="E85" s="416">
        <v>80808.444444444438</v>
      </c>
      <c r="F85" s="346">
        <v>123307.55555555556</v>
      </c>
      <c r="G85" s="425">
        <f t="shared" si="0"/>
        <v>886285.33333333326</v>
      </c>
      <c r="H85" s="427"/>
      <c r="I85" s="426">
        <f t="shared" si="1"/>
        <v>3162876.111111111</v>
      </c>
    </row>
    <row r="86" spans="1:9" x14ac:dyDescent="0.25">
      <c r="A86" s="399">
        <f t="shared" si="2"/>
        <v>2029</v>
      </c>
      <c r="B86" s="416">
        <v>2296149.5555555555</v>
      </c>
      <c r="C86" s="416">
        <v>551324.66666666674</v>
      </c>
      <c r="D86" s="416">
        <v>143265</v>
      </c>
      <c r="E86" s="416">
        <v>81371.888888888891</v>
      </c>
      <c r="F86" s="346">
        <v>122814.11111111111</v>
      </c>
      <c r="G86" s="425">
        <f t="shared" si="0"/>
        <v>898775.66666666674</v>
      </c>
      <c r="H86" s="427"/>
      <c r="I86" s="426">
        <f t="shared" si="1"/>
        <v>3194925.222222222</v>
      </c>
    </row>
    <row r="87" spans="1:9" x14ac:dyDescent="0.25">
      <c r="A87" s="423">
        <f t="shared" si="2"/>
        <v>2030</v>
      </c>
      <c r="B87" s="419">
        <v>2315708.3333333335</v>
      </c>
      <c r="C87" s="419">
        <v>563825</v>
      </c>
      <c r="D87" s="419">
        <v>143185</v>
      </c>
      <c r="E87" s="416">
        <v>81935.333333333328</v>
      </c>
      <c r="F87" s="346">
        <v>122320.66666666667</v>
      </c>
      <c r="G87" s="425">
        <f t="shared" si="0"/>
        <v>911266</v>
      </c>
      <c r="H87" s="427"/>
      <c r="I87" s="426">
        <f>B87+G87</f>
        <v>3226974.3333333335</v>
      </c>
    </row>
    <row r="88" spans="1:9" x14ac:dyDescent="0.25">
      <c r="B88" s="505">
        <f>B87/I87</f>
        <v>0.71760977749745558</v>
      </c>
    </row>
    <row r="89" spans="1:9" x14ac:dyDescent="0.25">
      <c r="A89" t="s">
        <v>440</v>
      </c>
    </row>
    <row r="90" spans="1:9" ht="45" x14ac:dyDescent="0.25">
      <c r="A90" s="400" t="s">
        <v>441</v>
      </c>
      <c r="B90" s="400" t="s">
        <v>460</v>
      </c>
      <c r="C90" s="400" t="s">
        <v>461</v>
      </c>
    </row>
    <row r="91" spans="1:9" x14ac:dyDescent="0.25">
      <c r="A91" s="409">
        <v>2001</v>
      </c>
      <c r="B91" s="410">
        <f>B58/I58</f>
        <v>0.76316232038741094</v>
      </c>
      <c r="C91" s="410">
        <f>100%-B91</f>
        <v>0.23683767961258906</v>
      </c>
    </row>
    <row r="92" spans="1:9" x14ac:dyDescent="0.25">
      <c r="A92" s="409">
        <v>2002</v>
      </c>
      <c r="B92" s="410">
        <f t="shared" ref="B92:B120" si="3">B59/I59</f>
        <v>0.80272368087606261</v>
      </c>
      <c r="C92" s="410">
        <f t="shared" ref="C92:C120" si="4">100%-B92</f>
        <v>0.19727631912393739</v>
      </c>
    </row>
    <row r="93" spans="1:9" x14ac:dyDescent="0.25">
      <c r="A93" s="409">
        <v>2003</v>
      </c>
      <c r="B93" s="410">
        <f t="shared" si="3"/>
        <v>0.72875486880965634</v>
      </c>
      <c r="C93" s="410">
        <f t="shared" si="4"/>
        <v>0.27124513119034366</v>
      </c>
    </row>
    <row r="94" spans="1:9" x14ac:dyDescent="0.25">
      <c r="A94" s="409">
        <v>2004</v>
      </c>
      <c r="B94" s="410">
        <f t="shared" si="3"/>
        <v>0.74489243966793561</v>
      </c>
      <c r="C94" s="410">
        <f t="shared" si="4"/>
        <v>0.25510756033206439</v>
      </c>
    </row>
    <row r="95" spans="1:9" x14ac:dyDescent="0.25">
      <c r="A95" s="409">
        <v>2005</v>
      </c>
      <c r="B95" s="410">
        <f t="shared" si="3"/>
        <v>0.74865608087886482</v>
      </c>
      <c r="C95" s="410">
        <f t="shared" si="4"/>
        <v>0.25134391912113518</v>
      </c>
    </row>
    <row r="96" spans="1:9" x14ac:dyDescent="0.25">
      <c r="A96" s="288">
        <f t="shared" ref="A96:A120" si="5">A63</f>
        <v>2006</v>
      </c>
      <c r="B96" s="410">
        <f t="shared" si="3"/>
        <v>0.74235918105603815</v>
      </c>
      <c r="C96" s="410">
        <f t="shared" si="4"/>
        <v>0.25764081894396185</v>
      </c>
    </row>
    <row r="97" spans="1:3" x14ac:dyDescent="0.25">
      <c r="A97" s="288">
        <f t="shared" si="5"/>
        <v>2007</v>
      </c>
      <c r="B97" s="410">
        <f t="shared" si="3"/>
        <v>0.74827822805250566</v>
      </c>
      <c r="C97" s="410">
        <f t="shared" si="4"/>
        <v>0.25172177194749434</v>
      </c>
    </row>
    <row r="98" spans="1:3" x14ac:dyDescent="0.25">
      <c r="A98" s="288">
        <f t="shared" si="5"/>
        <v>2008</v>
      </c>
      <c r="B98" s="410">
        <f>B65/I65</f>
        <v>0.75008262072495968</v>
      </c>
      <c r="C98" s="410">
        <f t="shared" si="4"/>
        <v>0.24991737927504032</v>
      </c>
    </row>
    <row r="99" spans="1:3" x14ac:dyDescent="0.25">
      <c r="A99" s="288">
        <f t="shared" si="5"/>
        <v>2009</v>
      </c>
      <c r="B99" s="410">
        <f t="shared" si="3"/>
        <v>0.74188541363956895</v>
      </c>
      <c r="C99" s="410">
        <f t="shared" si="4"/>
        <v>0.25811458636043105</v>
      </c>
    </row>
    <row r="100" spans="1:3" x14ac:dyDescent="0.25">
      <c r="A100" s="288">
        <f t="shared" si="5"/>
        <v>2010</v>
      </c>
      <c r="B100" s="410">
        <f t="shared" si="3"/>
        <v>0.74589526861014521</v>
      </c>
      <c r="C100" s="410">
        <f t="shared" si="4"/>
        <v>0.25410473138985479</v>
      </c>
    </row>
    <row r="101" spans="1:3" x14ac:dyDescent="0.25">
      <c r="A101" s="288">
        <f t="shared" si="5"/>
        <v>2011</v>
      </c>
      <c r="B101" s="410">
        <f t="shared" si="3"/>
        <v>0.74257484529039974</v>
      </c>
      <c r="C101" s="410">
        <f t="shared" si="4"/>
        <v>0.25742515470960026</v>
      </c>
    </row>
    <row r="102" spans="1:3" x14ac:dyDescent="0.25">
      <c r="A102" s="288">
        <f t="shared" si="5"/>
        <v>2012</v>
      </c>
      <c r="B102" s="410">
        <f t="shared" si="3"/>
        <v>0.74097486739760199</v>
      </c>
      <c r="C102" s="410">
        <f t="shared" si="4"/>
        <v>0.25902513260239801</v>
      </c>
    </row>
    <row r="103" spans="1:3" x14ac:dyDescent="0.25">
      <c r="A103" s="288">
        <f t="shared" si="5"/>
        <v>2013</v>
      </c>
      <c r="B103" s="410">
        <f t="shared" si="3"/>
        <v>0.73941312604717913</v>
      </c>
      <c r="C103" s="410">
        <f t="shared" si="4"/>
        <v>0.26058687395282087</v>
      </c>
    </row>
    <row r="104" spans="1:3" x14ac:dyDescent="0.25">
      <c r="A104" s="288">
        <f t="shared" si="5"/>
        <v>2014</v>
      </c>
      <c r="B104" s="410">
        <f t="shared" si="3"/>
        <v>0.73788826674901042</v>
      </c>
      <c r="C104" s="410">
        <f t="shared" si="4"/>
        <v>0.26211173325098958</v>
      </c>
    </row>
    <row r="105" spans="1:3" x14ac:dyDescent="0.25">
      <c r="A105" s="288">
        <f t="shared" si="5"/>
        <v>2015</v>
      </c>
      <c r="B105" s="410">
        <f t="shared" si="3"/>
        <v>0.73639899824159427</v>
      </c>
      <c r="C105" s="410">
        <f t="shared" si="4"/>
        <v>0.26360100175840573</v>
      </c>
    </row>
    <row r="106" spans="1:3" x14ac:dyDescent="0.25">
      <c r="A106" s="288">
        <f t="shared" si="5"/>
        <v>2016</v>
      </c>
      <c r="B106" s="410">
        <f t="shared" si="3"/>
        <v>0.73494408884515994</v>
      </c>
      <c r="C106" s="410">
        <f t="shared" si="4"/>
        <v>0.26505591115484006</v>
      </c>
    </row>
    <row r="107" spans="1:3" x14ac:dyDescent="0.25">
      <c r="A107" s="288">
        <f t="shared" si="5"/>
        <v>2017</v>
      </c>
      <c r="B107" s="410">
        <f t="shared" si="3"/>
        <v>0.73352236306431218</v>
      </c>
      <c r="C107" s="410">
        <f t="shared" si="4"/>
        <v>0.26647763693568782</v>
      </c>
    </row>
    <row r="108" spans="1:3" x14ac:dyDescent="0.25">
      <c r="A108" s="288">
        <f t="shared" si="5"/>
        <v>2018</v>
      </c>
      <c r="B108" s="410">
        <f t="shared" si="3"/>
        <v>0.73213269842051654</v>
      </c>
      <c r="C108" s="410">
        <f t="shared" si="4"/>
        <v>0.26786730157948346</v>
      </c>
    </row>
    <row r="109" spans="1:3" x14ac:dyDescent="0.25">
      <c r="A109" s="288">
        <f t="shared" si="5"/>
        <v>2019</v>
      </c>
      <c r="B109" s="410">
        <f t="shared" si="3"/>
        <v>0.73077402249648604</v>
      </c>
      <c r="C109" s="410">
        <f t="shared" si="4"/>
        <v>0.26922597750351396</v>
      </c>
    </row>
    <row r="110" spans="1:3" x14ac:dyDescent="0.25">
      <c r="A110" s="288">
        <f t="shared" si="5"/>
        <v>2020</v>
      </c>
      <c r="B110" s="410">
        <f t="shared" si="3"/>
        <v>0.72944531017611247</v>
      </c>
      <c r="C110" s="410">
        <f t="shared" si="4"/>
        <v>0.27055468982388753</v>
      </c>
    </row>
    <row r="111" spans="1:3" x14ac:dyDescent="0.25">
      <c r="A111" s="315">
        <f t="shared" si="5"/>
        <v>2021</v>
      </c>
      <c r="B111" s="410">
        <f t="shared" si="3"/>
        <v>0.7281455810650147</v>
      </c>
      <c r="C111" s="410">
        <f t="shared" si="4"/>
        <v>0.2718544189349853</v>
      </c>
    </row>
    <row r="112" spans="1:3" x14ac:dyDescent="0.25">
      <c r="A112" s="315">
        <f t="shared" si="5"/>
        <v>2022</v>
      </c>
      <c r="B112" s="410">
        <f t="shared" si="3"/>
        <v>0.72687389707806171</v>
      </c>
      <c r="C112" s="410">
        <f t="shared" si="4"/>
        <v>0.27312610292193829</v>
      </c>
    </row>
    <row r="113" spans="1:18" x14ac:dyDescent="0.25">
      <c r="A113" s="315">
        <f t="shared" si="5"/>
        <v>2023</v>
      </c>
      <c r="B113" s="410">
        <f t="shared" si="3"/>
        <v>0.72562936018139645</v>
      </c>
      <c r="C113" s="410">
        <f t="shared" si="4"/>
        <v>0.27437063981860355</v>
      </c>
    </row>
    <row r="114" spans="1:18" x14ac:dyDescent="0.25">
      <c r="A114" s="315">
        <f t="shared" si="5"/>
        <v>2024</v>
      </c>
      <c r="B114" s="410">
        <f t="shared" si="3"/>
        <v>0.72441111027753724</v>
      </c>
      <c r="C114" s="410">
        <f t="shared" si="4"/>
        <v>0.27558888972246276</v>
      </c>
    </row>
    <row r="115" spans="1:18" x14ac:dyDescent="0.25">
      <c r="A115" s="315">
        <f t="shared" si="5"/>
        <v>2025</v>
      </c>
      <c r="B115" s="410">
        <f t="shared" si="3"/>
        <v>0.72321832322309121</v>
      </c>
      <c r="C115" s="410">
        <f t="shared" si="4"/>
        <v>0.27678167677690879</v>
      </c>
    </row>
    <row r="116" spans="1:18" x14ac:dyDescent="0.25">
      <c r="A116" s="315">
        <f t="shared" si="5"/>
        <v>2026</v>
      </c>
      <c r="B116" s="410">
        <f t="shared" si="3"/>
        <v>0.72205020896947858</v>
      </c>
      <c r="C116" s="410">
        <f t="shared" si="4"/>
        <v>0.27794979103052142</v>
      </c>
    </row>
    <row r="117" spans="1:18" x14ac:dyDescent="0.25">
      <c r="A117" s="315">
        <f t="shared" si="5"/>
        <v>2027</v>
      </c>
      <c r="B117" s="410">
        <f t="shared" si="3"/>
        <v>0.72090600981785324</v>
      </c>
      <c r="C117" s="410">
        <f t="shared" si="4"/>
        <v>0.27909399018214676</v>
      </c>
    </row>
    <row r="118" spans="1:18" x14ac:dyDescent="0.25">
      <c r="A118" s="315">
        <f t="shared" si="5"/>
        <v>2028</v>
      </c>
      <c r="B118" s="410">
        <f t="shared" si="3"/>
        <v>0.71978499878011881</v>
      </c>
      <c r="C118" s="410">
        <f t="shared" si="4"/>
        <v>0.28021500121988119</v>
      </c>
    </row>
    <row r="119" spans="1:18" x14ac:dyDescent="0.25">
      <c r="A119" s="315">
        <f t="shared" si="5"/>
        <v>2029</v>
      </c>
      <c r="B119" s="410">
        <f t="shared" si="3"/>
        <v>0.71868647803859231</v>
      </c>
      <c r="C119" s="410">
        <f t="shared" si="4"/>
        <v>0.28131352196140769</v>
      </c>
    </row>
    <row r="120" spans="1:18" x14ac:dyDescent="0.25">
      <c r="A120" s="315">
        <f t="shared" si="5"/>
        <v>2030</v>
      </c>
      <c r="B120" s="410">
        <f t="shared" si="3"/>
        <v>0.71760977749745558</v>
      </c>
      <c r="C120" s="410">
        <f t="shared" si="4"/>
        <v>0.28239022250254442</v>
      </c>
    </row>
    <row r="122" spans="1:18" x14ac:dyDescent="0.25">
      <c r="A122" t="s">
        <v>442</v>
      </c>
    </row>
    <row r="123" spans="1:18" x14ac:dyDescent="0.25">
      <c r="A123" s="294" t="s">
        <v>419</v>
      </c>
      <c r="B123" s="526" t="s">
        <v>545</v>
      </c>
      <c r="C123" s="526"/>
      <c r="D123" s="526"/>
      <c r="E123" s="526"/>
      <c r="G123" t="s">
        <v>462</v>
      </c>
      <c r="M123" t="s">
        <v>463</v>
      </c>
    </row>
    <row r="124" spans="1:18" ht="15.75" x14ac:dyDescent="0.25">
      <c r="A124" s="290" t="str">
        <f>A90</f>
        <v>tahun</v>
      </c>
      <c r="B124" s="292" t="s">
        <v>446</v>
      </c>
      <c r="C124" s="290" t="s">
        <v>330</v>
      </c>
      <c r="D124" s="290" t="s">
        <v>444</v>
      </c>
      <c r="E124" s="290" t="s">
        <v>445</v>
      </c>
      <c r="F124" s="16" t="s">
        <v>518</v>
      </c>
      <c r="G124" s="290" t="str">
        <f>A124</f>
        <v>tahun</v>
      </c>
      <c r="H124" s="290" t="str">
        <f>B124</f>
        <v xml:space="preserve"> ZA</v>
      </c>
      <c r="I124" s="290" t="str">
        <f>C124</f>
        <v>NPK</v>
      </c>
      <c r="J124" s="290" t="str">
        <f>D124</f>
        <v>sp36</v>
      </c>
      <c r="K124" s="290" t="str">
        <f>E124</f>
        <v>UREA</v>
      </c>
      <c r="L124" s="16"/>
      <c r="M124" s="290" t="str">
        <f>A124</f>
        <v>tahun</v>
      </c>
      <c r="N124" s="290" t="str">
        <f>B124</f>
        <v xml:space="preserve"> ZA</v>
      </c>
      <c r="O124" s="290" t="str">
        <f>C124</f>
        <v>NPK</v>
      </c>
      <c r="P124" s="290" t="str">
        <f>D124</f>
        <v>sp36</v>
      </c>
      <c r="Q124" s="290" t="str">
        <f>E124</f>
        <v>UREA</v>
      </c>
      <c r="R124" t="s">
        <v>517</v>
      </c>
    </row>
    <row r="125" spans="1:18" x14ac:dyDescent="0.25">
      <c r="A125" s="291">
        <v>2003</v>
      </c>
      <c r="B125" s="293">
        <v>10691.0744735881</v>
      </c>
      <c r="C125" s="285">
        <v>1472.01459854015</v>
      </c>
      <c r="D125" s="293">
        <v>12079.130192115501</v>
      </c>
      <c r="E125" s="285">
        <v>44001</v>
      </c>
      <c r="G125" s="290">
        <f t="shared" ref="G125:G132" si="6">A125</f>
        <v>2003</v>
      </c>
      <c r="H125" s="508">
        <f>B125*B93</f>
        <v>7791.1725754339614</v>
      </c>
      <c r="I125" s="508">
        <f>C125*$B$93</f>
        <v>1072.7378056450259</v>
      </c>
      <c r="J125" s="508">
        <f>D125*B93</f>
        <v>8802.7249384898914</v>
      </c>
      <c r="K125" s="508">
        <f>E125*B93</f>
        <v>32065.942982493689</v>
      </c>
      <c r="L125" s="16"/>
      <c r="M125" s="290">
        <f t="shared" ref="M125:M152" si="7">A125</f>
        <v>2003</v>
      </c>
      <c r="N125" s="289">
        <f>C93*B125</f>
        <v>2899.9018981541385</v>
      </c>
      <c r="O125" s="289">
        <f t="shared" ref="O125:O127" si="8">C93*C125</f>
        <v>399.27679289512406</v>
      </c>
      <c r="P125" s="289">
        <f t="shared" ref="P125:P127" si="9">C93*D125</f>
        <v>3276.4052536256099</v>
      </c>
      <c r="Q125" s="289">
        <f t="shared" ref="Q125:Q127" si="10">C93*E125</f>
        <v>11935.057017506311</v>
      </c>
    </row>
    <row r="126" spans="1:18" x14ac:dyDescent="0.25">
      <c r="A126" s="291">
        <v>2004</v>
      </c>
      <c r="B126" s="293">
        <v>11069.203944203946</v>
      </c>
      <c r="C126" s="285">
        <v>2516.6666666666665</v>
      </c>
      <c r="D126" s="293">
        <v>11505</v>
      </c>
      <c r="E126" s="285">
        <v>79101</v>
      </c>
      <c r="G126" s="290">
        <f t="shared" si="6"/>
        <v>2004</v>
      </c>
      <c r="H126" s="508">
        <f t="shared" ref="H126:H127" si="11">B126*B94</f>
        <v>8245.3663311800119</v>
      </c>
      <c r="I126" s="508">
        <f t="shared" ref="I126:I128" si="12">C126*B94</f>
        <v>1874.6459731643045</v>
      </c>
      <c r="J126" s="508">
        <f t="shared" ref="J126:J127" si="13">D126*B94</f>
        <v>8569.9875183795994</v>
      </c>
      <c r="K126" s="508">
        <f t="shared" ref="K126:K128" si="14">E126*B94</f>
        <v>58921.736870173372</v>
      </c>
      <c r="L126" s="16"/>
      <c r="M126" s="290">
        <f t="shared" si="7"/>
        <v>2004</v>
      </c>
      <c r="N126" s="289">
        <f t="shared" ref="N126:N127" si="15">C94*B126</f>
        <v>2823.837613023933</v>
      </c>
      <c r="O126" s="289">
        <f t="shared" si="8"/>
        <v>642.02069350236195</v>
      </c>
      <c r="P126" s="289">
        <f t="shared" si="9"/>
        <v>2935.0124816204006</v>
      </c>
      <c r="Q126" s="289">
        <f t="shared" si="10"/>
        <v>20179.263129826624</v>
      </c>
    </row>
    <row r="127" spans="1:18" x14ac:dyDescent="0.25">
      <c r="A127" s="291">
        <v>2005</v>
      </c>
      <c r="B127" s="293">
        <v>9753.7000000000007</v>
      </c>
      <c r="C127" s="285">
        <v>3722.26</v>
      </c>
      <c r="D127" s="293">
        <v>9547.1299999999992</v>
      </c>
      <c r="E127" s="285">
        <v>58305</v>
      </c>
      <c r="G127" s="290">
        <f t="shared" si="6"/>
        <v>2005</v>
      </c>
      <c r="H127" s="508">
        <f t="shared" si="11"/>
        <v>7302.1668160681847</v>
      </c>
      <c r="I127" s="508">
        <f t="shared" si="12"/>
        <v>2786.6925836121636</v>
      </c>
      <c r="J127" s="508">
        <f t="shared" si="13"/>
        <v>7147.5169294410362</v>
      </c>
      <c r="K127" s="508">
        <f t="shared" si="14"/>
        <v>43650.392795642212</v>
      </c>
      <c r="L127" s="16"/>
      <c r="M127" s="290">
        <f t="shared" si="7"/>
        <v>2005</v>
      </c>
      <c r="N127" s="289">
        <f t="shared" si="15"/>
        <v>2451.5331839318164</v>
      </c>
      <c r="O127" s="289">
        <f t="shared" si="8"/>
        <v>935.56741638783672</v>
      </c>
      <c r="P127" s="289">
        <f t="shared" si="9"/>
        <v>2399.613070558963</v>
      </c>
      <c r="Q127" s="289">
        <f t="shared" si="10"/>
        <v>14654.607204357786</v>
      </c>
    </row>
    <row r="128" spans="1:18" x14ac:dyDescent="0.25">
      <c r="A128" s="291">
        <v>2006</v>
      </c>
      <c r="B128" s="293">
        <v>9490</v>
      </c>
      <c r="C128" s="285">
        <v>6900</v>
      </c>
      <c r="D128" s="293">
        <v>7730</v>
      </c>
      <c r="E128" s="285">
        <v>67180</v>
      </c>
      <c r="G128" s="290">
        <f t="shared" si="6"/>
        <v>2006</v>
      </c>
      <c r="H128" s="289">
        <f>B96*B128</f>
        <v>7044.9886282218022</v>
      </c>
      <c r="I128" s="508">
        <f t="shared" si="12"/>
        <v>5122.2783492866629</v>
      </c>
      <c r="J128" s="289">
        <f t="shared" ref="J128:J152" si="16">+B96*D128</f>
        <v>5738.4364695631748</v>
      </c>
      <c r="K128" s="508">
        <f t="shared" si="14"/>
        <v>49871.689783344642</v>
      </c>
      <c r="L128" s="16"/>
      <c r="M128" s="290">
        <f t="shared" si="7"/>
        <v>2006</v>
      </c>
      <c r="N128" s="289">
        <f t="shared" ref="N128:N152" si="17">C96*B128</f>
        <v>2445.0113717781978</v>
      </c>
      <c r="O128" s="289">
        <f t="shared" ref="O128:O152" si="18">C96*C128</f>
        <v>1777.7216507133367</v>
      </c>
      <c r="P128" s="289">
        <f t="shared" ref="P128:P152" si="19">C96*D128</f>
        <v>1991.563530436825</v>
      </c>
      <c r="Q128" s="289">
        <f t="shared" ref="Q128:Q152" si="20">C96*E128</f>
        <v>17308.310216655358</v>
      </c>
    </row>
    <row r="129" spans="1:18" x14ac:dyDescent="0.25">
      <c r="A129" s="291">
        <v>2007</v>
      </c>
      <c r="B129" s="293">
        <v>63950</v>
      </c>
      <c r="C129" s="285">
        <v>6925</v>
      </c>
      <c r="D129" s="293">
        <v>132825.5</v>
      </c>
      <c r="E129" s="285">
        <v>700348</v>
      </c>
      <c r="G129" s="290">
        <f t="shared" si="6"/>
        <v>2007</v>
      </c>
      <c r="H129" s="289">
        <f>B97*B129</f>
        <v>47852.39268395774</v>
      </c>
      <c r="I129" s="289">
        <f t="shared" ref="I129:I152" si="21">C129*B97</f>
        <v>5181.8267292636019</v>
      </c>
      <c r="J129" s="289">
        <f t="shared" si="16"/>
        <v>99390.429780188089</v>
      </c>
      <c r="K129" s="289">
        <f t="shared" ref="K129:K152" si="22">B97*E129</f>
        <v>524055.16046011623</v>
      </c>
      <c r="L129" s="16"/>
      <c r="M129" s="290">
        <f t="shared" si="7"/>
        <v>2007</v>
      </c>
      <c r="N129" s="289">
        <f t="shared" si="17"/>
        <v>16097.607316042264</v>
      </c>
      <c r="O129" s="289">
        <f t="shared" si="18"/>
        <v>1743.1732707363983</v>
      </c>
      <c r="P129" s="289">
        <f t="shared" si="19"/>
        <v>33435.070219811911</v>
      </c>
      <c r="Q129" s="289">
        <f t="shared" si="20"/>
        <v>176292.83953988377</v>
      </c>
    </row>
    <row r="130" spans="1:18" x14ac:dyDescent="0.25">
      <c r="A130" s="291">
        <v>2008</v>
      </c>
      <c r="B130" s="293">
        <v>67848</v>
      </c>
      <c r="C130" s="285">
        <v>154544</v>
      </c>
      <c r="D130" s="293">
        <v>112749</v>
      </c>
      <c r="E130" s="285">
        <v>710169</v>
      </c>
      <c r="F130" s="374">
        <v>5148</v>
      </c>
      <c r="G130" s="290">
        <f t="shared" si="6"/>
        <v>2008</v>
      </c>
      <c r="H130" s="289">
        <f t="shared" ref="H130:H152" si="23">B98*B130</f>
        <v>50891.605650947065</v>
      </c>
      <c r="I130" s="289">
        <f t="shared" si="21"/>
        <v>115920.76853731817</v>
      </c>
      <c r="J130" s="289">
        <f t="shared" si="16"/>
        <v>84571.065404118475</v>
      </c>
      <c r="K130" s="289">
        <f t="shared" si="22"/>
        <v>532685.4246776239</v>
      </c>
      <c r="L130" s="16"/>
      <c r="M130" s="290">
        <f t="shared" si="7"/>
        <v>2008</v>
      </c>
      <c r="N130" s="289">
        <f t="shared" si="17"/>
        <v>16956.394349052935</v>
      </c>
      <c r="O130" s="289">
        <f t="shared" si="18"/>
        <v>38623.231462681833</v>
      </c>
      <c r="P130" s="289">
        <f t="shared" si="19"/>
        <v>28177.934595881521</v>
      </c>
      <c r="Q130" s="289">
        <f t="shared" si="20"/>
        <v>177483.5753223761</v>
      </c>
      <c r="R130" s="344">
        <f t="shared" ref="R130:R152" si="24">F130*C98</f>
        <v>1286.5746685079075</v>
      </c>
    </row>
    <row r="131" spans="1:18" x14ac:dyDescent="0.25">
      <c r="A131" s="291">
        <v>2009</v>
      </c>
      <c r="B131" s="293">
        <v>71394</v>
      </c>
      <c r="C131" s="285">
        <v>245826.05</v>
      </c>
      <c r="D131" s="293">
        <v>128276</v>
      </c>
      <c r="E131" s="285">
        <v>666921.85</v>
      </c>
      <c r="F131" s="374">
        <v>16385</v>
      </c>
      <c r="G131" s="290">
        <f t="shared" si="6"/>
        <v>2009</v>
      </c>
      <c r="H131" s="289">
        <f t="shared" si="23"/>
        <v>52966.167221383388</v>
      </c>
      <c r="I131" s="289">
        <f t="shared" si="21"/>
        <v>182374.76078763136</v>
      </c>
      <c r="J131" s="289">
        <f t="shared" si="16"/>
        <v>95166.093320029351</v>
      </c>
      <c r="K131" s="289">
        <f t="shared" si="22"/>
        <v>494779.59255251655</v>
      </c>
      <c r="L131" s="16"/>
      <c r="M131" s="290">
        <f t="shared" si="7"/>
        <v>2009</v>
      </c>
      <c r="N131" s="289">
        <f t="shared" si="17"/>
        <v>18427.832778616616</v>
      </c>
      <c r="O131" s="289">
        <f t="shared" si="18"/>
        <v>63451.28921236864</v>
      </c>
      <c r="P131" s="289">
        <f t="shared" si="19"/>
        <v>33109.906679970656</v>
      </c>
      <c r="Q131" s="289">
        <f t="shared" si="20"/>
        <v>172142.25744748343</v>
      </c>
      <c r="R131" s="344">
        <f t="shared" si="24"/>
        <v>4229.2074975156629</v>
      </c>
    </row>
    <row r="132" spans="1:18" x14ac:dyDescent="0.25">
      <c r="A132" s="349">
        <v>2010</v>
      </c>
      <c r="B132" s="350">
        <v>58772</v>
      </c>
      <c r="C132" s="343">
        <v>249609.2</v>
      </c>
      <c r="D132" s="350">
        <v>121888</v>
      </c>
      <c r="E132" s="343">
        <v>676493</v>
      </c>
      <c r="F132" s="374">
        <v>15524.5</v>
      </c>
      <c r="G132" s="290">
        <f t="shared" si="6"/>
        <v>2010</v>
      </c>
      <c r="H132" s="289">
        <f t="shared" si="23"/>
        <v>43837.756726755455</v>
      </c>
      <c r="I132" s="289">
        <f t="shared" si="21"/>
        <v>186182.32128156346</v>
      </c>
      <c r="J132" s="289">
        <f t="shared" si="16"/>
        <v>90915.682500353374</v>
      </c>
      <c r="K132" s="289">
        <f t="shared" si="22"/>
        <v>504592.92794788297</v>
      </c>
      <c r="L132" s="16"/>
      <c r="M132" s="290">
        <f t="shared" si="7"/>
        <v>2010</v>
      </c>
      <c r="N132" s="289">
        <f t="shared" si="17"/>
        <v>14934.243273244545</v>
      </c>
      <c r="O132" s="289">
        <f t="shared" si="18"/>
        <v>63426.878718436543</v>
      </c>
      <c r="P132" s="289">
        <f t="shared" si="19"/>
        <v>30972.317499646619</v>
      </c>
      <c r="Q132" s="289">
        <f t="shared" si="20"/>
        <v>171900.07205211703</v>
      </c>
      <c r="R132" s="344">
        <f t="shared" si="24"/>
        <v>3944.8489024618007</v>
      </c>
    </row>
    <row r="133" spans="1:18" x14ac:dyDescent="0.25">
      <c r="A133" s="296">
        <v>2011</v>
      </c>
      <c r="B133" s="295">
        <v>84276.137236863375</v>
      </c>
      <c r="C133" s="295">
        <v>266213.09804153442</v>
      </c>
      <c r="D133" s="295">
        <v>162739.11451905966</v>
      </c>
      <c r="E133" s="295">
        <v>908201.66443562508</v>
      </c>
      <c r="F133" s="374">
        <v>23894.82</v>
      </c>
      <c r="G133" s="290">
        <f t="shared" ref="G133:G152" si="25">A133</f>
        <v>2011</v>
      </c>
      <c r="H133" s="289">
        <f t="shared" si="23"/>
        <v>62581.33957033632</v>
      </c>
      <c r="I133" s="289">
        <f t="shared" si="21"/>
        <v>197683.15009247043</v>
      </c>
      <c r="J133" s="289">
        <f t="shared" si="16"/>
        <v>120845.97278668737</v>
      </c>
      <c r="K133" s="289">
        <f t="shared" si="22"/>
        <v>674407.71046076785</v>
      </c>
      <c r="L133" s="16"/>
      <c r="M133" s="290">
        <f t="shared" si="7"/>
        <v>2011</v>
      </c>
      <c r="N133" s="289">
        <f t="shared" si="17"/>
        <v>21694.797666527058</v>
      </c>
      <c r="O133" s="289">
        <f t="shared" si="18"/>
        <v>68529.947949063979</v>
      </c>
      <c r="P133" s="289">
        <f t="shared" si="19"/>
        <v>41893.141732372285</v>
      </c>
      <c r="Q133" s="289">
        <f t="shared" si="20"/>
        <v>233793.95397485726</v>
      </c>
      <c r="R133" s="344">
        <f t="shared" si="24"/>
        <v>6151.1277352580501</v>
      </c>
    </row>
    <row r="134" spans="1:18" x14ac:dyDescent="0.25">
      <c r="A134" s="296">
        <v>2012</v>
      </c>
      <c r="B134" s="295">
        <v>94571.291793316603</v>
      </c>
      <c r="C134" s="295">
        <v>306651.20267379284</v>
      </c>
      <c r="D134" s="295">
        <v>183962.56421613693</v>
      </c>
      <c r="E134" s="295">
        <v>1026424.6039438248</v>
      </c>
      <c r="F134" s="374">
        <v>50566.100000000006</v>
      </c>
      <c r="G134" s="290">
        <f t="shared" si="25"/>
        <v>2012</v>
      </c>
      <c r="H134" s="289">
        <f t="shared" si="23"/>
        <v>70074.950396172688</v>
      </c>
      <c r="I134" s="289">
        <f t="shared" si="21"/>
        <v>227220.83423852883</v>
      </c>
      <c r="J134" s="289">
        <f t="shared" si="16"/>
        <v>136311.63662617491</v>
      </c>
      <c r="K134" s="289">
        <f t="shared" si="22"/>
        <v>760554.83480091172</v>
      </c>
      <c r="L134" s="16"/>
      <c r="M134" s="290">
        <f t="shared" si="7"/>
        <v>2012</v>
      </c>
      <c r="N134" s="289">
        <f t="shared" si="17"/>
        <v>24496.341397143908</v>
      </c>
      <c r="O134" s="289">
        <f t="shared" si="18"/>
        <v>79430.368435264012</v>
      </c>
      <c r="P134" s="289">
        <f t="shared" si="19"/>
        <v>47650.927589962026</v>
      </c>
      <c r="Q134" s="289">
        <f t="shared" si="20"/>
        <v>265869.76914291305</v>
      </c>
      <c r="R134" s="344">
        <f t="shared" si="24"/>
        <v>13097.89075768612</v>
      </c>
    </row>
    <row r="135" spans="1:18" x14ac:dyDescent="0.25">
      <c r="A135" s="296">
        <v>2013</v>
      </c>
      <c r="B135" s="295">
        <v>104861.33074477315</v>
      </c>
      <c r="C135" s="295">
        <v>347069.21383714676</v>
      </c>
      <c r="D135" s="295">
        <v>205175.46809917688</v>
      </c>
      <c r="E135" s="295">
        <v>1144588.7991316319</v>
      </c>
      <c r="F135" s="374">
        <v>39935</v>
      </c>
      <c r="G135" s="290">
        <f t="shared" si="25"/>
        <v>2013</v>
      </c>
      <c r="H135" s="289">
        <f t="shared" si="23"/>
        <v>77535.844367459882</v>
      </c>
      <c r="I135" s="289">
        <f t="shared" si="21"/>
        <v>256627.53235806155</v>
      </c>
      <c r="J135" s="289">
        <f t="shared" si="16"/>
        <v>151709.43425540565</v>
      </c>
      <c r="K135" s="289">
        <f t="shared" si="22"/>
        <v>846323.98200450675</v>
      </c>
      <c r="L135" s="16"/>
      <c r="M135" s="290">
        <f t="shared" si="7"/>
        <v>2013</v>
      </c>
      <c r="N135" s="289">
        <f t="shared" si="17"/>
        <v>27325.48637731326</v>
      </c>
      <c r="O135" s="289">
        <f t="shared" si="18"/>
        <v>90441.681479085193</v>
      </c>
      <c r="P135" s="289">
        <f t="shared" si="19"/>
        <v>53466.033843771227</v>
      </c>
      <c r="Q135" s="289">
        <f t="shared" si="20"/>
        <v>298264.81712712516</v>
      </c>
      <c r="R135" s="344">
        <f t="shared" si="24"/>
        <v>10406.536811305901</v>
      </c>
    </row>
    <row r="136" spans="1:18" x14ac:dyDescent="0.25">
      <c r="A136" s="296">
        <v>2014</v>
      </c>
      <c r="B136" s="295">
        <v>115146.25917258859</v>
      </c>
      <c r="C136" s="295">
        <v>387467.15149021149</v>
      </c>
      <c r="D136" s="295">
        <v>226377.83664339781</v>
      </c>
      <c r="E136" s="295">
        <v>1262694.3083498478</v>
      </c>
      <c r="F136" s="374">
        <v>32745.23</v>
      </c>
      <c r="G136" s="290">
        <f t="shared" si="25"/>
        <v>2014</v>
      </c>
      <c r="H136" s="289">
        <f t="shared" si="23"/>
        <v>84965.073603493729</v>
      </c>
      <c r="I136" s="289">
        <f t="shared" si="21"/>
        <v>285907.46483528841</v>
      </c>
      <c r="J136" s="289">
        <f t="shared" si="16"/>
        <v>167041.54951118742</v>
      </c>
      <c r="K136" s="289">
        <f t="shared" si="22"/>
        <v>931727.31462210976</v>
      </c>
      <c r="L136" s="16"/>
      <c r="M136" s="290">
        <f t="shared" si="7"/>
        <v>2014</v>
      </c>
      <c r="N136" s="289">
        <f t="shared" si="17"/>
        <v>30181.185569094851</v>
      </c>
      <c r="O136" s="289">
        <f t="shared" si="18"/>
        <v>101559.68665492308</v>
      </c>
      <c r="P136" s="289">
        <f t="shared" si="19"/>
        <v>59336.287132210382</v>
      </c>
      <c r="Q136" s="289">
        <f t="shared" si="20"/>
        <v>330966.9937277381</v>
      </c>
      <c r="R136" s="344">
        <f t="shared" si="24"/>
        <v>8582.9089910023013</v>
      </c>
    </row>
    <row r="137" spans="1:18" x14ac:dyDescent="0.25">
      <c r="A137" s="296">
        <v>2015</v>
      </c>
      <c r="B137" s="295">
        <v>125426.08215051889</v>
      </c>
      <c r="C137" s="295">
        <v>427845.03556203842</v>
      </c>
      <c r="D137" s="295">
        <v>247569.68030828238</v>
      </c>
      <c r="E137" s="295">
        <v>1380741.1898617744</v>
      </c>
      <c r="F137" s="344">
        <v>45865.58257142856</v>
      </c>
      <c r="G137" s="290">
        <f t="shared" si="25"/>
        <v>2015</v>
      </c>
      <c r="H137" s="289">
        <f t="shared" si="23"/>
        <v>92363.641249010019</v>
      </c>
      <c r="I137" s="289">
        <f t="shared" si="21"/>
        <v>315064.65559052437</v>
      </c>
      <c r="J137" s="289">
        <f t="shared" si="16"/>
        <v>182310.0645740109</v>
      </c>
      <c r="K137" s="289">
        <f t="shared" si="22"/>
        <v>1016776.4290451176</v>
      </c>
      <c r="L137" s="16"/>
      <c r="M137" s="290">
        <f t="shared" si="7"/>
        <v>2015</v>
      </c>
      <c r="N137" s="289">
        <f t="shared" si="17"/>
        <v>33062.440901508875</v>
      </c>
      <c r="O137" s="289">
        <f t="shared" si="18"/>
        <v>112780.37997151405</v>
      </c>
      <c r="P137" s="289">
        <f t="shared" si="19"/>
        <v>65259.615734271487</v>
      </c>
      <c r="Q137" s="289">
        <f t="shared" si="20"/>
        <v>363964.76081665681</v>
      </c>
      <c r="R137" s="344">
        <f t="shared" si="24"/>
        <v>12090.213512061444</v>
      </c>
    </row>
    <row r="138" spans="1:18" x14ac:dyDescent="0.25">
      <c r="A138" s="296">
        <v>2016</v>
      </c>
      <c r="B138" s="295">
        <v>135700.80474472046</v>
      </c>
      <c r="C138" s="295">
        <v>468202.88595211506</v>
      </c>
      <c r="D138" s="295">
        <v>268751.00953781605</v>
      </c>
      <c r="E138" s="295">
        <v>1498729.5018446445</v>
      </c>
      <c r="F138" s="344">
        <v>51756.057214285698</v>
      </c>
      <c r="G138" s="290">
        <f t="shared" si="25"/>
        <v>2016</v>
      </c>
      <c r="H138" s="289">
        <f t="shared" si="23"/>
        <v>99732.504298663538</v>
      </c>
      <c r="I138" s="289">
        <f t="shared" si="21"/>
        <v>344102.94341075153</v>
      </c>
      <c r="J138" s="289">
        <f t="shared" si="16"/>
        <v>197516.96583098712</v>
      </c>
      <c r="K138" s="289">
        <f t="shared" si="22"/>
        <v>1101482.3881585728</v>
      </c>
      <c r="L138" s="16"/>
      <c r="M138" s="290">
        <f t="shared" si="7"/>
        <v>2016</v>
      </c>
      <c r="N138" s="289">
        <f t="shared" si="17"/>
        <v>35968.300446056928</v>
      </c>
      <c r="O138" s="289">
        <f t="shared" si="18"/>
        <v>124099.94254136352</v>
      </c>
      <c r="P138" s="289">
        <f t="shared" si="19"/>
        <v>71234.043706828947</v>
      </c>
      <c r="Q138" s="289">
        <f t="shared" si="20"/>
        <v>397247.11368607183</v>
      </c>
      <c r="R138" s="344">
        <f t="shared" si="24"/>
        <v>13718.248902714529</v>
      </c>
    </row>
    <row r="139" spans="1:18" x14ac:dyDescent="0.25">
      <c r="A139" s="296">
        <v>2017</v>
      </c>
      <c r="B139" s="295">
        <v>145970.43201380968</v>
      </c>
      <c r="C139" s="295">
        <v>508540.72253012657</v>
      </c>
      <c r="D139" s="295">
        <v>289921.83476030827</v>
      </c>
      <c r="E139" s="295">
        <v>1616659.3023881912</v>
      </c>
      <c r="F139" s="344">
        <v>57646.531857142836</v>
      </c>
      <c r="G139" s="290">
        <f t="shared" si="25"/>
        <v>2017</v>
      </c>
      <c r="H139" s="289">
        <f t="shared" si="23"/>
        <v>107072.57622828821</v>
      </c>
      <c r="I139" s="289">
        <f t="shared" si="21"/>
        <v>373025.99250473117</v>
      </c>
      <c r="J139" s="289">
        <f t="shared" si="16"/>
        <v>212664.14933732236</v>
      </c>
      <c r="K139" s="289">
        <f t="shared" si="22"/>
        <v>1185855.7517576884</v>
      </c>
      <c r="L139" s="16"/>
      <c r="M139" s="290">
        <f t="shared" si="7"/>
        <v>2017</v>
      </c>
      <c r="N139" s="289">
        <f t="shared" si="17"/>
        <v>38897.855785521482</v>
      </c>
      <c r="O139" s="289">
        <f t="shared" si="18"/>
        <v>135514.73002539543</v>
      </c>
      <c r="P139" s="289">
        <f t="shared" si="19"/>
        <v>77257.685422985902</v>
      </c>
      <c r="Q139" s="289">
        <f t="shared" si="20"/>
        <v>430803.55063050275</v>
      </c>
      <c r="R139" s="344">
        <f t="shared" si="24"/>
        <v>15361.511586829271</v>
      </c>
    </row>
    <row r="140" spans="1:18" x14ac:dyDescent="0.25">
      <c r="A140" s="296">
        <v>2018</v>
      </c>
      <c r="B140" s="295">
        <v>156234.96900898218</v>
      </c>
      <c r="C140" s="295">
        <v>548858.56513619423</v>
      </c>
      <c r="D140" s="295">
        <v>311082.16638875008</v>
      </c>
      <c r="E140" s="295">
        <v>1734530.6494967937</v>
      </c>
      <c r="F140" s="344">
        <v>63537.006499999981</v>
      </c>
      <c r="G140" s="290">
        <f t="shared" si="25"/>
        <v>2018</v>
      </c>
      <c r="H140" s="289">
        <f t="shared" si="23"/>
        <v>114384.72944819189</v>
      </c>
      <c r="I140" s="289">
        <f t="shared" si="21"/>
        <v>401837.30234437471</v>
      </c>
      <c r="J140" s="289">
        <f t="shared" si="16"/>
        <v>227753.4259086957</v>
      </c>
      <c r="K140" s="289">
        <f t="shared" si="22"/>
        <v>1269906.6049091788</v>
      </c>
      <c r="L140" s="16"/>
      <c r="M140" s="290">
        <f t="shared" si="7"/>
        <v>2018</v>
      </c>
      <c r="N140" s="289">
        <f t="shared" si="17"/>
        <v>41850.23956079028</v>
      </c>
      <c r="O140" s="289">
        <f t="shared" si="18"/>
        <v>147021.26279181952</v>
      </c>
      <c r="P140" s="289">
        <f t="shared" si="19"/>
        <v>83328.740480054374</v>
      </c>
      <c r="Q140" s="289">
        <f t="shared" si="20"/>
        <v>464624.044587615</v>
      </c>
      <c r="R140" s="344">
        <f t="shared" si="24"/>
        <v>17019.486481593096</v>
      </c>
    </row>
    <row r="141" spans="1:18" x14ac:dyDescent="0.25">
      <c r="A141" s="296">
        <v>2019</v>
      </c>
      <c r="B141" s="295">
        <v>166494.42077380419</v>
      </c>
      <c r="C141" s="295">
        <v>589156.43358123302</v>
      </c>
      <c r="D141" s="295">
        <v>332232.01482051611</v>
      </c>
      <c r="E141" s="295">
        <v>1852343.601088047</v>
      </c>
      <c r="F141" s="344">
        <v>69427.481142857127</v>
      </c>
      <c r="G141" s="290">
        <f t="shared" si="25"/>
        <v>2019</v>
      </c>
      <c r="H141" s="289">
        <f t="shared" si="23"/>
        <v>121669.79759209539</v>
      </c>
      <c r="I141" s="289">
        <f t="shared" si="21"/>
        <v>430540.21684784145</v>
      </c>
      <c r="J141" s="289">
        <f t="shared" si="16"/>
        <v>242786.52587250073</v>
      </c>
      <c r="K141" s="289">
        <f t="shared" si="22"/>
        <v>1353644.5844127384</v>
      </c>
      <c r="L141" s="16"/>
      <c r="M141" s="290">
        <f t="shared" si="7"/>
        <v>2019</v>
      </c>
      <c r="N141" s="289">
        <f t="shared" si="17"/>
        <v>44824.62318170879</v>
      </c>
      <c r="O141" s="289">
        <f t="shared" si="18"/>
        <v>158616.21673339157</v>
      </c>
      <c r="P141" s="289">
        <f t="shared" si="19"/>
        <v>89445.48894801538</v>
      </c>
      <c r="Q141" s="289">
        <f t="shared" si="20"/>
        <v>498699.01667530858</v>
      </c>
      <c r="R141" s="344">
        <f t="shared" si="24"/>
        <v>18691.681476292491</v>
      </c>
    </row>
    <row r="142" spans="1:18" x14ac:dyDescent="0.25">
      <c r="A142" s="296">
        <v>2020</v>
      </c>
      <c r="B142" s="295">
        <v>176748.79234445095</v>
      </c>
      <c r="C142" s="295">
        <v>629434.34764635563</v>
      </c>
      <c r="D142" s="295">
        <v>353371.39043754339</v>
      </c>
      <c r="E142" s="295">
        <v>1970098.214993</v>
      </c>
      <c r="F142" s="344">
        <v>75317.955785714264</v>
      </c>
      <c r="G142" s="290">
        <f t="shared" si="25"/>
        <v>2020</v>
      </c>
      <c r="H142" s="289">
        <f t="shared" si="23"/>
        <v>128928.57765495131</v>
      </c>
      <c r="I142" s="289">
        <f t="shared" si="21"/>
        <v>459137.9329543949</v>
      </c>
      <c r="J142" s="289">
        <f t="shared" si="16"/>
        <v>257765.10350507798</v>
      </c>
      <c r="K142" s="289">
        <f t="shared" si="22"/>
        <v>1437078.9035129745</v>
      </c>
      <c r="L142" s="16"/>
      <c r="M142" s="290">
        <f t="shared" si="7"/>
        <v>2020</v>
      </c>
      <c r="N142" s="289">
        <f t="shared" si="17"/>
        <v>47820.214689499633</v>
      </c>
      <c r="O142" s="289">
        <f t="shared" si="18"/>
        <v>170296.41469196073</v>
      </c>
      <c r="P142" s="289">
        <f t="shared" si="19"/>
        <v>95606.286932465402</v>
      </c>
      <c r="Q142" s="289">
        <f t="shared" si="20"/>
        <v>533019.31148002564</v>
      </c>
      <c r="R142" s="344">
        <f t="shared" si="24"/>
        <v>20377.626165773199</v>
      </c>
    </row>
    <row r="143" spans="1:18" x14ac:dyDescent="0.25">
      <c r="A143" s="60">
        <v>2021</v>
      </c>
      <c r="B143" s="285">
        <v>186998.08874952793</v>
      </c>
      <c r="C143" s="285">
        <v>669692.32708358765</v>
      </c>
      <c r="D143" s="285">
        <v>374500.30360645056</v>
      </c>
      <c r="E143" s="285">
        <v>2087794.54895854</v>
      </c>
      <c r="F143" s="344">
        <v>81208.430428571402</v>
      </c>
      <c r="G143" s="290">
        <f t="shared" si="25"/>
        <v>2021</v>
      </c>
      <c r="H143" s="289">
        <f t="shared" si="23"/>
        <v>136161.83199057222</v>
      </c>
      <c r="I143" s="289">
        <f t="shared" si="21"/>
        <v>487633.50863906083</v>
      </c>
      <c r="J143" s="289">
        <f t="shared" si="16"/>
        <v>272690.74117854337</v>
      </c>
      <c r="K143" s="289">
        <f t="shared" si="22"/>
        <v>1520218.3749957865</v>
      </c>
      <c r="L143" s="16"/>
      <c r="M143" s="290">
        <f t="shared" si="7"/>
        <v>2021</v>
      </c>
      <c r="N143" s="289">
        <f t="shared" si="17"/>
        <v>50836.256758955729</v>
      </c>
      <c r="O143" s="289">
        <f t="shared" si="18"/>
        <v>182058.81844452684</v>
      </c>
      <c r="P143" s="289">
        <f t="shared" si="19"/>
        <v>101809.56242790719</v>
      </c>
      <c r="Q143" s="289">
        <f t="shared" si="20"/>
        <v>567576.17396275362</v>
      </c>
      <c r="R143" s="344">
        <f t="shared" si="24"/>
        <v>22076.870666781459</v>
      </c>
    </row>
    <row r="144" spans="1:18" x14ac:dyDescent="0.25">
      <c r="A144" s="60">
        <v>2022</v>
      </c>
      <c r="B144" s="285">
        <v>197242.31501027942</v>
      </c>
      <c r="C144" s="285">
        <v>709930.39161550999</v>
      </c>
      <c r="D144" s="285">
        <v>395618.76467835903</v>
      </c>
      <c r="E144" s="285">
        <v>2205432.6606440544</v>
      </c>
      <c r="F144" s="344">
        <v>87098.90507142854</v>
      </c>
      <c r="G144" s="290">
        <f t="shared" si="25"/>
        <v>2022</v>
      </c>
      <c r="H144" s="289">
        <f t="shared" si="23"/>
        <v>143370.29018022047</v>
      </c>
      <c r="I144" s="289">
        <f t="shared" si="21"/>
        <v>516029.87040772027</v>
      </c>
      <c r="J144" s="289">
        <f t="shared" si="16"/>
        <v>287564.95323896746</v>
      </c>
      <c r="K144" s="289">
        <f t="shared" si="22"/>
        <v>1603071.4327855823</v>
      </c>
      <c r="L144" s="16"/>
      <c r="M144" s="290">
        <f t="shared" si="7"/>
        <v>2022</v>
      </c>
      <c r="N144" s="289">
        <f t="shared" si="17"/>
        <v>53872.024830058952</v>
      </c>
      <c r="O144" s="289">
        <f t="shared" si="18"/>
        <v>193900.52120778974</v>
      </c>
      <c r="P144" s="289">
        <f t="shared" si="19"/>
        <v>108053.81143939157</v>
      </c>
      <c r="Q144" s="289">
        <f t="shared" si="20"/>
        <v>602361.22785847215</v>
      </c>
      <c r="R144" s="344">
        <f t="shared" si="24"/>
        <v>23788.984510927123</v>
      </c>
    </row>
    <row r="145" spans="1:18" x14ac:dyDescent="0.25">
      <c r="A145" s="60">
        <v>2023</v>
      </c>
      <c r="B145" s="285">
        <v>207481.47614037991</v>
      </c>
      <c r="C145" s="285">
        <v>750148.56093549728</v>
      </c>
      <c r="D145" s="285">
        <v>416726.78398913145</v>
      </c>
      <c r="E145" s="285">
        <v>2323012.6076242924</v>
      </c>
      <c r="F145" s="344">
        <v>92989.379714285678</v>
      </c>
      <c r="G145" s="290">
        <f t="shared" si="25"/>
        <v>2023</v>
      </c>
      <c r="H145" s="289">
        <f t="shared" si="23"/>
        <v>150554.65078123554</v>
      </c>
      <c r="I145" s="289">
        <f t="shared" si="21"/>
        <v>544329.82031262014</v>
      </c>
      <c r="J145" s="289">
        <f t="shared" si="16"/>
        <v>302389.18963648449</v>
      </c>
      <c r="K145" s="289">
        <f t="shared" si="22"/>
        <v>1685646.1521637326</v>
      </c>
      <c r="L145" s="16"/>
      <c r="M145" s="290">
        <f t="shared" si="7"/>
        <v>2023</v>
      </c>
      <c r="N145" s="289">
        <f t="shared" si="17"/>
        <v>56926.825359144357</v>
      </c>
      <c r="O145" s="289">
        <f t="shared" si="18"/>
        <v>205818.74062287709</v>
      </c>
      <c r="P145" s="289">
        <f t="shared" si="19"/>
        <v>114337.59435264699</v>
      </c>
      <c r="Q145" s="289">
        <f t="shared" si="20"/>
        <v>637366.45546055969</v>
      </c>
      <c r="R145" s="344">
        <f t="shared" si="24"/>
        <v>25513.555608543636</v>
      </c>
    </row>
    <row r="146" spans="1:18" x14ac:dyDescent="0.25">
      <c r="A146" s="60">
        <v>2024</v>
      </c>
      <c r="B146" s="285">
        <v>217715.57714617252</v>
      </c>
      <c r="C146" s="285">
        <v>790346.85470759869</v>
      </c>
      <c r="D146" s="285">
        <v>437824.37185925245</v>
      </c>
      <c r="E146" s="285">
        <v>2440534.4473884106</v>
      </c>
      <c r="F146" s="344">
        <v>98879.854357142816</v>
      </c>
      <c r="G146" s="290">
        <f t="shared" si="25"/>
        <v>2024</v>
      </c>
      <c r="H146" s="289">
        <f t="shared" si="23"/>
        <v>157715.58296517364</v>
      </c>
      <c r="I146" s="289">
        <f t="shared" si="21"/>
        <v>572536.04252309096</v>
      </c>
      <c r="J146" s="289">
        <f t="shared" si="16"/>
        <v>317164.83932512638</v>
      </c>
      <c r="K146" s="289">
        <f t="shared" si="22"/>
        <v>1767950.2687032144</v>
      </c>
      <c r="L146" s="16"/>
      <c r="M146" s="290">
        <f t="shared" si="7"/>
        <v>2024</v>
      </c>
      <c r="N146" s="289">
        <f t="shared" si="17"/>
        <v>59999.994180998874</v>
      </c>
      <c r="O146" s="289">
        <f t="shared" si="18"/>
        <v>217810.81218450773</v>
      </c>
      <c r="P146" s="289">
        <f t="shared" si="19"/>
        <v>120659.53253412605</v>
      </c>
      <c r="Q146" s="289">
        <f t="shared" si="20"/>
        <v>672584.17868519633</v>
      </c>
      <c r="R146" s="344">
        <f t="shared" si="24"/>
        <v>27250.189278203812</v>
      </c>
    </row>
    <row r="147" spans="1:18" x14ac:dyDescent="0.25">
      <c r="A147" s="60">
        <v>2025</v>
      </c>
      <c r="B147" s="285">
        <v>227944.62302652001</v>
      </c>
      <c r="C147" s="285">
        <v>830525.29256689548</v>
      </c>
      <c r="D147" s="285">
        <v>458911.53859388828</v>
      </c>
      <c r="E147" s="285">
        <v>2557998.2373402119</v>
      </c>
      <c r="F147" s="344">
        <v>104770.32899999995</v>
      </c>
      <c r="G147" s="290">
        <f t="shared" si="25"/>
        <v>2025</v>
      </c>
      <c r="H147" s="289">
        <f t="shared" si="23"/>
        <v>164853.72805295943</v>
      </c>
      <c r="I147" s="289">
        <f t="shared" si="21"/>
        <v>600651.10948459746</v>
      </c>
      <c r="J147" s="289">
        <f t="shared" si="16"/>
        <v>331893.23344960081</v>
      </c>
      <c r="K147" s="289">
        <f t="shared" si="22"/>
        <v>1849991.1960168108</v>
      </c>
      <c r="L147" s="16"/>
      <c r="M147" s="290">
        <f t="shared" si="7"/>
        <v>2025</v>
      </c>
      <c r="N147" s="289">
        <f t="shared" si="17"/>
        <v>63090.894973560586</v>
      </c>
      <c r="O147" s="289">
        <f t="shared" si="18"/>
        <v>229874.18308229808</v>
      </c>
      <c r="P147" s="289">
        <f t="shared" si="19"/>
        <v>127018.30514428749</v>
      </c>
      <c r="Q147" s="289">
        <f t="shared" si="20"/>
        <v>708007.04132340092</v>
      </c>
      <c r="R147" s="344">
        <f t="shared" si="24"/>
        <v>28998.50733708838</v>
      </c>
    </row>
    <row r="148" spans="1:18" x14ac:dyDescent="0.25">
      <c r="A148" s="60">
        <v>2026</v>
      </c>
      <c r="B148" s="285">
        <v>238168.61877298355</v>
      </c>
      <c r="C148" s="285">
        <v>870683.89411950111</v>
      </c>
      <c r="D148" s="285">
        <v>479988.294483006</v>
      </c>
      <c r="E148" s="285">
        <v>2675404.0347993374</v>
      </c>
      <c r="F148" s="344">
        <v>110660.80364285709</v>
      </c>
      <c r="G148" s="290">
        <f t="shared" si="25"/>
        <v>2026</v>
      </c>
      <c r="H148" s="289">
        <f t="shared" si="23"/>
        <v>171969.70095500484</v>
      </c>
      <c r="I148" s="289">
        <f t="shared" si="21"/>
        <v>628677.48769534519</v>
      </c>
      <c r="J148" s="289">
        <f t="shared" si="16"/>
        <v>346575.64833435812</v>
      </c>
      <c r="K148" s="289">
        <f t="shared" si="22"/>
        <v>1931776.0424046477</v>
      </c>
      <c r="L148" s="16"/>
      <c r="M148" s="290">
        <f t="shared" si="7"/>
        <v>2026</v>
      </c>
      <c r="N148" s="289">
        <f t="shared" si="17"/>
        <v>66198.917817978698</v>
      </c>
      <c r="O148" s="289">
        <f t="shared" si="18"/>
        <v>242006.40642415598</v>
      </c>
      <c r="P148" s="289">
        <f t="shared" si="19"/>
        <v>133412.64614864791</v>
      </c>
      <c r="Q148" s="289">
        <f t="shared" si="20"/>
        <v>743627.9923946897</v>
      </c>
      <c r="R148" s="344">
        <f t="shared" si="24"/>
        <v>30758.147247801691</v>
      </c>
    </row>
    <row r="149" spans="1:18" x14ac:dyDescent="0.25">
      <c r="A149" s="60">
        <v>2027</v>
      </c>
      <c r="B149" s="285">
        <v>248387.56936955452</v>
      </c>
      <c r="C149" s="285">
        <v>910822.67894220352</v>
      </c>
      <c r="D149" s="285">
        <v>501054.64980137348</v>
      </c>
      <c r="E149" s="285">
        <v>2792751.8969991207</v>
      </c>
      <c r="F149" s="344">
        <v>116551.27828571423</v>
      </c>
      <c r="G149" s="290">
        <f t="shared" si="25"/>
        <v>2027</v>
      </c>
      <c r="H149" s="289">
        <f t="shared" si="23"/>
        <v>179064.09152256078</v>
      </c>
      <c r="I149" s="289">
        <f t="shared" si="21"/>
        <v>656617.54312783154</v>
      </c>
      <c r="J149" s="289">
        <f t="shared" si="16"/>
        <v>361213.30828899</v>
      </c>
      <c r="K149" s="289">
        <f t="shared" si="22"/>
        <v>2013311.6264768764</v>
      </c>
      <c r="L149" s="16"/>
      <c r="M149" s="290">
        <f t="shared" si="7"/>
        <v>2027</v>
      </c>
      <c r="N149" s="289">
        <f t="shared" si="17"/>
        <v>69323.477846993745</v>
      </c>
      <c r="O149" s="289">
        <f t="shared" si="18"/>
        <v>254205.13581437196</v>
      </c>
      <c r="P149" s="289">
        <f t="shared" si="19"/>
        <v>139841.34151238351</v>
      </c>
      <c r="Q149" s="289">
        <f t="shared" si="20"/>
        <v>779440.27052224427</v>
      </c>
      <c r="R149" s="344">
        <f t="shared" si="24"/>
        <v>32528.761317589782</v>
      </c>
    </row>
    <row r="150" spans="1:18" x14ac:dyDescent="0.25">
      <c r="A150" s="60">
        <v>2028</v>
      </c>
      <c r="B150" s="285">
        <v>258601.47979301214</v>
      </c>
      <c r="C150" s="285">
        <v>950941.6665828228</v>
      </c>
      <c r="D150" s="285">
        <v>522110.6148083806</v>
      </c>
      <c r="E150" s="285">
        <v>2910041.8810896873</v>
      </c>
      <c r="F150" s="344">
        <v>122441.75292857138</v>
      </c>
      <c r="G150" s="290">
        <f t="shared" si="25"/>
        <v>2028</v>
      </c>
      <c r="H150" s="289">
        <f t="shared" si="23"/>
        <v>186137.46581735017</v>
      </c>
      <c r="I150" s="289">
        <f t="shared" si="21"/>
        <v>684473.54632128123</v>
      </c>
      <c r="J150" s="289">
        <f t="shared" si="16"/>
        <v>375807.38824293733</v>
      </c>
      <c r="K150" s="289">
        <f t="shared" si="22"/>
        <v>2094604.4918302353</v>
      </c>
      <c r="L150" s="16"/>
      <c r="M150" s="290">
        <f t="shared" si="7"/>
        <v>2028</v>
      </c>
      <c r="N150" s="289">
        <f t="shared" si="17"/>
        <v>72464.013975661976</v>
      </c>
      <c r="O150" s="289">
        <f t="shared" si="18"/>
        <v>266468.12026154157</v>
      </c>
      <c r="P150" s="289">
        <f t="shared" si="19"/>
        <v>146303.2265654433</v>
      </c>
      <c r="Q150" s="289">
        <f t="shared" si="20"/>
        <v>815437.38925945212</v>
      </c>
      <c r="R150" s="344">
        <f t="shared" si="24"/>
        <v>34310.015946244021</v>
      </c>
    </row>
    <row r="151" spans="1:18" x14ac:dyDescent="0.25">
      <c r="A151" s="60">
        <v>2029</v>
      </c>
      <c r="B151" s="285">
        <v>268810.35501271486</v>
      </c>
      <c r="C151" s="285">
        <v>991040.87656056881</v>
      </c>
      <c r="D151" s="285">
        <v>543156.19974845648</v>
      </c>
      <c r="E151" s="285">
        <v>3027274.0441358089</v>
      </c>
      <c r="F151" s="344">
        <v>128332.22757142852</v>
      </c>
      <c r="G151" s="290">
        <f t="shared" si="25"/>
        <v>2029</v>
      </c>
      <c r="H151" s="289">
        <f t="shared" si="23"/>
        <v>193190.36730439169</v>
      </c>
      <c r="I151" s="289">
        <f t="shared" si="21"/>
        <v>712247.67716759455</v>
      </c>
      <c r="J151" s="289">
        <f t="shared" si="16"/>
        <v>390359.0162220443</v>
      </c>
      <c r="K151" s="289">
        <f t="shared" si="22"/>
        <v>2175660.9208376105</v>
      </c>
      <c r="L151" s="16"/>
      <c r="M151" s="290">
        <f t="shared" si="7"/>
        <v>2029</v>
      </c>
      <c r="N151" s="289">
        <f t="shared" si="17"/>
        <v>75619.987708323155</v>
      </c>
      <c r="O151" s="289">
        <f t="shared" si="18"/>
        <v>278793.19939297432</v>
      </c>
      <c r="P151" s="289">
        <f t="shared" si="19"/>
        <v>152797.18352641215</v>
      </c>
      <c r="Q151" s="289">
        <f t="shared" si="20"/>
        <v>851613.12329819833</v>
      </c>
      <c r="R151" s="344">
        <f t="shared" si="24"/>
        <v>36101.590919271424</v>
      </c>
    </row>
    <row r="152" spans="1:18" x14ac:dyDescent="0.25">
      <c r="A152" s="60">
        <v>2030</v>
      </c>
      <c r="B152" s="285">
        <v>279014.19999065995</v>
      </c>
      <c r="C152" s="285">
        <v>1031120.3283655643</v>
      </c>
      <c r="D152" s="285">
        <v>564191.41485071182</v>
      </c>
      <c r="E152" s="285">
        <v>3144448.443117857</v>
      </c>
      <c r="F152" s="344">
        <v>134222.70221428567</v>
      </c>
      <c r="G152" s="290">
        <f t="shared" si="25"/>
        <v>2030</v>
      </c>
      <c r="H152" s="289">
        <f t="shared" si="23"/>
        <v>200223.31797392806</v>
      </c>
      <c r="I152" s="289">
        <f t="shared" si="21"/>
        <v>739942.02941151592</v>
      </c>
      <c r="J152" s="289">
        <f t="shared" si="16"/>
        <v>404869.27567699394</v>
      </c>
      <c r="K152" s="289">
        <f t="shared" si="22"/>
        <v>2256486.9476180258</v>
      </c>
      <c r="L152" s="16"/>
      <c r="M152" s="290">
        <f t="shared" si="7"/>
        <v>2030</v>
      </c>
      <c r="N152" s="289">
        <f t="shared" si="17"/>
        <v>78790.882016731892</v>
      </c>
      <c r="O152" s="289">
        <f t="shared" si="18"/>
        <v>291178.29895404837</v>
      </c>
      <c r="P152" s="289">
        <f t="shared" si="19"/>
        <v>159322.13917371785</v>
      </c>
      <c r="Q152" s="289">
        <f t="shared" si="20"/>
        <v>887961.49549983104</v>
      </c>
      <c r="R152" s="344">
        <f t="shared" si="24"/>
        <v>37903.178743184893</v>
      </c>
    </row>
    <row r="153" spans="1:18" x14ac:dyDescent="0.25">
      <c r="G153" s="16"/>
      <c r="H153" s="16"/>
      <c r="I153" s="289"/>
      <c r="J153" s="16"/>
      <c r="K153" s="16"/>
      <c r="L153" s="16"/>
      <c r="M153" s="16"/>
    </row>
    <row r="156" spans="1:18" x14ac:dyDescent="0.25">
      <c r="A156" t="s">
        <v>443</v>
      </c>
    </row>
  </sheetData>
  <mergeCells count="6">
    <mergeCell ref="I56:I57"/>
    <mergeCell ref="B123:E123"/>
    <mergeCell ref="A3:A4"/>
    <mergeCell ref="A56:A57"/>
    <mergeCell ref="G56:G57"/>
    <mergeCell ref="C56:F5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10" workbookViewId="0">
      <selection activeCell="C5" sqref="C5"/>
    </sheetView>
  </sheetViews>
  <sheetFormatPr defaultRowHeight="15" x14ac:dyDescent="0.25"/>
  <cols>
    <col min="1" max="1" width="5.7109375" style="27" customWidth="1"/>
    <col min="2" max="2" width="29.42578125" style="27" customWidth="1"/>
    <col min="3" max="3" width="16.7109375" style="27" customWidth="1"/>
    <col min="4" max="4" width="18.28515625" style="27" customWidth="1"/>
    <col min="5" max="5" width="12.5703125" style="27" customWidth="1"/>
    <col min="6" max="6" width="14" style="27" customWidth="1"/>
    <col min="7" max="7" width="13.28515625" style="27" customWidth="1"/>
    <col min="8" max="9" width="14.140625" style="27" customWidth="1"/>
    <col min="10" max="10" width="15.28515625" style="27" bestFit="1" customWidth="1"/>
    <col min="11" max="16384" width="9.140625" style="27"/>
  </cols>
  <sheetData>
    <row r="1" spans="1:8" x14ac:dyDescent="0.25">
      <c r="A1" s="26" t="s">
        <v>53</v>
      </c>
    </row>
    <row r="3" spans="1:8" ht="16.5" thickBot="1" x14ac:dyDescent="0.3">
      <c r="A3" s="47" t="s">
        <v>322</v>
      </c>
    </row>
    <row r="4" spans="1:8" ht="30.75" customHeight="1" thickBot="1" x14ac:dyDescent="0.3">
      <c r="A4" s="57" t="s">
        <v>54</v>
      </c>
      <c r="B4" s="58" t="s">
        <v>55</v>
      </c>
      <c r="C4" s="58" t="s">
        <v>56</v>
      </c>
      <c r="D4" s="59" t="s">
        <v>57</v>
      </c>
    </row>
    <row r="5" spans="1:8" x14ac:dyDescent="0.25">
      <c r="A5" s="54">
        <v>1</v>
      </c>
      <c r="B5" s="55" t="s">
        <v>58</v>
      </c>
      <c r="C5" s="55">
        <v>47</v>
      </c>
      <c r="D5" s="56">
        <v>0.72</v>
      </c>
    </row>
    <row r="6" spans="1:8" x14ac:dyDescent="0.25">
      <c r="A6" s="49">
        <v>2</v>
      </c>
      <c r="B6" s="48" t="s">
        <v>59</v>
      </c>
      <c r="C6" s="48">
        <v>61</v>
      </c>
      <c r="D6" s="50">
        <v>0.75</v>
      </c>
    </row>
    <row r="7" spans="1:8" x14ac:dyDescent="0.25">
      <c r="A7" s="49">
        <v>3</v>
      </c>
      <c r="B7" s="48" t="s">
        <v>19</v>
      </c>
      <c r="C7" s="48">
        <v>55</v>
      </c>
      <c r="D7" s="50">
        <v>0.72</v>
      </c>
    </row>
    <row r="8" spans="1:8" x14ac:dyDescent="0.25">
      <c r="A8" s="49">
        <v>4</v>
      </c>
      <c r="B8" s="48" t="s">
        <v>60</v>
      </c>
      <c r="C8" s="48">
        <v>5</v>
      </c>
      <c r="D8" s="50"/>
    </row>
    <row r="9" spans="1:8" x14ac:dyDescent="0.25">
      <c r="A9" s="49">
        <v>5</v>
      </c>
      <c r="B9" s="48" t="s">
        <v>20</v>
      </c>
      <c r="C9" s="48">
        <v>5</v>
      </c>
      <c r="D9" s="50"/>
    </row>
    <row r="10" spans="1:8" x14ac:dyDescent="0.25">
      <c r="A10" s="49">
        <v>6</v>
      </c>
      <c r="B10" s="48" t="s">
        <v>61</v>
      </c>
      <c r="C10" s="48">
        <v>1</v>
      </c>
      <c r="D10" s="50"/>
    </row>
    <row r="11" spans="1:8" ht="15.75" thickBot="1" x14ac:dyDescent="0.3">
      <c r="A11" s="51">
        <v>7</v>
      </c>
      <c r="B11" s="52" t="s">
        <v>21</v>
      </c>
      <c r="C11" s="52">
        <v>18</v>
      </c>
      <c r="D11" s="53"/>
    </row>
    <row r="13" spans="1:8" ht="16.5" thickBot="1" x14ac:dyDescent="0.3">
      <c r="A13" s="47" t="s">
        <v>323</v>
      </c>
      <c r="H13" s="28"/>
    </row>
    <row r="14" spans="1:8" ht="30.75" thickBot="1" x14ac:dyDescent="0.3">
      <c r="A14" s="57" t="s">
        <v>54</v>
      </c>
      <c r="B14" s="58" t="s">
        <v>55</v>
      </c>
      <c r="C14" s="59" t="s">
        <v>56</v>
      </c>
      <c r="H14" s="28"/>
    </row>
    <row r="15" spans="1:8" x14ac:dyDescent="0.25">
      <c r="A15" s="54">
        <v>1</v>
      </c>
      <c r="B15" s="55" t="s">
        <v>58</v>
      </c>
      <c r="C15" s="56">
        <v>1</v>
      </c>
      <c r="H15" s="28"/>
    </row>
    <row r="16" spans="1:8" x14ac:dyDescent="0.25">
      <c r="A16" s="49">
        <v>2</v>
      </c>
      <c r="B16" s="48" t="s">
        <v>59</v>
      </c>
      <c r="C16" s="50">
        <v>31</v>
      </c>
      <c r="H16" s="28"/>
    </row>
    <row r="17" spans="1:8" x14ac:dyDescent="0.25">
      <c r="A17" s="49">
        <v>3</v>
      </c>
      <c r="B17" s="48" t="s">
        <v>19</v>
      </c>
      <c r="C17" s="50">
        <v>2</v>
      </c>
      <c r="H17" s="28"/>
    </row>
    <row r="18" spans="1:8" x14ac:dyDescent="0.25">
      <c r="A18" s="49">
        <v>4</v>
      </c>
      <c r="B18" s="48" t="s">
        <v>60</v>
      </c>
      <c r="C18" s="50">
        <v>0.2</v>
      </c>
      <c r="H18" s="28"/>
    </row>
    <row r="19" spans="1:8" x14ac:dyDescent="0.25">
      <c r="A19" s="49">
        <v>5</v>
      </c>
      <c r="B19" s="48" t="s">
        <v>20</v>
      </c>
      <c r="C19" s="50">
        <v>0.22</v>
      </c>
      <c r="H19" s="28"/>
    </row>
    <row r="20" spans="1:8" x14ac:dyDescent="0.25">
      <c r="A20" s="49">
        <v>6</v>
      </c>
      <c r="B20" s="48" t="s">
        <v>61</v>
      </c>
      <c r="C20" s="50">
        <v>7</v>
      </c>
      <c r="H20" s="28"/>
    </row>
    <row r="21" spans="1:8" x14ac:dyDescent="0.25">
      <c r="A21" s="49">
        <v>7</v>
      </c>
      <c r="B21" s="48" t="s">
        <v>21</v>
      </c>
      <c r="C21" s="50">
        <v>2.19</v>
      </c>
      <c r="H21" s="28"/>
    </row>
    <row r="22" spans="1:8" x14ac:dyDescent="0.25">
      <c r="A22" s="49">
        <v>8</v>
      </c>
      <c r="B22" s="48" t="s">
        <v>62</v>
      </c>
      <c r="C22" s="50">
        <v>0.02</v>
      </c>
      <c r="H22" s="28"/>
    </row>
    <row r="23" spans="1:8" x14ac:dyDescent="0.25">
      <c r="A23" s="49">
        <v>9</v>
      </c>
      <c r="B23" s="48" t="s">
        <v>63</v>
      </c>
      <c r="C23" s="50">
        <v>0.02</v>
      </c>
    </row>
    <row r="24" spans="1:8" x14ac:dyDescent="0.25">
      <c r="A24" s="49">
        <v>10</v>
      </c>
      <c r="B24" s="48" t="s">
        <v>64</v>
      </c>
      <c r="C24" s="50">
        <v>0.02</v>
      </c>
    </row>
    <row r="25" spans="1:8" ht="15.75" thickBot="1" x14ac:dyDescent="0.3">
      <c r="A25" s="51">
        <v>11</v>
      </c>
      <c r="B25" s="52" t="s">
        <v>65</v>
      </c>
      <c r="C25" s="53">
        <v>0.02</v>
      </c>
    </row>
    <row r="26" spans="1:8" x14ac:dyDescent="0.25">
      <c r="A26" s="28"/>
    </row>
    <row r="27" spans="1:8" ht="16.5" thickBot="1" x14ac:dyDescent="0.3">
      <c r="A27" s="47" t="s">
        <v>324</v>
      </c>
    </row>
    <row r="28" spans="1:8" ht="45.75" thickBot="1" x14ac:dyDescent="0.3">
      <c r="A28" s="69" t="s">
        <v>54</v>
      </c>
      <c r="B28" s="70" t="s">
        <v>76</v>
      </c>
      <c r="C28" s="70" t="s">
        <v>77</v>
      </c>
      <c r="D28" s="71" t="s">
        <v>78</v>
      </c>
    </row>
    <row r="29" spans="1:8" x14ac:dyDescent="0.25">
      <c r="A29" s="66">
        <v>1</v>
      </c>
      <c r="B29" s="67" t="s">
        <v>79</v>
      </c>
      <c r="C29" s="67" t="s">
        <v>80</v>
      </c>
      <c r="D29" s="68" t="s">
        <v>80</v>
      </c>
    </row>
    <row r="30" spans="1:8" x14ac:dyDescent="0.25">
      <c r="A30" s="61">
        <v>2</v>
      </c>
      <c r="B30" s="60" t="s">
        <v>81</v>
      </c>
      <c r="C30" s="60">
        <v>0</v>
      </c>
      <c r="D30" s="62">
        <v>0.01</v>
      </c>
    </row>
    <row r="31" spans="1:8" x14ac:dyDescent="0.25">
      <c r="A31" s="61">
        <v>3</v>
      </c>
      <c r="B31" s="60" t="s">
        <v>82</v>
      </c>
      <c r="C31" s="60">
        <v>0.02</v>
      </c>
      <c r="D31" s="62">
        <v>0.01</v>
      </c>
    </row>
    <row r="32" spans="1:8" x14ac:dyDescent="0.25">
      <c r="A32" s="61">
        <v>4</v>
      </c>
      <c r="B32" s="60" t="s">
        <v>83</v>
      </c>
      <c r="C32" s="60">
        <v>0.01</v>
      </c>
      <c r="D32" s="62">
        <v>0.01</v>
      </c>
    </row>
    <row r="33" spans="1:7" ht="15.75" thickBot="1" x14ac:dyDescent="0.3">
      <c r="A33" s="63">
        <v>5</v>
      </c>
      <c r="B33" s="64" t="s">
        <v>84</v>
      </c>
      <c r="C33" s="64">
        <v>0.01</v>
      </c>
      <c r="D33" s="65">
        <v>0.01</v>
      </c>
    </row>
    <row r="34" spans="1:7" ht="44.25" customHeight="1" x14ac:dyDescent="0.25">
      <c r="A34" s="29"/>
      <c r="B34" s="29"/>
      <c r="C34" s="29"/>
      <c r="D34" s="30"/>
      <c r="E34" s="30"/>
      <c r="F34" s="30"/>
      <c r="G34" s="30"/>
    </row>
    <row r="35" spans="1:7" x14ac:dyDescent="0.25">
      <c r="A35" s="31"/>
      <c r="B35" s="31"/>
      <c r="C35" s="31"/>
      <c r="D35" s="31"/>
      <c r="E35" s="31"/>
      <c r="F35" s="31"/>
      <c r="G35" s="31"/>
    </row>
    <row r="36" spans="1:7" x14ac:dyDescent="0.25">
      <c r="A36" s="28"/>
      <c r="C36" s="32"/>
      <c r="E36" s="33"/>
      <c r="G36" s="33"/>
    </row>
    <row r="40" spans="1:7" x14ac:dyDescent="0.25">
      <c r="E40" s="34"/>
    </row>
    <row r="41" spans="1:7" x14ac:dyDescent="0.25">
      <c r="F41" s="35"/>
    </row>
    <row r="42" spans="1:7" x14ac:dyDescent="0.25">
      <c r="F42" s="35"/>
    </row>
    <row r="43" spans="1:7" x14ac:dyDescent="0.25">
      <c r="F43" s="35"/>
    </row>
    <row r="44" spans="1:7" x14ac:dyDescent="0.25">
      <c r="F44" s="35"/>
    </row>
    <row r="45" spans="1:7" x14ac:dyDescent="0.25">
      <c r="F45" s="35"/>
    </row>
    <row r="46" spans="1:7" x14ac:dyDescent="0.25">
      <c r="F46" s="35"/>
    </row>
    <row r="47" spans="1:7" x14ac:dyDescent="0.25">
      <c r="F47" s="35"/>
    </row>
    <row r="48" spans="1:7" x14ac:dyDescent="0.25">
      <c r="F48" s="35"/>
    </row>
    <row r="49" spans="6:6" x14ac:dyDescent="0.25">
      <c r="F49" s="35"/>
    </row>
    <row r="50" spans="6:6" x14ac:dyDescent="0.25">
      <c r="F50" s="35"/>
    </row>
  </sheetData>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AI70"/>
  <sheetViews>
    <sheetView topLeftCell="A53" zoomScale="60" zoomScaleNormal="60" workbookViewId="0">
      <selection activeCell="M90" sqref="M90"/>
    </sheetView>
  </sheetViews>
  <sheetFormatPr defaultRowHeight="15" x14ac:dyDescent="0.25"/>
  <cols>
    <col min="1" max="1" width="3.42578125" customWidth="1"/>
    <col min="2" max="2" width="14.85546875" customWidth="1"/>
    <col min="3" max="3" width="17" customWidth="1"/>
    <col min="4" max="4" width="20" customWidth="1"/>
    <col min="5" max="5" width="25.7109375" customWidth="1"/>
    <col min="6" max="6" width="20.7109375" customWidth="1"/>
    <col min="7" max="7" width="25.140625" customWidth="1"/>
    <col min="8" max="8" width="16.85546875" customWidth="1"/>
    <col min="9" max="9" width="13.140625" customWidth="1"/>
    <col min="10" max="10" width="13" customWidth="1"/>
    <col min="11" max="11" width="12.28515625" customWidth="1"/>
    <col min="12" max="12" width="12.7109375" customWidth="1"/>
    <col min="13" max="13" width="12" customWidth="1"/>
    <col min="14" max="14" width="13.7109375" customWidth="1"/>
    <col min="15" max="18" width="14.28515625" bestFit="1" customWidth="1"/>
    <col min="19" max="34" width="15.28515625" bestFit="1" customWidth="1"/>
  </cols>
  <sheetData>
    <row r="1" spans="2:14" ht="15.75" x14ac:dyDescent="0.25">
      <c r="D1" s="370" t="s">
        <v>521</v>
      </c>
    </row>
    <row r="2" spans="2:14" x14ac:dyDescent="0.25">
      <c r="B2" t="s">
        <v>0</v>
      </c>
      <c r="C2" t="s">
        <v>2</v>
      </c>
    </row>
    <row r="3" spans="2:14" x14ac:dyDescent="0.25">
      <c r="B3" t="s">
        <v>1</v>
      </c>
      <c r="C3" t="s">
        <v>74</v>
      </c>
    </row>
    <row r="4" spans="2:14" ht="15.75" thickBot="1" x14ac:dyDescent="0.3"/>
    <row r="5" spans="2:14" x14ac:dyDescent="0.25">
      <c r="B5" s="39" t="s">
        <v>3</v>
      </c>
      <c r="C5" s="531" t="s">
        <v>4</v>
      </c>
      <c r="D5" s="533"/>
      <c r="E5" s="41" t="s">
        <v>8</v>
      </c>
      <c r="F5" s="531" t="s">
        <v>14</v>
      </c>
      <c r="G5" s="532"/>
      <c r="H5" s="192"/>
    </row>
    <row r="6" spans="2:14" ht="33" x14ac:dyDescent="0.25">
      <c r="B6" s="72" t="s">
        <v>10</v>
      </c>
      <c r="C6" s="73" t="s">
        <v>5</v>
      </c>
      <c r="D6" s="22" t="s">
        <v>6</v>
      </c>
      <c r="E6" s="21" t="s">
        <v>13</v>
      </c>
      <c r="F6" s="21" t="s">
        <v>52</v>
      </c>
      <c r="G6" s="18" t="s">
        <v>15</v>
      </c>
      <c r="H6" s="193" t="s">
        <v>358</v>
      </c>
    </row>
    <row r="7" spans="2:14" ht="18" x14ac:dyDescent="0.35">
      <c r="B7" s="5"/>
      <c r="C7" s="7" t="s">
        <v>437</v>
      </c>
      <c r="D7" s="7" t="s">
        <v>7</v>
      </c>
      <c r="E7" s="1" t="s">
        <v>554</v>
      </c>
      <c r="F7" s="9" t="s">
        <v>7</v>
      </c>
      <c r="G7" s="1" t="s">
        <v>555</v>
      </c>
      <c r="H7" s="1" t="s">
        <v>555</v>
      </c>
    </row>
    <row r="8" spans="2:14" ht="18.75" x14ac:dyDescent="0.35">
      <c r="B8" s="5"/>
      <c r="C8" s="7"/>
      <c r="D8" s="7"/>
      <c r="E8" s="9" t="s">
        <v>16</v>
      </c>
      <c r="F8" s="9"/>
      <c r="G8" s="1" t="s">
        <v>17</v>
      </c>
      <c r="H8" s="3"/>
    </row>
    <row r="9" spans="2:14" ht="18.75" thickBot="1" x14ac:dyDescent="0.4">
      <c r="B9" s="12" t="s">
        <v>9</v>
      </c>
      <c r="C9" s="13" t="s">
        <v>11</v>
      </c>
      <c r="D9" s="13" t="s">
        <v>12</v>
      </c>
      <c r="E9" s="14" t="s">
        <v>18</v>
      </c>
      <c r="F9" s="14" t="s">
        <v>12</v>
      </c>
      <c r="G9" s="15" t="s">
        <v>75</v>
      </c>
      <c r="H9" s="4"/>
    </row>
    <row r="10" spans="2:14" x14ac:dyDescent="0.25">
      <c r="B10" s="6"/>
      <c r="C10" s="8"/>
      <c r="D10" s="87" t="s">
        <v>116</v>
      </c>
      <c r="E10" s="10"/>
      <c r="F10" s="87" t="s">
        <v>117</v>
      </c>
      <c r="G10" s="2"/>
      <c r="H10" s="3"/>
    </row>
    <row r="11" spans="2:14" x14ac:dyDescent="0.25">
      <c r="B11" s="239" t="s">
        <v>59</v>
      </c>
      <c r="C11" s="224">
        <v>84756</v>
      </c>
      <c r="D11" s="277">
        <f>'EF peternakan'!C6</f>
        <v>61</v>
      </c>
      <c r="E11" s="444">
        <f>C11*D11*10^-3</f>
        <v>5170.116</v>
      </c>
      <c r="F11" s="278">
        <f>'EF peternakan'!C16</f>
        <v>31</v>
      </c>
      <c r="G11" s="445">
        <f>C11*F11*10^-3</f>
        <v>2627.4360000000001</v>
      </c>
      <c r="H11" s="446">
        <f>E11+G11</f>
        <v>7797.5519999999997</v>
      </c>
    </row>
    <row r="12" spans="2:14" x14ac:dyDescent="0.25">
      <c r="B12" s="239" t="s">
        <v>68</v>
      </c>
      <c r="C12" s="224">
        <v>165686</v>
      </c>
      <c r="D12" s="277">
        <f>'EF peternakan'!C7</f>
        <v>55</v>
      </c>
      <c r="E12" s="444">
        <f t="shared" ref="E12:E21" si="0">C12*D12*10^-3</f>
        <v>9112.73</v>
      </c>
      <c r="F12" s="278">
        <f>'EF peternakan'!C17</f>
        <v>2</v>
      </c>
      <c r="G12" s="445">
        <f t="shared" ref="G12:G21" si="1">C12*F12*10^-3</f>
        <v>331.37200000000001</v>
      </c>
      <c r="H12" s="446">
        <f t="shared" ref="H12:H21" si="2">E12+G12</f>
        <v>9444.101999999999</v>
      </c>
    </row>
    <row r="13" spans="2:14" x14ac:dyDescent="0.25">
      <c r="B13" s="239" t="s">
        <v>19</v>
      </c>
      <c r="C13" s="224">
        <v>166898</v>
      </c>
      <c r="D13" s="277">
        <f>'EF peternakan'!C7</f>
        <v>55</v>
      </c>
      <c r="E13" s="444">
        <f t="shared" si="0"/>
        <v>9179.39</v>
      </c>
      <c r="F13" s="278">
        <f>'EF peternakan'!C17</f>
        <v>2</v>
      </c>
      <c r="G13" s="445">
        <f t="shared" si="1"/>
        <v>333.79599999999999</v>
      </c>
      <c r="H13" s="446">
        <f t="shared" si="2"/>
        <v>9513.1859999999997</v>
      </c>
    </row>
    <row r="14" spans="2:14" x14ac:dyDescent="0.25">
      <c r="B14" s="239" t="s">
        <v>60</v>
      </c>
      <c r="C14" s="224">
        <v>3036812</v>
      </c>
      <c r="D14" s="277">
        <f>'EF peternakan'!C8</f>
        <v>5</v>
      </c>
      <c r="E14" s="444">
        <f t="shared" si="0"/>
        <v>15184.06</v>
      </c>
      <c r="F14" s="278">
        <f>'EF peternakan'!C18</f>
        <v>0.2</v>
      </c>
      <c r="G14" s="445">
        <f t="shared" si="1"/>
        <v>607.36239999999998</v>
      </c>
      <c r="H14" s="446">
        <f t="shared" si="2"/>
        <v>15791.422399999999</v>
      </c>
    </row>
    <row r="15" spans="2:14" x14ac:dyDescent="0.25">
      <c r="B15" s="239" t="s">
        <v>20</v>
      </c>
      <c r="C15" s="224">
        <v>1160462</v>
      </c>
      <c r="D15" s="277">
        <f>'EF peternakan'!C9</f>
        <v>5</v>
      </c>
      <c r="E15" s="444">
        <f t="shared" si="0"/>
        <v>5802.31</v>
      </c>
      <c r="F15" s="278">
        <f>'EF peternakan'!C19</f>
        <v>0.22</v>
      </c>
      <c r="G15" s="445">
        <f t="shared" si="1"/>
        <v>255.30164000000002</v>
      </c>
      <c r="H15" s="446">
        <f t="shared" si="2"/>
        <v>6057.6116400000001</v>
      </c>
    </row>
    <row r="16" spans="2:14" x14ac:dyDescent="0.25">
      <c r="B16" s="239" t="s">
        <v>21</v>
      </c>
      <c r="C16" s="224">
        <v>10763</v>
      </c>
      <c r="D16" s="277">
        <f>'EF peternakan'!C11</f>
        <v>18</v>
      </c>
      <c r="E16" s="444">
        <f t="shared" si="0"/>
        <v>193.73400000000001</v>
      </c>
      <c r="F16" s="278">
        <f>'EF peternakan'!C21</f>
        <v>2.19</v>
      </c>
      <c r="G16" s="445">
        <f t="shared" si="1"/>
        <v>23.570970000000003</v>
      </c>
      <c r="H16" s="446">
        <f t="shared" si="2"/>
        <v>217.30497000000003</v>
      </c>
      <c r="L16" s="358"/>
      <c r="M16" s="358"/>
      <c r="N16" s="358"/>
    </row>
    <row r="17" spans="2:34" x14ac:dyDescent="0.25">
      <c r="B17" s="239" t="s">
        <v>61</v>
      </c>
      <c r="C17" s="224">
        <v>9253</v>
      </c>
      <c r="D17" s="277">
        <f>'EF peternakan'!C10</f>
        <v>1</v>
      </c>
      <c r="E17" s="444">
        <f t="shared" si="0"/>
        <v>9.2530000000000001</v>
      </c>
      <c r="F17" s="278">
        <f>'EF peternakan'!C20</f>
        <v>7</v>
      </c>
      <c r="G17" s="445">
        <f t="shared" si="1"/>
        <v>64.771000000000001</v>
      </c>
      <c r="H17" s="446">
        <f t="shared" si="2"/>
        <v>74.024000000000001</v>
      </c>
    </row>
    <row r="18" spans="2:34" x14ac:dyDescent="0.25">
      <c r="B18" s="239" t="s">
        <v>69</v>
      </c>
      <c r="C18" s="224">
        <v>26939832</v>
      </c>
      <c r="D18" s="277"/>
      <c r="E18" s="444">
        <f>C18*D18*10^-3</f>
        <v>0</v>
      </c>
      <c r="F18" s="278">
        <f>'EF peternakan'!C22</f>
        <v>0.02</v>
      </c>
      <c r="G18" s="445">
        <f t="shared" si="1"/>
        <v>538.79664000000002</v>
      </c>
      <c r="H18" s="446">
        <f t="shared" si="2"/>
        <v>538.79664000000002</v>
      </c>
    </row>
    <row r="19" spans="2:34" x14ac:dyDescent="0.25">
      <c r="B19" s="240" t="s">
        <v>415</v>
      </c>
      <c r="C19" s="224">
        <v>5962619</v>
      </c>
      <c r="D19" s="277"/>
      <c r="E19" s="444">
        <f t="shared" si="0"/>
        <v>0</v>
      </c>
      <c r="F19" s="278">
        <f>'EF peternakan'!C24</f>
        <v>0.02</v>
      </c>
      <c r="G19" s="445">
        <f t="shared" si="1"/>
        <v>119.25238</v>
      </c>
      <c r="H19" s="446">
        <f t="shared" si="2"/>
        <v>119.25238</v>
      </c>
    </row>
    <row r="20" spans="2:34" x14ac:dyDescent="0.25">
      <c r="B20" s="239" t="s">
        <v>416</v>
      </c>
      <c r="C20" s="224">
        <v>27674161</v>
      </c>
      <c r="D20" s="84"/>
      <c r="E20" s="444">
        <f t="shared" si="0"/>
        <v>0</v>
      </c>
      <c r="F20" s="278">
        <f>'EF peternakan'!C23</f>
        <v>0.02</v>
      </c>
      <c r="G20" s="445">
        <f t="shared" si="1"/>
        <v>553.48321999999996</v>
      </c>
      <c r="H20" s="446">
        <f t="shared" si="2"/>
        <v>553.48321999999996</v>
      </c>
    </row>
    <row r="21" spans="2:34" x14ac:dyDescent="0.25">
      <c r="B21" s="239" t="s">
        <v>65</v>
      </c>
      <c r="C21" s="224">
        <v>3481702</v>
      </c>
      <c r="D21" s="84"/>
      <c r="E21" s="444">
        <f t="shared" si="0"/>
        <v>0</v>
      </c>
      <c r="F21" s="278">
        <f>'EF peternakan'!C25</f>
        <v>0.02</v>
      </c>
      <c r="G21" s="445">
        <f t="shared" si="1"/>
        <v>69.634040000000013</v>
      </c>
      <c r="H21" s="446">
        <f t="shared" si="2"/>
        <v>69.634040000000013</v>
      </c>
    </row>
    <row r="22" spans="2:34" x14ac:dyDescent="0.25">
      <c r="C22" s="36"/>
      <c r="D22" s="8"/>
      <c r="E22" s="10"/>
      <c r="F22" s="10"/>
      <c r="G22" s="2"/>
      <c r="H22" s="3"/>
      <c r="K22" s="161"/>
    </row>
    <row r="23" spans="2:34" ht="15.75" thickBot="1" x14ac:dyDescent="0.3">
      <c r="B23" s="38" t="s">
        <v>73</v>
      </c>
      <c r="C23" s="37">
        <f>SUM(C11:C22)</f>
        <v>68692944</v>
      </c>
      <c r="D23" s="42"/>
      <c r="E23" s="44">
        <f>SUM(E11:E22)</f>
        <v>44651.592999999986</v>
      </c>
      <c r="F23" s="43"/>
      <c r="G23" s="187">
        <f>SUM(G11:G22)</f>
        <v>5524.7762899999989</v>
      </c>
      <c r="H23" s="194">
        <f>SUM(H11:H21)</f>
        <v>50176.369289999988</v>
      </c>
    </row>
    <row r="25" spans="2:34" x14ac:dyDescent="0.25">
      <c r="C25" s="27"/>
    </row>
    <row r="26" spans="2:34" x14ac:dyDescent="0.25">
      <c r="B26" s="241" t="s">
        <v>417</v>
      </c>
      <c r="C26" s="242"/>
      <c r="D26" s="27">
        <v>2000</v>
      </c>
      <c r="E26">
        <v>2001</v>
      </c>
      <c r="F26" s="27">
        <v>2002</v>
      </c>
      <c r="G26">
        <v>2003</v>
      </c>
      <c r="H26" s="27">
        <v>2004</v>
      </c>
      <c r="I26">
        <v>2005</v>
      </c>
      <c r="J26" s="27">
        <v>2006</v>
      </c>
      <c r="K26">
        <v>2007</v>
      </c>
      <c r="L26" s="27">
        <v>2008</v>
      </c>
      <c r="M26">
        <v>2009</v>
      </c>
      <c r="N26" s="27">
        <v>2010</v>
      </c>
      <c r="O26" s="60">
        <v>2011</v>
      </c>
      <c r="P26" s="48">
        <v>2012</v>
      </c>
      <c r="Q26" s="60">
        <v>2013</v>
      </c>
      <c r="R26" s="48">
        <v>2014</v>
      </c>
      <c r="S26" s="60">
        <v>2015</v>
      </c>
      <c r="T26" s="48">
        <v>2016</v>
      </c>
      <c r="U26" s="60">
        <v>2017</v>
      </c>
      <c r="V26" s="48">
        <v>2018</v>
      </c>
      <c r="W26" s="60">
        <v>2019</v>
      </c>
      <c r="X26" s="48">
        <v>2020</v>
      </c>
      <c r="Y26" s="60">
        <v>2021</v>
      </c>
      <c r="Z26" s="48">
        <v>2022</v>
      </c>
      <c r="AA26" s="60">
        <v>2023</v>
      </c>
      <c r="AB26" s="48">
        <v>2024</v>
      </c>
      <c r="AC26" s="60">
        <v>2025</v>
      </c>
      <c r="AD26" s="48">
        <v>2026</v>
      </c>
      <c r="AE26" s="60">
        <v>2027</v>
      </c>
      <c r="AF26" s="48">
        <v>2028</v>
      </c>
      <c r="AG26" s="60">
        <v>2029</v>
      </c>
      <c r="AH26" s="48">
        <v>2030</v>
      </c>
    </row>
    <row r="27" spans="2:34" x14ac:dyDescent="0.25">
      <c r="B27" s="239" t="s">
        <v>59</v>
      </c>
      <c r="C27" s="7" t="s">
        <v>437</v>
      </c>
      <c r="D27" s="357">
        <v>84756</v>
      </c>
      <c r="E27" s="357">
        <v>84934</v>
      </c>
      <c r="F27" s="357">
        <v>91219</v>
      </c>
      <c r="G27" s="357">
        <v>95513</v>
      </c>
      <c r="H27" s="357">
        <v>98958</v>
      </c>
      <c r="I27" s="357">
        <v>92755</v>
      </c>
      <c r="J27" s="357">
        <v>97367</v>
      </c>
      <c r="K27" s="357">
        <v>103489</v>
      </c>
      <c r="L27" s="357">
        <v>111250</v>
      </c>
      <c r="M27" s="357">
        <v>117839</v>
      </c>
      <c r="N27" s="360">
        <v>120475</v>
      </c>
      <c r="O27" s="361">
        <v>121483.19999999998</v>
      </c>
      <c r="P27" s="346">
        <v>125138.34545454544</v>
      </c>
      <c r="Q27" s="346">
        <v>128793.49090909091</v>
      </c>
      <c r="R27" s="346">
        <v>132448.63636363635</v>
      </c>
      <c r="S27" s="346">
        <v>136103.7818181818</v>
      </c>
      <c r="T27" s="346">
        <v>139758.92727272725</v>
      </c>
      <c r="U27" s="346">
        <v>143414.07272727272</v>
      </c>
      <c r="V27" s="346">
        <v>147069.21818181817</v>
      </c>
      <c r="W27" s="346">
        <v>150724.36363636365</v>
      </c>
      <c r="X27" s="346">
        <v>154379.50909090909</v>
      </c>
      <c r="Y27" s="346">
        <v>158034.65454545454</v>
      </c>
      <c r="Z27" s="346">
        <v>161689.79999999999</v>
      </c>
      <c r="AA27" s="346">
        <v>165344.94545454544</v>
      </c>
      <c r="AB27" s="346">
        <v>169000.09090909088</v>
      </c>
      <c r="AC27" s="346">
        <v>172655.23636363633</v>
      </c>
      <c r="AD27" s="346">
        <v>176310.38181818181</v>
      </c>
      <c r="AE27" s="346">
        <v>179965.52727272728</v>
      </c>
      <c r="AF27" s="346">
        <v>183620.67272727273</v>
      </c>
      <c r="AG27" s="346">
        <v>187275.81818181818</v>
      </c>
      <c r="AH27" s="346">
        <v>190930.96363636362</v>
      </c>
    </row>
    <row r="28" spans="2:34" x14ac:dyDescent="0.25">
      <c r="B28" s="239" t="s">
        <v>68</v>
      </c>
      <c r="C28" s="7" t="s">
        <v>437</v>
      </c>
      <c r="D28" s="357">
        <v>165686</v>
      </c>
      <c r="E28" s="357">
        <v>189518</v>
      </c>
      <c r="F28" s="357">
        <v>205843</v>
      </c>
      <c r="G28" s="357">
        <v>223818</v>
      </c>
      <c r="H28" s="357">
        <v>232949</v>
      </c>
      <c r="I28" s="357">
        <v>234948</v>
      </c>
      <c r="J28" s="357">
        <v>254243</v>
      </c>
      <c r="K28" s="357">
        <v>272264</v>
      </c>
      <c r="L28" s="357">
        <v>295554</v>
      </c>
      <c r="M28" s="357">
        <v>310981</v>
      </c>
      <c r="N28" s="360">
        <v>327750</v>
      </c>
      <c r="O28" s="361">
        <v>337319.26666666666</v>
      </c>
      <c r="P28" s="346">
        <v>352325.16969696968</v>
      </c>
      <c r="Q28" s="346">
        <v>367331.07272727269</v>
      </c>
      <c r="R28" s="346">
        <v>382336.97575757571</v>
      </c>
      <c r="S28" s="346">
        <v>397342.87878787878</v>
      </c>
      <c r="T28" s="346">
        <v>412348.7818181818</v>
      </c>
      <c r="U28" s="346">
        <v>427354.68484848482</v>
      </c>
      <c r="V28" s="346">
        <v>442360.58787878783</v>
      </c>
      <c r="W28" s="346">
        <v>457366.49090909091</v>
      </c>
      <c r="X28" s="346">
        <v>472372.39393939392</v>
      </c>
      <c r="Y28" s="346">
        <v>487378.29696969694</v>
      </c>
      <c r="Z28" s="346">
        <v>502384.2</v>
      </c>
      <c r="AA28" s="346">
        <v>517390.10303030303</v>
      </c>
      <c r="AB28" s="346">
        <v>532396.0060606061</v>
      </c>
      <c r="AC28" s="346">
        <v>547401.90909090906</v>
      </c>
      <c r="AD28" s="346">
        <v>562407.81212121202</v>
      </c>
      <c r="AE28" s="346">
        <v>577413.71515151509</v>
      </c>
      <c r="AF28" s="346">
        <v>592419.61818181816</v>
      </c>
      <c r="AG28" s="346">
        <v>607425.52121212124</v>
      </c>
      <c r="AH28" s="346">
        <v>622431.42424242431</v>
      </c>
    </row>
    <row r="29" spans="2:34" x14ac:dyDescent="0.25">
      <c r="B29" s="239" t="s">
        <v>19</v>
      </c>
      <c r="C29" s="7" t="s">
        <v>437</v>
      </c>
      <c r="D29" s="357">
        <v>166898</v>
      </c>
      <c r="E29" s="357">
        <v>153372</v>
      </c>
      <c r="F29" s="357">
        <v>148778</v>
      </c>
      <c r="G29" s="357">
        <v>146758</v>
      </c>
      <c r="H29" s="357">
        <v>149960</v>
      </c>
      <c r="I29" s="357">
        <v>147157</v>
      </c>
      <c r="J29" s="357">
        <v>149444</v>
      </c>
      <c r="K29" s="357">
        <v>149030</v>
      </c>
      <c r="L29" s="357">
        <v>145847</v>
      </c>
      <c r="M29" s="357">
        <v>142502</v>
      </c>
      <c r="N29" s="360">
        <v>139730</v>
      </c>
      <c r="O29" s="361">
        <v>141532.19999999998</v>
      </c>
      <c r="P29" s="346">
        <v>140491.18181818182</v>
      </c>
      <c r="Q29" s="346">
        <v>139450.16363636364</v>
      </c>
      <c r="R29" s="346">
        <v>138409.14545454545</v>
      </c>
      <c r="S29" s="346">
        <v>137368.12727272726</v>
      </c>
      <c r="T29" s="346">
        <v>136327.10909090907</v>
      </c>
      <c r="U29" s="346">
        <v>135286.09090909091</v>
      </c>
      <c r="V29" s="346">
        <v>134245.07272727272</v>
      </c>
      <c r="W29" s="346">
        <v>133204.05454545454</v>
      </c>
      <c r="X29" s="346">
        <v>132163.03636363635</v>
      </c>
      <c r="Y29" s="346">
        <v>131122.01818181819</v>
      </c>
      <c r="Z29" s="346">
        <v>130081</v>
      </c>
      <c r="AA29" s="346">
        <v>129039.98181818181</v>
      </c>
      <c r="AB29" s="346">
        <v>127998.96363636362</v>
      </c>
      <c r="AC29" s="346">
        <v>126957.94545454545</v>
      </c>
      <c r="AD29" s="346">
        <v>125916.92727272728</v>
      </c>
      <c r="AE29" s="346">
        <v>124875.90909090909</v>
      </c>
      <c r="AF29" s="346">
        <v>123834.8909090909</v>
      </c>
      <c r="AG29" s="346">
        <v>122793.87272727273</v>
      </c>
      <c r="AH29" s="346">
        <v>121752.85454545454</v>
      </c>
    </row>
    <row r="30" spans="2:34" x14ac:dyDescent="0.25">
      <c r="B30" s="239" t="s">
        <v>60</v>
      </c>
      <c r="C30" s="7" t="s">
        <v>437</v>
      </c>
      <c r="D30" s="357">
        <v>3036812</v>
      </c>
      <c r="E30" s="357">
        <v>3087038</v>
      </c>
      <c r="F30" s="357">
        <v>3162234</v>
      </c>
      <c r="G30" s="357">
        <v>3288884</v>
      </c>
      <c r="H30" s="357">
        <v>3529456</v>
      </c>
      <c r="I30" s="357">
        <v>3737803</v>
      </c>
      <c r="J30" s="357">
        <v>4221806</v>
      </c>
      <c r="K30" s="357">
        <v>4605417</v>
      </c>
      <c r="L30" s="357">
        <v>5311836</v>
      </c>
      <c r="M30" s="357">
        <v>5817834</v>
      </c>
      <c r="N30" s="360">
        <v>6275299</v>
      </c>
      <c r="O30" s="361">
        <v>6340767.2000000002</v>
      </c>
      <c r="P30" s="346">
        <v>6711132.0181818185</v>
      </c>
      <c r="Q30" s="346">
        <v>7081496.8363636369</v>
      </c>
      <c r="R30" s="346">
        <v>7451861.6545454543</v>
      </c>
      <c r="S30" s="346">
        <v>7822226.4727272727</v>
      </c>
      <c r="T30" s="346">
        <v>8192591.290909091</v>
      </c>
      <c r="U30" s="346">
        <v>8562956.1090909094</v>
      </c>
      <c r="V30" s="346">
        <v>8933320.9272727277</v>
      </c>
      <c r="W30" s="346">
        <v>9303685.7454545461</v>
      </c>
      <c r="X30" s="346">
        <v>9674050.5636363626</v>
      </c>
      <c r="Y30" s="346">
        <v>10044415.381818183</v>
      </c>
      <c r="Z30" s="346">
        <v>10414780.199999999</v>
      </c>
      <c r="AA30" s="346">
        <v>10785145.018181819</v>
      </c>
      <c r="AB30" s="346">
        <v>11155509.836363636</v>
      </c>
      <c r="AC30" s="346">
        <v>11525874.654545456</v>
      </c>
      <c r="AD30" s="346">
        <v>11896239.472727273</v>
      </c>
      <c r="AE30" s="346">
        <v>12266604.290909089</v>
      </c>
      <c r="AF30" s="346">
        <v>12636969.109090909</v>
      </c>
      <c r="AG30" s="346">
        <v>13007333.927272726</v>
      </c>
      <c r="AH30" s="346">
        <v>13377698.745454546</v>
      </c>
    </row>
    <row r="31" spans="2:34" x14ac:dyDescent="0.25">
      <c r="B31" s="239" t="s">
        <v>20</v>
      </c>
      <c r="C31" s="7" t="s">
        <v>437</v>
      </c>
      <c r="D31" s="357">
        <v>1160462</v>
      </c>
      <c r="E31" s="357">
        <v>922633</v>
      </c>
      <c r="F31" s="357">
        <v>878043</v>
      </c>
      <c r="G31" s="357">
        <v>930066</v>
      </c>
      <c r="H31" s="357">
        <v>1144102</v>
      </c>
      <c r="I31" s="357">
        <v>999267</v>
      </c>
      <c r="J31" s="357">
        <v>1148547</v>
      </c>
      <c r="K31" s="357">
        <v>1294453</v>
      </c>
      <c r="L31" s="357">
        <v>1431012</v>
      </c>
      <c r="M31" s="357">
        <v>1615002</v>
      </c>
      <c r="N31" s="360">
        <v>1801320</v>
      </c>
      <c r="O31" s="361">
        <v>1755509.8</v>
      </c>
      <c r="P31" s="346">
        <v>1853521.6727272726</v>
      </c>
      <c r="Q31" s="346">
        <v>1951533.5454545454</v>
      </c>
      <c r="R31" s="346">
        <v>2049545.4181818182</v>
      </c>
      <c r="S31" s="346">
        <v>2147557.290909091</v>
      </c>
      <c r="T31" s="346">
        <v>2245569.1636363636</v>
      </c>
      <c r="U31" s="346">
        <v>2343581.0363636361</v>
      </c>
      <c r="V31" s="346">
        <v>2441592.9090909092</v>
      </c>
      <c r="W31" s="346">
        <v>2539604.7818181817</v>
      </c>
      <c r="X31" s="346">
        <v>2637616.6545454543</v>
      </c>
      <c r="Y31" s="346">
        <v>2735628.5272727273</v>
      </c>
      <c r="Z31" s="346">
        <v>2833640.4000000004</v>
      </c>
      <c r="AA31" s="346">
        <v>2931652.2727272725</v>
      </c>
      <c r="AB31" s="346">
        <v>3029664.1454545455</v>
      </c>
      <c r="AC31" s="346">
        <v>3127676.0181818185</v>
      </c>
      <c r="AD31" s="346">
        <v>3225687.8909090906</v>
      </c>
      <c r="AE31" s="346">
        <v>3323699.7636363637</v>
      </c>
      <c r="AF31" s="346">
        <v>3421711.6363636367</v>
      </c>
      <c r="AG31" s="346">
        <v>3519723.5090909088</v>
      </c>
      <c r="AH31" s="346">
        <v>3617735.3818181818</v>
      </c>
    </row>
    <row r="32" spans="2:34" x14ac:dyDescent="0.25">
      <c r="B32" s="239" t="s">
        <v>21</v>
      </c>
      <c r="C32" s="7" t="s">
        <v>437</v>
      </c>
      <c r="D32" s="357">
        <v>10763</v>
      </c>
      <c r="E32" s="357">
        <v>11851</v>
      </c>
      <c r="F32" s="357">
        <v>11963</v>
      </c>
      <c r="G32" s="357">
        <v>12124</v>
      </c>
      <c r="H32" s="357">
        <v>14242</v>
      </c>
      <c r="I32" s="357">
        <v>12569</v>
      </c>
      <c r="J32" s="357">
        <v>15555</v>
      </c>
      <c r="K32" s="357">
        <v>15755</v>
      </c>
      <c r="L32" s="357">
        <v>13717</v>
      </c>
      <c r="M32" s="357">
        <v>13757</v>
      </c>
      <c r="N32" s="360">
        <v>13929</v>
      </c>
      <c r="O32" s="361">
        <v>15104.533333333333</v>
      </c>
      <c r="P32" s="346">
        <v>15387.866666666667</v>
      </c>
      <c r="Q32" s="346">
        <v>15671.2</v>
      </c>
      <c r="R32" s="346">
        <v>15954.533333333333</v>
      </c>
      <c r="S32" s="346">
        <v>16237.866666666667</v>
      </c>
      <c r="T32" s="346">
        <v>16521.2</v>
      </c>
      <c r="U32" s="346">
        <v>16804.533333333333</v>
      </c>
      <c r="V32" s="346">
        <v>17087.866666666669</v>
      </c>
      <c r="W32" s="346">
        <v>17371.2</v>
      </c>
      <c r="X32" s="346">
        <v>17654.533333333333</v>
      </c>
      <c r="Y32" s="346">
        <v>17937.866666666669</v>
      </c>
      <c r="Z32" s="346">
        <v>18221.2</v>
      </c>
      <c r="AA32" s="346">
        <v>18504.533333333333</v>
      </c>
      <c r="AB32" s="346">
        <v>18787.866666666669</v>
      </c>
      <c r="AC32" s="346">
        <v>19071.2</v>
      </c>
      <c r="AD32" s="346">
        <v>19354.533333333333</v>
      </c>
      <c r="AE32" s="346">
        <v>19637.866666666665</v>
      </c>
      <c r="AF32" s="346">
        <v>19921.2</v>
      </c>
      <c r="AG32" s="346">
        <v>20204.533333333333</v>
      </c>
      <c r="AH32" s="346">
        <v>20487.866666666669</v>
      </c>
    </row>
    <row r="33" spans="2:35" x14ac:dyDescent="0.25">
      <c r="B33" s="239" t="s">
        <v>61</v>
      </c>
      <c r="C33" s="7" t="s">
        <v>437</v>
      </c>
      <c r="D33" s="357">
        <v>9253</v>
      </c>
      <c r="E33" s="357">
        <v>12337</v>
      </c>
      <c r="F33" s="357">
        <v>9702</v>
      </c>
      <c r="G33" s="357">
        <v>11207</v>
      </c>
      <c r="H33" s="357">
        <v>8092</v>
      </c>
      <c r="I33" s="357">
        <v>9056.7545957063885</v>
      </c>
      <c r="J33" s="357">
        <v>12487</v>
      </c>
      <c r="K33" s="357">
        <v>7043</v>
      </c>
      <c r="L33" s="357">
        <v>4773</v>
      </c>
      <c r="M33" s="357">
        <v>8146</v>
      </c>
      <c r="N33" s="360">
        <v>8327</v>
      </c>
      <c r="O33" s="361">
        <v>6488.116973047092</v>
      </c>
      <c r="P33" s="346">
        <v>6010.1245209519011</v>
      </c>
      <c r="Q33" s="346">
        <v>5532.1320688567112</v>
      </c>
      <c r="R33" s="346">
        <v>5054.1396167615203</v>
      </c>
      <c r="S33" s="346">
        <v>4576.1471646663304</v>
      </c>
      <c r="T33" s="346">
        <v>4098.1547125711395</v>
      </c>
      <c r="U33" s="346">
        <v>3620.1622604759486</v>
      </c>
      <c r="V33" s="346">
        <v>3142.1698083807587</v>
      </c>
      <c r="W33" s="346">
        <v>2664.1773562855687</v>
      </c>
      <c r="X33" s="346">
        <v>2186.184904190377</v>
      </c>
      <c r="Y33" s="346">
        <v>1708.192452095187</v>
      </c>
      <c r="Z33" s="346">
        <v>1230.1999999999971</v>
      </c>
      <c r="AA33" s="346">
        <v>752.20754790480714</v>
      </c>
      <c r="AB33" s="346">
        <v>274.21509580961538</v>
      </c>
      <c r="AC33" s="362">
        <v>-203.77735628557457</v>
      </c>
      <c r="AD33" s="362">
        <v>-681.76980838076452</v>
      </c>
      <c r="AE33" s="362">
        <v>-1159.7622604759563</v>
      </c>
      <c r="AF33" s="362">
        <v>-1637.7547125711462</v>
      </c>
      <c r="AG33" s="362">
        <v>-2115.7471646663362</v>
      </c>
      <c r="AH33" s="362">
        <v>-2593.7396167615261</v>
      </c>
      <c r="AI33" t="s">
        <v>520</v>
      </c>
    </row>
    <row r="34" spans="2:35" x14ac:dyDescent="0.25">
      <c r="B34" s="239" t="s">
        <v>69</v>
      </c>
      <c r="C34" s="7" t="s">
        <v>437</v>
      </c>
      <c r="D34" s="357">
        <v>26939832</v>
      </c>
      <c r="E34" s="357">
        <v>27703049</v>
      </c>
      <c r="F34" s="357">
        <v>30273580</v>
      </c>
      <c r="G34" s="357">
        <v>31294784</v>
      </c>
      <c r="H34" s="357">
        <v>30779120</v>
      </c>
      <c r="I34" s="357">
        <v>31043932</v>
      </c>
      <c r="J34" s="357">
        <v>29319161</v>
      </c>
      <c r="K34" s="357">
        <v>27789274</v>
      </c>
      <c r="L34" s="357">
        <v>27761015</v>
      </c>
      <c r="M34" s="357">
        <v>28371910</v>
      </c>
      <c r="N34" s="360">
        <v>27394516</v>
      </c>
      <c r="O34" s="361">
        <v>27616728.729221676</v>
      </c>
      <c r="P34" s="346">
        <v>27608894.78166661</v>
      </c>
      <c r="Q34" s="346">
        <v>27601063.05634195</v>
      </c>
      <c r="R34" s="346">
        <v>27593233.552617323</v>
      </c>
      <c r="S34" s="346">
        <v>27585406.269862529</v>
      </c>
      <c r="T34" s="346">
        <v>27577581.20744757</v>
      </c>
      <c r="U34" s="346">
        <v>27569758.364742592</v>
      </c>
      <c r="V34" s="346">
        <v>27561937.741117943</v>
      </c>
      <c r="W34" s="346">
        <v>27554119.335944142</v>
      </c>
      <c r="X34" s="346">
        <v>27546303.148591895</v>
      </c>
      <c r="Y34" s="346">
        <v>27538489.17843207</v>
      </c>
      <c r="Z34" s="346">
        <v>27530677.424835734</v>
      </c>
      <c r="AA34" s="346">
        <v>27522867.887174107</v>
      </c>
      <c r="AB34" s="346">
        <v>27515060.564818621</v>
      </c>
      <c r="AC34" s="346">
        <v>27507255.457140852</v>
      </c>
      <c r="AD34" s="346">
        <v>27499452.563512575</v>
      </c>
      <c r="AE34" s="346">
        <v>27491651.883305736</v>
      </c>
      <c r="AF34" s="346">
        <v>27483853.415892471</v>
      </c>
      <c r="AG34" s="346">
        <v>27476057.160645064</v>
      </c>
      <c r="AH34" s="346">
        <v>27468263.116936017</v>
      </c>
    </row>
    <row r="35" spans="2:35" x14ac:dyDescent="0.25">
      <c r="B35" s="240" t="s">
        <v>415</v>
      </c>
      <c r="C35" s="7" t="s">
        <v>437</v>
      </c>
      <c r="D35" s="357">
        <v>5962619</v>
      </c>
      <c r="E35" s="357">
        <v>7403492</v>
      </c>
      <c r="F35" s="357">
        <v>8588803</v>
      </c>
      <c r="G35" s="357">
        <v>8446127</v>
      </c>
      <c r="H35" s="357">
        <v>9720685</v>
      </c>
      <c r="I35" s="357">
        <v>10171904</v>
      </c>
      <c r="J35" s="357">
        <v>10351105</v>
      </c>
      <c r="K35" s="357">
        <v>11462744</v>
      </c>
      <c r="L35" s="357">
        <v>10303478</v>
      </c>
      <c r="M35" s="357">
        <v>10501767</v>
      </c>
      <c r="N35" s="360">
        <v>11252390</v>
      </c>
      <c r="O35" s="361">
        <v>12107700.666666666</v>
      </c>
      <c r="P35" s="346">
        <v>12535356</v>
      </c>
      <c r="Q35" s="346">
        <v>12963011.333333332</v>
      </c>
      <c r="R35" s="346">
        <v>13390666.666666666</v>
      </c>
      <c r="S35" s="346">
        <v>13818322</v>
      </c>
      <c r="T35" s="346">
        <v>14245977.333333332</v>
      </c>
      <c r="U35" s="346">
        <v>14673632.666666666</v>
      </c>
      <c r="V35" s="346">
        <v>15101288</v>
      </c>
      <c r="W35" s="346">
        <v>15528943.333333332</v>
      </c>
      <c r="X35" s="346">
        <v>15956598.666666666</v>
      </c>
      <c r="Y35" s="346">
        <v>16384254</v>
      </c>
      <c r="Z35" s="346">
        <v>16811909.333333332</v>
      </c>
      <c r="AA35" s="346">
        <v>17239564.666666664</v>
      </c>
      <c r="AB35" s="346">
        <v>17667220</v>
      </c>
      <c r="AC35" s="346">
        <v>18094875.333333332</v>
      </c>
      <c r="AD35" s="346">
        <v>18522530.666666664</v>
      </c>
      <c r="AE35" s="346">
        <v>18950186</v>
      </c>
      <c r="AF35" s="346">
        <v>19377841.333333332</v>
      </c>
      <c r="AG35" s="346">
        <v>19805496.666666664</v>
      </c>
      <c r="AH35" s="346">
        <v>20233152</v>
      </c>
    </row>
    <row r="36" spans="2:35" x14ac:dyDescent="0.25">
      <c r="B36" s="239" t="s">
        <v>416</v>
      </c>
      <c r="C36" s="7" t="s">
        <v>437</v>
      </c>
      <c r="D36" s="357">
        <v>27674161</v>
      </c>
      <c r="E36" s="357">
        <v>31490528.333333332</v>
      </c>
      <c r="F36" s="357">
        <v>42146199.5</v>
      </c>
      <c r="G36" s="357">
        <v>46245137</v>
      </c>
      <c r="H36" s="357">
        <v>51922827.666666664</v>
      </c>
      <c r="I36" s="357">
        <v>53943997.833333336</v>
      </c>
      <c r="J36" s="357">
        <v>57325681.666666664</v>
      </c>
      <c r="K36" s="357">
        <v>58084469.833333336</v>
      </c>
      <c r="L36" s="357">
        <v>69562266.333333343</v>
      </c>
      <c r="M36" s="357">
        <v>73088484.5</v>
      </c>
      <c r="N36" s="360">
        <v>82969025.666666657</v>
      </c>
      <c r="O36" s="361">
        <v>83956352.76666671</v>
      </c>
      <c r="P36" s="346">
        <v>88916078.39090915</v>
      </c>
      <c r="Q36" s="346">
        <v>93875804.01515159</v>
      </c>
      <c r="R36" s="346">
        <v>98835529.639394015</v>
      </c>
      <c r="S36" s="346">
        <v>103795255.26363644</v>
      </c>
      <c r="T36" s="346">
        <v>108754980.88787888</v>
      </c>
      <c r="U36" s="346">
        <v>113714706.51212132</v>
      </c>
      <c r="V36" s="346">
        <v>118674432.13636374</v>
      </c>
      <c r="W36" s="346">
        <v>123634157.76060618</v>
      </c>
      <c r="X36" s="346">
        <v>128593883.38484861</v>
      </c>
      <c r="Y36" s="346">
        <v>133553609.00909105</v>
      </c>
      <c r="Z36" s="346">
        <v>138513334.63333347</v>
      </c>
      <c r="AA36" s="346">
        <v>143473060.25757593</v>
      </c>
      <c r="AB36" s="346">
        <v>148432785.88181835</v>
      </c>
      <c r="AC36" s="346">
        <v>153392511.50606078</v>
      </c>
      <c r="AD36" s="346">
        <v>158352237.1303032</v>
      </c>
      <c r="AE36" s="346">
        <v>163311962.75454563</v>
      </c>
      <c r="AF36" s="346">
        <v>168271688.37878808</v>
      </c>
      <c r="AG36" s="346">
        <v>173231414.00303051</v>
      </c>
      <c r="AH36" s="346">
        <v>178191139.62727293</v>
      </c>
    </row>
    <row r="37" spans="2:35" x14ac:dyDescent="0.25">
      <c r="B37" s="239" t="s">
        <v>65</v>
      </c>
      <c r="C37" s="7" t="s">
        <v>437</v>
      </c>
      <c r="D37" s="357">
        <v>3481702</v>
      </c>
      <c r="E37" s="357">
        <v>4055539</v>
      </c>
      <c r="F37" s="357">
        <v>4293637</v>
      </c>
      <c r="G37" s="357">
        <v>4952224</v>
      </c>
      <c r="H37" s="357">
        <v>4880019</v>
      </c>
      <c r="I37" s="357">
        <v>5335872</v>
      </c>
      <c r="J37" s="357">
        <v>5296757</v>
      </c>
      <c r="K37" s="357">
        <v>6534753</v>
      </c>
      <c r="L37" s="357">
        <v>7962095</v>
      </c>
      <c r="M37" s="357">
        <v>8213920</v>
      </c>
      <c r="N37" s="360">
        <v>9871091</v>
      </c>
      <c r="O37" s="361">
        <v>9464803.7333333343</v>
      </c>
      <c r="P37" s="346">
        <v>10069387.921212122</v>
      </c>
      <c r="Q37" s="346">
        <v>10673972.109090909</v>
      </c>
      <c r="R37" s="346">
        <v>11278556.296969697</v>
      </c>
      <c r="S37" s="346">
        <v>11883140.484848484</v>
      </c>
      <c r="T37" s="346">
        <v>12487724.672727272</v>
      </c>
      <c r="U37" s="346">
        <v>13092308.860606059</v>
      </c>
      <c r="V37" s="346">
        <v>13696893.048484847</v>
      </c>
      <c r="W37" s="346">
        <v>14301477.236363638</v>
      </c>
      <c r="X37" s="346">
        <v>14906061.424242426</v>
      </c>
      <c r="Y37" s="346">
        <v>15510645.612121213</v>
      </c>
      <c r="Z37" s="346">
        <v>16115229.800000001</v>
      </c>
      <c r="AA37" s="346">
        <v>16719813.987878788</v>
      </c>
      <c r="AB37" s="346">
        <v>17324398.175757576</v>
      </c>
      <c r="AC37" s="346">
        <v>17928982.363636363</v>
      </c>
      <c r="AD37" s="346">
        <v>18533566.551515151</v>
      </c>
      <c r="AE37" s="346">
        <v>19138150.739393938</v>
      </c>
      <c r="AF37" s="346">
        <v>19742734.92727273</v>
      </c>
      <c r="AG37" s="346">
        <v>20347319.115151517</v>
      </c>
      <c r="AH37" s="346">
        <v>20951903.303030305</v>
      </c>
    </row>
    <row r="38" spans="2:35" x14ac:dyDescent="0.25">
      <c r="C38" s="35"/>
      <c r="O38" s="27"/>
    </row>
    <row r="39" spans="2:35" ht="23.25" x14ac:dyDescent="0.35">
      <c r="B39" s="279" t="s">
        <v>429</v>
      </c>
      <c r="C39" s="280"/>
      <c r="D39" s="280"/>
      <c r="E39" s="280"/>
      <c r="O39" s="359" t="s">
        <v>522</v>
      </c>
      <c r="P39" s="358"/>
      <c r="Q39" s="358"/>
      <c r="R39" s="358"/>
      <c r="S39" s="358" t="s">
        <v>523</v>
      </c>
      <c r="T39" s="358"/>
    </row>
    <row r="40" spans="2:35" ht="18.75" x14ac:dyDescent="0.3">
      <c r="B40" s="281" t="s">
        <v>418</v>
      </c>
      <c r="C40" s="233"/>
      <c r="D40" s="238">
        <v>2000</v>
      </c>
      <c r="E40" s="238">
        <v>2001</v>
      </c>
      <c r="F40" s="238">
        <v>2002</v>
      </c>
      <c r="G40" s="238">
        <v>2003</v>
      </c>
      <c r="H40" s="238">
        <v>2004</v>
      </c>
      <c r="I40" s="238">
        <v>2005</v>
      </c>
      <c r="J40" s="238">
        <v>2006</v>
      </c>
      <c r="K40" s="238">
        <v>2007</v>
      </c>
      <c r="L40" s="238">
        <v>2008</v>
      </c>
      <c r="M40" s="238">
        <v>2009</v>
      </c>
      <c r="N40" s="238">
        <v>2010</v>
      </c>
      <c r="O40" s="238">
        <v>2011</v>
      </c>
      <c r="P40" s="238">
        <v>2012</v>
      </c>
      <c r="Q40" s="238">
        <v>2013</v>
      </c>
      <c r="R40" s="238">
        <v>2014</v>
      </c>
      <c r="S40" s="238">
        <v>2015</v>
      </c>
      <c r="T40" s="238">
        <v>2016</v>
      </c>
      <c r="U40" s="238">
        <v>2017</v>
      </c>
      <c r="V40" s="238">
        <v>2018</v>
      </c>
      <c r="W40" s="238">
        <v>2019</v>
      </c>
      <c r="X40" s="238">
        <v>2020</v>
      </c>
      <c r="Y40" s="238">
        <v>2021</v>
      </c>
      <c r="Z40" s="238">
        <v>2022</v>
      </c>
      <c r="AA40" s="238">
        <v>2023</v>
      </c>
      <c r="AB40" s="238">
        <v>2024</v>
      </c>
      <c r="AC40" s="238">
        <v>2025</v>
      </c>
      <c r="AD40" s="238">
        <v>2026</v>
      </c>
      <c r="AE40" s="238">
        <v>2027</v>
      </c>
      <c r="AF40" s="238">
        <v>2028</v>
      </c>
      <c r="AG40" s="238">
        <v>2029</v>
      </c>
      <c r="AH40" s="238">
        <v>2030</v>
      </c>
    </row>
    <row r="41" spans="2:35" x14ac:dyDescent="0.25">
      <c r="B41" s="235" t="s">
        <v>413</v>
      </c>
      <c r="C41" s="60" t="s">
        <v>556</v>
      </c>
      <c r="D41" s="285">
        <f>D58*1000</f>
        <v>7797</v>
      </c>
      <c r="E41" s="285">
        <f>E58*1000</f>
        <v>7813.9279999999999</v>
      </c>
      <c r="F41" s="285">
        <f t="shared" ref="F41:AH41" si="3">F58*1000</f>
        <v>8392.1479999999992</v>
      </c>
      <c r="G41" s="285">
        <f t="shared" si="3"/>
        <v>8787.1959999999999</v>
      </c>
      <c r="H41" s="285">
        <f t="shared" si="3"/>
        <v>9104.1360000000004</v>
      </c>
      <c r="I41" s="285">
        <f t="shared" si="3"/>
        <v>8533.4599999999991</v>
      </c>
      <c r="J41" s="285">
        <f t="shared" si="3"/>
        <v>8957.7639999999992</v>
      </c>
      <c r="K41" s="285">
        <f t="shared" si="3"/>
        <v>9520.9879999999994</v>
      </c>
      <c r="L41" s="285">
        <f t="shared" si="3"/>
        <v>10235</v>
      </c>
      <c r="M41" s="285">
        <f t="shared" si="3"/>
        <v>10841.187999999998</v>
      </c>
      <c r="N41" s="285">
        <f t="shared" si="3"/>
        <v>11083.699999999999</v>
      </c>
      <c r="O41" s="285">
        <f t="shared" si="3"/>
        <v>11176.454399999997</v>
      </c>
      <c r="P41" s="285">
        <f t="shared" si="3"/>
        <v>11512.727781818181</v>
      </c>
      <c r="Q41" s="285">
        <f t="shared" si="3"/>
        <v>11849.001163636363</v>
      </c>
      <c r="R41" s="285">
        <f t="shared" si="3"/>
        <v>12185.274545454544</v>
      </c>
      <c r="S41" s="285">
        <f t="shared" si="3"/>
        <v>12521.547927272724</v>
      </c>
      <c r="T41" s="285">
        <f t="shared" si="3"/>
        <v>12857.821309090905</v>
      </c>
      <c r="U41" s="285">
        <f t="shared" si="3"/>
        <v>13194.094690909089</v>
      </c>
      <c r="V41" s="285">
        <f t="shared" si="3"/>
        <v>13530.368072727271</v>
      </c>
      <c r="W41" s="285">
        <f t="shared" si="3"/>
        <v>13866.641454545455</v>
      </c>
      <c r="X41" s="285">
        <f t="shared" si="3"/>
        <v>14202.914836363636</v>
      </c>
      <c r="Y41" s="285">
        <f t="shared" si="3"/>
        <v>14539.188218181818</v>
      </c>
      <c r="Z41" s="285">
        <f t="shared" si="3"/>
        <v>14875.461599999997</v>
      </c>
      <c r="AA41" s="285">
        <f t="shared" si="3"/>
        <v>15211.734981818179</v>
      </c>
      <c r="AB41" s="285">
        <f t="shared" si="3"/>
        <v>15548.00836363636</v>
      </c>
      <c r="AC41" s="285">
        <f t="shared" si="3"/>
        <v>15884.281745454542</v>
      </c>
      <c r="AD41" s="285">
        <f t="shared" si="3"/>
        <v>16220.555127272724</v>
      </c>
      <c r="AE41" s="285">
        <f t="shared" si="3"/>
        <v>16556.828509090908</v>
      </c>
      <c r="AF41" s="285">
        <f t="shared" si="3"/>
        <v>16893.101890909089</v>
      </c>
      <c r="AG41" s="285">
        <f t="shared" si="3"/>
        <v>17229.375272727269</v>
      </c>
      <c r="AH41" s="285">
        <f t="shared" si="3"/>
        <v>17565.648654545454</v>
      </c>
    </row>
    <row r="42" spans="2:35" x14ac:dyDescent="0.25">
      <c r="B42" s="235" t="s">
        <v>412</v>
      </c>
      <c r="C42" s="60" t="s">
        <v>556</v>
      </c>
      <c r="D42" s="285">
        <f t="shared" ref="D42:AH42" si="4">D59*1000</f>
        <v>9444</v>
      </c>
      <c r="E42" s="285">
        <f t="shared" si="4"/>
        <v>10802.525999999998</v>
      </c>
      <c r="F42" s="285">
        <f t="shared" si="4"/>
        <v>11733.050999999999</v>
      </c>
      <c r="G42" s="285">
        <f t="shared" si="4"/>
        <v>12757.625999999998</v>
      </c>
      <c r="H42" s="285">
        <f t="shared" si="4"/>
        <v>13278.092999999999</v>
      </c>
      <c r="I42" s="285">
        <f t="shared" si="4"/>
        <v>13392.036</v>
      </c>
      <c r="J42" s="285">
        <f t="shared" si="4"/>
        <v>14491.850999999999</v>
      </c>
      <c r="K42" s="285">
        <f t="shared" si="4"/>
        <v>15519.047999999999</v>
      </c>
      <c r="L42" s="285">
        <f t="shared" si="4"/>
        <v>16846.577999999998</v>
      </c>
      <c r="M42" s="285">
        <f t="shared" si="4"/>
        <v>17725.916999999998</v>
      </c>
      <c r="N42" s="285">
        <f t="shared" si="4"/>
        <v>18681.749999999996</v>
      </c>
      <c r="O42" s="285">
        <f t="shared" si="4"/>
        <v>19227.198199999999</v>
      </c>
      <c r="P42" s="285">
        <f t="shared" si="4"/>
        <v>20082.53467272727</v>
      </c>
      <c r="Q42" s="285">
        <f t="shared" si="4"/>
        <v>20937.871145454545</v>
      </c>
      <c r="R42" s="285">
        <f t="shared" si="4"/>
        <v>21793.207618181819</v>
      </c>
      <c r="S42" s="285">
        <f t="shared" si="4"/>
        <v>22648.544090909087</v>
      </c>
      <c r="T42" s="285">
        <f t="shared" si="4"/>
        <v>23503.880563636361</v>
      </c>
      <c r="U42" s="285">
        <f t="shared" si="4"/>
        <v>24359.217036363632</v>
      </c>
      <c r="V42" s="285">
        <f t="shared" si="4"/>
        <v>25214.553509090907</v>
      </c>
      <c r="W42" s="285">
        <f t="shared" si="4"/>
        <v>26069.889981818182</v>
      </c>
      <c r="X42" s="285">
        <f t="shared" si="4"/>
        <v>26925.226454545449</v>
      </c>
      <c r="Y42" s="285">
        <f t="shared" si="4"/>
        <v>27780.562927272724</v>
      </c>
      <c r="Z42" s="285">
        <f t="shared" si="4"/>
        <v>28635.899399999998</v>
      </c>
      <c r="AA42" s="285">
        <f t="shared" si="4"/>
        <v>29491.235872727273</v>
      </c>
      <c r="AB42" s="285">
        <f t="shared" si="4"/>
        <v>30346.572345454548</v>
      </c>
      <c r="AC42" s="285">
        <f t="shared" si="4"/>
        <v>31201.908818181815</v>
      </c>
      <c r="AD42" s="285">
        <f t="shared" si="4"/>
        <v>32057.245290909086</v>
      </c>
      <c r="AE42" s="285">
        <f t="shared" si="4"/>
        <v>32912.581763636357</v>
      </c>
      <c r="AF42" s="285">
        <f t="shared" si="4"/>
        <v>33767.918236363636</v>
      </c>
      <c r="AG42" s="285">
        <f t="shared" si="4"/>
        <v>34623.254709090907</v>
      </c>
      <c r="AH42" s="285">
        <f t="shared" si="4"/>
        <v>35478.591181818185</v>
      </c>
    </row>
    <row r="43" spans="2:35" x14ac:dyDescent="0.25">
      <c r="B43" s="235" t="s">
        <v>19</v>
      </c>
      <c r="C43" s="60" t="s">
        <v>556</v>
      </c>
      <c r="D43" s="285">
        <f t="shared" ref="D43:AH43" si="5">D60*1000</f>
        <v>9513.1859999999997</v>
      </c>
      <c r="E43" s="285">
        <f t="shared" si="5"/>
        <v>8742.2039999999997</v>
      </c>
      <c r="F43" s="285">
        <f t="shared" si="5"/>
        <v>8480.3459999999995</v>
      </c>
      <c r="G43" s="285">
        <f t="shared" si="5"/>
        <v>8365.2060000000001</v>
      </c>
      <c r="H43" s="285">
        <f t="shared" si="5"/>
        <v>8547.7199999999993</v>
      </c>
      <c r="I43" s="285">
        <f t="shared" si="5"/>
        <v>8387.9489999999987</v>
      </c>
      <c r="J43" s="285">
        <f t="shared" si="5"/>
        <v>8518.3079999999991</v>
      </c>
      <c r="K43" s="285">
        <f t="shared" si="5"/>
        <v>8494.7099999999991</v>
      </c>
      <c r="L43" s="285">
        <f t="shared" si="5"/>
        <v>8313.2790000000005</v>
      </c>
      <c r="M43" s="285">
        <f t="shared" si="5"/>
        <v>8122.6140000000005</v>
      </c>
      <c r="N43" s="285">
        <f t="shared" si="5"/>
        <v>7964.61</v>
      </c>
      <c r="O43" s="285">
        <f t="shared" si="5"/>
        <v>8067.335399999999</v>
      </c>
      <c r="P43" s="285">
        <f t="shared" si="5"/>
        <v>8007.9973636363629</v>
      </c>
      <c r="Q43" s="285">
        <f t="shared" si="5"/>
        <v>7948.6593272727268</v>
      </c>
      <c r="R43" s="285">
        <f t="shared" si="5"/>
        <v>7889.3212909090907</v>
      </c>
      <c r="S43" s="285">
        <f t="shared" si="5"/>
        <v>7829.9832545454537</v>
      </c>
      <c r="T43" s="285">
        <f t="shared" si="5"/>
        <v>7770.6452181818177</v>
      </c>
      <c r="U43" s="285">
        <f t="shared" si="5"/>
        <v>7711.3071818181816</v>
      </c>
      <c r="V43" s="285">
        <f t="shared" si="5"/>
        <v>7651.9691454545446</v>
      </c>
      <c r="W43" s="285">
        <f t="shared" si="5"/>
        <v>7592.6311090909076</v>
      </c>
      <c r="X43" s="285">
        <f t="shared" si="5"/>
        <v>7533.2930727272715</v>
      </c>
      <c r="Y43" s="285">
        <f t="shared" si="5"/>
        <v>7473.9550363636354</v>
      </c>
      <c r="Z43" s="285">
        <f t="shared" si="5"/>
        <v>7414.6170000000002</v>
      </c>
      <c r="AA43" s="285">
        <f t="shared" si="5"/>
        <v>7355.2789636363641</v>
      </c>
      <c r="AB43" s="285">
        <f t="shared" si="5"/>
        <v>7295.9409272727262</v>
      </c>
      <c r="AC43" s="285">
        <f t="shared" si="5"/>
        <v>7236.6028909090901</v>
      </c>
      <c r="AD43" s="285">
        <f t="shared" si="5"/>
        <v>7177.264854545454</v>
      </c>
      <c r="AE43" s="285">
        <f t="shared" si="5"/>
        <v>7117.9268181818179</v>
      </c>
      <c r="AF43" s="285">
        <f t="shared" si="5"/>
        <v>7058.58878181818</v>
      </c>
      <c r="AG43" s="285">
        <f t="shared" si="5"/>
        <v>6999.2507454545448</v>
      </c>
      <c r="AH43" s="285">
        <f t="shared" si="5"/>
        <v>6939.9127090909096</v>
      </c>
    </row>
    <row r="44" spans="2:35" x14ac:dyDescent="0.25">
      <c r="B44" s="235" t="s">
        <v>60</v>
      </c>
      <c r="C44" s="60" t="s">
        <v>556</v>
      </c>
      <c r="D44" s="285">
        <f t="shared" ref="D44:AH44" si="6">D61*1000</f>
        <v>15791.422399999998</v>
      </c>
      <c r="E44" s="285">
        <f t="shared" si="6"/>
        <v>16052.597599999999</v>
      </c>
      <c r="F44" s="285">
        <f t="shared" si="6"/>
        <v>16443.616799999996</v>
      </c>
      <c r="G44" s="285">
        <f t="shared" si="6"/>
        <v>17102.196800000002</v>
      </c>
      <c r="H44" s="285">
        <f t="shared" si="6"/>
        <v>18353.171199999997</v>
      </c>
      <c r="I44" s="285">
        <f t="shared" si="6"/>
        <v>19436.575599999996</v>
      </c>
      <c r="J44" s="285">
        <f t="shared" si="6"/>
        <v>21953.391200000002</v>
      </c>
      <c r="K44" s="285">
        <f t="shared" si="6"/>
        <v>23948.168399999999</v>
      </c>
      <c r="L44" s="285">
        <f t="shared" si="6"/>
        <v>27621.547199999997</v>
      </c>
      <c r="M44" s="285">
        <f t="shared" si="6"/>
        <v>30252.736800000002</v>
      </c>
      <c r="N44" s="285">
        <f t="shared" si="6"/>
        <v>32631.554799999998</v>
      </c>
      <c r="O44" s="285">
        <f t="shared" si="6"/>
        <v>32971.989440000005</v>
      </c>
      <c r="P44" s="285">
        <f t="shared" si="6"/>
        <v>34897.886494545462</v>
      </c>
      <c r="Q44" s="285">
        <f t="shared" si="6"/>
        <v>36823.783549090913</v>
      </c>
      <c r="R44" s="285">
        <f t="shared" si="6"/>
        <v>38749.680603636363</v>
      </c>
      <c r="S44" s="285">
        <f t="shared" si="6"/>
        <v>40675.577658181814</v>
      </c>
      <c r="T44" s="285">
        <f t="shared" si="6"/>
        <v>42601.474712727264</v>
      </c>
      <c r="U44" s="285">
        <f t="shared" si="6"/>
        <v>44527.371767272729</v>
      </c>
      <c r="V44" s="285">
        <f t="shared" si="6"/>
        <v>46453.268821818187</v>
      </c>
      <c r="W44" s="285">
        <f t="shared" si="6"/>
        <v>48379.165876363644</v>
      </c>
      <c r="X44" s="285">
        <f t="shared" si="6"/>
        <v>50305.06293090908</v>
      </c>
      <c r="Y44" s="285">
        <f t="shared" si="6"/>
        <v>52230.959985454545</v>
      </c>
      <c r="Z44" s="285">
        <f t="shared" si="6"/>
        <v>54156.857039999995</v>
      </c>
      <c r="AA44" s="285">
        <f t="shared" si="6"/>
        <v>56082.754094545453</v>
      </c>
      <c r="AB44" s="285">
        <f t="shared" si="6"/>
        <v>58008.651149090911</v>
      </c>
      <c r="AC44" s="285">
        <f t="shared" si="6"/>
        <v>59934.548203636368</v>
      </c>
      <c r="AD44" s="285">
        <f t="shared" si="6"/>
        <v>61860.445258181811</v>
      </c>
      <c r="AE44" s="285">
        <f t="shared" si="6"/>
        <v>63786.342312727262</v>
      </c>
      <c r="AF44" s="285">
        <f t="shared" si="6"/>
        <v>65712.239367272734</v>
      </c>
      <c r="AG44" s="285">
        <f t="shared" si="6"/>
        <v>67638.13642181817</v>
      </c>
      <c r="AH44" s="285">
        <f t="shared" si="6"/>
        <v>69564.033476363649</v>
      </c>
    </row>
    <row r="45" spans="2:35" x14ac:dyDescent="0.25">
      <c r="B45" s="235" t="s">
        <v>20</v>
      </c>
      <c r="C45" s="60" t="s">
        <v>556</v>
      </c>
      <c r="D45" s="285">
        <f t="shared" ref="D45:AH45" si="7">D62*1000</f>
        <v>6057.6116399999992</v>
      </c>
      <c r="E45" s="285">
        <f t="shared" si="7"/>
        <v>4816.14426</v>
      </c>
      <c r="F45" s="285">
        <f t="shared" si="7"/>
        <v>4583.3844599999993</v>
      </c>
      <c r="G45" s="285">
        <f t="shared" si="7"/>
        <v>4854.9445199999991</v>
      </c>
      <c r="H45" s="285">
        <f t="shared" si="7"/>
        <v>5972.2124400000002</v>
      </c>
      <c r="I45" s="285">
        <f t="shared" si="7"/>
        <v>5216.1737400000002</v>
      </c>
      <c r="J45" s="285">
        <f t="shared" si="7"/>
        <v>5995.4153400000005</v>
      </c>
      <c r="K45" s="285">
        <f t="shared" si="7"/>
        <v>6757.0446599999996</v>
      </c>
      <c r="L45" s="285">
        <f t="shared" si="7"/>
        <v>7469.8826399999998</v>
      </c>
      <c r="M45" s="285">
        <f t="shared" si="7"/>
        <v>8430.3104399999993</v>
      </c>
      <c r="N45" s="285">
        <f t="shared" si="7"/>
        <v>9402.8903999999984</v>
      </c>
      <c r="O45" s="285">
        <f t="shared" si="7"/>
        <v>9163.7611560000005</v>
      </c>
      <c r="P45" s="285">
        <f t="shared" si="7"/>
        <v>9675.383131636363</v>
      </c>
      <c r="Q45" s="285">
        <f t="shared" si="7"/>
        <v>10187.005107272727</v>
      </c>
      <c r="R45" s="285">
        <f t="shared" si="7"/>
        <v>10698.627082909092</v>
      </c>
      <c r="S45" s="285">
        <f t="shared" si="7"/>
        <v>11210.249058545456</v>
      </c>
      <c r="T45" s="285">
        <f t="shared" si="7"/>
        <v>11721.871034181819</v>
      </c>
      <c r="U45" s="285">
        <f t="shared" si="7"/>
        <v>12233.493009818179</v>
      </c>
      <c r="V45" s="285">
        <f t="shared" si="7"/>
        <v>12745.114985454546</v>
      </c>
      <c r="W45" s="285">
        <f t="shared" si="7"/>
        <v>13256.736961090908</v>
      </c>
      <c r="X45" s="285">
        <f t="shared" si="7"/>
        <v>13768.358936727271</v>
      </c>
      <c r="Y45" s="285">
        <f t="shared" si="7"/>
        <v>14279.980912363637</v>
      </c>
      <c r="Z45" s="285">
        <f t="shared" si="7"/>
        <v>14791.602888000001</v>
      </c>
      <c r="AA45" s="285">
        <f t="shared" si="7"/>
        <v>15303.224863636362</v>
      </c>
      <c r="AB45" s="285">
        <f t="shared" si="7"/>
        <v>15814.846839272725</v>
      </c>
      <c r="AC45" s="285">
        <f t="shared" si="7"/>
        <v>16326.468814909091</v>
      </c>
      <c r="AD45" s="285">
        <f t="shared" si="7"/>
        <v>16838.090790545455</v>
      </c>
      <c r="AE45" s="285">
        <f t="shared" si="7"/>
        <v>17349.712766181816</v>
      </c>
      <c r="AF45" s="285">
        <f t="shared" si="7"/>
        <v>17861.334741818184</v>
      </c>
      <c r="AG45" s="285">
        <f t="shared" si="7"/>
        <v>18372.956717454541</v>
      </c>
      <c r="AH45" s="285">
        <f t="shared" si="7"/>
        <v>18884.578693090913</v>
      </c>
    </row>
    <row r="46" spans="2:35" x14ac:dyDescent="0.25">
      <c r="B46" s="235" t="s">
        <v>21</v>
      </c>
      <c r="C46" s="60" t="s">
        <v>556</v>
      </c>
      <c r="D46" s="285">
        <f t="shared" ref="D46:AH46" si="8">D63*1000</f>
        <v>217.30497</v>
      </c>
      <c r="E46" s="285">
        <f t="shared" si="8"/>
        <v>239.27168999999998</v>
      </c>
      <c r="F46" s="285">
        <f t="shared" si="8"/>
        <v>241.53296999999998</v>
      </c>
      <c r="G46" s="285">
        <f t="shared" si="8"/>
        <v>244.78355999999999</v>
      </c>
      <c r="H46" s="285">
        <f t="shared" si="8"/>
        <v>287.54597999999999</v>
      </c>
      <c r="I46" s="285">
        <f t="shared" si="8"/>
        <v>253.76810999999998</v>
      </c>
      <c r="J46" s="285">
        <f t="shared" si="8"/>
        <v>314.05544999999995</v>
      </c>
      <c r="K46" s="285">
        <f t="shared" si="8"/>
        <v>318.09345000000002</v>
      </c>
      <c r="L46" s="285">
        <f t="shared" si="8"/>
        <v>276.94622999999996</v>
      </c>
      <c r="M46" s="285">
        <f t="shared" si="8"/>
        <v>277.75382999999999</v>
      </c>
      <c r="N46" s="285">
        <f t="shared" si="8"/>
        <v>281.22650999999996</v>
      </c>
      <c r="O46" s="285">
        <f t="shared" si="8"/>
        <v>304.96052799999995</v>
      </c>
      <c r="P46" s="285">
        <f t="shared" si="8"/>
        <v>310.68102799999991</v>
      </c>
      <c r="Q46" s="285">
        <f t="shared" si="8"/>
        <v>316.40152800000004</v>
      </c>
      <c r="R46" s="285">
        <f t="shared" si="8"/>
        <v>322.122028</v>
      </c>
      <c r="S46" s="285">
        <f t="shared" si="8"/>
        <v>327.84252799999996</v>
      </c>
      <c r="T46" s="285">
        <f t="shared" si="8"/>
        <v>333.56302800000003</v>
      </c>
      <c r="U46" s="285">
        <f t="shared" si="8"/>
        <v>339.28352799999993</v>
      </c>
      <c r="V46" s="285">
        <f t="shared" si="8"/>
        <v>345.00402800000001</v>
      </c>
      <c r="W46" s="285">
        <f t="shared" si="8"/>
        <v>350.72452799999996</v>
      </c>
      <c r="X46" s="285">
        <f t="shared" si="8"/>
        <v>356.44502799999992</v>
      </c>
      <c r="Y46" s="285">
        <f t="shared" si="8"/>
        <v>362.16552799999999</v>
      </c>
      <c r="Z46" s="285">
        <f t="shared" si="8"/>
        <v>367.88602800000001</v>
      </c>
      <c r="AA46" s="285">
        <f t="shared" si="8"/>
        <v>373.60652799999997</v>
      </c>
      <c r="AB46" s="285">
        <f t="shared" si="8"/>
        <v>379.32702799999998</v>
      </c>
      <c r="AC46" s="285">
        <f t="shared" si="8"/>
        <v>385.047528</v>
      </c>
      <c r="AD46" s="285">
        <f t="shared" si="8"/>
        <v>390.76802799999996</v>
      </c>
      <c r="AE46" s="285">
        <f t="shared" si="8"/>
        <v>396.48852799999997</v>
      </c>
      <c r="AF46" s="285">
        <f t="shared" si="8"/>
        <v>402.20902800000005</v>
      </c>
      <c r="AG46" s="285">
        <f t="shared" si="8"/>
        <v>407.92952799999995</v>
      </c>
      <c r="AH46" s="285">
        <f t="shared" si="8"/>
        <v>413.65002800000008</v>
      </c>
    </row>
    <row r="47" spans="2:35" x14ac:dyDescent="0.25">
      <c r="B47" s="235" t="s">
        <v>61</v>
      </c>
      <c r="C47" s="60" t="s">
        <v>556</v>
      </c>
      <c r="D47" s="285">
        <f t="shared" ref="D47:AB47" si="9">D64*1000</f>
        <v>74.023999999999987</v>
      </c>
      <c r="E47" s="285">
        <f t="shared" si="9"/>
        <v>98.695999999999998</v>
      </c>
      <c r="F47" s="285">
        <f t="shared" si="9"/>
        <v>77.616</v>
      </c>
      <c r="G47" s="285">
        <f t="shared" si="9"/>
        <v>89.655999999999992</v>
      </c>
      <c r="H47" s="285">
        <f t="shared" si="9"/>
        <v>64.736000000000004</v>
      </c>
      <c r="I47" s="285">
        <f t="shared" si="9"/>
        <v>72.454036765651111</v>
      </c>
      <c r="J47" s="285">
        <f t="shared" si="9"/>
        <v>99.896000000000001</v>
      </c>
      <c r="K47" s="285">
        <f t="shared" si="9"/>
        <v>56.344000000000001</v>
      </c>
      <c r="L47" s="285">
        <f t="shared" si="9"/>
        <v>38.183999999999997</v>
      </c>
      <c r="M47" s="285">
        <f t="shared" si="9"/>
        <v>65.168000000000006</v>
      </c>
      <c r="N47" s="285">
        <f t="shared" si="9"/>
        <v>66.616</v>
      </c>
      <c r="O47" s="285">
        <f t="shared" si="9"/>
        <v>51.904935784376732</v>
      </c>
      <c r="P47" s="285">
        <f t="shared" si="9"/>
        <v>48.080996167615197</v>
      </c>
      <c r="Q47" s="285">
        <f t="shared" si="9"/>
        <v>44.257056550853683</v>
      </c>
      <c r="R47" s="285">
        <f t="shared" si="9"/>
        <v>40.433116934092169</v>
      </c>
      <c r="S47" s="285">
        <f t="shared" si="9"/>
        <v>36.609177317330641</v>
      </c>
      <c r="T47" s="285">
        <f t="shared" si="9"/>
        <v>32.785237700569112</v>
      </c>
      <c r="U47" s="285">
        <f t="shared" si="9"/>
        <v>28.961298083807588</v>
      </c>
      <c r="V47" s="285">
        <f t="shared" si="9"/>
        <v>25.13735846704607</v>
      </c>
      <c r="W47" s="285">
        <f t="shared" si="9"/>
        <v>21.313418850284549</v>
      </c>
      <c r="X47" s="285">
        <f t="shared" si="9"/>
        <v>17.489479233523017</v>
      </c>
      <c r="Y47" s="285">
        <f t="shared" si="9"/>
        <v>13.665539616761496</v>
      </c>
      <c r="Z47" s="285">
        <f t="shared" si="9"/>
        <v>9.8415999999999766</v>
      </c>
      <c r="AA47" s="285">
        <f t="shared" si="9"/>
        <v>6.0176603832384572</v>
      </c>
      <c r="AB47" s="285">
        <f t="shared" si="9"/>
        <v>2.1937207664769227</v>
      </c>
      <c r="AC47" s="285">
        <v>0</v>
      </c>
      <c r="AD47" s="285">
        <v>0</v>
      </c>
      <c r="AE47" s="285">
        <v>0</v>
      </c>
      <c r="AF47" s="285">
        <v>0</v>
      </c>
      <c r="AG47" s="285">
        <v>0</v>
      </c>
      <c r="AH47" s="285">
        <v>0</v>
      </c>
    </row>
    <row r="48" spans="2:35" ht="24" x14ac:dyDescent="0.25">
      <c r="B48" s="235" t="s">
        <v>414</v>
      </c>
      <c r="C48" s="60" t="s">
        <v>556</v>
      </c>
      <c r="D48" s="285">
        <f t="shared" ref="D48:AH48" si="10">D65*1000</f>
        <v>538.79663999999991</v>
      </c>
      <c r="E48" s="285">
        <f t="shared" si="10"/>
        <v>554.06097999999997</v>
      </c>
      <c r="F48" s="285">
        <f t="shared" si="10"/>
        <v>605.47159999999997</v>
      </c>
      <c r="G48" s="285">
        <f t="shared" si="10"/>
        <v>625.89568000000008</v>
      </c>
      <c r="H48" s="285">
        <f t="shared" si="10"/>
        <v>615.58240000000001</v>
      </c>
      <c r="I48" s="285">
        <f t="shared" si="10"/>
        <v>620.87864000000002</v>
      </c>
      <c r="J48" s="285">
        <f t="shared" si="10"/>
        <v>586.38321999999994</v>
      </c>
      <c r="K48" s="285">
        <f t="shared" si="10"/>
        <v>555.78547999999989</v>
      </c>
      <c r="L48" s="285">
        <f t="shared" si="10"/>
        <v>555.22029999999995</v>
      </c>
      <c r="M48" s="285">
        <f t="shared" si="10"/>
        <v>567.43820000000005</v>
      </c>
      <c r="N48" s="285">
        <f t="shared" si="10"/>
        <v>547.89032000000009</v>
      </c>
      <c r="O48" s="285">
        <f t="shared" si="10"/>
        <v>552.33457458443354</v>
      </c>
      <c r="P48" s="285">
        <f t="shared" si="10"/>
        <v>552.17789563333224</v>
      </c>
      <c r="Q48" s="285">
        <f t="shared" si="10"/>
        <v>552.02126112683891</v>
      </c>
      <c r="R48" s="285">
        <f t="shared" si="10"/>
        <v>551.86467105234647</v>
      </c>
      <c r="S48" s="285">
        <f t="shared" si="10"/>
        <v>551.70812539725057</v>
      </c>
      <c r="T48" s="285">
        <f t="shared" si="10"/>
        <v>551.5516241489513</v>
      </c>
      <c r="U48" s="285">
        <f t="shared" si="10"/>
        <v>551.39516729485183</v>
      </c>
      <c r="V48" s="285">
        <f t="shared" si="10"/>
        <v>551.23875482235883</v>
      </c>
      <c r="W48" s="285">
        <f t="shared" si="10"/>
        <v>551.08238671888273</v>
      </c>
      <c r="X48" s="285">
        <f t="shared" si="10"/>
        <v>550.92606297183784</v>
      </c>
      <c r="Y48" s="285">
        <f t="shared" si="10"/>
        <v>550.7697835686414</v>
      </c>
      <c r="Z48" s="285">
        <f t="shared" si="10"/>
        <v>550.61354849671466</v>
      </c>
      <c r="AA48" s="285">
        <f t="shared" si="10"/>
        <v>550.45735774348202</v>
      </c>
      <c r="AB48" s="285">
        <f t="shared" si="10"/>
        <v>550.30121129637246</v>
      </c>
      <c r="AC48" s="285">
        <f t="shared" si="10"/>
        <v>550.14510914281709</v>
      </c>
      <c r="AD48" s="285">
        <f t="shared" si="10"/>
        <v>549.98905127025148</v>
      </c>
      <c r="AE48" s="285">
        <f t="shared" si="10"/>
        <v>549.83303766611471</v>
      </c>
      <c r="AF48" s="285">
        <f t="shared" si="10"/>
        <v>549.67706831784938</v>
      </c>
      <c r="AG48" s="285">
        <f t="shared" si="10"/>
        <v>549.52114321290128</v>
      </c>
      <c r="AH48" s="285">
        <f t="shared" si="10"/>
        <v>549.36526233872041</v>
      </c>
    </row>
    <row r="49" spans="2:35" x14ac:dyDescent="0.25">
      <c r="B49" s="235" t="s">
        <v>415</v>
      </c>
      <c r="C49" s="60" t="s">
        <v>556</v>
      </c>
      <c r="D49" s="285">
        <f t="shared" ref="D49:AH49" si="11">D66*1000</f>
        <v>119.25238</v>
      </c>
      <c r="E49" s="285">
        <f t="shared" si="11"/>
        <v>148.06983999999997</v>
      </c>
      <c r="F49" s="285">
        <f t="shared" si="11"/>
        <v>171.77605999999997</v>
      </c>
      <c r="G49" s="285">
        <f t="shared" si="11"/>
        <v>168.92254</v>
      </c>
      <c r="H49" s="285">
        <f t="shared" si="11"/>
        <v>194.41370000000001</v>
      </c>
      <c r="I49" s="285">
        <f t="shared" si="11"/>
        <v>203.43807999999999</v>
      </c>
      <c r="J49" s="285">
        <f t="shared" si="11"/>
        <v>207.02209999999999</v>
      </c>
      <c r="K49" s="285">
        <f t="shared" si="11"/>
        <v>229.25487999999999</v>
      </c>
      <c r="L49" s="285">
        <f t="shared" si="11"/>
        <v>206.06956</v>
      </c>
      <c r="M49" s="285">
        <f t="shared" si="11"/>
        <v>210.03533999999999</v>
      </c>
      <c r="N49" s="285">
        <f t="shared" si="11"/>
        <v>225.04780000000002</v>
      </c>
      <c r="O49" s="285">
        <f t="shared" si="11"/>
        <v>242.15401333333332</v>
      </c>
      <c r="P49" s="285">
        <f t="shared" si="11"/>
        <v>250.70712</v>
      </c>
      <c r="Q49" s="285">
        <f t="shared" si="11"/>
        <v>259.26022666666665</v>
      </c>
      <c r="R49" s="285">
        <f t="shared" si="11"/>
        <v>267.81333333333328</v>
      </c>
      <c r="S49" s="285">
        <f t="shared" si="11"/>
        <v>276.36644000000001</v>
      </c>
      <c r="T49" s="285">
        <f t="shared" si="11"/>
        <v>284.91954666666663</v>
      </c>
      <c r="U49" s="285">
        <f t="shared" si="11"/>
        <v>293.47265333333331</v>
      </c>
      <c r="V49" s="285">
        <f t="shared" si="11"/>
        <v>302.02575999999999</v>
      </c>
      <c r="W49" s="285">
        <f t="shared" si="11"/>
        <v>310.57886666666661</v>
      </c>
      <c r="X49" s="285">
        <f t="shared" si="11"/>
        <v>319.13197333333329</v>
      </c>
      <c r="Y49" s="285">
        <f t="shared" si="11"/>
        <v>327.68508000000003</v>
      </c>
      <c r="Z49" s="285">
        <f t="shared" si="11"/>
        <v>336.23818666666659</v>
      </c>
      <c r="AA49" s="285">
        <f t="shared" si="11"/>
        <v>344.79129333333327</v>
      </c>
      <c r="AB49" s="285">
        <f t="shared" si="11"/>
        <v>353.34440000000001</v>
      </c>
      <c r="AC49" s="285">
        <f t="shared" si="11"/>
        <v>361.89750666666663</v>
      </c>
      <c r="AD49" s="285">
        <f t="shared" si="11"/>
        <v>370.45061333333331</v>
      </c>
      <c r="AE49" s="285">
        <f t="shared" si="11"/>
        <v>379.00371999999999</v>
      </c>
      <c r="AF49" s="285">
        <f t="shared" si="11"/>
        <v>387.55682666666661</v>
      </c>
      <c r="AG49" s="285">
        <f t="shared" si="11"/>
        <v>396.10993333333329</v>
      </c>
      <c r="AH49" s="285">
        <f t="shared" si="11"/>
        <v>404.66304000000002</v>
      </c>
    </row>
    <row r="50" spans="2:35" ht="24" x14ac:dyDescent="0.25">
      <c r="B50" s="235" t="s">
        <v>416</v>
      </c>
      <c r="C50" s="60" t="s">
        <v>556</v>
      </c>
      <c r="D50" s="285">
        <f t="shared" ref="D50:AH50" si="12">D67*1000</f>
        <v>553.48321999999996</v>
      </c>
      <c r="E50" s="285">
        <f t="shared" si="12"/>
        <v>629.81056666666655</v>
      </c>
      <c r="F50" s="285">
        <f t="shared" si="12"/>
        <v>842.92399</v>
      </c>
      <c r="G50" s="285">
        <f t="shared" si="12"/>
        <v>924.90273999999999</v>
      </c>
      <c r="H50" s="285">
        <f t="shared" si="12"/>
        <v>1038.4565533333332</v>
      </c>
      <c r="I50" s="285">
        <f t="shared" si="12"/>
        <v>1078.8799566666667</v>
      </c>
      <c r="J50" s="285">
        <f t="shared" si="12"/>
        <v>1146.5136333333332</v>
      </c>
      <c r="K50" s="285">
        <f t="shared" si="12"/>
        <v>1161.6893966666667</v>
      </c>
      <c r="L50" s="285">
        <f t="shared" si="12"/>
        <v>1391.2453266666669</v>
      </c>
      <c r="M50" s="285">
        <f t="shared" si="12"/>
        <v>1461.7696899999999</v>
      </c>
      <c r="N50" s="285">
        <f t="shared" si="12"/>
        <v>1659.3805133333331</v>
      </c>
      <c r="O50" s="285">
        <f t="shared" si="12"/>
        <v>1679.1270553333343</v>
      </c>
      <c r="P50" s="285">
        <f t="shared" si="12"/>
        <v>1778.321567818183</v>
      </c>
      <c r="Q50" s="285">
        <f t="shared" si="12"/>
        <v>1877.5160803030319</v>
      </c>
      <c r="R50" s="285">
        <f t="shared" si="12"/>
        <v>1976.7105927878804</v>
      </c>
      <c r="S50" s="285">
        <f t="shared" si="12"/>
        <v>2075.9051052727291</v>
      </c>
      <c r="T50" s="285">
        <f t="shared" si="12"/>
        <v>2175.0996177575776</v>
      </c>
      <c r="U50" s="285">
        <f t="shared" si="12"/>
        <v>2274.2941302424265</v>
      </c>
      <c r="V50" s="285">
        <f t="shared" si="12"/>
        <v>2373.488642727275</v>
      </c>
      <c r="W50" s="285">
        <f t="shared" si="12"/>
        <v>2472.6831552121234</v>
      </c>
      <c r="X50" s="285">
        <f t="shared" si="12"/>
        <v>2571.8776676969719</v>
      </c>
      <c r="Y50" s="285">
        <f t="shared" si="12"/>
        <v>2671.0721801818208</v>
      </c>
      <c r="Z50" s="285">
        <f t="shared" si="12"/>
        <v>2770.2666926666693</v>
      </c>
      <c r="AA50" s="285">
        <f t="shared" si="12"/>
        <v>2869.4612051515187</v>
      </c>
      <c r="AB50" s="285">
        <f t="shared" si="12"/>
        <v>2968.6557176363672</v>
      </c>
      <c r="AC50" s="285">
        <f t="shared" si="12"/>
        <v>3067.8502301212156</v>
      </c>
      <c r="AD50" s="285">
        <f t="shared" si="12"/>
        <v>3167.0447426060641</v>
      </c>
      <c r="AE50" s="285">
        <f t="shared" si="12"/>
        <v>3266.2392550909126</v>
      </c>
      <c r="AF50" s="285">
        <f t="shared" si="12"/>
        <v>3365.4337675757615</v>
      </c>
      <c r="AG50" s="285">
        <f t="shared" si="12"/>
        <v>3464.62828006061</v>
      </c>
      <c r="AH50" s="285">
        <f t="shared" si="12"/>
        <v>3563.8227925454585</v>
      </c>
    </row>
    <row r="51" spans="2:35" x14ac:dyDescent="0.25">
      <c r="B51" s="235" t="s">
        <v>72</v>
      </c>
      <c r="C51" s="60" t="s">
        <v>556</v>
      </c>
      <c r="D51" s="285">
        <f t="shared" ref="D51:AH51" si="13">D68*1000</f>
        <v>69.634040000000013</v>
      </c>
      <c r="E51" s="285">
        <f t="shared" si="13"/>
        <v>81.110779999999991</v>
      </c>
      <c r="F51" s="285">
        <f t="shared" si="13"/>
        <v>85.872740000000007</v>
      </c>
      <c r="G51" s="285">
        <f t="shared" si="13"/>
        <v>99.044479999999993</v>
      </c>
      <c r="H51" s="285">
        <f t="shared" si="13"/>
        <v>97.600380000000001</v>
      </c>
      <c r="I51" s="285">
        <f t="shared" si="13"/>
        <v>106.71744</v>
      </c>
      <c r="J51" s="285">
        <f t="shared" si="13"/>
        <v>105.93514</v>
      </c>
      <c r="K51" s="285">
        <f t="shared" si="13"/>
        <v>130.69506000000001</v>
      </c>
      <c r="L51" s="285">
        <f t="shared" si="13"/>
        <v>159.24189999999999</v>
      </c>
      <c r="M51" s="285">
        <f t="shared" si="13"/>
        <v>164.2784</v>
      </c>
      <c r="N51" s="285">
        <f t="shared" si="13"/>
        <v>197.42182</v>
      </c>
      <c r="O51" s="285">
        <f t="shared" si="13"/>
        <v>189.29607466666667</v>
      </c>
      <c r="P51" s="285">
        <f t="shared" si="13"/>
        <v>201.38775842424241</v>
      </c>
      <c r="Q51" s="285">
        <f t="shared" si="13"/>
        <v>213.4794421818182</v>
      </c>
      <c r="R51" s="285">
        <f t="shared" si="13"/>
        <v>225.57112593939394</v>
      </c>
      <c r="S51" s="285">
        <f t="shared" si="13"/>
        <v>237.66280969696967</v>
      </c>
      <c r="T51" s="285">
        <f t="shared" si="13"/>
        <v>249.75449345454541</v>
      </c>
      <c r="U51" s="285">
        <f t="shared" si="13"/>
        <v>261.84617721212118</v>
      </c>
      <c r="V51" s="285">
        <f t="shared" si="13"/>
        <v>273.93786096969689</v>
      </c>
      <c r="W51" s="285">
        <f t="shared" si="13"/>
        <v>286.02954472727276</v>
      </c>
      <c r="X51" s="285">
        <f t="shared" si="13"/>
        <v>298.12122848484853</v>
      </c>
      <c r="Y51" s="285">
        <f t="shared" si="13"/>
        <v>310.21291224242424</v>
      </c>
      <c r="Z51" s="285">
        <f t="shared" si="13"/>
        <v>322.304596</v>
      </c>
      <c r="AA51" s="285">
        <f t="shared" si="13"/>
        <v>334.39627975757577</v>
      </c>
      <c r="AB51" s="285">
        <f t="shared" si="13"/>
        <v>346.48796351515148</v>
      </c>
      <c r="AC51" s="285">
        <f t="shared" si="13"/>
        <v>358.5796472727273</v>
      </c>
      <c r="AD51" s="285">
        <f t="shared" si="13"/>
        <v>370.67133103030301</v>
      </c>
      <c r="AE51" s="285">
        <f t="shared" si="13"/>
        <v>382.76301478787877</v>
      </c>
      <c r="AF51" s="285">
        <f t="shared" si="13"/>
        <v>394.8546985454546</v>
      </c>
      <c r="AG51" s="285">
        <f t="shared" si="13"/>
        <v>406.9463823030303</v>
      </c>
      <c r="AH51" s="285">
        <f t="shared" si="13"/>
        <v>419.03806606060607</v>
      </c>
    </row>
    <row r="52" spans="2:35" x14ac:dyDescent="0.25">
      <c r="B52" s="60"/>
      <c r="C52" s="60"/>
      <c r="D52" s="285"/>
      <c r="E52" s="285"/>
      <c r="F52" s="285"/>
      <c r="G52" s="285"/>
      <c r="H52" s="285"/>
      <c r="I52" s="285"/>
      <c r="J52" s="285"/>
      <c r="K52" s="285"/>
      <c r="L52" s="285"/>
      <c r="M52" s="285"/>
      <c r="N52" s="285"/>
      <c r="O52" s="285"/>
      <c r="P52" s="285"/>
      <c r="Q52" s="285"/>
      <c r="R52" s="285"/>
      <c r="S52" s="285"/>
      <c r="T52" s="285"/>
      <c r="U52" s="285"/>
      <c r="V52" s="285"/>
      <c r="W52" s="285"/>
      <c r="X52" s="285"/>
      <c r="Y52" s="285"/>
      <c r="Z52" s="285"/>
      <c r="AA52" s="285"/>
      <c r="AB52" s="285"/>
      <c r="AC52" s="285"/>
      <c r="AD52" s="285"/>
      <c r="AE52" s="285"/>
      <c r="AF52" s="285"/>
      <c r="AG52" s="285"/>
      <c r="AH52" s="285"/>
    </row>
    <row r="53" spans="2:35" x14ac:dyDescent="0.25">
      <c r="B53" s="237" t="s">
        <v>419</v>
      </c>
      <c r="C53" s="60" t="s">
        <v>556</v>
      </c>
      <c r="D53" s="285">
        <f>D70*1000</f>
        <v>50176.369289999981</v>
      </c>
      <c r="E53" s="285">
        <f t="shared" ref="E53:AH53" si="14">E70*1000</f>
        <v>49978.419716666671</v>
      </c>
      <c r="F53" s="285">
        <f t="shared" si="14"/>
        <v>51657.739619999993</v>
      </c>
      <c r="G53" s="285">
        <f t="shared" si="14"/>
        <v>54020.374319999995</v>
      </c>
      <c r="H53" s="285">
        <f t="shared" si="14"/>
        <v>57553.667653333338</v>
      </c>
      <c r="I53" s="285">
        <f t="shared" si="14"/>
        <v>57302.330603432318</v>
      </c>
      <c r="J53" s="285">
        <f t="shared" si="14"/>
        <v>62376.535083333336</v>
      </c>
      <c r="K53" s="285">
        <f t="shared" si="14"/>
        <v>66691.821326666657</v>
      </c>
      <c r="L53" s="285">
        <f t="shared" si="14"/>
        <v>73113.19415666665</v>
      </c>
      <c r="M53" s="285">
        <f t="shared" si="14"/>
        <v>78119.209699999992</v>
      </c>
      <c r="N53" s="285">
        <f t="shared" si="14"/>
        <v>82742.088163333305</v>
      </c>
      <c r="O53" s="285">
        <f t="shared" si="14"/>
        <v>83626.515777702138</v>
      </c>
      <c r="P53" s="285">
        <f t="shared" si="14"/>
        <v>87317.885810407024</v>
      </c>
      <c r="Q53" s="285">
        <f t="shared" si="14"/>
        <v>91009.255887556486</v>
      </c>
      <c r="R53" s="285">
        <f t="shared" si="14"/>
        <v>94700.626009137966</v>
      </c>
      <c r="S53" s="285">
        <f t="shared" si="14"/>
        <v>98391.996175138833</v>
      </c>
      <c r="T53" s="285">
        <f t="shared" si="14"/>
        <v>102083.36638554648</v>
      </c>
      <c r="U53" s="285">
        <f t="shared" si="14"/>
        <v>105774.73664034835</v>
      </c>
      <c r="V53" s="285">
        <f t="shared" si="14"/>
        <v>109466.10693953185</v>
      </c>
      <c r="W53" s="285">
        <f t="shared" si="14"/>
        <v>113157.47728308433</v>
      </c>
      <c r="X53" s="285">
        <f t="shared" si="14"/>
        <v>116848.8476709932</v>
      </c>
      <c r="Y53" s="285">
        <f t="shared" si="14"/>
        <v>120540.21810324602</v>
      </c>
      <c r="Z53" s="285">
        <f t="shared" si="14"/>
        <v>124231.58857983003</v>
      </c>
      <c r="AA53" s="285">
        <f t="shared" si="14"/>
        <v>127922.95910073277</v>
      </c>
      <c r="AB53" s="285">
        <f t="shared" si="14"/>
        <v>131614.32966594165</v>
      </c>
      <c r="AC53" s="285">
        <f t="shared" si="14"/>
        <v>135305.70027544408</v>
      </c>
      <c r="AD53" s="285">
        <f t="shared" si="14"/>
        <v>138997.07092922746</v>
      </c>
      <c r="AE53" s="285">
        <f t="shared" si="14"/>
        <v>142688.44162727924</v>
      </c>
      <c r="AF53" s="285">
        <f t="shared" si="14"/>
        <v>146379.81236958696</v>
      </c>
      <c r="AG53" s="285">
        <f t="shared" si="14"/>
        <v>150071.18315613799</v>
      </c>
      <c r="AH53" s="285">
        <f t="shared" si="14"/>
        <v>153762.55398691981</v>
      </c>
    </row>
    <row r="54" spans="2:35" x14ac:dyDescent="0.25">
      <c r="D54" s="234"/>
      <c r="E54" s="234"/>
      <c r="F54" s="234"/>
      <c r="G54" s="234"/>
      <c r="H54" s="234"/>
      <c r="I54" s="234"/>
      <c r="J54" s="234"/>
      <c r="K54" s="234"/>
      <c r="L54" s="234"/>
      <c r="M54" s="234"/>
      <c r="N54" s="234"/>
    </row>
    <row r="57" spans="2:35" ht="18.75" x14ac:dyDescent="0.3">
      <c r="B57" s="447" t="s">
        <v>418</v>
      </c>
      <c r="C57" s="448"/>
      <c r="D57" s="449">
        <v>2000</v>
      </c>
      <c r="E57" s="449">
        <v>2001</v>
      </c>
      <c r="F57" s="449">
        <v>2002</v>
      </c>
      <c r="G57" s="449">
        <v>2003</v>
      </c>
      <c r="H57" s="449">
        <v>2004</v>
      </c>
      <c r="I57" s="449">
        <v>2005</v>
      </c>
      <c r="J57" s="449">
        <v>2006</v>
      </c>
      <c r="K57" s="449">
        <v>2007</v>
      </c>
      <c r="L57" s="449">
        <v>2008</v>
      </c>
      <c r="M57" s="449">
        <v>2009</v>
      </c>
      <c r="N57" s="449">
        <v>2010</v>
      </c>
      <c r="O57" s="449">
        <v>2011</v>
      </c>
      <c r="P57" s="449">
        <v>2012</v>
      </c>
      <c r="Q57" s="449">
        <v>2013</v>
      </c>
      <c r="R57" s="449">
        <v>2014</v>
      </c>
      <c r="S57" s="449">
        <v>2015</v>
      </c>
      <c r="T57" s="449">
        <v>2016</v>
      </c>
      <c r="U57" s="449">
        <v>2017</v>
      </c>
      <c r="V57" s="449">
        <v>2018</v>
      </c>
      <c r="W57" s="449">
        <v>2019</v>
      </c>
      <c r="X57" s="449">
        <v>2020</v>
      </c>
      <c r="Y57" s="449">
        <v>2021</v>
      </c>
      <c r="Z57" s="449">
        <v>2022</v>
      </c>
      <c r="AA57" s="449">
        <v>2023</v>
      </c>
      <c r="AB57" s="449">
        <v>2024</v>
      </c>
      <c r="AC57" s="449">
        <v>2025</v>
      </c>
      <c r="AD57" s="449">
        <v>2026</v>
      </c>
      <c r="AE57" s="449">
        <v>2027</v>
      </c>
      <c r="AF57" s="449">
        <v>2028</v>
      </c>
      <c r="AG57" s="449">
        <v>2029</v>
      </c>
      <c r="AH57" s="449">
        <v>2030</v>
      </c>
      <c r="AI57" s="450"/>
    </row>
    <row r="58" spans="2:35" x14ac:dyDescent="0.25">
      <c r="B58" s="451" t="s">
        <v>413</v>
      </c>
      <c r="C58" s="452" t="s">
        <v>572</v>
      </c>
      <c r="D58" s="453">
        <v>7.7969999999999997</v>
      </c>
      <c r="E58" s="453">
        <v>7.8139279999999998</v>
      </c>
      <c r="F58" s="453">
        <v>8.3921479999999988</v>
      </c>
      <c r="G58" s="453">
        <v>8.7871959999999998</v>
      </c>
      <c r="H58" s="453">
        <v>9.1041360000000005</v>
      </c>
      <c r="I58" s="453">
        <v>8.5334599999999998</v>
      </c>
      <c r="J58" s="453">
        <v>8.9577639999999992</v>
      </c>
      <c r="K58" s="453">
        <v>9.5209879999999991</v>
      </c>
      <c r="L58" s="453">
        <v>10.234999999999999</v>
      </c>
      <c r="M58" s="453">
        <v>10.841187999999999</v>
      </c>
      <c r="N58" s="454">
        <v>11.083699999999999</v>
      </c>
      <c r="O58" s="454">
        <v>11.176454399999997</v>
      </c>
      <c r="P58" s="454">
        <v>11.512727781818182</v>
      </c>
      <c r="Q58" s="454">
        <v>11.849001163636363</v>
      </c>
      <c r="R58" s="454">
        <v>12.185274545454543</v>
      </c>
      <c r="S58" s="454">
        <v>12.521547927272724</v>
      </c>
      <c r="T58" s="455">
        <v>12.857821309090905</v>
      </c>
      <c r="U58" s="455">
        <v>13.19409469090909</v>
      </c>
      <c r="V58" s="455">
        <v>13.530368072727271</v>
      </c>
      <c r="W58" s="455">
        <v>13.866641454545455</v>
      </c>
      <c r="X58" s="455">
        <v>14.202914836363636</v>
      </c>
      <c r="Y58" s="455">
        <v>14.539188218181819</v>
      </c>
      <c r="Z58" s="455">
        <v>14.875461599999998</v>
      </c>
      <c r="AA58" s="455">
        <v>15.211734981818179</v>
      </c>
      <c r="AB58" s="455">
        <v>15.54800836363636</v>
      </c>
      <c r="AC58" s="455">
        <v>15.884281745454542</v>
      </c>
      <c r="AD58" s="455">
        <v>16.220555127272725</v>
      </c>
      <c r="AE58" s="455">
        <v>16.556828509090909</v>
      </c>
      <c r="AF58" s="455">
        <v>16.89310189090909</v>
      </c>
      <c r="AG58" s="455">
        <v>17.229375272727271</v>
      </c>
      <c r="AH58" s="455">
        <v>17.565648654545452</v>
      </c>
      <c r="AI58" s="450"/>
    </row>
    <row r="59" spans="2:35" x14ac:dyDescent="0.25">
      <c r="B59" s="451" t="s">
        <v>412</v>
      </c>
      <c r="C59" s="452" t="s">
        <v>572</v>
      </c>
      <c r="D59" s="453">
        <v>9.4440000000000008</v>
      </c>
      <c r="E59" s="453">
        <v>10.802525999999999</v>
      </c>
      <c r="F59" s="453">
        <v>11.733051</v>
      </c>
      <c r="G59" s="453">
        <v>12.757625999999998</v>
      </c>
      <c r="H59" s="453">
        <v>13.278092999999998</v>
      </c>
      <c r="I59" s="453">
        <v>13.392035999999999</v>
      </c>
      <c r="J59" s="453">
        <v>14.491850999999999</v>
      </c>
      <c r="K59" s="453">
        <v>15.519048</v>
      </c>
      <c r="L59" s="453">
        <v>16.846577999999997</v>
      </c>
      <c r="M59" s="453">
        <v>17.725916999999999</v>
      </c>
      <c r="N59" s="454">
        <v>18.681749999999997</v>
      </c>
      <c r="O59" s="454">
        <v>19.2271982</v>
      </c>
      <c r="P59" s="454">
        <v>20.08253467272727</v>
      </c>
      <c r="Q59" s="454">
        <v>20.937871145454544</v>
      </c>
      <c r="R59" s="454">
        <v>21.793207618181818</v>
      </c>
      <c r="S59" s="454">
        <v>22.648544090909088</v>
      </c>
      <c r="T59" s="455">
        <v>23.503880563636361</v>
      </c>
      <c r="U59" s="455">
        <v>24.359217036363631</v>
      </c>
      <c r="V59" s="455">
        <v>25.214553509090909</v>
      </c>
      <c r="W59" s="455">
        <v>26.069889981818182</v>
      </c>
      <c r="X59" s="455">
        <v>26.925226454545449</v>
      </c>
      <c r="Y59" s="455">
        <v>27.780562927272722</v>
      </c>
      <c r="Z59" s="455">
        <v>28.6358994</v>
      </c>
      <c r="AA59" s="455">
        <v>29.491235872727273</v>
      </c>
      <c r="AB59" s="455">
        <v>30.346572345454547</v>
      </c>
      <c r="AC59" s="455">
        <v>31.201908818181813</v>
      </c>
      <c r="AD59" s="455">
        <v>32.057245290909087</v>
      </c>
      <c r="AE59" s="455">
        <v>32.912581763636361</v>
      </c>
      <c r="AF59" s="455">
        <v>33.767918236363634</v>
      </c>
      <c r="AG59" s="455">
        <v>34.623254709090908</v>
      </c>
      <c r="AH59" s="455">
        <v>35.478591181818182</v>
      </c>
      <c r="AI59" s="450"/>
    </row>
    <row r="60" spans="2:35" x14ac:dyDescent="0.25">
      <c r="B60" s="451" t="s">
        <v>19</v>
      </c>
      <c r="C60" s="452" t="s">
        <v>572</v>
      </c>
      <c r="D60" s="453">
        <v>9.5131859999999993</v>
      </c>
      <c r="E60" s="453">
        <v>8.7422039999999992</v>
      </c>
      <c r="F60" s="453">
        <v>8.4803459999999991</v>
      </c>
      <c r="G60" s="453">
        <v>8.3652060000000006</v>
      </c>
      <c r="H60" s="453">
        <v>8.54772</v>
      </c>
      <c r="I60" s="453">
        <v>8.387948999999999</v>
      </c>
      <c r="J60" s="453">
        <v>8.5183079999999993</v>
      </c>
      <c r="K60" s="453">
        <v>8.4947099999999995</v>
      </c>
      <c r="L60" s="453">
        <v>8.3132789999999996</v>
      </c>
      <c r="M60" s="453">
        <v>8.1226140000000004</v>
      </c>
      <c r="N60" s="454">
        <v>7.9646099999999995</v>
      </c>
      <c r="O60" s="454">
        <v>8.0673353999999993</v>
      </c>
      <c r="P60" s="454">
        <v>8.0079973636363633</v>
      </c>
      <c r="Q60" s="454">
        <v>7.9486593272727273</v>
      </c>
      <c r="R60" s="454">
        <v>7.8893212909090904</v>
      </c>
      <c r="S60" s="454">
        <v>7.8299832545454535</v>
      </c>
      <c r="T60" s="455">
        <v>7.7706452181818175</v>
      </c>
      <c r="U60" s="455">
        <v>7.7113071818181815</v>
      </c>
      <c r="V60" s="455">
        <v>7.6519691454545447</v>
      </c>
      <c r="W60" s="455">
        <v>7.5926311090909078</v>
      </c>
      <c r="X60" s="455">
        <v>7.5332930727272718</v>
      </c>
      <c r="Y60" s="455">
        <v>7.4739550363636358</v>
      </c>
      <c r="Z60" s="455">
        <v>7.4146169999999998</v>
      </c>
      <c r="AA60" s="455">
        <v>7.3552789636363638</v>
      </c>
      <c r="AB60" s="455">
        <v>7.295940927272726</v>
      </c>
      <c r="AC60" s="455">
        <v>7.23660289090909</v>
      </c>
      <c r="AD60" s="455">
        <v>7.177264854545454</v>
      </c>
      <c r="AE60" s="455">
        <v>7.117926818181818</v>
      </c>
      <c r="AF60" s="455">
        <v>7.0585887818181803</v>
      </c>
      <c r="AG60" s="455">
        <v>6.9992507454545452</v>
      </c>
      <c r="AH60" s="455">
        <v>6.9399127090909092</v>
      </c>
      <c r="AI60" s="450"/>
    </row>
    <row r="61" spans="2:35" x14ac:dyDescent="0.25">
      <c r="B61" s="451" t="s">
        <v>60</v>
      </c>
      <c r="C61" s="452" t="s">
        <v>572</v>
      </c>
      <c r="D61" s="453">
        <v>15.791422399999998</v>
      </c>
      <c r="E61" s="453">
        <v>16.052597599999999</v>
      </c>
      <c r="F61" s="453">
        <v>16.443616799999997</v>
      </c>
      <c r="G61" s="453">
        <v>17.102196800000002</v>
      </c>
      <c r="H61" s="453">
        <v>18.353171199999998</v>
      </c>
      <c r="I61" s="453">
        <v>19.436575599999998</v>
      </c>
      <c r="J61" s="453">
        <v>21.953391200000002</v>
      </c>
      <c r="K61" s="453">
        <v>23.9481684</v>
      </c>
      <c r="L61" s="453">
        <v>27.621547199999998</v>
      </c>
      <c r="M61" s="453">
        <v>30.252736800000001</v>
      </c>
      <c r="N61" s="454">
        <v>32.631554799999996</v>
      </c>
      <c r="O61" s="454">
        <v>32.971989440000002</v>
      </c>
      <c r="P61" s="454">
        <v>34.89788649454546</v>
      </c>
      <c r="Q61" s="454">
        <v>36.823783549090912</v>
      </c>
      <c r="R61" s="454">
        <v>38.749680603636364</v>
      </c>
      <c r="S61" s="454">
        <v>40.675577658181815</v>
      </c>
      <c r="T61" s="455">
        <v>42.601474712727267</v>
      </c>
      <c r="U61" s="455">
        <v>44.527371767272726</v>
      </c>
      <c r="V61" s="455">
        <v>46.453268821818185</v>
      </c>
      <c r="W61" s="455">
        <v>48.379165876363643</v>
      </c>
      <c r="X61" s="455">
        <v>50.305062930909081</v>
      </c>
      <c r="Y61" s="455">
        <v>52.230959985454547</v>
      </c>
      <c r="Z61" s="455">
        <v>54.156857039999998</v>
      </c>
      <c r="AA61" s="455">
        <v>56.08275409454545</v>
      </c>
      <c r="AB61" s="455">
        <v>58.008651149090909</v>
      </c>
      <c r="AC61" s="455">
        <v>59.934548203636368</v>
      </c>
      <c r="AD61" s="455">
        <v>61.860445258181812</v>
      </c>
      <c r="AE61" s="455">
        <v>63.786342312727264</v>
      </c>
      <c r="AF61" s="455">
        <v>65.71223936727273</v>
      </c>
      <c r="AG61" s="455">
        <v>67.638136421818174</v>
      </c>
      <c r="AH61" s="455">
        <v>69.564033476363647</v>
      </c>
      <c r="AI61" s="450"/>
    </row>
    <row r="62" spans="2:35" x14ac:dyDescent="0.25">
      <c r="B62" s="451" t="s">
        <v>20</v>
      </c>
      <c r="C62" s="452" t="s">
        <v>572</v>
      </c>
      <c r="D62" s="453">
        <v>6.0576116399999993</v>
      </c>
      <c r="E62" s="453">
        <v>4.8161442599999997</v>
      </c>
      <c r="F62" s="453">
        <v>4.5833844599999995</v>
      </c>
      <c r="G62" s="453">
        <v>4.8549445199999992</v>
      </c>
      <c r="H62" s="453">
        <v>5.9722124399999998</v>
      </c>
      <c r="I62" s="453">
        <v>5.2161737400000003</v>
      </c>
      <c r="J62" s="453">
        <v>5.9954153400000001</v>
      </c>
      <c r="K62" s="453">
        <v>6.7570446599999991</v>
      </c>
      <c r="L62" s="453">
        <v>7.4698826399999998</v>
      </c>
      <c r="M62" s="453">
        <v>8.4303104399999995</v>
      </c>
      <c r="N62" s="454">
        <v>9.4028903999999986</v>
      </c>
      <c r="O62" s="454">
        <v>9.1637611559999996</v>
      </c>
      <c r="P62" s="454">
        <v>9.6753831316363623</v>
      </c>
      <c r="Q62" s="454">
        <v>10.187005107272727</v>
      </c>
      <c r="R62" s="454">
        <v>10.698627082909091</v>
      </c>
      <c r="S62" s="454">
        <v>11.210249058545456</v>
      </c>
      <c r="T62" s="455">
        <v>11.721871034181818</v>
      </c>
      <c r="U62" s="455">
        <v>12.233493009818179</v>
      </c>
      <c r="V62" s="455">
        <v>12.745114985454546</v>
      </c>
      <c r="W62" s="455">
        <v>13.256736961090908</v>
      </c>
      <c r="X62" s="455">
        <v>13.768358936727271</v>
      </c>
      <c r="Y62" s="455">
        <v>14.279980912363637</v>
      </c>
      <c r="Z62" s="455">
        <v>14.791602888000002</v>
      </c>
      <c r="AA62" s="455">
        <v>15.303224863636363</v>
      </c>
      <c r="AB62" s="455">
        <v>15.814846839272725</v>
      </c>
      <c r="AC62" s="455">
        <v>16.326468814909092</v>
      </c>
      <c r="AD62" s="455">
        <v>16.838090790545454</v>
      </c>
      <c r="AE62" s="455">
        <v>17.349712766181817</v>
      </c>
      <c r="AF62" s="455">
        <v>17.861334741818183</v>
      </c>
      <c r="AG62" s="455">
        <v>18.372956717454542</v>
      </c>
      <c r="AH62" s="455">
        <v>18.884578693090912</v>
      </c>
      <c r="AI62" s="450"/>
    </row>
    <row r="63" spans="2:35" x14ac:dyDescent="0.25">
      <c r="B63" s="451" t="s">
        <v>21</v>
      </c>
      <c r="C63" s="452" t="s">
        <v>572</v>
      </c>
      <c r="D63" s="453">
        <v>0.21730496999999999</v>
      </c>
      <c r="E63" s="453">
        <v>0.23927168999999998</v>
      </c>
      <c r="F63" s="453">
        <v>0.24153296999999999</v>
      </c>
      <c r="G63" s="453">
        <v>0.24478355999999998</v>
      </c>
      <c r="H63" s="453">
        <v>0.28754597999999998</v>
      </c>
      <c r="I63" s="453">
        <v>0.25376810999999999</v>
      </c>
      <c r="J63" s="453">
        <v>0.31405544999999996</v>
      </c>
      <c r="K63" s="453">
        <v>0.31809345</v>
      </c>
      <c r="L63" s="453">
        <v>0.27694622999999996</v>
      </c>
      <c r="M63" s="453">
        <v>0.27775382999999998</v>
      </c>
      <c r="N63" s="454">
        <v>0.28122650999999999</v>
      </c>
      <c r="O63" s="454">
        <v>0.30496052799999995</v>
      </c>
      <c r="P63" s="454">
        <v>0.31068102799999991</v>
      </c>
      <c r="Q63" s="454">
        <v>0.31640152800000004</v>
      </c>
      <c r="R63" s="454">
        <v>0.322122028</v>
      </c>
      <c r="S63" s="454">
        <v>0.32784252799999997</v>
      </c>
      <c r="T63" s="455">
        <v>0.33356302800000004</v>
      </c>
      <c r="U63" s="455">
        <v>0.33928352799999995</v>
      </c>
      <c r="V63" s="455">
        <v>0.34500402800000002</v>
      </c>
      <c r="W63" s="455">
        <v>0.35072452799999998</v>
      </c>
      <c r="X63" s="455">
        <v>0.35644502799999994</v>
      </c>
      <c r="Y63" s="455">
        <v>0.36216552800000001</v>
      </c>
      <c r="Z63" s="455">
        <v>0.36788602800000003</v>
      </c>
      <c r="AA63" s="455">
        <v>0.37360652799999999</v>
      </c>
      <c r="AB63" s="455">
        <v>0.37932702800000001</v>
      </c>
      <c r="AC63" s="455">
        <v>0.38504752800000003</v>
      </c>
      <c r="AD63" s="455">
        <v>0.39076802799999993</v>
      </c>
      <c r="AE63" s="455">
        <v>0.39648852799999995</v>
      </c>
      <c r="AF63" s="455">
        <v>0.40220902800000002</v>
      </c>
      <c r="AG63" s="455">
        <v>0.40792952799999993</v>
      </c>
      <c r="AH63" s="455">
        <v>0.41365002800000006</v>
      </c>
      <c r="AI63" s="450"/>
    </row>
    <row r="64" spans="2:35" x14ac:dyDescent="0.25">
      <c r="B64" s="451" t="s">
        <v>61</v>
      </c>
      <c r="C64" s="452" t="s">
        <v>572</v>
      </c>
      <c r="D64" s="453">
        <v>7.4023999999999993E-2</v>
      </c>
      <c r="E64" s="453">
        <v>9.8695999999999992E-2</v>
      </c>
      <c r="F64" s="453">
        <v>7.7616000000000004E-2</v>
      </c>
      <c r="G64" s="453">
        <v>8.9655999999999986E-2</v>
      </c>
      <c r="H64" s="453">
        <v>6.4736000000000002E-2</v>
      </c>
      <c r="I64" s="453">
        <v>7.2454036765651111E-2</v>
      </c>
      <c r="J64" s="453">
        <v>9.9895999999999999E-2</v>
      </c>
      <c r="K64" s="453">
        <v>5.6343999999999998E-2</v>
      </c>
      <c r="L64" s="453">
        <v>3.8183999999999996E-2</v>
      </c>
      <c r="M64" s="453">
        <v>6.5168000000000004E-2</v>
      </c>
      <c r="N64" s="454">
        <v>6.6615999999999995E-2</v>
      </c>
      <c r="O64" s="454">
        <v>5.190493578437673E-2</v>
      </c>
      <c r="P64" s="454">
        <v>4.80809961676152E-2</v>
      </c>
      <c r="Q64" s="454">
        <v>4.4257056550853685E-2</v>
      </c>
      <c r="R64" s="454">
        <v>4.043311693409217E-2</v>
      </c>
      <c r="S64" s="454">
        <v>3.6609177317330641E-2</v>
      </c>
      <c r="T64" s="455">
        <v>3.2785237700569111E-2</v>
      </c>
      <c r="U64" s="455">
        <v>2.8961298083807589E-2</v>
      </c>
      <c r="V64" s="455">
        <v>2.513735846704607E-2</v>
      </c>
      <c r="W64" s="455">
        <v>2.1313418850284548E-2</v>
      </c>
      <c r="X64" s="455">
        <v>1.7489479233523016E-2</v>
      </c>
      <c r="Y64" s="455">
        <v>1.3665539616761495E-2</v>
      </c>
      <c r="Z64" s="455">
        <v>9.8415999999999764E-3</v>
      </c>
      <c r="AA64" s="455">
        <v>6.0176603832384568E-3</v>
      </c>
      <c r="AB64" s="455">
        <v>2.1937207664769229E-3</v>
      </c>
      <c r="AC64" s="455">
        <v>-1.6302188502845965E-3</v>
      </c>
      <c r="AD64" s="455">
        <v>-5.4541584670461159E-3</v>
      </c>
      <c r="AE64" s="455">
        <v>-9.2780980838076503E-3</v>
      </c>
      <c r="AF64" s="455">
        <v>-1.3102037700569169E-2</v>
      </c>
      <c r="AG64" s="455">
        <v>-1.6925977317330688E-2</v>
      </c>
      <c r="AH64" s="455">
        <v>-2.0749916934092207E-2</v>
      </c>
      <c r="AI64" s="450"/>
    </row>
    <row r="65" spans="2:35" ht="24" x14ac:dyDescent="0.25">
      <c r="B65" s="451" t="s">
        <v>414</v>
      </c>
      <c r="C65" s="452" t="s">
        <v>572</v>
      </c>
      <c r="D65" s="453">
        <v>0.53879663999999994</v>
      </c>
      <c r="E65" s="453">
        <v>0.55406097999999993</v>
      </c>
      <c r="F65" s="453">
        <v>0.6054716</v>
      </c>
      <c r="G65" s="453">
        <v>0.62589568000000007</v>
      </c>
      <c r="H65" s="453">
        <v>0.61558239999999997</v>
      </c>
      <c r="I65" s="453">
        <v>0.62087864000000004</v>
      </c>
      <c r="J65" s="453">
        <v>0.58638321999999998</v>
      </c>
      <c r="K65" s="453">
        <v>0.55578547999999994</v>
      </c>
      <c r="L65" s="453">
        <v>0.5552203</v>
      </c>
      <c r="M65" s="453">
        <v>0.5674382</v>
      </c>
      <c r="N65" s="454">
        <v>0.54789032000000004</v>
      </c>
      <c r="O65" s="454">
        <v>0.55233457458443358</v>
      </c>
      <c r="P65" s="454">
        <v>0.55217789563333219</v>
      </c>
      <c r="Q65" s="454">
        <v>0.55202126112683891</v>
      </c>
      <c r="R65" s="454">
        <v>0.55186467105234649</v>
      </c>
      <c r="S65" s="454">
        <v>0.55170812539725056</v>
      </c>
      <c r="T65" s="455">
        <v>0.55155162414895131</v>
      </c>
      <c r="U65" s="455">
        <v>0.55139516729485183</v>
      </c>
      <c r="V65" s="455">
        <v>0.55123875482235885</v>
      </c>
      <c r="W65" s="455">
        <v>0.55108238671888277</v>
      </c>
      <c r="X65" s="455">
        <v>0.55092606297183788</v>
      </c>
      <c r="Y65" s="455">
        <v>0.55076978356864137</v>
      </c>
      <c r="Z65" s="455">
        <v>0.55061354849671462</v>
      </c>
      <c r="AA65" s="455">
        <v>0.55045735774348203</v>
      </c>
      <c r="AB65" s="455">
        <v>0.55030121129637244</v>
      </c>
      <c r="AC65" s="455">
        <v>0.55014510914281711</v>
      </c>
      <c r="AD65" s="455">
        <v>0.54998905127025144</v>
      </c>
      <c r="AE65" s="455">
        <v>0.54983303766611469</v>
      </c>
      <c r="AF65" s="455">
        <v>0.54967706831784935</v>
      </c>
      <c r="AG65" s="455">
        <v>0.54952114321290124</v>
      </c>
      <c r="AH65" s="455">
        <v>0.54936526233872041</v>
      </c>
      <c r="AI65" s="450"/>
    </row>
    <row r="66" spans="2:35" x14ac:dyDescent="0.25">
      <c r="B66" s="451" t="s">
        <v>415</v>
      </c>
      <c r="C66" s="452" t="s">
        <v>572</v>
      </c>
      <c r="D66" s="453">
        <v>0.11925238000000001</v>
      </c>
      <c r="E66" s="453">
        <v>0.14806983999999998</v>
      </c>
      <c r="F66" s="453">
        <v>0.17177605999999998</v>
      </c>
      <c r="G66" s="453">
        <v>0.16892254000000001</v>
      </c>
      <c r="H66" s="453">
        <v>0.19441369999999999</v>
      </c>
      <c r="I66" s="453">
        <v>0.20343807999999999</v>
      </c>
      <c r="J66" s="453">
        <v>0.20702209999999999</v>
      </c>
      <c r="K66" s="453">
        <v>0.22925487999999999</v>
      </c>
      <c r="L66" s="453">
        <v>0.20606955999999998</v>
      </c>
      <c r="M66" s="453">
        <v>0.21003533999999999</v>
      </c>
      <c r="N66" s="454">
        <v>0.22504780000000002</v>
      </c>
      <c r="O66" s="454">
        <v>0.24215401333333333</v>
      </c>
      <c r="P66" s="454">
        <v>0.25070712000000001</v>
      </c>
      <c r="Q66" s="454">
        <v>0.25926022666666665</v>
      </c>
      <c r="R66" s="454">
        <v>0.26781333333333329</v>
      </c>
      <c r="S66" s="454">
        <v>0.27636643999999999</v>
      </c>
      <c r="T66" s="455">
        <v>0.28491954666666663</v>
      </c>
      <c r="U66" s="455">
        <v>0.29347265333333333</v>
      </c>
      <c r="V66" s="455">
        <v>0.30202575999999998</v>
      </c>
      <c r="W66" s="455">
        <v>0.31057886666666662</v>
      </c>
      <c r="X66" s="455">
        <v>0.31913197333333332</v>
      </c>
      <c r="Y66" s="455">
        <v>0.32768508000000002</v>
      </c>
      <c r="Z66" s="455">
        <v>0.33623818666666661</v>
      </c>
      <c r="AA66" s="455">
        <v>0.34479129333333325</v>
      </c>
      <c r="AB66" s="455">
        <v>0.3533444</v>
      </c>
      <c r="AC66" s="455">
        <v>0.36189750666666665</v>
      </c>
      <c r="AD66" s="455">
        <v>0.37045061333333329</v>
      </c>
      <c r="AE66" s="455">
        <v>0.37900371999999999</v>
      </c>
      <c r="AF66" s="455">
        <v>0.38755682666666663</v>
      </c>
      <c r="AG66" s="455">
        <v>0.39610993333333328</v>
      </c>
      <c r="AH66" s="455">
        <v>0.40466304000000003</v>
      </c>
      <c r="AI66" s="450"/>
    </row>
    <row r="67" spans="2:35" ht="24" x14ac:dyDescent="0.25">
      <c r="B67" s="451" t="s">
        <v>416</v>
      </c>
      <c r="C67" s="452" t="s">
        <v>572</v>
      </c>
      <c r="D67" s="453">
        <v>0.55348321999999994</v>
      </c>
      <c r="E67" s="453">
        <v>0.62981056666666657</v>
      </c>
      <c r="F67" s="453">
        <v>0.84292398999999996</v>
      </c>
      <c r="G67" s="453">
        <v>0.92490273999999995</v>
      </c>
      <c r="H67" s="453">
        <v>1.0384565533333332</v>
      </c>
      <c r="I67" s="453">
        <v>1.0788799566666667</v>
      </c>
      <c r="J67" s="453">
        <v>1.1465136333333332</v>
      </c>
      <c r="K67" s="453">
        <v>1.1616893966666666</v>
      </c>
      <c r="L67" s="453">
        <v>1.3912453266666669</v>
      </c>
      <c r="M67" s="453">
        <v>1.4617696899999999</v>
      </c>
      <c r="N67" s="454">
        <v>1.659380513333333</v>
      </c>
      <c r="O67" s="454">
        <v>1.6791270553333342</v>
      </c>
      <c r="P67" s="454">
        <v>1.778321567818183</v>
      </c>
      <c r="Q67" s="454">
        <v>1.877516080303032</v>
      </c>
      <c r="R67" s="454">
        <v>1.9767105927878803</v>
      </c>
      <c r="S67" s="454">
        <v>2.0759051052727289</v>
      </c>
      <c r="T67" s="455">
        <v>2.1750996177575774</v>
      </c>
      <c r="U67" s="455">
        <v>2.2742941302424264</v>
      </c>
      <c r="V67" s="455">
        <v>2.373488642727275</v>
      </c>
      <c r="W67" s="455">
        <v>2.4726831552121236</v>
      </c>
      <c r="X67" s="455">
        <v>2.5718776676969721</v>
      </c>
      <c r="Y67" s="455">
        <v>2.6710721801818207</v>
      </c>
      <c r="Z67" s="455">
        <v>2.7702666926666693</v>
      </c>
      <c r="AA67" s="455">
        <v>2.8694612051515187</v>
      </c>
      <c r="AB67" s="455">
        <v>2.9686557176363673</v>
      </c>
      <c r="AC67" s="455">
        <v>3.0678502301212158</v>
      </c>
      <c r="AD67" s="455">
        <v>3.1670447426060639</v>
      </c>
      <c r="AE67" s="455">
        <v>3.2662392550909125</v>
      </c>
      <c r="AF67" s="455">
        <v>3.3654337675757615</v>
      </c>
      <c r="AG67" s="455">
        <v>3.4646282800606101</v>
      </c>
      <c r="AH67" s="455">
        <v>3.5638227925454586</v>
      </c>
      <c r="AI67" s="450"/>
    </row>
    <row r="68" spans="2:35" x14ac:dyDescent="0.25">
      <c r="B68" s="451" t="s">
        <v>72</v>
      </c>
      <c r="C68" s="452" t="s">
        <v>572</v>
      </c>
      <c r="D68" s="453">
        <v>6.9634040000000008E-2</v>
      </c>
      <c r="E68" s="453">
        <v>8.1110779999999993E-2</v>
      </c>
      <c r="F68" s="453">
        <v>8.5872740000000003E-2</v>
      </c>
      <c r="G68" s="453">
        <v>9.904447999999999E-2</v>
      </c>
      <c r="H68" s="453">
        <v>9.760038E-2</v>
      </c>
      <c r="I68" s="453">
        <v>0.10671744</v>
      </c>
      <c r="J68" s="453">
        <v>0.10593514</v>
      </c>
      <c r="K68" s="453">
        <v>0.13069506</v>
      </c>
      <c r="L68" s="453">
        <v>0.15924189999999999</v>
      </c>
      <c r="M68" s="453">
        <v>0.16427839999999999</v>
      </c>
      <c r="N68" s="454">
        <v>0.19742182</v>
      </c>
      <c r="O68" s="454">
        <v>0.18929607466666667</v>
      </c>
      <c r="P68" s="454">
        <v>0.20138775842424242</v>
      </c>
      <c r="Q68" s="454">
        <v>0.21347944218181819</v>
      </c>
      <c r="R68" s="454">
        <v>0.22557112593939393</v>
      </c>
      <c r="S68" s="454">
        <v>0.23766280969696968</v>
      </c>
      <c r="T68" s="455">
        <v>0.24975449345454542</v>
      </c>
      <c r="U68" s="455">
        <v>0.26184617721212117</v>
      </c>
      <c r="V68" s="455">
        <v>0.27393786096969691</v>
      </c>
      <c r="W68" s="455">
        <v>0.28602954472727277</v>
      </c>
      <c r="X68" s="455">
        <v>0.29812122848484851</v>
      </c>
      <c r="Y68" s="455">
        <v>0.31021291224242425</v>
      </c>
      <c r="Z68" s="455">
        <v>0.322304596</v>
      </c>
      <c r="AA68" s="455">
        <v>0.33439627975757574</v>
      </c>
      <c r="AB68" s="455">
        <v>0.34648796351515149</v>
      </c>
      <c r="AC68" s="455">
        <v>0.35857964727272729</v>
      </c>
      <c r="AD68" s="455">
        <v>0.37067133103030303</v>
      </c>
      <c r="AE68" s="455">
        <v>0.38276301478787877</v>
      </c>
      <c r="AF68" s="455">
        <v>0.39485469854545457</v>
      </c>
      <c r="AG68" s="455">
        <v>0.40694638230303032</v>
      </c>
      <c r="AH68" s="455">
        <v>0.41903806606060606</v>
      </c>
      <c r="AI68" s="450"/>
    </row>
    <row r="69" spans="2:35" x14ac:dyDescent="0.25">
      <c r="B69" s="452"/>
      <c r="C69" s="452"/>
      <c r="D69" s="453"/>
      <c r="E69" s="453"/>
      <c r="F69" s="453"/>
      <c r="G69" s="453"/>
      <c r="H69" s="453"/>
      <c r="I69" s="453"/>
      <c r="J69" s="453"/>
      <c r="K69" s="453"/>
      <c r="L69" s="453"/>
      <c r="M69" s="453"/>
      <c r="N69" s="453"/>
      <c r="O69" s="454"/>
      <c r="P69" s="454"/>
      <c r="Q69" s="454"/>
      <c r="R69" s="454"/>
      <c r="S69" s="454"/>
      <c r="T69" s="455"/>
      <c r="U69" s="455"/>
      <c r="V69" s="455"/>
      <c r="W69" s="455"/>
      <c r="X69" s="455"/>
      <c r="Y69" s="455"/>
      <c r="Z69" s="455"/>
      <c r="AA69" s="455"/>
      <c r="AB69" s="455"/>
      <c r="AC69" s="455"/>
      <c r="AD69" s="455"/>
      <c r="AE69" s="455"/>
      <c r="AF69" s="455"/>
      <c r="AG69" s="455"/>
      <c r="AH69" s="455"/>
      <c r="AI69" s="450"/>
    </row>
    <row r="70" spans="2:35" x14ac:dyDescent="0.25">
      <c r="B70" s="456" t="s">
        <v>419</v>
      </c>
      <c r="C70" s="452" t="s">
        <v>572</v>
      </c>
      <c r="D70" s="453">
        <v>50.176369289999982</v>
      </c>
      <c r="E70" s="453">
        <v>49.978419716666671</v>
      </c>
      <c r="F70" s="453">
        <v>51.657739619999994</v>
      </c>
      <c r="G70" s="453">
        <v>54.020374319999995</v>
      </c>
      <c r="H70" s="453">
        <v>57.553667653333335</v>
      </c>
      <c r="I70" s="453">
        <v>57.302330603432317</v>
      </c>
      <c r="J70" s="453">
        <v>62.376535083333337</v>
      </c>
      <c r="K70" s="453">
        <v>66.691821326666656</v>
      </c>
      <c r="L70" s="453">
        <v>73.113194156666651</v>
      </c>
      <c r="M70" s="453">
        <v>78.119209699999999</v>
      </c>
      <c r="N70" s="453">
        <v>82.742088163333307</v>
      </c>
      <c r="O70" s="454">
        <v>83.626515777702139</v>
      </c>
      <c r="P70" s="454">
        <v>87.31788581040702</v>
      </c>
      <c r="Q70" s="454">
        <v>91.009255887556492</v>
      </c>
      <c r="R70" s="454">
        <v>94.700626009137963</v>
      </c>
      <c r="S70" s="454">
        <v>98.391996175138829</v>
      </c>
      <c r="T70" s="455">
        <v>102.08336638554648</v>
      </c>
      <c r="U70" s="455">
        <v>105.77473664034835</v>
      </c>
      <c r="V70" s="455">
        <v>109.46610693953185</v>
      </c>
      <c r="W70" s="455">
        <v>113.15747728308433</v>
      </c>
      <c r="X70" s="455">
        <v>116.84884767099319</v>
      </c>
      <c r="Y70" s="455">
        <v>120.54021810324602</v>
      </c>
      <c r="Z70" s="455">
        <v>124.23158857983003</v>
      </c>
      <c r="AA70" s="455">
        <v>127.92295910073277</v>
      </c>
      <c r="AB70" s="455">
        <v>131.61432966594165</v>
      </c>
      <c r="AC70" s="455">
        <v>135.30570027544408</v>
      </c>
      <c r="AD70" s="455">
        <v>138.99707092922745</v>
      </c>
      <c r="AE70" s="455">
        <v>142.68844162727925</v>
      </c>
      <c r="AF70" s="455">
        <v>146.37981236958697</v>
      </c>
      <c r="AG70" s="455">
        <v>150.07118315613801</v>
      </c>
      <c r="AH70" s="455">
        <v>153.76255398691981</v>
      </c>
      <c r="AI70" s="450"/>
    </row>
  </sheetData>
  <mergeCells count="2">
    <mergeCell ref="F5:G5"/>
    <mergeCell ref="C5:D5"/>
  </mergeCells>
  <pageMargins left="0.41" right="0.21"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V83"/>
  <sheetViews>
    <sheetView topLeftCell="A65" zoomScale="55" zoomScaleNormal="55" workbookViewId="0">
      <selection activeCell="T99" sqref="T99"/>
    </sheetView>
  </sheetViews>
  <sheetFormatPr defaultRowHeight="15" x14ac:dyDescent="0.25"/>
  <cols>
    <col min="1" max="1" width="1.7109375" customWidth="1"/>
    <col min="2" max="2" width="13.28515625" customWidth="1"/>
    <col min="3" max="3" width="15.5703125" customWidth="1"/>
    <col min="4" max="4" width="13.85546875" customWidth="1"/>
    <col min="5" max="5" width="16.42578125" customWidth="1"/>
    <col min="6" max="6" width="13" customWidth="1"/>
    <col min="7" max="7" width="16.140625" customWidth="1"/>
    <col min="8" max="8" width="29.85546875" customWidth="1"/>
    <col min="9" max="9" width="19" customWidth="1"/>
    <col min="10" max="10" width="16.140625" customWidth="1"/>
    <col min="11" max="11" width="16.5703125" customWidth="1"/>
    <col min="12" max="12" width="14.42578125" customWidth="1"/>
    <col min="13" max="13" width="12" customWidth="1"/>
    <col min="14" max="14" width="12" bestFit="1" customWidth="1"/>
    <col min="15" max="18" width="14.85546875" bestFit="1" customWidth="1"/>
    <col min="19" max="31" width="15.85546875" bestFit="1" customWidth="1"/>
    <col min="32" max="33" width="18.28515625" customWidth="1"/>
    <col min="34" max="34" width="16" customWidth="1"/>
    <col min="35" max="35" width="14.140625" customWidth="1"/>
    <col min="36" max="36" width="14.42578125" customWidth="1"/>
    <col min="37" max="37" width="13.85546875" customWidth="1"/>
    <col min="38" max="38" width="15.140625" customWidth="1"/>
    <col min="39" max="39" width="20.7109375" customWidth="1"/>
    <col min="40" max="40" width="20" customWidth="1"/>
    <col min="41" max="41" width="16.42578125" customWidth="1"/>
    <col min="42" max="42" width="21" customWidth="1"/>
    <col min="43" max="43" width="13" customWidth="1"/>
    <col min="44" max="44" width="12.42578125" customWidth="1"/>
    <col min="45" max="45" width="12.140625" customWidth="1"/>
    <col min="46" max="46" width="12.85546875" customWidth="1"/>
    <col min="47" max="47" width="14.85546875" customWidth="1"/>
    <col min="48" max="48" width="12.5703125" customWidth="1"/>
  </cols>
  <sheetData>
    <row r="1" spans="1:42" ht="15.75" x14ac:dyDescent="0.25">
      <c r="B1" t="s">
        <v>0</v>
      </c>
      <c r="C1" t="s">
        <v>2</v>
      </c>
      <c r="J1" s="370" t="s">
        <v>521</v>
      </c>
      <c r="AJ1" t="s">
        <v>0</v>
      </c>
      <c r="AK1" t="s">
        <v>2</v>
      </c>
    </row>
    <row r="2" spans="1:42" x14ac:dyDescent="0.25">
      <c r="B2" t="s">
        <v>1</v>
      </c>
      <c r="C2" t="s">
        <v>132</v>
      </c>
      <c r="AJ2" t="s">
        <v>1</v>
      </c>
      <c r="AK2" t="s">
        <v>131</v>
      </c>
    </row>
    <row r="3" spans="1:42" ht="6" customHeight="1" thickBot="1" x14ac:dyDescent="0.3"/>
    <row r="4" spans="1:42" x14ac:dyDescent="0.25">
      <c r="B4" s="535" t="s">
        <v>99</v>
      </c>
      <c r="C4" s="40" t="s">
        <v>3</v>
      </c>
      <c r="D4" s="74" t="s">
        <v>86</v>
      </c>
      <c r="E4" s="534" t="s">
        <v>95</v>
      </c>
      <c r="F4" s="531"/>
      <c r="G4" s="533"/>
      <c r="H4" s="547" t="s">
        <v>86</v>
      </c>
      <c r="I4" s="548"/>
      <c r="J4" s="548"/>
      <c r="K4" s="548"/>
      <c r="L4" s="549"/>
      <c r="AJ4" s="535" t="s">
        <v>99</v>
      </c>
      <c r="AK4" s="40" t="s">
        <v>3</v>
      </c>
      <c r="AL4" s="74" t="s">
        <v>86</v>
      </c>
      <c r="AM4" s="534" t="s">
        <v>145</v>
      </c>
      <c r="AN4" s="531"/>
      <c r="AO4" s="534" t="s">
        <v>146</v>
      </c>
      <c r="AP4" s="532"/>
    </row>
    <row r="5" spans="1:42" ht="56.25" customHeight="1" x14ac:dyDescent="0.25">
      <c r="B5" s="536"/>
      <c r="C5" s="22" t="s">
        <v>10</v>
      </c>
      <c r="D5" s="22" t="s">
        <v>5</v>
      </c>
      <c r="E5" s="22" t="s">
        <v>85</v>
      </c>
      <c r="F5" s="22" t="s">
        <v>90</v>
      </c>
      <c r="G5" s="22" t="s">
        <v>93</v>
      </c>
      <c r="H5" s="21" t="s">
        <v>346</v>
      </c>
      <c r="I5" s="184" t="s">
        <v>107</v>
      </c>
      <c r="J5" s="21" t="s">
        <v>103</v>
      </c>
      <c r="K5" s="541" t="s">
        <v>133</v>
      </c>
      <c r="L5" s="542"/>
      <c r="AJ5" s="536"/>
      <c r="AK5" s="7" t="s">
        <v>10</v>
      </c>
      <c r="AL5" s="22" t="s">
        <v>121</v>
      </c>
      <c r="AM5" s="23" t="s">
        <v>130</v>
      </c>
      <c r="AN5" s="22" t="s">
        <v>124</v>
      </c>
      <c r="AO5" s="24" t="s">
        <v>126</v>
      </c>
      <c r="AP5" s="90" t="s">
        <v>129</v>
      </c>
    </row>
    <row r="6" spans="1:42" ht="46.5" x14ac:dyDescent="0.35">
      <c r="A6" t="s">
        <v>345</v>
      </c>
      <c r="B6" s="536"/>
      <c r="D6" s="7" t="s">
        <v>420</v>
      </c>
      <c r="E6" s="24" t="s">
        <v>92</v>
      </c>
      <c r="F6" s="7" t="s">
        <v>91</v>
      </c>
      <c r="G6" s="7" t="s">
        <v>94</v>
      </c>
      <c r="H6" s="9" t="s">
        <v>96</v>
      </c>
      <c r="I6" s="76" t="s">
        <v>106</v>
      </c>
      <c r="J6" s="23" t="s">
        <v>104</v>
      </c>
      <c r="K6" s="1" t="s">
        <v>105</v>
      </c>
      <c r="L6" s="1" t="s">
        <v>557</v>
      </c>
      <c r="AJ6" s="536"/>
      <c r="AK6" s="7"/>
      <c r="AL6" s="77" t="s">
        <v>106</v>
      </c>
      <c r="AM6" s="24" t="s">
        <v>96</v>
      </c>
      <c r="AN6" s="77" t="s">
        <v>106</v>
      </c>
      <c r="AO6" s="24" t="s">
        <v>128</v>
      </c>
      <c r="AP6" s="188" t="s">
        <v>143</v>
      </c>
    </row>
    <row r="7" spans="1:42" ht="36.75" customHeight="1" x14ac:dyDescent="0.35">
      <c r="B7" s="536"/>
      <c r="C7" s="185"/>
      <c r="D7" s="185"/>
      <c r="E7" s="185"/>
      <c r="F7" s="185"/>
      <c r="G7" s="182" t="s">
        <v>97</v>
      </c>
      <c r="H7" s="186"/>
      <c r="I7" s="183" t="s">
        <v>101</v>
      </c>
      <c r="J7" s="186"/>
      <c r="K7" s="543" t="s">
        <v>108</v>
      </c>
      <c r="L7" s="544"/>
      <c r="P7" s="550" t="s">
        <v>534</v>
      </c>
      <c r="Q7" s="550"/>
      <c r="R7" s="550"/>
      <c r="S7" s="550"/>
      <c r="T7" s="550"/>
      <c r="U7" s="550"/>
      <c r="AJ7" s="536"/>
      <c r="AK7" s="7"/>
      <c r="AL7" s="24"/>
      <c r="AM7" s="24"/>
      <c r="AN7" s="24" t="s">
        <v>135</v>
      </c>
      <c r="AO7" s="24"/>
      <c r="AP7" s="90" t="s">
        <v>147</v>
      </c>
    </row>
    <row r="8" spans="1:42" ht="18.75" thickBot="1" x14ac:dyDescent="0.4">
      <c r="B8" s="12" t="s">
        <v>100</v>
      </c>
      <c r="C8" s="13" t="s">
        <v>9</v>
      </c>
      <c r="D8" s="13" t="s">
        <v>11</v>
      </c>
      <c r="E8" s="13" t="s">
        <v>89</v>
      </c>
      <c r="F8" s="13" t="s">
        <v>87</v>
      </c>
      <c r="G8" s="13" t="s">
        <v>88</v>
      </c>
      <c r="H8" s="14" t="s">
        <v>98</v>
      </c>
      <c r="I8" s="14" t="s">
        <v>102</v>
      </c>
      <c r="J8" s="14"/>
      <c r="K8" s="545" t="s">
        <v>109</v>
      </c>
      <c r="L8" s="546"/>
      <c r="P8" s="550"/>
      <c r="Q8" s="550"/>
      <c r="R8" s="550"/>
      <c r="S8" s="550"/>
      <c r="T8" s="550"/>
      <c r="U8" s="550"/>
      <c r="AJ8" s="12" t="s">
        <v>100</v>
      </c>
      <c r="AK8" s="13" t="s">
        <v>9</v>
      </c>
      <c r="AL8" s="14" t="s">
        <v>102</v>
      </c>
      <c r="AM8" s="13" t="s">
        <v>123</v>
      </c>
      <c r="AN8" s="13" t="s">
        <v>125</v>
      </c>
      <c r="AO8" s="13" t="s">
        <v>142</v>
      </c>
      <c r="AP8" s="92" t="s">
        <v>144</v>
      </c>
    </row>
    <row r="9" spans="1:42" x14ac:dyDescent="0.25">
      <c r="B9" s="6"/>
      <c r="C9" s="8"/>
      <c r="D9" s="8"/>
      <c r="E9" s="87" t="s">
        <v>118</v>
      </c>
      <c r="F9" s="8"/>
      <c r="G9" s="8"/>
      <c r="H9" s="87" t="s">
        <v>120</v>
      </c>
      <c r="I9" s="10"/>
      <c r="J9" s="87" t="s">
        <v>119</v>
      </c>
      <c r="K9" s="229"/>
      <c r="L9" s="252"/>
      <c r="P9" s="550"/>
      <c r="Q9" s="550"/>
      <c r="R9" s="550"/>
      <c r="S9" s="550"/>
      <c r="T9" s="550"/>
      <c r="U9" s="550"/>
      <c r="AJ9" s="6"/>
      <c r="AK9" s="8"/>
      <c r="AL9" s="8"/>
      <c r="AM9" s="87" t="s">
        <v>122</v>
      </c>
      <c r="AN9" s="8"/>
      <c r="AO9" s="87" t="s">
        <v>127</v>
      </c>
      <c r="AP9" s="93" t="s">
        <v>120</v>
      </c>
    </row>
    <row r="10" spans="1:42" x14ac:dyDescent="0.25">
      <c r="B10" s="6"/>
      <c r="C10" s="239" t="s">
        <v>59</v>
      </c>
      <c r="D10" s="346">
        <v>84756</v>
      </c>
      <c r="E10" s="84">
        <f t="shared" ref="E10:E20" si="0">G25</f>
        <v>0.47</v>
      </c>
      <c r="F10" s="84">
        <f t="shared" ref="F10:F15" si="1">E25</f>
        <v>350</v>
      </c>
      <c r="G10" s="89">
        <f t="shared" ref="G10:G20" si="2">E10*(F10/10^3)*365</f>
        <v>60.04249999999999</v>
      </c>
      <c r="H10" s="86">
        <f t="shared" ref="H10:H16" si="3">I$25/100</f>
        <v>0.02</v>
      </c>
      <c r="I10" s="80">
        <f>D10*G10*H10</f>
        <v>101779.24259999998</v>
      </c>
      <c r="J10" s="85">
        <v>0.02</v>
      </c>
      <c r="K10" s="250">
        <f>I10*J10*(44/28)</f>
        <v>3198.7761959999993</v>
      </c>
      <c r="L10" s="253">
        <f>K10/10^3</f>
        <v>3.1987761959999994</v>
      </c>
      <c r="P10" s="550"/>
      <c r="Q10" s="550"/>
      <c r="R10" s="550"/>
      <c r="S10" s="550"/>
      <c r="T10" s="550"/>
      <c r="U10" s="550"/>
      <c r="AJ10" s="6"/>
      <c r="AK10" s="78" t="s">
        <v>59</v>
      </c>
      <c r="AL10" s="83">
        <f t="shared" ref="AL10:AL15" si="4">I10</f>
        <v>101779.24259999998</v>
      </c>
      <c r="AM10" s="84">
        <f t="shared" ref="AM10:AM15" si="5">AM25</f>
        <v>0.2</v>
      </c>
      <c r="AN10" s="88">
        <f t="shared" ref="AN10:AN15" si="6">AL10*AM10</f>
        <v>20355.84852</v>
      </c>
      <c r="AO10" s="89">
        <f t="shared" ref="AO10:AO15" si="7">AS$25</f>
        <v>0.01</v>
      </c>
      <c r="AP10" s="96">
        <f t="shared" ref="AP10:AP15" si="8">AN10*AO10*(44/28)</f>
        <v>319.8776196</v>
      </c>
    </row>
    <row r="11" spans="1:42" x14ac:dyDescent="0.25">
      <c r="B11" s="6"/>
      <c r="C11" s="239" t="s">
        <v>68</v>
      </c>
      <c r="D11" s="346">
        <v>165686</v>
      </c>
      <c r="E11" s="84">
        <f t="shared" si="0"/>
        <v>0.34</v>
      </c>
      <c r="F11" s="84">
        <f t="shared" si="1"/>
        <v>319</v>
      </c>
      <c r="G11" s="89">
        <f t="shared" si="2"/>
        <v>39.587900000000005</v>
      </c>
      <c r="H11" s="86">
        <f t="shared" si="3"/>
        <v>0.02</v>
      </c>
      <c r="I11" s="80">
        <f t="shared" ref="I11:I20" si="9">D11*G11*H11</f>
        <v>131183.21598800001</v>
      </c>
      <c r="J11" s="85">
        <v>0.02</v>
      </c>
      <c r="K11" s="250">
        <f t="shared" ref="K11:K20" si="10">I11*J11*(44/28)</f>
        <v>4122.9010739085716</v>
      </c>
      <c r="L11" s="253">
        <f t="shared" ref="L11:L20" si="11">K11/10^3</f>
        <v>4.1229010739085714</v>
      </c>
      <c r="AJ11" s="6"/>
      <c r="AK11" s="78" t="s">
        <v>68</v>
      </c>
      <c r="AL11" s="83">
        <f t="shared" si="4"/>
        <v>131183.21598800001</v>
      </c>
      <c r="AM11" s="84">
        <f t="shared" si="5"/>
        <v>0.3</v>
      </c>
      <c r="AN11" s="88">
        <f t="shared" si="6"/>
        <v>39354.964796400003</v>
      </c>
      <c r="AO11" s="89">
        <f t="shared" si="7"/>
        <v>0.01</v>
      </c>
      <c r="AP11" s="96">
        <f t="shared" si="8"/>
        <v>618.4351610862858</v>
      </c>
    </row>
    <row r="12" spans="1:42" x14ac:dyDescent="0.25">
      <c r="B12" s="6"/>
      <c r="C12" s="239" t="s">
        <v>19</v>
      </c>
      <c r="D12" s="346">
        <v>166898</v>
      </c>
      <c r="E12" s="84">
        <f t="shared" si="0"/>
        <v>0.32</v>
      </c>
      <c r="F12" s="84">
        <f t="shared" si="1"/>
        <v>380</v>
      </c>
      <c r="G12" s="89">
        <f t="shared" si="2"/>
        <v>44.384</v>
      </c>
      <c r="H12" s="86">
        <f t="shared" si="3"/>
        <v>0.02</v>
      </c>
      <c r="I12" s="80">
        <f t="shared" si="9"/>
        <v>148152.01664000002</v>
      </c>
      <c r="J12" s="85">
        <v>0.02</v>
      </c>
      <c r="K12" s="250">
        <f t="shared" si="10"/>
        <v>4656.2062372571427</v>
      </c>
      <c r="L12" s="253">
        <f t="shared" si="11"/>
        <v>4.6562062372571429</v>
      </c>
      <c r="AJ12" s="6"/>
      <c r="AK12" s="78" t="s">
        <v>19</v>
      </c>
      <c r="AL12" s="83">
        <f t="shared" si="4"/>
        <v>148152.01664000002</v>
      </c>
      <c r="AM12" s="84">
        <f t="shared" si="5"/>
        <v>0.3</v>
      </c>
      <c r="AN12" s="88">
        <f t="shared" si="6"/>
        <v>44445.604992</v>
      </c>
      <c r="AO12" s="89">
        <f t="shared" si="7"/>
        <v>0.01</v>
      </c>
      <c r="AP12" s="96">
        <f t="shared" si="8"/>
        <v>698.4309355885714</v>
      </c>
    </row>
    <row r="13" spans="1:42" x14ac:dyDescent="0.25">
      <c r="B13" s="6"/>
      <c r="C13" s="239" t="s">
        <v>60</v>
      </c>
      <c r="D13" s="346">
        <v>3036812</v>
      </c>
      <c r="E13" s="84">
        <f t="shared" si="0"/>
        <v>1.17</v>
      </c>
      <c r="F13" s="84">
        <f t="shared" si="1"/>
        <v>28</v>
      </c>
      <c r="G13" s="89">
        <f t="shared" si="2"/>
        <v>11.9574</v>
      </c>
      <c r="H13" s="86">
        <f t="shared" si="3"/>
        <v>0.02</v>
      </c>
      <c r="I13" s="80">
        <f t="shared" si="9"/>
        <v>726247.516176</v>
      </c>
      <c r="J13" s="85">
        <v>0.02</v>
      </c>
      <c r="K13" s="250">
        <f t="shared" si="10"/>
        <v>22824.92193696</v>
      </c>
      <c r="L13" s="253">
        <f t="shared" si="11"/>
        <v>22.824921936959999</v>
      </c>
      <c r="AJ13" s="6"/>
      <c r="AK13" s="78" t="s">
        <v>60</v>
      </c>
      <c r="AL13" s="83">
        <f t="shared" si="4"/>
        <v>726247.516176</v>
      </c>
      <c r="AM13" s="84">
        <f t="shared" si="5"/>
        <v>0.12</v>
      </c>
      <c r="AN13" s="88">
        <f t="shared" si="6"/>
        <v>87149.701941120002</v>
      </c>
      <c r="AO13" s="89">
        <f t="shared" si="7"/>
        <v>0.01</v>
      </c>
      <c r="AP13" s="96">
        <f t="shared" si="8"/>
        <v>1369.4953162176</v>
      </c>
    </row>
    <row r="14" spans="1:42" x14ac:dyDescent="0.25">
      <c r="B14" s="6"/>
      <c r="C14" s="239" t="s">
        <v>20</v>
      </c>
      <c r="D14" s="346">
        <v>1160462</v>
      </c>
      <c r="E14" s="84">
        <f t="shared" si="0"/>
        <v>1.37</v>
      </c>
      <c r="F14" s="84">
        <f t="shared" si="1"/>
        <v>30</v>
      </c>
      <c r="G14" s="89">
        <f t="shared" si="2"/>
        <v>15.001500000000002</v>
      </c>
      <c r="H14" s="86">
        <f t="shared" si="3"/>
        <v>0.02</v>
      </c>
      <c r="I14" s="80">
        <f t="shared" si="9"/>
        <v>348173.41386000009</v>
      </c>
      <c r="J14" s="85">
        <v>0.02</v>
      </c>
      <c r="K14" s="250">
        <f t="shared" si="10"/>
        <v>10942.593007028574</v>
      </c>
      <c r="L14" s="253">
        <f t="shared" si="11"/>
        <v>10.942593007028574</v>
      </c>
      <c r="AJ14" s="6"/>
      <c r="AK14" s="78" t="s">
        <v>20</v>
      </c>
      <c r="AL14" s="83">
        <f t="shared" si="4"/>
        <v>348173.41386000009</v>
      </c>
      <c r="AM14" s="84">
        <f t="shared" si="5"/>
        <v>0.12</v>
      </c>
      <c r="AN14" s="88">
        <f t="shared" si="6"/>
        <v>41780.809663200009</v>
      </c>
      <c r="AO14" s="89">
        <f t="shared" si="7"/>
        <v>0.01</v>
      </c>
      <c r="AP14" s="96">
        <f t="shared" si="8"/>
        <v>656.55558042171447</v>
      </c>
    </row>
    <row r="15" spans="1:42" x14ac:dyDescent="0.25">
      <c r="B15" s="6"/>
      <c r="C15" s="239" t="s">
        <v>21</v>
      </c>
      <c r="D15" s="346">
        <v>10763</v>
      </c>
      <c r="E15" s="84">
        <f t="shared" si="0"/>
        <v>0.46</v>
      </c>
      <c r="F15" s="84">
        <f t="shared" si="1"/>
        <v>238</v>
      </c>
      <c r="G15" s="89">
        <f t="shared" si="2"/>
        <v>39.9602</v>
      </c>
      <c r="H15" s="86">
        <f t="shared" si="3"/>
        <v>0.02</v>
      </c>
      <c r="I15" s="80">
        <f t="shared" si="9"/>
        <v>8601.832652000001</v>
      </c>
      <c r="J15" s="85">
        <v>0.02</v>
      </c>
      <c r="K15" s="250">
        <f t="shared" si="10"/>
        <v>270.34331192000002</v>
      </c>
      <c r="L15" s="253">
        <f t="shared" si="11"/>
        <v>0.27034331192</v>
      </c>
      <c r="AJ15" s="6"/>
      <c r="AK15" s="78" t="s">
        <v>21</v>
      </c>
      <c r="AL15" s="83">
        <f t="shared" si="4"/>
        <v>8601.832652000001</v>
      </c>
      <c r="AM15" s="84">
        <f t="shared" si="5"/>
        <v>0.12</v>
      </c>
      <c r="AN15" s="88">
        <f t="shared" si="6"/>
        <v>1032.21991824</v>
      </c>
      <c r="AO15" s="89">
        <f t="shared" si="7"/>
        <v>0.01</v>
      </c>
      <c r="AP15" s="96">
        <f t="shared" si="8"/>
        <v>16.220598715200001</v>
      </c>
    </row>
    <row r="16" spans="1:42" x14ac:dyDescent="0.25">
      <c r="B16" s="6"/>
      <c r="C16" s="239" t="s">
        <v>61</v>
      </c>
      <c r="D16" s="346">
        <v>9253</v>
      </c>
      <c r="E16" s="84">
        <f t="shared" si="0"/>
        <v>0.5</v>
      </c>
      <c r="F16" s="84">
        <f>E31</f>
        <v>28</v>
      </c>
      <c r="G16" s="89">
        <f t="shared" si="2"/>
        <v>5.1100000000000003</v>
      </c>
      <c r="H16" s="86">
        <f t="shared" si="3"/>
        <v>0.02</v>
      </c>
      <c r="I16" s="80">
        <f t="shared" si="9"/>
        <v>945.65660000000003</v>
      </c>
      <c r="J16" s="85">
        <v>0.02</v>
      </c>
      <c r="K16" s="250">
        <f t="shared" si="10"/>
        <v>29.720636000000002</v>
      </c>
      <c r="L16" s="253">
        <f t="shared" si="11"/>
        <v>2.9720636000000002E-2</v>
      </c>
      <c r="AJ16" s="6"/>
      <c r="AK16" s="78" t="s">
        <v>61</v>
      </c>
      <c r="AL16" s="83"/>
      <c r="AM16" s="84"/>
      <c r="AN16" s="88"/>
      <c r="AO16" s="89"/>
      <c r="AP16" s="96"/>
    </row>
    <row r="17" spans="2:45" x14ac:dyDescent="0.25">
      <c r="B17" s="6"/>
      <c r="C17" s="239" t="s">
        <v>69</v>
      </c>
      <c r="D17" s="346">
        <v>26939832</v>
      </c>
      <c r="E17" s="84">
        <f t="shared" si="0"/>
        <v>0.82</v>
      </c>
      <c r="F17" s="84">
        <f>E32</f>
        <v>1</v>
      </c>
      <c r="G17" s="89">
        <f t="shared" si="2"/>
        <v>0.29930000000000001</v>
      </c>
      <c r="H17" s="86">
        <f>I$25/100</f>
        <v>0.02</v>
      </c>
      <c r="I17" s="80">
        <f t="shared" si="9"/>
        <v>161261.83435200001</v>
      </c>
      <c r="J17" s="85">
        <v>0.01</v>
      </c>
      <c r="K17" s="250">
        <f>I17*J17*(44/28)</f>
        <v>2534.1145398171429</v>
      </c>
      <c r="L17" s="253">
        <f t="shared" si="11"/>
        <v>2.5341145398171427</v>
      </c>
      <c r="AJ17" s="6"/>
      <c r="AK17" s="78"/>
      <c r="AL17" s="83"/>
      <c r="AM17" s="84"/>
      <c r="AN17" s="88"/>
      <c r="AO17" s="89"/>
      <c r="AP17" s="96"/>
    </row>
    <row r="18" spans="2:45" x14ac:dyDescent="0.25">
      <c r="B18" s="6"/>
      <c r="C18" s="240" t="s">
        <v>415</v>
      </c>
      <c r="D18" s="346">
        <v>5962619</v>
      </c>
      <c r="E18" s="243">
        <f>G33</f>
        <v>1.1000000000000001</v>
      </c>
      <c r="F18" s="84">
        <f>E33</f>
        <v>1</v>
      </c>
      <c r="G18" s="89">
        <f t="shared" si="2"/>
        <v>0.40150000000000002</v>
      </c>
      <c r="H18" s="86">
        <f>I$25/100</f>
        <v>0.02</v>
      </c>
      <c r="I18" s="80">
        <f t="shared" si="9"/>
        <v>47879.830569999998</v>
      </c>
      <c r="J18" s="85">
        <v>0.01</v>
      </c>
      <c r="K18" s="250">
        <f t="shared" si="10"/>
        <v>752.39733752857148</v>
      </c>
      <c r="L18" s="253">
        <f t="shared" si="11"/>
        <v>0.75239733752857152</v>
      </c>
      <c r="AJ18" s="6"/>
      <c r="AK18" s="78"/>
      <c r="AL18" s="83"/>
      <c r="AM18" s="84"/>
      <c r="AN18" s="88"/>
      <c r="AO18" s="89"/>
      <c r="AP18" s="96"/>
    </row>
    <row r="19" spans="2:45" x14ac:dyDescent="0.25">
      <c r="B19" s="6"/>
      <c r="C19" s="239" t="s">
        <v>416</v>
      </c>
      <c r="D19" s="346">
        <v>27674161</v>
      </c>
      <c r="E19" s="243">
        <f t="shared" si="0"/>
        <v>0.82</v>
      </c>
      <c r="F19" s="84">
        <f>E34</f>
        <v>1</v>
      </c>
      <c r="G19" s="89">
        <f t="shared" si="2"/>
        <v>0.29930000000000001</v>
      </c>
      <c r="H19" s="86">
        <f>I$25/100</f>
        <v>0.02</v>
      </c>
      <c r="I19" s="80">
        <f t="shared" si="9"/>
        <v>165657.52774600001</v>
      </c>
      <c r="J19" s="85">
        <v>0.01</v>
      </c>
      <c r="K19" s="250">
        <f t="shared" si="10"/>
        <v>2603.189721722857</v>
      </c>
      <c r="L19" s="253">
        <f t="shared" si="11"/>
        <v>2.603189721722857</v>
      </c>
      <c r="AJ19" s="6"/>
      <c r="AK19" s="78"/>
      <c r="AL19" s="83"/>
      <c r="AM19" s="84"/>
      <c r="AN19" s="88"/>
      <c r="AO19" s="89"/>
      <c r="AP19" s="96"/>
    </row>
    <row r="20" spans="2:45" x14ac:dyDescent="0.25">
      <c r="B20" s="6"/>
      <c r="C20" s="239" t="s">
        <v>65</v>
      </c>
      <c r="D20" s="346">
        <v>3481702</v>
      </c>
      <c r="E20" s="84">
        <f t="shared" si="0"/>
        <v>0.82</v>
      </c>
      <c r="F20" s="84">
        <f>E35</f>
        <v>1</v>
      </c>
      <c r="G20" s="89">
        <f t="shared" si="2"/>
        <v>0.29930000000000001</v>
      </c>
      <c r="H20" s="86">
        <f>I$25/100</f>
        <v>0.02</v>
      </c>
      <c r="I20" s="80">
        <f t="shared" si="9"/>
        <v>20841.468172000001</v>
      </c>
      <c r="J20" s="85">
        <v>0.01</v>
      </c>
      <c r="K20" s="250">
        <f t="shared" si="10"/>
        <v>327.50878555999998</v>
      </c>
      <c r="L20" s="253">
        <f t="shared" si="11"/>
        <v>0.32750878555999996</v>
      </c>
      <c r="AJ20" s="6"/>
      <c r="AK20" s="78"/>
      <c r="AL20" s="83"/>
      <c r="AM20" s="84"/>
      <c r="AN20" s="88"/>
      <c r="AO20" s="89"/>
      <c r="AP20" s="96"/>
    </row>
    <row r="21" spans="2:45" x14ac:dyDescent="0.25">
      <c r="B21" s="6"/>
      <c r="C21" s="78"/>
      <c r="D21" s="83">
        <f>N49</f>
        <v>0</v>
      </c>
      <c r="E21" s="84"/>
      <c r="F21" s="84"/>
      <c r="G21" s="89"/>
      <c r="H21" s="86"/>
      <c r="I21" s="80"/>
      <c r="J21" s="85"/>
      <c r="K21" s="250"/>
      <c r="L21" s="10"/>
      <c r="AJ21" s="6"/>
      <c r="AK21" s="78"/>
      <c r="AL21" s="83"/>
      <c r="AM21" s="84"/>
      <c r="AN21" s="88"/>
      <c r="AO21" s="89"/>
      <c r="AP21" s="96"/>
    </row>
    <row r="22" spans="2:45" ht="15.75" thickBot="1" x14ac:dyDescent="0.3">
      <c r="B22" s="537" t="s">
        <v>73</v>
      </c>
      <c r="C22" s="538"/>
      <c r="D22" s="37">
        <f>SUM(D10:D21)</f>
        <v>68692944</v>
      </c>
      <c r="E22" s="42"/>
      <c r="F22" s="97">
        <f>SUM(F10:F21)</f>
        <v>1377</v>
      </c>
      <c r="G22" s="244">
        <f>SUM(G10:G21)</f>
        <v>217.34289999999996</v>
      </c>
      <c r="H22" s="98"/>
      <c r="I22" s="44">
        <f>SUM(I10:I21)</f>
        <v>1860723.5553560001</v>
      </c>
      <c r="J22" s="98"/>
      <c r="K22" s="251">
        <f>SUM(K10:K21)</f>
        <v>52262.672783702852</v>
      </c>
      <c r="L22" s="254">
        <f>SUM(L10:L21)</f>
        <v>52.262672783702861</v>
      </c>
      <c r="AJ22" s="537" t="s">
        <v>73</v>
      </c>
      <c r="AK22" s="540"/>
      <c r="AL22" s="37">
        <f>SUM(AL10:AL21)</f>
        <v>1464137.237916</v>
      </c>
      <c r="AM22" s="99"/>
      <c r="AN22" s="37">
        <f>SUM(AN10:AN21)</f>
        <v>234119.14983096</v>
      </c>
      <c r="AO22" s="99"/>
      <c r="AP22" s="95">
        <f>SUM(AP10:AP21)</f>
        <v>3679.0152116293721</v>
      </c>
    </row>
    <row r="24" spans="2:45" ht="16.5" customHeight="1" x14ac:dyDescent="0.35">
      <c r="B24" s="34"/>
      <c r="C24" s="27"/>
      <c r="D24" s="27"/>
      <c r="E24" s="122" t="s">
        <v>421</v>
      </c>
      <c r="F24" s="122"/>
      <c r="G24" s="245" t="s">
        <v>111</v>
      </c>
      <c r="H24" s="122"/>
      <c r="I24" s="539" t="s">
        <v>113</v>
      </c>
      <c r="J24" s="539"/>
      <c r="K24" t="s">
        <v>115</v>
      </c>
      <c r="AJ24" s="34" t="s">
        <v>67</v>
      </c>
      <c r="AK24" s="27"/>
      <c r="AL24" s="27"/>
      <c r="AM24" s="46" t="s">
        <v>134</v>
      </c>
      <c r="AP24" s="46" t="s">
        <v>136</v>
      </c>
    </row>
    <row r="25" spans="2:45" ht="15.75" customHeight="1" x14ac:dyDescent="0.35">
      <c r="B25" s="27"/>
      <c r="C25" s="35"/>
      <c r="D25" s="239" t="s">
        <v>59</v>
      </c>
      <c r="E25" s="122">
        <v>350</v>
      </c>
      <c r="F25" s="245" t="s">
        <v>110</v>
      </c>
      <c r="G25" s="122">
        <v>0.47</v>
      </c>
      <c r="H25" s="60" t="s">
        <v>112</v>
      </c>
      <c r="I25">
        <v>2</v>
      </c>
      <c r="J25" t="s">
        <v>114</v>
      </c>
      <c r="K25">
        <v>30</v>
      </c>
      <c r="L25" t="s">
        <v>114</v>
      </c>
      <c r="AJ25" s="27" t="s">
        <v>59</v>
      </c>
      <c r="AK25" s="35">
        <v>69578</v>
      </c>
      <c r="AL25" s="27" t="s">
        <v>66</v>
      </c>
      <c r="AM25" s="46">
        <v>0.2</v>
      </c>
      <c r="AN25" s="181" t="s">
        <v>134</v>
      </c>
      <c r="AP25" s="79" t="s">
        <v>137</v>
      </c>
      <c r="AS25">
        <v>0.01</v>
      </c>
    </row>
    <row r="26" spans="2:45" ht="18" x14ac:dyDescent="0.35">
      <c r="B26" s="27"/>
      <c r="C26" s="35"/>
      <c r="D26" s="239" t="s">
        <v>68</v>
      </c>
      <c r="E26" s="122">
        <v>319</v>
      </c>
      <c r="F26" s="245" t="s">
        <v>110</v>
      </c>
      <c r="G26" s="122">
        <v>0.34</v>
      </c>
      <c r="H26" s="60" t="s">
        <v>112</v>
      </c>
      <c r="AJ26" s="27" t="s">
        <v>68</v>
      </c>
      <c r="AK26" s="35">
        <v>169085</v>
      </c>
      <c r="AL26" s="27" t="s">
        <v>66</v>
      </c>
      <c r="AM26" s="46">
        <v>0.3</v>
      </c>
      <c r="AN26" s="181" t="s">
        <v>134</v>
      </c>
      <c r="AP26" s="79" t="s">
        <v>138</v>
      </c>
      <c r="AS26">
        <v>7.4999999999999997E-3</v>
      </c>
    </row>
    <row r="27" spans="2:45" ht="18" x14ac:dyDescent="0.35">
      <c r="B27" s="27"/>
      <c r="C27" s="35"/>
      <c r="D27" s="239" t="s">
        <v>19</v>
      </c>
      <c r="E27" s="122">
        <v>380</v>
      </c>
      <c r="F27" s="245" t="s">
        <v>110</v>
      </c>
      <c r="G27" s="122">
        <v>0.32</v>
      </c>
      <c r="H27" s="60" t="s">
        <v>112</v>
      </c>
      <c r="AJ27" s="27" t="s">
        <v>19</v>
      </c>
      <c r="AK27" s="35">
        <v>196562</v>
      </c>
      <c r="AL27" s="27" t="s">
        <v>66</v>
      </c>
      <c r="AM27" s="46">
        <v>0.3</v>
      </c>
      <c r="AN27" s="181" t="s">
        <v>134</v>
      </c>
      <c r="AP27" s="79" t="s">
        <v>139</v>
      </c>
      <c r="AS27">
        <v>0.1</v>
      </c>
    </row>
    <row r="28" spans="2:45" ht="18" x14ac:dyDescent="0.35">
      <c r="B28" s="27"/>
      <c r="C28" s="35"/>
      <c r="D28" s="239" t="s">
        <v>60</v>
      </c>
      <c r="E28" s="122">
        <v>28</v>
      </c>
      <c r="F28" s="245" t="s">
        <v>110</v>
      </c>
      <c r="G28" s="122">
        <v>1.17</v>
      </c>
      <c r="H28" s="60" t="s">
        <v>112</v>
      </c>
      <c r="AJ28" s="27" t="s">
        <v>60</v>
      </c>
      <c r="AK28" s="35">
        <v>3475019</v>
      </c>
      <c r="AL28" s="27" t="s">
        <v>66</v>
      </c>
      <c r="AM28" s="46">
        <v>0.12</v>
      </c>
      <c r="AN28" s="181" t="s">
        <v>423</v>
      </c>
      <c r="AP28" s="79" t="s">
        <v>140</v>
      </c>
      <c r="AS28">
        <v>0.2</v>
      </c>
    </row>
    <row r="29" spans="2:45" ht="18" x14ac:dyDescent="0.35">
      <c r="B29" s="27"/>
      <c r="C29" s="35"/>
      <c r="D29" s="239" t="s">
        <v>20</v>
      </c>
      <c r="E29" s="122">
        <v>30</v>
      </c>
      <c r="F29" s="245" t="s">
        <v>110</v>
      </c>
      <c r="G29" s="122">
        <v>1.37</v>
      </c>
      <c r="H29" s="60" t="s">
        <v>112</v>
      </c>
      <c r="AJ29" s="27" t="s">
        <v>20</v>
      </c>
      <c r="AK29" s="35">
        <v>1705605</v>
      </c>
      <c r="AL29" s="27" t="s">
        <v>66</v>
      </c>
      <c r="AM29" s="46">
        <v>0.12</v>
      </c>
      <c r="AN29" s="181" t="s">
        <v>423</v>
      </c>
      <c r="AP29" s="79" t="s">
        <v>141</v>
      </c>
      <c r="AS29">
        <v>0.3</v>
      </c>
    </row>
    <row r="30" spans="2:45" ht="18" x14ac:dyDescent="0.35">
      <c r="B30" s="27"/>
      <c r="C30" s="35"/>
      <c r="D30" s="239" t="s">
        <v>21</v>
      </c>
      <c r="E30" s="122">
        <v>238</v>
      </c>
      <c r="F30" s="245" t="s">
        <v>110</v>
      </c>
      <c r="G30" s="122">
        <v>0.46</v>
      </c>
      <c r="H30" s="60" t="s">
        <v>112</v>
      </c>
      <c r="AJ30" s="27" t="s">
        <v>21</v>
      </c>
      <c r="AK30" s="35">
        <v>10955</v>
      </c>
      <c r="AL30" s="27" t="s">
        <v>66</v>
      </c>
      <c r="AM30" s="46">
        <v>0.12</v>
      </c>
      <c r="AN30" s="181" t="s">
        <v>423</v>
      </c>
    </row>
    <row r="31" spans="2:45" ht="18" x14ac:dyDescent="0.35">
      <c r="B31" s="27"/>
      <c r="C31" s="35"/>
      <c r="D31" s="239" t="s">
        <v>61</v>
      </c>
      <c r="E31" s="246">
        <v>28</v>
      </c>
      <c r="F31" s="247" t="s">
        <v>110</v>
      </c>
      <c r="G31" s="246">
        <v>0.5</v>
      </c>
      <c r="H31" s="248" t="s">
        <v>112</v>
      </c>
      <c r="AJ31" s="27" t="s">
        <v>61</v>
      </c>
      <c r="AK31" s="35"/>
      <c r="AL31" s="27"/>
      <c r="AM31" s="181">
        <v>0.45</v>
      </c>
      <c r="AN31" s="181" t="s">
        <v>423</v>
      </c>
    </row>
    <row r="32" spans="2:45" x14ac:dyDescent="0.25">
      <c r="B32" s="27"/>
      <c r="C32" s="35"/>
      <c r="D32" s="239" t="s">
        <v>69</v>
      </c>
      <c r="E32" s="122">
        <v>1</v>
      </c>
      <c r="F32" s="245" t="s">
        <v>110</v>
      </c>
      <c r="G32" s="122">
        <v>0.82</v>
      </c>
      <c r="H32" s="60" t="s">
        <v>112</v>
      </c>
      <c r="AJ32" s="27" t="s">
        <v>69</v>
      </c>
      <c r="AK32" s="35">
        <v>30989810</v>
      </c>
      <c r="AL32" s="27" t="s">
        <v>66</v>
      </c>
    </row>
    <row r="33" spans="2:48" x14ac:dyDescent="0.25">
      <c r="B33" s="27"/>
      <c r="C33" s="35"/>
      <c r="D33" s="240" t="s">
        <v>415</v>
      </c>
      <c r="E33" s="122">
        <v>1</v>
      </c>
      <c r="F33" s="245" t="s">
        <v>110</v>
      </c>
      <c r="G33" s="249">
        <v>1.1000000000000001</v>
      </c>
      <c r="H33" s="60" t="s">
        <v>112</v>
      </c>
      <c r="AJ33" s="27" t="s">
        <v>70</v>
      </c>
      <c r="AK33" s="35">
        <v>352434300</v>
      </c>
      <c r="AL33" s="27" t="s">
        <v>66</v>
      </c>
      <c r="AO33" s="81"/>
    </row>
    <row r="34" spans="2:48" x14ac:dyDescent="0.25">
      <c r="B34" s="27"/>
      <c r="C34" s="35"/>
      <c r="D34" s="239" t="s">
        <v>416</v>
      </c>
      <c r="E34" s="122">
        <v>1</v>
      </c>
      <c r="F34" s="245" t="s">
        <v>110</v>
      </c>
      <c r="G34" s="122">
        <v>0.82</v>
      </c>
      <c r="H34" s="60" t="s">
        <v>112</v>
      </c>
      <c r="AJ34" s="27" t="s">
        <v>71</v>
      </c>
      <c r="AK34" s="35">
        <v>10165280</v>
      </c>
      <c r="AL34" s="27" t="s">
        <v>66</v>
      </c>
    </row>
    <row r="35" spans="2:48" x14ac:dyDescent="0.25">
      <c r="B35" s="27"/>
      <c r="C35" s="35"/>
      <c r="D35" s="239" t="s">
        <v>65</v>
      </c>
      <c r="E35" s="122">
        <v>1</v>
      </c>
      <c r="F35" s="245" t="s">
        <v>110</v>
      </c>
      <c r="G35" s="122">
        <v>0.82</v>
      </c>
      <c r="H35" s="60" t="s">
        <v>112</v>
      </c>
      <c r="AJ35" s="27" t="s">
        <v>72</v>
      </c>
      <c r="AK35" s="35">
        <v>53054909</v>
      </c>
      <c r="AL35" s="27" t="s">
        <v>66</v>
      </c>
    </row>
    <row r="36" spans="2:48" x14ac:dyDescent="0.25">
      <c r="J36" s="418"/>
    </row>
    <row r="37" spans="2:48" x14ac:dyDescent="0.25">
      <c r="B37" s="363" t="s">
        <v>417</v>
      </c>
      <c r="C37" s="364"/>
      <c r="D37" s="365">
        <v>2000</v>
      </c>
      <c r="E37" s="365">
        <v>2001</v>
      </c>
      <c r="F37" s="365">
        <v>2002</v>
      </c>
      <c r="G37" s="365">
        <v>2003</v>
      </c>
      <c r="H37" s="365">
        <v>2004</v>
      </c>
      <c r="I37" s="365">
        <v>2005</v>
      </c>
      <c r="J37" s="365">
        <v>2006</v>
      </c>
      <c r="K37" s="365">
        <v>2007</v>
      </c>
      <c r="L37" s="365">
        <v>2008</v>
      </c>
      <c r="M37" s="365">
        <v>2009</v>
      </c>
      <c r="N37" s="365">
        <v>2010</v>
      </c>
      <c r="O37" s="365">
        <v>2011</v>
      </c>
      <c r="P37" s="365">
        <v>2012</v>
      </c>
      <c r="Q37" s="365">
        <v>2013</v>
      </c>
      <c r="R37" s="365">
        <v>2014</v>
      </c>
      <c r="S37" s="365">
        <v>2015</v>
      </c>
      <c r="T37" s="365">
        <v>2016</v>
      </c>
      <c r="U37" s="365">
        <v>2017</v>
      </c>
      <c r="V37" s="365">
        <v>2018</v>
      </c>
      <c r="W37" s="365">
        <v>2019</v>
      </c>
      <c r="X37" s="365">
        <v>2020</v>
      </c>
      <c r="Y37" s="365">
        <v>2021</v>
      </c>
      <c r="Z37" s="365">
        <v>2022</v>
      </c>
      <c r="AA37" s="365">
        <v>2023</v>
      </c>
      <c r="AB37" s="365">
        <v>2024</v>
      </c>
      <c r="AC37" s="365">
        <v>2025</v>
      </c>
      <c r="AD37" s="365">
        <v>2026</v>
      </c>
      <c r="AE37" s="365">
        <v>2027</v>
      </c>
      <c r="AF37" s="365">
        <v>2028</v>
      </c>
      <c r="AG37" s="365">
        <v>2029</v>
      </c>
      <c r="AH37" s="365">
        <v>2030</v>
      </c>
      <c r="AJ37" s="232" t="s">
        <v>418</v>
      </c>
      <c r="AK37" s="233"/>
      <c r="AL37" s="238">
        <v>2010</v>
      </c>
      <c r="AM37" s="238">
        <f>AL37+1</f>
        <v>2011</v>
      </c>
      <c r="AN37" s="238">
        <f t="shared" ref="AN37:AV37" si="12">AM37+1</f>
        <v>2012</v>
      </c>
      <c r="AO37" s="238">
        <f t="shared" si="12"/>
        <v>2013</v>
      </c>
      <c r="AP37" s="238">
        <f t="shared" si="12"/>
        <v>2014</v>
      </c>
      <c r="AQ37" s="238">
        <f t="shared" si="12"/>
        <v>2015</v>
      </c>
      <c r="AR37" s="238">
        <f t="shared" si="12"/>
        <v>2016</v>
      </c>
      <c r="AS37" s="238">
        <f t="shared" si="12"/>
        <v>2017</v>
      </c>
      <c r="AT37" s="238">
        <f t="shared" si="12"/>
        <v>2018</v>
      </c>
      <c r="AU37" s="238">
        <f t="shared" si="12"/>
        <v>2019</v>
      </c>
      <c r="AV37" s="238">
        <f t="shared" si="12"/>
        <v>2020</v>
      </c>
    </row>
    <row r="38" spans="2:48" x14ac:dyDescent="0.25">
      <c r="B38" s="366" t="s">
        <v>59</v>
      </c>
      <c r="C38" s="366" t="s">
        <v>437</v>
      </c>
      <c r="D38" s="346">
        <v>84756</v>
      </c>
      <c r="E38" s="346">
        <v>84934</v>
      </c>
      <c r="F38" s="346">
        <v>91219</v>
      </c>
      <c r="G38" s="346">
        <v>95513</v>
      </c>
      <c r="H38" s="346">
        <v>98958</v>
      </c>
      <c r="I38" s="346">
        <v>92755</v>
      </c>
      <c r="J38" s="346">
        <v>97367</v>
      </c>
      <c r="K38" s="346">
        <v>103489</v>
      </c>
      <c r="L38" s="346">
        <v>111250</v>
      </c>
      <c r="M38" s="346">
        <v>117839</v>
      </c>
      <c r="N38" s="346">
        <v>120475</v>
      </c>
      <c r="O38" s="344">
        <v>121483.19999999998</v>
      </c>
      <c r="P38" s="344">
        <v>125138.34545454544</v>
      </c>
      <c r="Q38" s="344">
        <v>128793.49090909091</v>
      </c>
      <c r="R38" s="344">
        <v>132448.63636363635</v>
      </c>
      <c r="S38" s="344">
        <v>136103.7818181818</v>
      </c>
      <c r="T38" s="344">
        <v>139758.92727272725</v>
      </c>
      <c r="U38" s="344">
        <v>143414.07272727272</v>
      </c>
      <c r="V38" s="344">
        <v>147069.21818181817</v>
      </c>
      <c r="W38" s="344">
        <v>150724.36363636365</v>
      </c>
      <c r="X38" s="344">
        <v>154379.50909090909</v>
      </c>
      <c r="Y38" s="344">
        <v>158034.65454545454</v>
      </c>
      <c r="Z38" s="344">
        <v>161689.79999999999</v>
      </c>
      <c r="AA38" s="344">
        <v>165344.94545454544</v>
      </c>
      <c r="AB38" s="344">
        <v>169000.09090909088</v>
      </c>
      <c r="AC38" s="344">
        <v>172655.23636363633</v>
      </c>
      <c r="AD38" s="344">
        <v>176310.38181818181</v>
      </c>
      <c r="AE38" s="344">
        <v>179965.52727272728</v>
      </c>
      <c r="AF38" s="344">
        <v>183620.67272727273</v>
      </c>
      <c r="AG38" s="344">
        <v>187275.81818181818</v>
      </c>
      <c r="AH38" s="344">
        <v>190930.96363636362</v>
      </c>
      <c r="AJ38" s="235" t="s">
        <v>413</v>
      </c>
      <c r="AK38" s="60" t="s">
        <v>105</v>
      </c>
      <c r="AL38" s="82">
        <v>444713.52529999998</v>
      </c>
      <c r="AM38" s="236">
        <v>458798.46649999998</v>
      </c>
      <c r="AN38" s="236">
        <v>472879.6336</v>
      </c>
      <c r="AO38" s="236">
        <v>486953.25249999994</v>
      </c>
      <c r="AP38" s="236">
        <v>501019.32320000004</v>
      </c>
      <c r="AQ38" s="236">
        <v>515077.84569999995</v>
      </c>
      <c r="AR38" s="236">
        <v>529132.59409999987</v>
      </c>
      <c r="AS38" s="236">
        <v>543176.02020000003</v>
      </c>
      <c r="AT38" s="236">
        <v>557215.67219999991</v>
      </c>
      <c r="AU38" s="253">
        <v>571247.77600000007</v>
      </c>
      <c r="AV38" s="253">
        <v>585272.33159999992</v>
      </c>
    </row>
    <row r="39" spans="2:48" x14ac:dyDescent="0.25">
      <c r="B39" s="366" t="s">
        <v>68</v>
      </c>
      <c r="C39" s="366" t="s">
        <v>437</v>
      </c>
      <c r="D39" s="346">
        <v>165686</v>
      </c>
      <c r="E39" s="346">
        <v>189518</v>
      </c>
      <c r="F39" s="346">
        <v>205843</v>
      </c>
      <c r="G39" s="346">
        <v>223818</v>
      </c>
      <c r="H39" s="346">
        <v>232949</v>
      </c>
      <c r="I39" s="346">
        <v>234948</v>
      </c>
      <c r="J39" s="346">
        <v>254243</v>
      </c>
      <c r="K39" s="346">
        <v>272264</v>
      </c>
      <c r="L39" s="346">
        <v>295554</v>
      </c>
      <c r="M39" s="346">
        <v>310981</v>
      </c>
      <c r="N39" s="346">
        <v>327750</v>
      </c>
      <c r="O39" s="344">
        <v>337319.26666666666</v>
      </c>
      <c r="P39" s="344">
        <v>352325.16969696968</v>
      </c>
      <c r="Q39" s="344">
        <v>367331.07272727269</v>
      </c>
      <c r="R39" s="344">
        <v>382336.97575757571</v>
      </c>
      <c r="S39" s="344">
        <v>397342.87878787878</v>
      </c>
      <c r="T39" s="344">
        <v>412348.7818181818</v>
      </c>
      <c r="U39" s="344">
        <v>427354.68484848482</v>
      </c>
      <c r="V39" s="344">
        <v>442360.58787878783</v>
      </c>
      <c r="W39" s="344">
        <v>457366.49090909091</v>
      </c>
      <c r="X39" s="344">
        <v>472372.39393939392</v>
      </c>
      <c r="Y39" s="344">
        <v>487378.29696969694</v>
      </c>
      <c r="Z39" s="344">
        <v>502384.2</v>
      </c>
      <c r="AA39" s="344">
        <v>517390.10303030303</v>
      </c>
      <c r="AB39" s="344">
        <v>532396.0060606061</v>
      </c>
      <c r="AC39" s="344">
        <v>547401.90909090906</v>
      </c>
      <c r="AD39" s="344">
        <v>562407.81212121202</v>
      </c>
      <c r="AE39" s="344">
        <v>577413.71515151509</v>
      </c>
      <c r="AF39" s="344">
        <v>592419.61818181816</v>
      </c>
      <c r="AG39" s="344">
        <v>607425.52121212124</v>
      </c>
      <c r="AH39" s="344">
        <v>622431.42424242431</v>
      </c>
      <c r="AJ39" s="235" t="s">
        <v>412</v>
      </c>
      <c r="AK39" s="60" t="s">
        <v>105</v>
      </c>
      <c r="AL39" s="82">
        <v>1238591.0385231429</v>
      </c>
      <c r="AM39" s="236">
        <v>1318147.1085797145</v>
      </c>
      <c r="AN39" s="236">
        <v>1402813.0716600001</v>
      </c>
      <c r="AO39" s="236">
        <v>1492917.3942257147</v>
      </c>
      <c r="AP39" s="236">
        <v>1588807.2056057143</v>
      </c>
      <c r="AQ39" s="236">
        <v>1690855.7631428575</v>
      </c>
      <c r="AR39" s="236">
        <v>1799462.4521940004</v>
      </c>
      <c r="AS39" s="236">
        <v>1915041.5884097146</v>
      </c>
      <c r="AT39" s="236">
        <v>2038048.5457482859</v>
      </c>
      <c r="AU39" s="253">
        <v>2168953.6284617148</v>
      </c>
      <c r="AV39" s="253">
        <v>2308268.1991097145</v>
      </c>
    </row>
    <row r="40" spans="2:48" x14ac:dyDescent="0.25">
      <c r="B40" s="366" t="s">
        <v>19</v>
      </c>
      <c r="C40" s="366" t="s">
        <v>437</v>
      </c>
      <c r="D40" s="346">
        <v>166898</v>
      </c>
      <c r="E40" s="346">
        <v>153372</v>
      </c>
      <c r="F40" s="346">
        <v>148778</v>
      </c>
      <c r="G40" s="346">
        <v>146758</v>
      </c>
      <c r="H40" s="346">
        <v>149960</v>
      </c>
      <c r="I40" s="346">
        <v>147157</v>
      </c>
      <c r="J40" s="346">
        <v>149444</v>
      </c>
      <c r="K40" s="346">
        <v>149030</v>
      </c>
      <c r="L40" s="346">
        <v>145847</v>
      </c>
      <c r="M40" s="346">
        <v>142502</v>
      </c>
      <c r="N40" s="346">
        <v>139730</v>
      </c>
      <c r="O40" s="344">
        <v>141532.19999999998</v>
      </c>
      <c r="P40" s="344">
        <v>140491.18181818182</v>
      </c>
      <c r="Q40" s="344">
        <v>139450.16363636364</v>
      </c>
      <c r="R40" s="344">
        <v>138409.14545454545</v>
      </c>
      <c r="S40" s="344">
        <v>137368.12727272726</v>
      </c>
      <c r="T40" s="344">
        <v>136327.10909090907</v>
      </c>
      <c r="U40" s="344">
        <v>135286.09090909091</v>
      </c>
      <c r="V40" s="344">
        <v>134245.07272727272</v>
      </c>
      <c r="W40" s="344">
        <v>133204.05454545454</v>
      </c>
      <c r="X40" s="344">
        <v>132163.03636363635</v>
      </c>
      <c r="Y40" s="344">
        <v>131122.01818181819</v>
      </c>
      <c r="Z40" s="344">
        <v>130081</v>
      </c>
      <c r="AA40" s="344">
        <v>129039.98181818181</v>
      </c>
      <c r="AB40" s="344">
        <v>127998.96363636362</v>
      </c>
      <c r="AC40" s="344">
        <v>126957.94545454545</v>
      </c>
      <c r="AD40" s="344">
        <v>125916.92727272728</v>
      </c>
      <c r="AE40" s="344">
        <v>124875.90909090909</v>
      </c>
      <c r="AF40" s="344">
        <v>123834.8909090909</v>
      </c>
      <c r="AG40" s="344">
        <v>122793.87272727273</v>
      </c>
      <c r="AH40" s="344">
        <v>121752.85454545454</v>
      </c>
      <c r="AJ40" s="235" t="s">
        <v>19</v>
      </c>
      <c r="AK40" s="60" t="s">
        <v>105</v>
      </c>
      <c r="AL40" s="82">
        <v>483584.47707428568</v>
      </c>
      <c r="AM40" s="236">
        <v>453826.52681142854</v>
      </c>
      <c r="AN40" s="236">
        <v>425901.50893714285</v>
      </c>
      <c r="AO40" s="236">
        <v>399692.24969142862</v>
      </c>
      <c r="AP40" s="236">
        <v>375098.31442285719</v>
      </c>
      <c r="AQ40" s="236">
        <v>352019.26847999997</v>
      </c>
      <c r="AR40" s="236">
        <v>330354.67721142858</v>
      </c>
      <c r="AS40" s="236">
        <v>310029.21462857141</v>
      </c>
      <c r="AT40" s="236">
        <v>290950.8156342858</v>
      </c>
      <c r="AU40" s="253">
        <v>273048.33901714283</v>
      </c>
      <c r="AV40" s="253">
        <v>256246.45878857144</v>
      </c>
    </row>
    <row r="41" spans="2:48" x14ac:dyDescent="0.25">
      <c r="B41" s="366" t="s">
        <v>60</v>
      </c>
      <c r="C41" s="366" t="s">
        <v>437</v>
      </c>
      <c r="D41" s="346">
        <v>3036812</v>
      </c>
      <c r="E41" s="346">
        <v>3087038</v>
      </c>
      <c r="F41" s="346">
        <v>3162234</v>
      </c>
      <c r="G41" s="346">
        <v>3288884</v>
      </c>
      <c r="H41" s="346">
        <v>3529456</v>
      </c>
      <c r="I41" s="346">
        <v>3737803</v>
      </c>
      <c r="J41" s="346">
        <v>4221806</v>
      </c>
      <c r="K41" s="346">
        <v>4605417</v>
      </c>
      <c r="L41" s="346">
        <v>5311836</v>
      </c>
      <c r="M41" s="346">
        <v>5817834</v>
      </c>
      <c r="N41" s="346">
        <v>6275299</v>
      </c>
      <c r="O41" s="344">
        <v>6340767.2000000002</v>
      </c>
      <c r="P41" s="344">
        <v>6711132.0181818185</v>
      </c>
      <c r="Q41" s="344">
        <v>7081496.8363636369</v>
      </c>
      <c r="R41" s="344">
        <v>7451861.6545454543</v>
      </c>
      <c r="S41" s="344">
        <v>7822226.4727272727</v>
      </c>
      <c r="T41" s="344">
        <v>8192591.290909091</v>
      </c>
      <c r="U41" s="344">
        <v>8562956.1090909094</v>
      </c>
      <c r="V41" s="344">
        <v>8933320.9272727277</v>
      </c>
      <c r="W41" s="344">
        <v>9303685.7454545461</v>
      </c>
      <c r="X41" s="344">
        <v>9674050.5636363626</v>
      </c>
      <c r="Y41" s="344">
        <v>10044415.381818183</v>
      </c>
      <c r="Z41" s="344">
        <v>10414780.199999999</v>
      </c>
      <c r="AA41" s="344">
        <v>10785145.018181819</v>
      </c>
      <c r="AB41" s="344">
        <v>11155509.836363636</v>
      </c>
      <c r="AC41" s="344">
        <v>11525874.654545456</v>
      </c>
      <c r="AD41" s="344">
        <v>11896239.472727273</v>
      </c>
      <c r="AE41" s="344">
        <v>12266604.290909089</v>
      </c>
      <c r="AF41" s="344">
        <v>12636969.109090909</v>
      </c>
      <c r="AG41" s="344">
        <v>13007333.927272726</v>
      </c>
      <c r="AH41" s="344">
        <v>13377698.745454546</v>
      </c>
      <c r="AJ41" s="235" t="s">
        <v>60</v>
      </c>
      <c r="AK41" s="60" t="s">
        <v>105</v>
      </c>
      <c r="AL41" s="82">
        <v>2481542.9454815998</v>
      </c>
      <c r="AM41" s="236">
        <v>2631907.6877807998</v>
      </c>
      <c r="AN41" s="236">
        <v>2791383.2719343994</v>
      </c>
      <c r="AO41" s="236">
        <v>2960522.1298223999</v>
      </c>
      <c r="AP41" s="236">
        <v>3139909.6137552001</v>
      </c>
      <c r="AQ41" s="236">
        <v>3330166.2512976001</v>
      </c>
      <c r="AR41" s="236">
        <v>3531951.8039519996</v>
      </c>
      <c r="AS41" s="236">
        <v>3745963.9142640005</v>
      </c>
      <c r="AT41" s="236">
        <v>3972943.5173999998</v>
      </c>
      <c r="AU41" s="253">
        <v>4213677.0959712006</v>
      </c>
      <c r="AV41" s="253">
        <v>4468996.6800336</v>
      </c>
    </row>
    <row r="42" spans="2:48" x14ac:dyDescent="0.25">
      <c r="B42" s="366" t="s">
        <v>20</v>
      </c>
      <c r="C42" s="366" t="s">
        <v>437</v>
      </c>
      <c r="D42" s="346">
        <v>1160462</v>
      </c>
      <c r="E42" s="346">
        <v>922633</v>
      </c>
      <c r="F42" s="346">
        <v>878043</v>
      </c>
      <c r="G42" s="346">
        <v>930066</v>
      </c>
      <c r="H42" s="346">
        <v>1144102</v>
      </c>
      <c r="I42" s="346">
        <v>999267</v>
      </c>
      <c r="J42" s="346">
        <v>1148547</v>
      </c>
      <c r="K42" s="346">
        <v>1294453</v>
      </c>
      <c r="L42" s="346">
        <v>1431012</v>
      </c>
      <c r="M42" s="346">
        <v>1615002</v>
      </c>
      <c r="N42" s="346">
        <v>1801320</v>
      </c>
      <c r="O42" s="344">
        <v>1755509.8</v>
      </c>
      <c r="P42" s="344">
        <v>1853521.6727272726</v>
      </c>
      <c r="Q42" s="344">
        <v>1951533.5454545454</v>
      </c>
      <c r="R42" s="344">
        <v>2049545.4181818182</v>
      </c>
      <c r="S42" s="344">
        <v>2147557.290909091</v>
      </c>
      <c r="T42" s="344">
        <v>2245569.1636363636</v>
      </c>
      <c r="U42" s="344">
        <v>2343581.0363636361</v>
      </c>
      <c r="V42" s="344">
        <v>2441592.9090909092</v>
      </c>
      <c r="W42" s="344">
        <v>2539604.7818181817</v>
      </c>
      <c r="X42" s="344">
        <v>2637616.6545454543</v>
      </c>
      <c r="Y42" s="344">
        <v>2735628.5272727273</v>
      </c>
      <c r="Z42" s="344">
        <v>2833640.4000000004</v>
      </c>
      <c r="AA42" s="344">
        <v>2931652.2727272725</v>
      </c>
      <c r="AB42" s="344">
        <v>3029664.1454545455</v>
      </c>
      <c r="AC42" s="344">
        <v>3127676.0181818185</v>
      </c>
      <c r="AD42" s="344">
        <v>3225687.8909090906</v>
      </c>
      <c r="AE42" s="344">
        <v>3323699.7636363637</v>
      </c>
      <c r="AF42" s="344">
        <v>3421711.6363636367</v>
      </c>
      <c r="AG42" s="344">
        <v>3519723.5090909088</v>
      </c>
      <c r="AH42" s="344">
        <v>3617735.3818181818</v>
      </c>
      <c r="AJ42" s="235" t="s">
        <v>20</v>
      </c>
      <c r="AK42" s="60" t="s">
        <v>105</v>
      </c>
      <c r="AL42" s="82">
        <v>729771.98704457143</v>
      </c>
      <c r="AM42" s="236">
        <v>735870.43111371435</v>
      </c>
      <c r="AN42" s="236">
        <v>741968.87518285715</v>
      </c>
      <c r="AO42" s="236">
        <v>748067.31925200007</v>
      </c>
      <c r="AP42" s="236">
        <v>754165.19755028572</v>
      </c>
      <c r="AQ42" s="236">
        <v>760263.64161942864</v>
      </c>
      <c r="AR42" s="236">
        <v>766362.08568857145</v>
      </c>
      <c r="AS42" s="236">
        <v>772460.52975771425</v>
      </c>
      <c r="AT42" s="236">
        <v>778558.9738268574</v>
      </c>
      <c r="AU42" s="253">
        <v>784656.85212514305</v>
      </c>
      <c r="AV42" s="253">
        <v>790755.29619428585</v>
      </c>
    </row>
    <row r="43" spans="2:48" x14ac:dyDescent="0.25">
      <c r="B43" s="366" t="s">
        <v>21</v>
      </c>
      <c r="C43" s="366" t="s">
        <v>437</v>
      </c>
      <c r="D43" s="346">
        <v>10763</v>
      </c>
      <c r="E43" s="346">
        <v>11851</v>
      </c>
      <c r="F43" s="346">
        <v>11963</v>
      </c>
      <c r="G43" s="346">
        <v>12124</v>
      </c>
      <c r="H43" s="346">
        <v>14242</v>
      </c>
      <c r="I43" s="346">
        <v>12569</v>
      </c>
      <c r="J43" s="346">
        <v>15555</v>
      </c>
      <c r="K43" s="346">
        <v>15755</v>
      </c>
      <c r="L43" s="346">
        <v>13717</v>
      </c>
      <c r="M43" s="346">
        <v>13757</v>
      </c>
      <c r="N43" s="346">
        <v>13929</v>
      </c>
      <c r="O43" s="344">
        <v>15104.533333333333</v>
      </c>
      <c r="P43" s="344">
        <v>15387.866666666667</v>
      </c>
      <c r="Q43" s="344">
        <v>15671.2</v>
      </c>
      <c r="R43" s="344">
        <v>15954.533333333333</v>
      </c>
      <c r="S43" s="344">
        <v>16237.866666666667</v>
      </c>
      <c r="T43" s="344">
        <v>16521.2</v>
      </c>
      <c r="U43" s="344">
        <v>16804.533333333333</v>
      </c>
      <c r="V43" s="344">
        <v>17087.866666666669</v>
      </c>
      <c r="W43" s="344">
        <v>17371.2</v>
      </c>
      <c r="X43" s="344">
        <v>17654.533333333333</v>
      </c>
      <c r="Y43" s="344">
        <v>17937.866666666669</v>
      </c>
      <c r="Z43" s="344">
        <v>18221.2</v>
      </c>
      <c r="AA43" s="344">
        <v>18504.533333333333</v>
      </c>
      <c r="AB43" s="344">
        <v>18787.866666666669</v>
      </c>
      <c r="AC43" s="344">
        <v>19071.2</v>
      </c>
      <c r="AD43" s="344">
        <v>19354.533333333333</v>
      </c>
      <c r="AE43" s="344">
        <v>19637.866666666665</v>
      </c>
      <c r="AF43" s="344">
        <v>19921.2</v>
      </c>
      <c r="AG43" s="344">
        <v>20204.533333333333</v>
      </c>
      <c r="AH43" s="344">
        <v>20487.866666666669</v>
      </c>
      <c r="AJ43" s="235" t="s">
        <v>21</v>
      </c>
      <c r="AK43" s="60" t="s">
        <v>105</v>
      </c>
      <c r="AL43" s="82">
        <v>24153.817300800005</v>
      </c>
      <c r="AM43" s="236">
        <v>25006.819147200003</v>
      </c>
      <c r="AN43" s="236">
        <v>25858.313923199999</v>
      </c>
      <c r="AO43" s="236">
        <v>26709.808699200003</v>
      </c>
      <c r="AP43" s="236">
        <v>27562.810545600001</v>
      </c>
      <c r="AQ43" s="236">
        <v>28414.305321600001</v>
      </c>
      <c r="AR43" s="236">
        <v>29265.8000976</v>
      </c>
      <c r="AS43" s="236">
        <v>30118.801943999999</v>
      </c>
      <c r="AT43" s="236">
        <v>30970.296719999995</v>
      </c>
      <c r="AU43" s="253">
        <v>31821.791496000002</v>
      </c>
      <c r="AV43" s="253">
        <v>32674.793342400008</v>
      </c>
    </row>
    <row r="44" spans="2:48" x14ac:dyDescent="0.25">
      <c r="B44" s="366" t="s">
        <v>61</v>
      </c>
      <c r="C44" s="366" t="s">
        <v>437</v>
      </c>
      <c r="D44" s="346">
        <v>9253</v>
      </c>
      <c r="E44" s="346">
        <v>12337</v>
      </c>
      <c r="F44" s="346">
        <v>9702</v>
      </c>
      <c r="G44" s="346">
        <v>11207</v>
      </c>
      <c r="H44" s="346">
        <v>8092</v>
      </c>
      <c r="I44" s="346">
        <v>9056.7545957063885</v>
      </c>
      <c r="J44" s="346">
        <v>12487</v>
      </c>
      <c r="K44" s="346">
        <v>7043</v>
      </c>
      <c r="L44" s="346">
        <v>4773</v>
      </c>
      <c r="M44" s="346">
        <v>8146</v>
      </c>
      <c r="N44" s="346">
        <v>8327</v>
      </c>
      <c r="O44" s="344">
        <v>6488.116973047092</v>
      </c>
      <c r="P44" s="344">
        <v>6010.1245209519011</v>
      </c>
      <c r="Q44" s="344">
        <v>5532.1320688567112</v>
      </c>
      <c r="R44" s="344">
        <v>5054.1396167615203</v>
      </c>
      <c r="S44" s="344">
        <v>4576.1471646663304</v>
      </c>
      <c r="T44" s="344">
        <v>4098.1547125711395</v>
      </c>
      <c r="U44" s="344">
        <v>3620.1622604759486</v>
      </c>
      <c r="V44" s="344">
        <v>3142.1698083807587</v>
      </c>
      <c r="W44" s="344">
        <v>2664.1773562855687</v>
      </c>
      <c r="X44" s="344">
        <v>2186.184904190377</v>
      </c>
      <c r="Y44" s="344">
        <v>1708.192452095187</v>
      </c>
      <c r="Z44" s="344">
        <v>1230.1999999999971</v>
      </c>
      <c r="AA44" s="344">
        <v>752.20754790480714</v>
      </c>
      <c r="AB44" s="344">
        <v>274.21509580961538</v>
      </c>
      <c r="AC44" s="344">
        <v>-203.77735628557457</v>
      </c>
      <c r="AD44" s="344">
        <v>-681.76980838076452</v>
      </c>
      <c r="AE44" s="344">
        <v>-1159.7622604759563</v>
      </c>
      <c r="AF44" s="344">
        <v>-1637.7547125711462</v>
      </c>
      <c r="AG44" s="344">
        <v>-2115.7471646663362</v>
      </c>
      <c r="AH44" s="344">
        <v>-2593.7396167615261</v>
      </c>
      <c r="AJ44" s="235" t="s">
        <v>61</v>
      </c>
      <c r="AK44" s="60" t="s">
        <v>105</v>
      </c>
      <c r="AL44" s="82"/>
      <c r="AM44" s="236"/>
      <c r="AN44" s="236"/>
      <c r="AO44" s="236"/>
      <c r="AP44" s="236"/>
      <c r="AQ44" s="236"/>
      <c r="AR44" s="236"/>
      <c r="AS44" s="236"/>
      <c r="AT44" s="236"/>
      <c r="AU44" s="253"/>
      <c r="AV44" s="253"/>
    </row>
    <row r="45" spans="2:48" ht="24" x14ac:dyDescent="0.25">
      <c r="B45" s="366" t="s">
        <v>69</v>
      </c>
      <c r="C45" s="366" t="s">
        <v>437</v>
      </c>
      <c r="D45" s="346">
        <v>26939832</v>
      </c>
      <c r="E45" s="346">
        <v>27703049</v>
      </c>
      <c r="F45" s="346">
        <v>30273580</v>
      </c>
      <c r="G45" s="346">
        <v>31294784</v>
      </c>
      <c r="H45" s="346">
        <v>30779120</v>
      </c>
      <c r="I45" s="346">
        <v>31043932</v>
      </c>
      <c r="J45" s="346">
        <v>29319161</v>
      </c>
      <c r="K45" s="346">
        <v>27789274</v>
      </c>
      <c r="L45" s="346">
        <v>27761015</v>
      </c>
      <c r="M45" s="346">
        <v>28371910</v>
      </c>
      <c r="N45" s="346">
        <v>27394516</v>
      </c>
      <c r="O45" s="344">
        <v>27616728.729221676</v>
      </c>
      <c r="P45" s="344">
        <v>27608894.78166661</v>
      </c>
      <c r="Q45" s="344">
        <v>27601063.05634195</v>
      </c>
      <c r="R45" s="344">
        <v>27593233.552617323</v>
      </c>
      <c r="S45" s="344">
        <v>27585406.269862529</v>
      </c>
      <c r="T45" s="344">
        <v>27577581.20744757</v>
      </c>
      <c r="U45" s="344">
        <v>27569758.364742592</v>
      </c>
      <c r="V45" s="344">
        <v>27561937.741117943</v>
      </c>
      <c r="W45" s="344">
        <v>27554119.335944142</v>
      </c>
      <c r="X45" s="344">
        <v>27546303.148591895</v>
      </c>
      <c r="Y45" s="344">
        <v>27538489.17843207</v>
      </c>
      <c r="Z45" s="344">
        <v>27530677.424835734</v>
      </c>
      <c r="AA45" s="344">
        <v>27522867.887174107</v>
      </c>
      <c r="AB45" s="344">
        <v>27515060.564818621</v>
      </c>
      <c r="AC45" s="344">
        <v>27507255.457140852</v>
      </c>
      <c r="AD45" s="344">
        <v>27499452.563512575</v>
      </c>
      <c r="AE45" s="344">
        <v>27491651.883305736</v>
      </c>
      <c r="AF45" s="344">
        <v>27483853.415892471</v>
      </c>
      <c r="AG45" s="344">
        <v>27476057.160645064</v>
      </c>
      <c r="AH45" s="344">
        <v>27468263.116936017</v>
      </c>
      <c r="AJ45" s="235" t="s">
        <v>414</v>
      </c>
      <c r="AK45" s="60" t="s">
        <v>105</v>
      </c>
      <c r="AL45" s="82"/>
      <c r="AM45" s="236"/>
      <c r="AN45" s="236"/>
      <c r="AO45" s="236"/>
      <c r="AP45" s="236"/>
      <c r="AQ45" s="236"/>
      <c r="AR45" s="236"/>
      <c r="AS45" s="236"/>
      <c r="AT45" s="236"/>
      <c r="AU45" s="253"/>
      <c r="AV45" s="253"/>
    </row>
    <row r="46" spans="2:48" ht="30" x14ac:dyDescent="0.25">
      <c r="B46" s="367" t="s">
        <v>415</v>
      </c>
      <c r="C46" s="366" t="s">
        <v>437</v>
      </c>
      <c r="D46" s="346">
        <v>5962619</v>
      </c>
      <c r="E46" s="346">
        <v>7403492</v>
      </c>
      <c r="F46" s="346">
        <v>8588803</v>
      </c>
      <c r="G46" s="346">
        <v>8446127</v>
      </c>
      <c r="H46" s="346">
        <v>9720685</v>
      </c>
      <c r="I46" s="346">
        <v>10171904</v>
      </c>
      <c r="J46" s="346">
        <v>10351105</v>
      </c>
      <c r="K46" s="346">
        <v>11462744</v>
      </c>
      <c r="L46" s="346">
        <v>10303478</v>
      </c>
      <c r="M46" s="346">
        <v>10501767</v>
      </c>
      <c r="N46" s="346">
        <v>11252390</v>
      </c>
      <c r="O46" s="344">
        <v>12107700.666666666</v>
      </c>
      <c r="P46" s="344">
        <v>12535356</v>
      </c>
      <c r="Q46" s="344">
        <v>12963011.333333332</v>
      </c>
      <c r="R46" s="344">
        <v>13390666.666666666</v>
      </c>
      <c r="S46" s="344">
        <v>13818322</v>
      </c>
      <c r="T46" s="344">
        <v>14245977.333333332</v>
      </c>
      <c r="U46" s="344">
        <v>14673632.666666666</v>
      </c>
      <c r="V46" s="344">
        <v>15101288</v>
      </c>
      <c r="W46" s="344">
        <v>15528943.333333332</v>
      </c>
      <c r="X46" s="344">
        <v>15956598.666666666</v>
      </c>
      <c r="Y46" s="344">
        <v>16384254</v>
      </c>
      <c r="Z46" s="344">
        <v>16811909.333333332</v>
      </c>
      <c r="AA46" s="344">
        <v>17239564.666666664</v>
      </c>
      <c r="AB46" s="344">
        <v>17667220</v>
      </c>
      <c r="AC46" s="344">
        <v>18094875.333333332</v>
      </c>
      <c r="AD46" s="344">
        <v>18522530.666666664</v>
      </c>
      <c r="AE46" s="344">
        <v>18950186</v>
      </c>
      <c r="AF46" s="344">
        <v>19377841.333333332</v>
      </c>
      <c r="AG46" s="344">
        <v>19805496.666666664</v>
      </c>
      <c r="AH46" s="344">
        <v>20233152</v>
      </c>
      <c r="AJ46" s="235" t="s">
        <v>415</v>
      </c>
      <c r="AK46" s="60" t="s">
        <v>105</v>
      </c>
      <c r="AL46" s="82"/>
      <c r="AM46" s="236"/>
      <c r="AN46" s="236"/>
      <c r="AO46" s="236"/>
      <c r="AP46" s="236"/>
      <c r="AQ46" s="236"/>
      <c r="AR46" s="236"/>
      <c r="AS46" s="236"/>
      <c r="AT46" s="236"/>
      <c r="AU46" s="253"/>
      <c r="AV46" s="253"/>
    </row>
    <row r="47" spans="2:48" ht="24" x14ac:dyDescent="0.25">
      <c r="B47" s="366" t="s">
        <v>416</v>
      </c>
      <c r="C47" s="366" t="s">
        <v>437</v>
      </c>
      <c r="D47" s="346">
        <v>27674161</v>
      </c>
      <c r="E47" s="346">
        <v>31490528.333333332</v>
      </c>
      <c r="F47" s="346">
        <v>42146199.5</v>
      </c>
      <c r="G47" s="346">
        <v>46245137</v>
      </c>
      <c r="H47" s="346">
        <v>51922827.666666664</v>
      </c>
      <c r="I47" s="346">
        <v>53943997.833333336</v>
      </c>
      <c r="J47" s="346">
        <v>57325681.666666664</v>
      </c>
      <c r="K47" s="346">
        <v>58084469.833333336</v>
      </c>
      <c r="L47" s="346">
        <v>69562266.333333343</v>
      </c>
      <c r="M47" s="346">
        <v>73088484.5</v>
      </c>
      <c r="N47" s="346">
        <v>82969025.666666657</v>
      </c>
      <c r="O47" s="344">
        <v>83956352.76666671</v>
      </c>
      <c r="P47" s="344">
        <v>88916078.39090915</v>
      </c>
      <c r="Q47" s="344">
        <v>93875804.01515159</v>
      </c>
      <c r="R47" s="344">
        <v>98835529.639394015</v>
      </c>
      <c r="S47" s="344">
        <v>103795255.26363644</v>
      </c>
      <c r="T47" s="344">
        <v>108754980.88787888</v>
      </c>
      <c r="U47" s="344">
        <v>113714706.51212132</v>
      </c>
      <c r="V47" s="344">
        <v>118674432.13636374</v>
      </c>
      <c r="W47" s="344">
        <v>123634157.76060618</v>
      </c>
      <c r="X47" s="344">
        <v>128593883.38484861</v>
      </c>
      <c r="Y47" s="344">
        <v>133553609.00909105</v>
      </c>
      <c r="Z47" s="344">
        <v>138513334.63333347</v>
      </c>
      <c r="AA47" s="344">
        <v>143473060.25757593</v>
      </c>
      <c r="AB47" s="344">
        <v>148432785.88181835</v>
      </c>
      <c r="AC47" s="344">
        <v>153392511.50606078</v>
      </c>
      <c r="AD47" s="344">
        <v>158352237.1303032</v>
      </c>
      <c r="AE47" s="344">
        <v>163311962.75454563</v>
      </c>
      <c r="AF47" s="344">
        <v>168271688.37878808</v>
      </c>
      <c r="AG47" s="344">
        <v>173231414.00303051</v>
      </c>
      <c r="AH47" s="344">
        <v>178191139.62727293</v>
      </c>
      <c r="AJ47" s="235" t="s">
        <v>416</v>
      </c>
      <c r="AK47" s="60" t="s">
        <v>105</v>
      </c>
      <c r="AL47" s="82"/>
      <c r="AM47" s="236"/>
      <c r="AN47" s="236"/>
      <c r="AO47" s="236"/>
      <c r="AP47" s="236"/>
      <c r="AQ47" s="236"/>
      <c r="AR47" s="236"/>
      <c r="AS47" s="236"/>
      <c r="AT47" s="236"/>
      <c r="AU47" s="253"/>
      <c r="AV47" s="253"/>
    </row>
    <row r="48" spans="2:48" x14ac:dyDescent="0.25">
      <c r="B48" s="366" t="s">
        <v>65</v>
      </c>
      <c r="C48" s="366" t="s">
        <v>437</v>
      </c>
      <c r="D48" s="346">
        <v>3481702</v>
      </c>
      <c r="E48" s="346">
        <v>4055539</v>
      </c>
      <c r="F48" s="346">
        <v>4293637</v>
      </c>
      <c r="G48" s="346">
        <v>4952224</v>
      </c>
      <c r="H48" s="346">
        <v>4880019</v>
      </c>
      <c r="I48" s="346">
        <v>5335872</v>
      </c>
      <c r="J48" s="346">
        <v>5296757</v>
      </c>
      <c r="K48" s="346">
        <v>6534753</v>
      </c>
      <c r="L48" s="346">
        <v>7962095</v>
      </c>
      <c r="M48" s="346">
        <v>8213920</v>
      </c>
      <c r="N48" s="346">
        <v>9871091</v>
      </c>
      <c r="O48" s="344">
        <v>9464803.7333333343</v>
      </c>
      <c r="P48" s="344">
        <v>10069387.921212122</v>
      </c>
      <c r="Q48" s="344">
        <v>10673972.109090909</v>
      </c>
      <c r="R48" s="344">
        <v>11278556.296969697</v>
      </c>
      <c r="S48" s="344">
        <v>11883140.484848484</v>
      </c>
      <c r="T48" s="344">
        <v>12487724.672727272</v>
      </c>
      <c r="U48" s="344">
        <v>13092308.860606059</v>
      </c>
      <c r="V48" s="344">
        <v>13696893.048484847</v>
      </c>
      <c r="W48" s="344">
        <v>14301477.236363638</v>
      </c>
      <c r="X48" s="344">
        <v>14906061.424242426</v>
      </c>
      <c r="Y48" s="344">
        <v>15510645.612121213</v>
      </c>
      <c r="Z48" s="344">
        <v>16115229.800000001</v>
      </c>
      <c r="AA48" s="344">
        <v>16719813.987878788</v>
      </c>
      <c r="AB48" s="344">
        <v>17324398.175757576</v>
      </c>
      <c r="AC48" s="344">
        <v>17928982.363636363</v>
      </c>
      <c r="AD48" s="344">
        <v>18533566.551515151</v>
      </c>
      <c r="AE48" s="344">
        <v>19138150.739393938</v>
      </c>
      <c r="AF48" s="344">
        <v>19742734.92727273</v>
      </c>
      <c r="AG48" s="344">
        <v>20347319.115151517</v>
      </c>
      <c r="AH48" s="344">
        <v>20951903.303030305</v>
      </c>
      <c r="AJ48" s="235" t="s">
        <v>72</v>
      </c>
      <c r="AK48" s="60" t="s">
        <v>105</v>
      </c>
      <c r="AL48" s="82"/>
      <c r="AM48" s="236"/>
      <c r="AN48" s="236"/>
      <c r="AO48" s="236"/>
      <c r="AP48" s="236"/>
      <c r="AQ48" s="236"/>
      <c r="AR48" s="236"/>
      <c r="AS48" s="236"/>
      <c r="AT48" s="236"/>
      <c r="AU48" s="253"/>
      <c r="AV48" s="253"/>
    </row>
    <row r="49" spans="2:48" x14ac:dyDescent="0.25">
      <c r="B49" s="60"/>
      <c r="C49" s="60"/>
      <c r="D49" s="60"/>
      <c r="E49" s="60"/>
      <c r="F49" s="60"/>
      <c r="G49" s="60"/>
      <c r="H49" s="60"/>
      <c r="I49" s="60"/>
      <c r="J49" s="60"/>
      <c r="K49" s="60"/>
      <c r="L49" s="60"/>
      <c r="M49" s="60"/>
      <c r="N49" s="60"/>
      <c r="AJ49" s="60"/>
      <c r="AK49" s="60" t="s">
        <v>105</v>
      </c>
      <c r="AL49" s="82"/>
      <c r="AM49" s="236"/>
      <c r="AN49" s="236"/>
      <c r="AO49" s="236"/>
      <c r="AP49" s="236"/>
      <c r="AQ49" s="236"/>
      <c r="AR49" s="236"/>
      <c r="AS49" s="236"/>
      <c r="AT49" s="236"/>
      <c r="AU49" s="10"/>
      <c r="AV49" s="10"/>
    </row>
    <row r="50" spans="2:48" ht="15.75" thickBot="1" x14ac:dyDescent="0.3">
      <c r="AJ50" s="237" t="s">
        <v>419</v>
      </c>
      <c r="AK50" s="60" t="s">
        <v>105</v>
      </c>
      <c r="AL50" s="45">
        <v>5402357.7907244004</v>
      </c>
      <c r="AM50" s="236">
        <v>5623557.0399328573</v>
      </c>
      <c r="AN50" s="236">
        <f>SUM(AN38:AN49)</f>
        <v>5860804.6752375988</v>
      </c>
      <c r="AO50" s="236">
        <v>6114862.1541907433</v>
      </c>
      <c r="AP50" s="236">
        <v>6386562.4650796568</v>
      </c>
      <c r="AQ50" s="236">
        <v>6676797.0755614862</v>
      </c>
      <c r="AR50" s="236">
        <v>6986529.4132435992</v>
      </c>
      <c r="AS50" s="236">
        <v>7316790.0692039998</v>
      </c>
      <c r="AT50" s="236">
        <v>7668687.8215294294</v>
      </c>
      <c r="AU50" s="254">
        <v>8043405.4830712015</v>
      </c>
      <c r="AV50" s="254">
        <v>8442213.759068571</v>
      </c>
    </row>
    <row r="51" spans="2:48" x14ac:dyDescent="0.25">
      <c r="AK51" s="60" t="s">
        <v>105</v>
      </c>
      <c r="AL51">
        <f>AL50/10^6</f>
        <v>5.4023577907244</v>
      </c>
      <c r="AM51">
        <f t="shared" ref="AM51:AV51" si="13">AM50/10^6</f>
        <v>5.6235570399328569</v>
      </c>
      <c r="AN51">
        <f t="shared" si="13"/>
        <v>5.8608046752375991</v>
      </c>
      <c r="AO51">
        <f t="shared" si="13"/>
        <v>6.1148621541907433</v>
      </c>
      <c r="AP51">
        <f t="shared" si="13"/>
        <v>6.3865624650796571</v>
      </c>
      <c r="AQ51">
        <f t="shared" si="13"/>
        <v>6.6767970755614865</v>
      </c>
      <c r="AR51">
        <f t="shared" si="13"/>
        <v>6.9865294132435993</v>
      </c>
      <c r="AS51">
        <f t="shared" si="13"/>
        <v>7.316790069204</v>
      </c>
      <c r="AT51">
        <f t="shared" si="13"/>
        <v>7.6686878215294296</v>
      </c>
      <c r="AU51">
        <f t="shared" si="13"/>
        <v>8.0434054830712007</v>
      </c>
      <c r="AV51">
        <f t="shared" si="13"/>
        <v>8.4422137590685704</v>
      </c>
    </row>
    <row r="52" spans="2:48" x14ac:dyDescent="0.25">
      <c r="B52" s="232" t="s">
        <v>418</v>
      </c>
      <c r="C52" s="233"/>
      <c r="D52" s="238">
        <v>2000</v>
      </c>
      <c r="E52" s="238">
        <v>2001</v>
      </c>
      <c r="F52" s="238">
        <v>2002</v>
      </c>
      <c r="G52" s="238">
        <v>2003</v>
      </c>
      <c r="H52" s="238">
        <v>2004</v>
      </c>
      <c r="I52" s="238">
        <v>2005</v>
      </c>
      <c r="J52" s="238">
        <v>2006</v>
      </c>
      <c r="K52" s="238">
        <v>2007</v>
      </c>
      <c r="L52" s="238">
        <v>2008</v>
      </c>
      <c r="M52" s="238">
        <v>2009</v>
      </c>
      <c r="N52" s="238">
        <v>2010</v>
      </c>
      <c r="O52" s="60">
        <v>2011</v>
      </c>
      <c r="P52" s="60">
        <v>2012</v>
      </c>
      <c r="Q52" s="60">
        <v>2013</v>
      </c>
      <c r="R52" s="60">
        <v>2014</v>
      </c>
      <c r="S52" s="60">
        <v>2015</v>
      </c>
      <c r="T52" s="60">
        <v>2016</v>
      </c>
      <c r="U52" s="60">
        <v>2017</v>
      </c>
      <c r="V52" s="60">
        <v>2018</v>
      </c>
      <c r="W52" s="60">
        <v>2019</v>
      </c>
      <c r="X52" s="60">
        <v>2020</v>
      </c>
      <c r="Y52" s="60">
        <v>2021</v>
      </c>
      <c r="Z52" s="60">
        <v>2022</v>
      </c>
      <c r="AA52" s="60">
        <v>2023</v>
      </c>
      <c r="AB52" s="60">
        <v>2024</v>
      </c>
      <c r="AC52" s="60">
        <v>2025</v>
      </c>
      <c r="AD52" s="60">
        <v>2026</v>
      </c>
      <c r="AE52" s="60">
        <v>2027</v>
      </c>
      <c r="AF52" s="60">
        <v>2028</v>
      </c>
      <c r="AG52" s="60">
        <v>2029</v>
      </c>
      <c r="AH52" s="60">
        <v>2030</v>
      </c>
    </row>
    <row r="53" spans="2:48" x14ac:dyDescent="0.25">
      <c r="B53" s="235" t="s">
        <v>413</v>
      </c>
      <c r="C53" s="60" t="s">
        <v>557</v>
      </c>
      <c r="D53" s="457">
        <v>3.198776195999999</v>
      </c>
      <c r="E53" s="457">
        <v>3.2054940939999996</v>
      </c>
      <c r="F53" s="457">
        <v>3.4426962789999993</v>
      </c>
      <c r="G53" s="457">
        <v>3.6047561329999995</v>
      </c>
      <c r="H53" s="457">
        <v>3.734773877999999</v>
      </c>
      <c r="I53" s="457">
        <v>3.5006664549999993</v>
      </c>
      <c r="J53" s="457">
        <v>3.6747279469999992</v>
      </c>
      <c r="K53" s="457">
        <v>3.9057783489999993</v>
      </c>
      <c r="L53" s="457">
        <v>4.1986862499999997</v>
      </c>
      <c r="M53" s="457">
        <v>4.4473616989999991</v>
      </c>
      <c r="N53" s="457">
        <v>4.5468469749999993</v>
      </c>
      <c r="O53" s="457">
        <v>4.584897451199998</v>
      </c>
      <c r="P53" s="457">
        <v>4.7228462957999993</v>
      </c>
      <c r="Q53" s="457">
        <v>4.8607951403999996</v>
      </c>
      <c r="R53" s="457">
        <v>4.9987439849999991</v>
      </c>
      <c r="S53" s="457">
        <v>5.1366928295999976</v>
      </c>
      <c r="T53" s="457">
        <v>5.274641674199998</v>
      </c>
      <c r="U53" s="457">
        <v>5.4125905187999992</v>
      </c>
      <c r="V53" s="457">
        <v>5.5505393633999986</v>
      </c>
      <c r="W53" s="457">
        <v>5.6884882079999999</v>
      </c>
      <c r="X53" s="457">
        <v>5.8264370525999993</v>
      </c>
      <c r="Y53" s="457">
        <v>5.9643858971999988</v>
      </c>
      <c r="Z53" s="457">
        <v>6.1023347417999982</v>
      </c>
      <c r="AA53" s="457">
        <v>6.2402835863999986</v>
      </c>
      <c r="AB53" s="457">
        <v>6.3782324309999989</v>
      </c>
      <c r="AC53" s="457">
        <v>6.5161812755999966</v>
      </c>
      <c r="AD53" s="457">
        <v>6.6541301201999987</v>
      </c>
      <c r="AE53" s="457">
        <v>6.7920789648</v>
      </c>
      <c r="AF53" s="457">
        <v>6.9300278093999985</v>
      </c>
      <c r="AG53" s="457">
        <v>7.067976653999998</v>
      </c>
      <c r="AH53" s="457">
        <v>7.2059254985999992</v>
      </c>
    </row>
    <row r="54" spans="2:48" x14ac:dyDescent="0.25">
      <c r="B54" s="235" t="s">
        <v>412</v>
      </c>
      <c r="C54" s="60" t="s">
        <v>557</v>
      </c>
      <c r="D54" s="457">
        <v>4.1229010739085723</v>
      </c>
      <c r="E54" s="457">
        <v>4.7159323402400002</v>
      </c>
      <c r="F54" s="457">
        <v>5.1221607483828571</v>
      </c>
      <c r="G54" s="457">
        <v>5.5694474642400005</v>
      </c>
      <c r="H54" s="457">
        <v>5.7966616507485726</v>
      </c>
      <c r="I54" s="457">
        <v>5.8464044126400019</v>
      </c>
      <c r="J54" s="457">
        <v>6.3265377746685729</v>
      </c>
      <c r="K54" s="457">
        <v>6.7749691463771446</v>
      </c>
      <c r="L54" s="457">
        <v>7.3545133807200003</v>
      </c>
      <c r="M54" s="457">
        <v>7.7383961159371433</v>
      </c>
      <c r="N54" s="457">
        <v>8.1556729414285734</v>
      </c>
      <c r="O54" s="457">
        <v>8.3937928780346684</v>
      </c>
      <c r="P54" s="457">
        <v>8.7671971108521891</v>
      </c>
      <c r="Q54" s="457">
        <v>9.1406013436697151</v>
      </c>
      <c r="R54" s="457">
        <v>9.5140055764872393</v>
      </c>
      <c r="S54" s="457">
        <v>9.8874098093047618</v>
      </c>
      <c r="T54" s="457">
        <v>10.260814042122284</v>
      </c>
      <c r="U54" s="457">
        <v>10.634218274939812</v>
      </c>
      <c r="V54" s="457">
        <v>11.007622507757334</v>
      </c>
      <c r="W54" s="457">
        <v>11.38102674057486</v>
      </c>
      <c r="X54" s="457">
        <v>11.754430973392383</v>
      </c>
      <c r="Y54" s="457">
        <v>12.127835206209907</v>
      </c>
      <c r="Z54" s="457">
        <v>12.50123943902743</v>
      </c>
      <c r="AA54" s="457">
        <v>12.874643671844956</v>
      </c>
      <c r="AB54" s="457">
        <v>13.24804790466248</v>
      </c>
      <c r="AC54" s="457">
        <v>13.621452137480002</v>
      </c>
      <c r="AD54" s="457">
        <v>13.994856370297521</v>
      </c>
      <c r="AE54" s="457">
        <v>14.368260603115051</v>
      </c>
      <c r="AF54" s="457">
        <v>14.741664835932571</v>
      </c>
      <c r="AG54" s="457">
        <v>15.115069068750095</v>
      </c>
      <c r="AH54" s="457">
        <v>15.488473301567621</v>
      </c>
    </row>
    <row r="55" spans="2:48" x14ac:dyDescent="0.25">
      <c r="B55" s="235" t="s">
        <v>19</v>
      </c>
      <c r="C55" s="60" t="s">
        <v>557</v>
      </c>
      <c r="D55" s="457">
        <v>4.656206237257142</v>
      </c>
      <c r="E55" s="457">
        <v>4.278850933028572</v>
      </c>
      <c r="F55" s="457">
        <v>4.1506851584000009</v>
      </c>
      <c r="G55" s="457">
        <v>4.0943301595428574</v>
      </c>
      <c r="H55" s="457">
        <v>4.1836612022857143</v>
      </c>
      <c r="I55" s="457">
        <v>4.1054616667428565</v>
      </c>
      <c r="J55" s="457">
        <v>4.1692655689142866</v>
      </c>
      <c r="K55" s="457">
        <v>4.157715584</v>
      </c>
      <c r="L55" s="457">
        <v>4.0689146130285714</v>
      </c>
      <c r="M55" s="457">
        <v>3.9755940827428575</v>
      </c>
      <c r="N55" s="457">
        <v>3.8982594011428575</v>
      </c>
      <c r="O55" s="457">
        <v>3.9485381035885716</v>
      </c>
      <c r="P55" s="457">
        <v>3.9194952429714287</v>
      </c>
      <c r="Q55" s="457">
        <v>3.8904523823542858</v>
      </c>
      <c r="R55" s="457">
        <v>3.8614095217371429</v>
      </c>
      <c r="S55" s="457">
        <v>3.83236666112</v>
      </c>
      <c r="T55" s="457">
        <v>3.8033238005028562</v>
      </c>
      <c r="U55" s="457">
        <v>3.7742809398857147</v>
      </c>
      <c r="V55" s="457">
        <v>3.7452380792685713</v>
      </c>
      <c r="W55" s="457">
        <v>3.7161952186514284</v>
      </c>
      <c r="X55" s="457">
        <v>3.6871523580342855</v>
      </c>
      <c r="Y55" s="457">
        <v>3.6581094974171426</v>
      </c>
      <c r="Z55" s="457">
        <v>3.6290666368000002</v>
      </c>
      <c r="AA55" s="457">
        <v>3.6000237761828573</v>
      </c>
      <c r="AB55" s="457">
        <v>3.570980915565714</v>
      </c>
      <c r="AC55" s="457">
        <v>3.5419380549485715</v>
      </c>
      <c r="AD55" s="457">
        <v>3.5128951943314286</v>
      </c>
      <c r="AE55" s="457">
        <v>3.4838523337142857</v>
      </c>
      <c r="AF55" s="457">
        <v>3.4548094730971428</v>
      </c>
      <c r="AG55" s="457">
        <v>3.4257666124799999</v>
      </c>
      <c r="AH55" s="457">
        <v>3.396723751862857</v>
      </c>
    </row>
    <row r="56" spans="2:48" x14ac:dyDescent="0.25">
      <c r="B56" s="235" t="s">
        <v>60</v>
      </c>
      <c r="C56" s="60" t="s">
        <v>557</v>
      </c>
      <c r="D56" s="457">
        <v>22.824921936959999</v>
      </c>
      <c r="E56" s="457">
        <v>23.202424571039998</v>
      </c>
      <c r="F56" s="457">
        <v>23.767603722720001</v>
      </c>
      <c r="G56" s="457">
        <v>24.719515254720005</v>
      </c>
      <c r="H56" s="457">
        <v>26.527673652480001</v>
      </c>
      <c r="I56" s="457">
        <v>28.093626372239999</v>
      </c>
      <c r="J56" s="457">
        <v>31.73143164048</v>
      </c>
      <c r="K56" s="457">
        <v>34.614682605360002</v>
      </c>
      <c r="L56" s="457">
        <v>39.924184322880009</v>
      </c>
      <c r="M56" s="457">
        <v>43.727305770719987</v>
      </c>
      <c r="N56" s="457">
        <v>47.165649307919999</v>
      </c>
      <c r="O56" s="457">
        <v>47.657713536576004</v>
      </c>
      <c r="P56" s="457">
        <v>50.441405139216002</v>
      </c>
      <c r="Q56" s="457">
        <v>53.225096741856014</v>
      </c>
      <c r="R56" s="457">
        <v>56.008788344496011</v>
      </c>
      <c r="S56" s="457">
        <v>58.792479947136009</v>
      </c>
      <c r="T56" s="457">
        <v>61.576171549775992</v>
      </c>
      <c r="U56" s="457">
        <v>64.359863152415997</v>
      </c>
      <c r="V56" s="457">
        <v>67.143554755056002</v>
      </c>
      <c r="W56" s="457">
        <v>69.927246357696006</v>
      </c>
      <c r="X56" s="457">
        <v>72.710937960335983</v>
      </c>
      <c r="Y56" s="457">
        <v>75.494629562975987</v>
      </c>
      <c r="Z56" s="457">
        <v>78.278321165616006</v>
      </c>
      <c r="AA56" s="457">
        <v>81.062012768256011</v>
      </c>
      <c r="AB56" s="457">
        <v>83.845704370896001</v>
      </c>
      <c r="AC56" s="457">
        <v>86.629395973536006</v>
      </c>
      <c r="AD56" s="457">
        <v>89.413087576176011</v>
      </c>
      <c r="AE56" s="457">
        <v>92.196779178816001</v>
      </c>
      <c r="AF56" s="457">
        <v>94.980470781456006</v>
      </c>
      <c r="AG56" s="457">
        <v>97.764162384095982</v>
      </c>
      <c r="AH56" s="457">
        <v>100.54785398673602</v>
      </c>
    </row>
    <row r="57" spans="2:48" x14ac:dyDescent="0.25">
      <c r="B57" s="235" t="s">
        <v>20</v>
      </c>
      <c r="C57" s="60" t="s">
        <v>557</v>
      </c>
      <c r="D57" s="457">
        <v>10.942593007028574</v>
      </c>
      <c r="E57" s="457">
        <v>8.6999810539714311</v>
      </c>
      <c r="F57" s="457">
        <v>8.2795190119714306</v>
      </c>
      <c r="G57" s="457">
        <v>8.7700706336571432</v>
      </c>
      <c r="H57" s="457">
        <v>10.788326153314285</v>
      </c>
      <c r="I57" s="457">
        <v>9.4226024517428577</v>
      </c>
      <c r="J57" s="457">
        <v>10.830240344314287</v>
      </c>
      <c r="K57" s="457">
        <v>12.206063055685718</v>
      </c>
      <c r="L57" s="457">
        <v>13.493748097028574</v>
      </c>
      <c r="M57" s="457">
        <v>15.228684430457147</v>
      </c>
      <c r="N57" s="457">
        <v>16.985572673142862</v>
      </c>
      <c r="O57" s="457">
        <v>16.553604737811433</v>
      </c>
      <c r="P57" s="457">
        <v>17.477809091862856</v>
      </c>
      <c r="Q57" s="457">
        <v>18.402013445914285</v>
      </c>
      <c r="R57" s="457">
        <v>19.326217799965718</v>
      </c>
      <c r="S57" s="457">
        <v>20.250422154017151</v>
      </c>
      <c r="T57" s="457">
        <v>21.174626508068577</v>
      </c>
      <c r="U57" s="457">
        <v>22.098830862120003</v>
      </c>
      <c r="V57" s="457">
        <v>23.023035216171433</v>
      </c>
      <c r="W57" s="457">
        <v>23.947239570222859</v>
      </c>
      <c r="X57" s="457">
        <v>24.871443924274288</v>
      </c>
      <c r="Y57" s="457">
        <v>25.795648278325718</v>
      </c>
      <c r="Z57" s="457">
        <v>26.719852632377158</v>
      </c>
      <c r="AA57" s="457">
        <v>27.644056986428566</v>
      </c>
      <c r="AB57" s="457">
        <v>28.568261340480003</v>
      </c>
      <c r="AC57" s="457">
        <v>29.492465694531436</v>
      </c>
      <c r="AD57" s="457">
        <v>30.416670048582858</v>
      </c>
      <c r="AE57" s="457">
        <v>31.340874402634292</v>
      </c>
      <c r="AF57" s="457">
        <v>32.265078756685725</v>
      </c>
      <c r="AG57" s="457">
        <v>33.189283110737144</v>
      </c>
      <c r="AH57" s="457">
        <v>34.113487464788577</v>
      </c>
    </row>
    <row r="58" spans="2:48" x14ac:dyDescent="0.25">
      <c r="B58" s="235" t="s">
        <v>21</v>
      </c>
      <c r="C58" s="60" t="s">
        <v>557</v>
      </c>
      <c r="D58" s="457">
        <v>0.27034331192</v>
      </c>
      <c r="E58" s="457">
        <v>0.29767152184000001</v>
      </c>
      <c r="F58" s="457">
        <v>0.30048471992000003</v>
      </c>
      <c r="G58" s="457">
        <v>0.30452869216000006</v>
      </c>
      <c r="H58" s="457">
        <v>0.35772827728000001</v>
      </c>
      <c r="I58" s="457">
        <v>0.31570613096</v>
      </c>
      <c r="J58" s="457">
        <v>0.39070800120000004</v>
      </c>
      <c r="K58" s="457">
        <v>0.39573156920000002</v>
      </c>
      <c r="L58" s="457">
        <v>0.34454141127999999</v>
      </c>
      <c r="M58" s="457">
        <v>0.34554612488000003</v>
      </c>
      <c r="N58" s="457">
        <v>0.34986639336000003</v>
      </c>
      <c r="O58" s="457">
        <v>0.37939325154133335</v>
      </c>
      <c r="P58" s="457">
        <v>0.3865099728746666</v>
      </c>
      <c r="Q58" s="457">
        <v>0.39362669420800006</v>
      </c>
      <c r="R58" s="457">
        <v>0.40074341554133341</v>
      </c>
      <c r="S58" s="457">
        <v>0.40786013687466666</v>
      </c>
      <c r="T58" s="457">
        <v>0.41497685820800007</v>
      </c>
      <c r="U58" s="457">
        <v>0.42209357954133336</v>
      </c>
      <c r="V58" s="457">
        <v>0.42921030087466672</v>
      </c>
      <c r="W58" s="457">
        <v>0.43632702220800001</v>
      </c>
      <c r="X58" s="457">
        <v>0.44344374354133331</v>
      </c>
      <c r="Y58" s="457">
        <v>0.45056046487466678</v>
      </c>
      <c r="Z58" s="457">
        <v>0.45767718620799996</v>
      </c>
      <c r="AA58" s="457">
        <v>0.46479390754133337</v>
      </c>
      <c r="AB58" s="457">
        <v>0.47191062887466678</v>
      </c>
      <c r="AC58" s="457">
        <v>0.47902735020800002</v>
      </c>
      <c r="AD58" s="457">
        <v>0.48614407154133332</v>
      </c>
      <c r="AE58" s="457">
        <v>0.49326079287466668</v>
      </c>
      <c r="AF58" s="457">
        <v>0.50037751420800003</v>
      </c>
      <c r="AG58" s="457">
        <v>0.50749423554133333</v>
      </c>
      <c r="AH58" s="457">
        <v>0.51461095687466674</v>
      </c>
    </row>
    <row r="59" spans="2:48" x14ac:dyDescent="0.25">
      <c r="B59" s="235" t="s">
        <v>61</v>
      </c>
      <c r="C59" s="60" t="s">
        <v>557</v>
      </c>
      <c r="D59" s="457">
        <v>2.9720636000000002E-2</v>
      </c>
      <c r="E59" s="457">
        <v>3.9626444000000004E-2</v>
      </c>
      <c r="F59" s="457">
        <v>3.1162823999999999E-2</v>
      </c>
      <c r="G59" s="457">
        <v>3.5996884000000014E-2</v>
      </c>
      <c r="H59" s="457">
        <v>2.5991504000000002E-2</v>
      </c>
      <c r="I59" s="457">
        <v>2.9090295761408921E-2</v>
      </c>
      <c r="J59" s="457">
        <v>4.0108244000000001E-2</v>
      </c>
      <c r="K59" s="457">
        <v>2.2622116000000001E-2</v>
      </c>
      <c r="L59" s="457">
        <v>1.5330876E-2</v>
      </c>
      <c r="M59" s="457">
        <v>2.6164952000000005E-2</v>
      </c>
      <c r="N59" s="457">
        <v>2.6746324000000002E-2</v>
      </c>
      <c r="O59" s="457">
        <v>2.083983171742726E-2</v>
      </c>
      <c r="P59" s="457">
        <v>1.9304519961297506E-2</v>
      </c>
      <c r="Q59" s="457">
        <v>1.7769208205167756E-2</v>
      </c>
      <c r="R59" s="457">
        <v>1.6233896449038006E-2</v>
      </c>
      <c r="S59" s="457">
        <v>1.4698584692908254E-2</v>
      </c>
      <c r="T59" s="457">
        <v>1.31632729367785E-2</v>
      </c>
      <c r="U59" s="457">
        <v>1.162796118064875E-2</v>
      </c>
      <c r="V59" s="457">
        <v>1.0092649424518998E-2</v>
      </c>
      <c r="W59" s="457">
        <v>8.5573376683892467E-3</v>
      </c>
      <c r="X59" s="457">
        <v>7.0220259122594914E-3</v>
      </c>
      <c r="Y59" s="457">
        <v>5.4867141561297413E-3</v>
      </c>
      <c r="Z59" s="457">
        <v>3.9514023999999912E-3</v>
      </c>
      <c r="AA59" s="457">
        <v>2.4160906438702406E-3</v>
      </c>
      <c r="AB59" s="457">
        <v>8.8077888774048467E-4</v>
      </c>
      <c r="AC59" s="457">
        <v>-6.5453286838926565E-4</v>
      </c>
      <c r="AD59" s="457">
        <v>-2.1898446245190157E-3</v>
      </c>
      <c r="AE59" s="457">
        <v>-3.7251563806487724E-3</v>
      </c>
      <c r="AF59" s="457">
        <v>-5.2604681367785216E-3</v>
      </c>
      <c r="AG59" s="457">
        <v>-6.7957798929082717E-3</v>
      </c>
      <c r="AH59" s="457">
        <v>-8.3310916490380235E-3</v>
      </c>
    </row>
    <row r="60" spans="2:48" ht="24" x14ac:dyDescent="0.25">
      <c r="B60" s="235" t="s">
        <v>414</v>
      </c>
      <c r="C60" s="60" t="s">
        <v>557</v>
      </c>
      <c r="D60" s="457">
        <v>2.5341145398171427</v>
      </c>
      <c r="E60" s="457">
        <v>2.6059070920771434</v>
      </c>
      <c r="F60" s="457">
        <v>2.8477059266857148</v>
      </c>
      <c r="G60" s="457">
        <v>2.9437662103771434</v>
      </c>
      <c r="H60" s="457">
        <v>2.8952599078857144</v>
      </c>
      <c r="I60" s="457">
        <v>2.9201696378171427</v>
      </c>
      <c r="J60" s="457">
        <v>2.7579278217228578</v>
      </c>
      <c r="K60" s="457">
        <v>2.6140179082914288</v>
      </c>
      <c r="L60" s="457">
        <v>2.6113597052714281</v>
      </c>
      <c r="M60" s="457">
        <v>2.6688239798000004</v>
      </c>
      <c r="N60" s="457">
        <v>2.5768847150514285</v>
      </c>
      <c r="O60" s="457">
        <v>2.5977873141490431</v>
      </c>
      <c r="P60" s="457">
        <v>2.5970504082765995</v>
      </c>
      <c r="Q60" s="457">
        <v>2.596313711439846</v>
      </c>
      <c r="R60" s="457">
        <v>2.5955772235794861</v>
      </c>
      <c r="S60" s="457">
        <v>2.5948409446362395</v>
      </c>
      <c r="T60" s="457">
        <v>2.5941048745508466</v>
      </c>
      <c r="U60" s="457">
        <v>2.5933690132640583</v>
      </c>
      <c r="V60" s="457">
        <v>2.5926333607166461</v>
      </c>
      <c r="W60" s="457">
        <v>2.5918979168493972</v>
      </c>
      <c r="X60" s="457">
        <v>2.5911626816031172</v>
      </c>
      <c r="Y60" s="457">
        <v>2.5904276549186256</v>
      </c>
      <c r="Z60" s="457">
        <v>2.5896928367367624</v>
      </c>
      <c r="AA60" s="457">
        <v>2.5889582269983809</v>
      </c>
      <c r="AB60" s="457">
        <v>2.588223825644353</v>
      </c>
      <c r="AC60" s="457">
        <v>2.5874896326155663</v>
      </c>
      <c r="AD60" s="457">
        <v>2.586755647852927</v>
      </c>
      <c r="AE60" s="457">
        <v>2.5860218712973562</v>
      </c>
      <c r="AF60" s="457">
        <v>2.5852883028897939</v>
      </c>
      <c r="AG60" s="457">
        <v>2.5845549425711924</v>
      </c>
      <c r="AH60" s="457">
        <v>2.5838217902825269</v>
      </c>
    </row>
    <row r="61" spans="2:48" x14ac:dyDescent="0.25">
      <c r="B61" s="235" t="s">
        <v>415</v>
      </c>
      <c r="C61" s="60" t="s">
        <v>557</v>
      </c>
      <c r="D61" s="457">
        <v>0.75239733752857152</v>
      </c>
      <c r="E61" s="457">
        <v>0.93421492622857139</v>
      </c>
      <c r="F61" s="457">
        <v>1.083784241414286</v>
      </c>
      <c r="G61" s="457">
        <v>1.0657805684428572</v>
      </c>
      <c r="H61" s="457">
        <v>1.2266115800714286</v>
      </c>
      <c r="I61" s="457">
        <v>1.2835489718857143</v>
      </c>
      <c r="J61" s="457">
        <v>1.3061615780714286</v>
      </c>
      <c r="K61" s="457">
        <v>1.4464345393142859</v>
      </c>
      <c r="L61" s="457">
        <v>1.3001517310571433</v>
      </c>
      <c r="M61" s="457">
        <v>1.3251729701571429</v>
      </c>
      <c r="N61" s="457">
        <v>1.4198908695714285</v>
      </c>
      <c r="O61" s="457">
        <v>1.5278188569809521</v>
      </c>
      <c r="P61" s="457">
        <v>1.5817828506857146</v>
      </c>
      <c r="Q61" s="457">
        <v>1.6357468443904764</v>
      </c>
      <c r="R61" s="457">
        <v>1.6897108380952384</v>
      </c>
      <c r="S61" s="457">
        <v>1.7436748318000002</v>
      </c>
      <c r="T61" s="457">
        <v>1.797638825504762</v>
      </c>
      <c r="U61" s="457">
        <v>1.851602819209524</v>
      </c>
      <c r="V61" s="457">
        <v>1.9055668129142855</v>
      </c>
      <c r="W61" s="457">
        <v>1.9595308066190473</v>
      </c>
      <c r="X61" s="457">
        <v>2.0134948003238096</v>
      </c>
      <c r="Y61" s="457">
        <v>2.067458794028572</v>
      </c>
      <c r="Z61" s="457">
        <v>2.1214227877333336</v>
      </c>
      <c r="AA61" s="457">
        <v>2.1753867814380952</v>
      </c>
      <c r="AB61" s="457">
        <v>2.2293507751428572</v>
      </c>
      <c r="AC61" s="457">
        <v>2.2833147688476187</v>
      </c>
      <c r="AD61" s="457">
        <v>2.3372787625523803</v>
      </c>
      <c r="AE61" s="457">
        <v>2.3912427562571428</v>
      </c>
      <c r="AF61" s="457">
        <v>2.4452067499619048</v>
      </c>
      <c r="AG61" s="457">
        <v>2.4991707436666668</v>
      </c>
      <c r="AH61" s="457">
        <v>2.5531347373714288</v>
      </c>
    </row>
    <row r="62" spans="2:48" ht="24" x14ac:dyDescent="0.25">
      <c r="B62" s="235" t="s">
        <v>416</v>
      </c>
      <c r="C62" s="60" t="s">
        <v>557</v>
      </c>
      <c r="D62" s="457">
        <v>2.603189721722857</v>
      </c>
      <c r="E62" s="457">
        <v>2.9621790409095241</v>
      </c>
      <c r="F62" s="457">
        <v>3.9645123603957151</v>
      </c>
      <c r="G62" s="457">
        <v>4.3500818441457136</v>
      </c>
      <c r="H62" s="457">
        <v>4.8841578721990482</v>
      </c>
      <c r="I62" s="457">
        <v>5.074280687619523</v>
      </c>
      <c r="J62" s="457">
        <v>5.3923811928904763</v>
      </c>
      <c r="K62" s="457">
        <v>5.4637571437795245</v>
      </c>
      <c r="L62" s="457">
        <v>6.5434242699780967</v>
      </c>
      <c r="M62" s="457">
        <v>6.8751205005528568</v>
      </c>
      <c r="N62" s="457">
        <v>7.8045406629247598</v>
      </c>
      <c r="O62" s="457">
        <v>7.8974142918199091</v>
      </c>
      <c r="P62" s="457">
        <v>8.363954425325435</v>
      </c>
      <c r="Q62" s="457">
        <v>8.83049455883096</v>
      </c>
      <c r="R62" s="457">
        <v>9.2970346923364833</v>
      </c>
      <c r="S62" s="457">
        <v>9.7635748258420065</v>
      </c>
      <c r="T62" s="457">
        <v>10.230114959347532</v>
      </c>
      <c r="U62" s="457">
        <v>10.69665509285306</v>
      </c>
      <c r="V62" s="457">
        <v>11.163195226358583</v>
      </c>
      <c r="W62" s="457">
        <v>11.629735359864108</v>
      </c>
      <c r="X62" s="457">
        <v>12.09627549336963</v>
      </c>
      <c r="Y62" s="457">
        <v>12.562815626875155</v>
      </c>
      <c r="Z62" s="457">
        <v>13.029355760380682</v>
      </c>
      <c r="AA62" s="457">
        <v>13.495895893886207</v>
      </c>
      <c r="AB62" s="457">
        <v>13.96243602739173</v>
      </c>
      <c r="AC62" s="457">
        <v>14.428976160897255</v>
      </c>
      <c r="AD62" s="457">
        <v>14.895516294402778</v>
      </c>
      <c r="AE62" s="457">
        <v>15.362056427908303</v>
      </c>
      <c r="AF62" s="457">
        <v>15.828596561413828</v>
      </c>
      <c r="AG62" s="457">
        <v>16.295136694919353</v>
      </c>
      <c r="AH62" s="457">
        <v>16.761676828424878</v>
      </c>
    </row>
    <row r="63" spans="2:48" x14ac:dyDescent="0.25">
      <c r="B63" s="235" t="s">
        <v>72</v>
      </c>
      <c r="C63" s="60" t="s">
        <v>557</v>
      </c>
      <c r="D63" s="457">
        <v>0.32750878555999996</v>
      </c>
      <c r="E63" s="457">
        <v>0.38148717284857153</v>
      </c>
      <c r="F63" s="457">
        <v>0.40388403128857148</v>
      </c>
      <c r="G63" s="457">
        <v>0.46583448786285714</v>
      </c>
      <c r="H63" s="457">
        <v>0.45904247296285711</v>
      </c>
      <c r="I63" s="457">
        <v>0.50192261101714286</v>
      </c>
      <c r="J63" s="457">
        <v>0.49824323060285725</v>
      </c>
      <c r="K63" s="457">
        <v>0.61469620862571428</v>
      </c>
      <c r="L63" s="457">
        <v>0.74896015338571431</v>
      </c>
      <c r="M63" s="457">
        <v>0.7726482518857144</v>
      </c>
      <c r="N63" s="457">
        <v>0.92853122569428581</v>
      </c>
      <c r="O63" s="457">
        <v>0.89031352375009554</v>
      </c>
      <c r="P63" s="457">
        <v>0.94718416722876198</v>
      </c>
      <c r="Q63" s="457">
        <v>1.0040548107074285</v>
      </c>
      <c r="R63" s="457">
        <v>1.0609254541860953</v>
      </c>
      <c r="S63" s="457">
        <v>1.1177960976647618</v>
      </c>
      <c r="T63" s="457">
        <v>1.1746667411434286</v>
      </c>
      <c r="U63" s="457">
        <v>1.2315373846220952</v>
      </c>
      <c r="V63" s="457">
        <v>1.2884080281007617</v>
      </c>
      <c r="W63" s="457">
        <v>1.3452786715794287</v>
      </c>
      <c r="X63" s="457">
        <v>1.4021493150580957</v>
      </c>
      <c r="Y63" s="457">
        <v>1.4590199585367623</v>
      </c>
      <c r="Z63" s="457">
        <v>1.5158906020154288</v>
      </c>
      <c r="AA63" s="457">
        <v>1.5727612454940954</v>
      </c>
      <c r="AB63" s="457">
        <v>1.6296318889727623</v>
      </c>
      <c r="AC63" s="457">
        <v>1.6865025324514287</v>
      </c>
      <c r="AD63" s="457">
        <v>1.7433731759300954</v>
      </c>
      <c r="AE63" s="457">
        <v>1.800243819408762</v>
      </c>
      <c r="AF63" s="457">
        <v>1.8571144628874288</v>
      </c>
      <c r="AG63" s="457">
        <v>1.9139851063660953</v>
      </c>
      <c r="AH63" s="457">
        <v>1.9708557498447619</v>
      </c>
    </row>
    <row r="64" spans="2:48" x14ac:dyDescent="0.25">
      <c r="B64" s="60"/>
      <c r="C64" s="60"/>
      <c r="D64" s="457"/>
      <c r="E64" s="457"/>
      <c r="F64" s="457"/>
      <c r="G64" s="457"/>
      <c r="H64" s="457"/>
      <c r="I64" s="457"/>
      <c r="J64" s="457"/>
      <c r="K64" s="457"/>
      <c r="L64" s="457"/>
      <c r="M64" s="457"/>
      <c r="N64" s="457"/>
      <c r="O64" s="457"/>
      <c r="P64" s="457"/>
      <c r="Q64" s="457"/>
      <c r="R64" s="457"/>
      <c r="S64" s="457"/>
      <c r="T64" s="457"/>
      <c r="U64" s="457"/>
      <c r="V64" s="457"/>
      <c r="W64" s="457"/>
      <c r="X64" s="457"/>
      <c r="Y64" s="457"/>
      <c r="Z64" s="457"/>
      <c r="AA64" s="457"/>
      <c r="AB64" s="457"/>
      <c r="AC64" s="457"/>
      <c r="AD64" s="457"/>
      <c r="AE64" s="457"/>
      <c r="AF64" s="457"/>
      <c r="AG64" s="457"/>
      <c r="AH64" s="457"/>
    </row>
    <row r="65" spans="2:34" x14ac:dyDescent="0.25">
      <c r="B65" s="237" t="s">
        <v>419</v>
      </c>
      <c r="C65" s="60" t="s">
        <v>557</v>
      </c>
      <c r="D65" s="457">
        <v>52.262672783702861</v>
      </c>
      <c r="E65" s="457">
        <v>51.323769190183796</v>
      </c>
      <c r="F65" s="457">
        <v>53.394199024178576</v>
      </c>
      <c r="G65" s="457">
        <v>55.924108332148585</v>
      </c>
      <c r="H65" s="457">
        <v>60.879888151227618</v>
      </c>
      <c r="I65" s="457">
        <v>61.093479693426644</v>
      </c>
      <c r="J65" s="457">
        <v>67.117733343864757</v>
      </c>
      <c r="K65" s="457">
        <v>72.216468225633818</v>
      </c>
      <c r="L65" s="457">
        <v>80.603814810629558</v>
      </c>
      <c r="M65" s="457">
        <v>87.130818878132857</v>
      </c>
      <c r="N65" s="457">
        <v>93.858461489236163</v>
      </c>
      <c r="O65" s="457">
        <v>94.45211377716943</v>
      </c>
      <c r="P65" s="457">
        <v>99.22453922505494</v>
      </c>
      <c r="Q65" s="457">
        <v>103.99696488197617</v>
      </c>
      <c r="R65" s="457">
        <v>108.76939074787379</v>
      </c>
      <c r="S65" s="457">
        <v>113.5418168226885</v>
      </c>
      <c r="T65" s="457">
        <v>118.31424310636106</v>
      </c>
      <c r="U65" s="457">
        <v>123.08666959883223</v>
      </c>
      <c r="V65" s="457">
        <v>127.85909630004281</v>
      </c>
      <c r="W65" s="457">
        <v>132.63152320993353</v>
      </c>
      <c r="X65" s="457">
        <v>137.40395032844515</v>
      </c>
      <c r="Y65" s="457">
        <v>142.17637765551868</v>
      </c>
      <c r="Z65" s="457">
        <v>146.94880519109486</v>
      </c>
      <c r="AA65" s="457">
        <v>151.72123293511439</v>
      </c>
      <c r="AB65" s="457">
        <v>156.49366088751827</v>
      </c>
      <c r="AC65" s="457">
        <v>161.26608904824747</v>
      </c>
      <c r="AD65" s="457">
        <v>166.03851741724282</v>
      </c>
      <c r="AE65" s="457">
        <v>170.81094599444523</v>
      </c>
      <c r="AF65" s="457">
        <v>175.58337477979561</v>
      </c>
      <c r="AG65" s="457">
        <v>180.35580377323498</v>
      </c>
      <c r="AH65" s="457">
        <v>185.12823297470428</v>
      </c>
    </row>
    <row r="66" spans="2:34" x14ac:dyDescent="0.25">
      <c r="D66" s="2"/>
    </row>
    <row r="67" spans="2:34" x14ac:dyDescent="0.25">
      <c r="D67" s="2"/>
    </row>
    <row r="68" spans="2:34" x14ac:dyDescent="0.25">
      <c r="D68" s="2"/>
    </row>
    <row r="69" spans="2:34" x14ac:dyDescent="0.25">
      <c r="B69" s="458" t="s">
        <v>418</v>
      </c>
      <c r="C69" s="448"/>
      <c r="D69" s="449">
        <v>2000</v>
      </c>
      <c r="E69" s="449">
        <v>2001</v>
      </c>
      <c r="F69" s="449">
        <v>2002</v>
      </c>
      <c r="G69" s="449">
        <v>2003</v>
      </c>
      <c r="H69" s="449">
        <v>2004</v>
      </c>
      <c r="I69" s="449">
        <v>2005</v>
      </c>
      <c r="J69" s="449">
        <v>2006</v>
      </c>
      <c r="K69" s="449">
        <v>2007</v>
      </c>
      <c r="L69" s="449">
        <v>2008</v>
      </c>
      <c r="M69" s="449">
        <v>2009</v>
      </c>
      <c r="N69" s="449">
        <v>2010</v>
      </c>
      <c r="O69" s="452">
        <v>2011</v>
      </c>
      <c r="P69" s="452">
        <v>2012</v>
      </c>
      <c r="Q69" s="452">
        <v>2013</v>
      </c>
      <c r="R69" s="452">
        <v>2014</v>
      </c>
      <c r="S69" s="452">
        <v>2015</v>
      </c>
      <c r="T69" s="452">
        <v>2016</v>
      </c>
      <c r="U69" s="452">
        <v>2017</v>
      </c>
      <c r="V69" s="452">
        <v>2018</v>
      </c>
      <c r="W69" s="452">
        <v>2019</v>
      </c>
      <c r="X69" s="452">
        <v>2020</v>
      </c>
      <c r="Y69" s="452">
        <v>2021</v>
      </c>
      <c r="Z69" s="452">
        <v>2022</v>
      </c>
      <c r="AA69" s="452">
        <v>2023</v>
      </c>
      <c r="AB69" s="452">
        <v>2024</v>
      </c>
      <c r="AC69" s="452">
        <v>2025</v>
      </c>
      <c r="AD69" s="452">
        <v>2026</v>
      </c>
      <c r="AE69" s="452">
        <v>2027</v>
      </c>
      <c r="AF69" s="452">
        <v>2028</v>
      </c>
      <c r="AG69" s="452">
        <v>2029</v>
      </c>
      <c r="AH69" s="452">
        <v>2030</v>
      </c>
    </row>
    <row r="70" spans="2:34" x14ac:dyDescent="0.25">
      <c r="B70" s="451" t="s">
        <v>413</v>
      </c>
      <c r="C70" s="452" t="s">
        <v>524</v>
      </c>
      <c r="D70" s="459">
        <v>3.1987761959999992E-3</v>
      </c>
      <c r="E70" s="460">
        <v>3.2054940939999998E-3</v>
      </c>
      <c r="F70" s="460">
        <v>3.4426962789999992E-3</v>
      </c>
      <c r="G70" s="460">
        <v>3.6047561329999997E-3</v>
      </c>
      <c r="H70" s="460">
        <v>3.7347738779999989E-3</v>
      </c>
      <c r="I70" s="460">
        <v>3.5006664549999994E-3</v>
      </c>
      <c r="J70" s="460">
        <v>3.6747279469999993E-3</v>
      </c>
      <c r="K70" s="460">
        <v>3.9057783489999994E-3</v>
      </c>
      <c r="L70" s="460">
        <v>4.19868625E-3</v>
      </c>
      <c r="M70" s="460">
        <v>4.4473616989999989E-3</v>
      </c>
      <c r="N70" s="460">
        <v>4.5468469749999994E-3</v>
      </c>
      <c r="O70" s="461">
        <v>4.5848974511999985E-3</v>
      </c>
      <c r="P70" s="461">
        <v>4.7228462957999992E-3</v>
      </c>
      <c r="Q70" s="461">
        <v>4.8607951404E-3</v>
      </c>
      <c r="R70" s="461">
        <v>4.998743984999999E-3</v>
      </c>
      <c r="S70" s="461">
        <v>5.1366928295999981E-3</v>
      </c>
      <c r="T70" s="461">
        <v>5.274641674199998E-3</v>
      </c>
      <c r="U70" s="461">
        <v>5.4125905187999996E-3</v>
      </c>
      <c r="V70" s="461">
        <v>5.5505393633999986E-3</v>
      </c>
      <c r="W70" s="461">
        <v>5.6884882080000003E-3</v>
      </c>
      <c r="X70" s="461">
        <v>5.8264370525999993E-3</v>
      </c>
      <c r="Y70" s="461">
        <v>5.9643858971999992E-3</v>
      </c>
      <c r="Z70" s="462">
        <v>6.1023347417999982E-3</v>
      </c>
      <c r="AA70" s="462">
        <v>6.240283586399999E-3</v>
      </c>
      <c r="AB70" s="462">
        <v>6.3782324309999989E-3</v>
      </c>
      <c r="AC70" s="463">
        <v>6.5161812755999962E-3</v>
      </c>
      <c r="AD70" s="463">
        <v>6.6541301201999987E-3</v>
      </c>
      <c r="AE70" s="463">
        <v>6.7920789648000003E-3</v>
      </c>
      <c r="AF70" s="463">
        <v>6.9300278093999985E-3</v>
      </c>
      <c r="AG70" s="463">
        <v>7.0679766539999984E-3</v>
      </c>
      <c r="AH70" s="463">
        <v>7.2059254985999991E-3</v>
      </c>
    </row>
    <row r="71" spans="2:34" x14ac:dyDescent="0.25">
      <c r="B71" s="451" t="s">
        <v>412</v>
      </c>
      <c r="C71" s="452" t="s">
        <v>524</v>
      </c>
      <c r="D71" s="459">
        <v>4.122901073908572E-3</v>
      </c>
      <c r="E71" s="460">
        <v>4.7159323402400002E-3</v>
      </c>
      <c r="F71" s="460">
        <v>5.1221607483828572E-3</v>
      </c>
      <c r="G71" s="460">
        <v>5.5694474642400005E-3</v>
      </c>
      <c r="H71" s="460">
        <v>5.7966616507485729E-3</v>
      </c>
      <c r="I71" s="460">
        <v>5.8464044126400015E-3</v>
      </c>
      <c r="J71" s="460">
        <v>6.3265377746685725E-3</v>
      </c>
      <c r="K71" s="460">
        <v>6.7749691463771444E-3</v>
      </c>
      <c r="L71" s="460">
        <v>7.3545133807200007E-3</v>
      </c>
      <c r="M71" s="460">
        <v>7.7383961159371434E-3</v>
      </c>
      <c r="N71" s="460">
        <v>8.1556729414285732E-3</v>
      </c>
      <c r="O71" s="461">
        <v>8.3937928780346682E-3</v>
      </c>
      <c r="P71" s="461">
        <v>8.7671971108521894E-3</v>
      </c>
      <c r="Q71" s="461">
        <v>9.1406013436697159E-3</v>
      </c>
      <c r="R71" s="461">
        <v>9.5140055764872389E-3</v>
      </c>
      <c r="S71" s="461">
        <v>9.8874098093047619E-3</v>
      </c>
      <c r="T71" s="461">
        <v>1.0260814042122285E-2</v>
      </c>
      <c r="U71" s="461">
        <v>1.0634218274939811E-2</v>
      </c>
      <c r="V71" s="461">
        <v>1.1007622507757334E-2</v>
      </c>
      <c r="W71" s="461">
        <v>1.1381026740574861E-2</v>
      </c>
      <c r="X71" s="461">
        <v>1.1754430973392382E-2</v>
      </c>
      <c r="Y71" s="461">
        <v>1.2127835206209907E-2</v>
      </c>
      <c r="Z71" s="462">
        <v>1.250123943902743E-2</v>
      </c>
      <c r="AA71" s="462">
        <v>1.2874643671844956E-2</v>
      </c>
      <c r="AB71" s="462">
        <v>1.3248047904662479E-2</v>
      </c>
      <c r="AC71" s="463">
        <v>1.3621452137480002E-2</v>
      </c>
      <c r="AD71" s="463">
        <v>1.3994856370297522E-2</v>
      </c>
      <c r="AE71" s="463">
        <v>1.436826060311505E-2</v>
      </c>
      <c r="AF71" s="463">
        <v>1.4741664835932571E-2</v>
      </c>
      <c r="AG71" s="463">
        <v>1.5115069068750096E-2</v>
      </c>
      <c r="AH71" s="463">
        <v>1.5488473301567621E-2</v>
      </c>
    </row>
    <row r="72" spans="2:34" x14ac:dyDescent="0.25">
      <c r="B72" s="451" t="s">
        <v>19</v>
      </c>
      <c r="C72" s="452" t="s">
        <v>524</v>
      </c>
      <c r="D72" s="459">
        <v>4.6562062372571423E-3</v>
      </c>
      <c r="E72" s="460">
        <v>4.2788509330285718E-3</v>
      </c>
      <c r="F72" s="460">
        <v>4.1506851584000009E-3</v>
      </c>
      <c r="G72" s="460">
        <v>4.0943301595428574E-3</v>
      </c>
      <c r="H72" s="460">
        <v>4.1836612022857142E-3</v>
      </c>
      <c r="I72" s="460">
        <v>4.1054616667428566E-3</v>
      </c>
      <c r="J72" s="460">
        <v>4.1692655689142865E-3</v>
      </c>
      <c r="K72" s="460">
        <v>4.1577155839999996E-3</v>
      </c>
      <c r="L72" s="460">
        <v>4.0689146130285713E-3</v>
      </c>
      <c r="M72" s="460">
        <v>3.9755940827428575E-3</v>
      </c>
      <c r="N72" s="460">
        <v>3.8982594011428575E-3</v>
      </c>
      <c r="O72" s="461">
        <v>3.9485381035885714E-3</v>
      </c>
      <c r="P72" s="461">
        <v>3.9194952429714288E-3</v>
      </c>
      <c r="Q72" s="461">
        <v>3.8904523823542858E-3</v>
      </c>
      <c r="R72" s="461">
        <v>3.8614095217371427E-3</v>
      </c>
      <c r="S72" s="461">
        <v>3.8323666611200001E-3</v>
      </c>
      <c r="T72" s="461">
        <v>3.8033238005028562E-3</v>
      </c>
      <c r="U72" s="461">
        <v>3.7742809398857145E-3</v>
      </c>
      <c r="V72" s="461">
        <v>3.7452380792685714E-3</v>
      </c>
      <c r="W72" s="461">
        <v>3.7161952186514284E-3</v>
      </c>
      <c r="X72" s="461">
        <v>3.6871523580342853E-3</v>
      </c>
      <c r="Y72" s="461">
        <v>3.6581094974171427E-3</v>
      </c>
      <c r="Z72" s="462">
        <v>3.6290666368000001E-3</v>
      </c>
      <c r="AA72" s="462">
        <v>3.6000237761828571E-3</v>
      </c>
      <c r="AB72" s="462">
        <v>3.570980915565714E-3</v>
      </c>
      <c r="AC72" s="463">
        <v>3.5419380549485714E-3</v>
      </c>
      <c r="AD72" s="463">
        <v>3.5128951943314288E-3</v>
      </c>
      <c r="AE72" s="463">
        <v>3.4838523337142858E-3</v>
      </c>
      <c r="AF72" s="463">
        <v>3.4548094730971427E-3</v>
      </c>
      <c r="AG72" s="463">
        <v>3.4257666124800001E-3</v>
      </c>
      <c r="AH72" s="463">
        <v>3.3967237518628571E-3</v>
      </c>
    </row>
    <row r="73" spans="2:34" x14ac:dyDescent="0.25">
      <c r="B73" s="451" t="s">
        <v>60</v>
      </c>
      <c r="C73" s="452" t="s">
        <v>524</v>
      </c>
      <c r="D73" s="459">
        <v>2.2824921936960001E-2</v>
      </c>
      <c r="E73" s="460">
        <v>2.3202424571039999E-2</v>
      </c>
      <c r="F73" s="460">
        <v>2.376760372272E-2</v>
      </c>
      <c r="G73" s="460">
        <v>2.4719515254720003E-2</v>
      </c>
      <c r="H73" s="460">
        <v>2.6527673652480002E-2</v>
      </c>
      <c r="I73" s="460">
        <v>2.8093626372239999E-2</v>
      </c>
      <c r="J73" s="460">
        <v>3.173143164048E-2</v>
      </c>
      <c r="K73" s="460">
        <v>3.4614682605359999E-2</v>
      </c>
      <c r="L73" s="460">
        <v>3.9924184322880009E-2</v>
      </c>
      <c r="M73" s="460">
        <v>4.3727305770719989E-2</v>
      </c>
      <c r="N73" s="460">
        <v>4.7165649307919999E-2</v>
      </c>
      <c r="O73" s="461">
        <v>4.7657713536576003E-2</v>
      </c>
      <c r="P73" s="461">
        <v>5.0441405139216001E-2</v>
      </c>
      <c r="Q73" s="461">
        <v>5.3225096741856014E-2</v>
      </c>
      <c r="R73" s="461">
        <v>5.6008788344496012E-2</v>
      </c>
      <c r="S73" s="461">
        <v>5.879247994713601E-2</v>
      </c>
      <c r="T73" s="461">
        <v>6.1576171549775995E-2</v>
      </c>
      <c r="U73" s="461">
        <v>6.4359863152416E-2</v>
      </c>
      <c r="V73" s="461">
        <v>6.7143554755055998E-2</v>
      </c>
      <c r="W73" s="461">
        <v>6.992724635769601E-2</v>
      </c>
      <c r="X73" s="461">
        <v>7.2710937960335981E-2</v>
      </c>
      <c r="Y73" s="461">
        <v>7.5494629562975993E-2</v>
      </c>
      <c r="Z73" s="462">
        <v>7.8278321165616005E-2</v>
      </c>
      <c r="AA73" s="462">
        <v>8.1062012768256017E-2</v>
      </c>
      <c r="AB73" s="462">
        <v>8.3845704370896001E-2</v>
      </c>
      <c r="AC73" s="463">
        <v>8.6629395973536E-2</v>
      </c>
      <c r="AD73" s="463">
        <v>8.9413087576176012E-2</v>
      </c>
      <c r="AE73" s="463">
        <v>9.2196779178815996E-2</v>
      </c>
      <c r="AF73" s="463">
        <v>9.4980470781456008E-2</v>
      </c>
      <c r="AG73" s="463">
        <v>9.7764162384095979E-2</v>
      </c>
      <c r="AH73" s="463">
        <v>0.10054785398673602</v>
      </c>
    </row>
    <row r="74" spans="2:34" x14ac:dyDescent="0.25">
      <c r="B74" s="451" t="s">
        <v>20</v>
      </c>
      <c r="C74" s="452" t="s">
        <v>524</v>
      </c>
      <c r="D74" s="459">
        <v>1.0942593007028574E-2</v>
      </c>
      <c r="E74" s="460">
        <v>8.6999810539714305E-3</v>
      </c>
      <c r="F74" s="460">
        <v>8.2795190119714299E-3</v>
      </c>
      <c r="G74" s="460">
        <v>8.7700706336571437E-3</v>
      </c>
      <c r="H74" s="460">
        <v>1.0788326153314286E-2</v>
      </c>
      <c r="I74" s="460">
        <v>9.4226024517428571E-3</v>
      </c>
      <c r="J74" s="460">
        <v>1.0830240344314287E-2</v>
      </c>
      <c r="K74" s="460">
        <v>1.2206063055685718E-2</v>
      </c>
      <c r="L74" s="460">
        <v>1.3493748097028574E-2</v>
      </c>
      <c r="M74" s="460">
        <v>1.5228684430457147E-2</v>
      </c>
      <c r="N74" s="460">
        <v>1.6985572673142862E-2</v>
      </c>
      <c r="O74" s="461">
        <v>1.6553604737811433E-2</v>
      </c>
      <c r="P74" s="461">
        <v>1.7477809091862855E-2</v>
      </c>
      <c r="Q74" s="461">
        <v>1.8402013445914286E-2</v>
      </c>
      <c r="R74" s="461">
        <v>1.9326217799965718E-2</v>
      </c>
      <c r="S74" s="461">
        <v>2.025042215401715E-2</v>
      </c>
      <c r="T74" s="461">
        <v>2.1174626508068579E-2</v>
      </c>
      <c r="U74" s="461">
        <v>2.2098830862120004E-2</v>
      </c>
      <c r="V74" s="461">
        <v>2.3023035216171432E-2</v>
      </c>
      <c r="W74" s="461">
        <v>2.3947239570222861E-2</v>
      </c>
      <c r="X74" s="461">
        <v>2.4871443924274289E-2</v>
      </c>
      <c r="Y74" s="461">
        <v>2.5795648278325718E-2</v>
      </c>
      <c r="Z74" s="462">
        <v>2.6719852632377156E-2</v>
      </c>
      <c r="AA74" s="462">
        <v>2.7644056986428567E-2</v>
      </c>
      <c r="AB74" s="462">
        <v>2.8568261340480003E-2</v>
      </c>
      <c r="AC74" s="463">
        <v>2.9492465694531435E-2</v>
      </c>
      <c r="AD74" s="463">
        <v>3.041667004858286E-2</v>
      </c>
      <c r="AE74" s="463">
        <v>3.1340874402634292E-2</v>
      </c>
      <c r="AF74" s="463">
        <v>3.2265078756685724E-2</v>
      </c>
      <c r="AG74" s="463">
        <v>3.3189283110737142E-2</v>
      </c>
      <c r="AH74" s="463">
        <v>3.4113487464788574E-2</v>
      </c>
    </row>
    <row r="75" spans="2:34" x14ac:dyDescent="0.25">
      <c r="B75" s="451" t="s">
        <v>21</v>
      </c>
      <c r="C75" s="452" t="s">
        <v>524</v>
      </c>
      <c r="D75" s="459">
        <v>2.7034331192000001E-4</v>
      </c>
      <c r="E75" s="460">
        <v>2.9767152184000003E-4</v>
      </c>
      <c r="F75" s="460">
        <v>3.0048471992000003E-4</v>
      </c>
      <c r="G75" s="460">
        <v>3.0452869216000003E-4</v>
      </c>
      <c r="H75" s="460">
        <v>3.5772827727999999E-4</v>
      </c>
      <c r="I75" s="460">
        <v>3.1570613096000002E-4</v>
      </c>
      <c r="J75" s="460">
        <v>3.9070800120000003E-4</v>
      </c>
      <c r="K75" s="460">
        <v>3.9573156920000004E-4</v>
      </c>
      <c r="L75" s="460">
        <v>3.4454141127999999E-4</v>
      </c>
      <c r="M75" s="460">
        <v>3.4554612488000002E-4</v>
      </c>
      <c r="N75" s="460">
        <v>3.4986639336000001E-4</v>
      </c>
      <c r="O75" s="461">
        <v>3.7939325154133334E-4</v>
      </c>
      <c r="P75" s="461">
        <v>3.8650997287466662E-4</v>
      </c>
      <c r="Q75" s="461">
        <v>3.9362669420800006E-4</v>
      </c>
      <c r="R75" s="461">
        <v>4.0074341554133339E-4</v>
      </c>
      <c r="S75" s="461">
        <v>4.0786013687466667E-4</v>
      </c>
      <c r="T75" s="461">
        <v>4.1497685820800006E-4</v>
      </c>
      <c r="U75" s="461">
        <v>4.2209357954133334E-4</v>
      </c>
      <c r="V75" s="461">
        <v>4.2921030087466673E-4</v>
      </c>
      <c r="W75" s="461">
        <v>4.36327022208E-4</v>
      </c>
      <c r="X75" s="461">
        <v>4.4344374354133334E-4</v>
      </c>
      <c r="Y75" s="461">
        <v>4.5056046487466678E-4</v>
      </c>
      <c r="Z75" s="462">
        <v>4.5767718620799995E-4</v>
      </c>
      <c r="AA75" s="462">
        <v>4.6479390754133339E-4</v>
      </c>
      <c r="AB75" s="462">
        <v>4.7191062887466678E-4</v>
      </c>
      <c r="AC75" s="463">
        <v>4.79027350208E-4</v>
      </c>
      <c r="AD75" s="463">
        <v>4.8614407154133334E-4</v>
      </c>
      <c r="AE75" s="463">
        <v>4.9326079287466667E-4</v>
      </c>
      <c r="AF75" s="463">
        <v>5.0037751420800006E-4</v>
      </c>
      <c r="AG75" s="463">
        <v>5.0749423554133334E-4</v>
      </c>
      <c r="AH75" s="463">
        <v>5.1461095687466672E-4</v>
      </c>
    </row>
    <row r="76" spans="2:34" x14ac:dyDescent="0.25">
      <c r="B76" s="451" t="s">
        <v>61</v>
      </c>
      <c r="C76" s="452" t="s">
        <v>524</v>
      </c>
      <c r="D76" s="464">
        <v>2.9720636000000003E-5</v>
      </c>
      <c r="E76" s="460">
        <v>3.9626444000000004E-5</v>
      </c>
      <c r="F76" s="460">
        <v>3.1162823999999998E-5</v>
      </c>
      <c r="G76" s="460">
        <v>3.5996884000000011E-5</v>
      </c>
      <c r="H76" s="460">
        <v>2.5991504000000001E-5</v>
      </c>
      <c r="I76" s="460">
        <v>2.9090295761408922E-5</v>
      </c>
      <c r="J76" s="460">
        <v>4.0108244000000004E-5</v>
      </c>
      <c r="K76" s="460">
        <v>2.2622116000000002E-5</v>
      </c>
      <c r="L76" s="460">
        <v>1.5330876E-5</v>
      </c>
      <c r="M76" s="460">
        <v>2.6164952000000007E-5</v>
      </c>
      <c r="N76" s="460">
        <v>2.6746324000000001E-5</v>
      </c>
      <c r="O76" s="461">
        <v>2.0839831717427258E-5</v>
      </c>
      <c r="P76" s="461">
        <v>1.9304519961297505E-5</v>
      </c>
      <c r="Q76" s="461">
        <v>1.7769208205167756E-5</v>
      </c>
      <c r="R76" s="461">
        <v>1.6233896449038006E-5</v>
      </c>
      <c r="S76" s="461">
        <v>1.4698584692908253E-5</v>
      </c>
      <c r="T76" s="461">
        <v>1.31632729367785E-5</v>
      </c>
      <c r="U76" s="461">
        <v>1.1627961180648751E-5</v>
      </c>
      <c r="V76" s="461">
        <v>1.0092649424518998E-5</v>
      </c>
      <c r="W76" s="461">
        <v>8.5573376683892464E-6</v>
      </c>
      <c r="X76" s="461">
        <v>7.0220259122594918E-6</v>
      </c>
      <c r="Y76" s="461">
        <v>5.4867141561297413E-6</v>
      </c>
      <c r="Z76" s="462">
        <v>3.9514023999999909E-6</v>
      </c>
      <c r="AA76" s="462">
        <v>2.4160906438702405E-6</v>
      </c>
      <c r="AB76" s="462">
        <v>8.8077888774048464E-7</v>
      </c>
      <c r="AC76" s="463">
        <v>-6.5453286838926569E-7</v>
      </c>
      <c r="AD76" s="463">
        <v>-2.1898446245190159E-6</v>
      </c>
      <c r="AE76" s="463">
        <v>-3.7251563806487723E-6</v>
      </c>
      <c r="AF76" s="463">
        <v>-5.2604681367785219E-6</v>
      </c>
      <c r="AG76" s="463">
        <v>-6.7957798929082714E-6</v>
      </c>
      <c r="AH76" s="463">
        <v>-8.3310916490380227E-6</v>
      </c>
    </row>
    <row r="77" spans="2:34" ht="24" x14ac:dyDescent="0.25">
      <c r="B77" s="451" t="s">
        <v>414</v>
      </c>
      <c r="C77" s="452" t="s">
        <v>524</v>
      </c>
      <c r="D77" s="459">
        <v>2.5341145398171429E-3</v>
      </c>
      <c r="E77" s="460">
        <v>2.6059070920771434E-3</v>
      </c>
      <c r="F77" s="460">
        <v>2.8477059266857146E-3</v>
      </c>
      <c r="G77" s="460">
        <v>2.9437662103771432E-3</v>
      </c>
      <c r="H77" s="460">
        <v>2.8952599078857144E-3</v>
      </c>
      <c r="I77" s="460">
        <v>2.9201696378171427E-3</v>
      </c>
      <c r="J77" s="460">
        <v>2.7579278217228576E-3</v>
      </c>
      <c r="K77" s="460">
        <v>2.6140179082914288E-3</v>
      </c>
      <c r="L77" s="460">
        <v>2.6113597052714282E-3</v>
      </c>
      <c r="M77" s="460">
        <v>2.6688239798000005E-3</v>
      </c>
      <c r="N77" s="460">
        <v>2.5768847150514284E-3</v>
      </c>
      <c r="O77" s="461">
        <v>2.597787314149043E-3</v>
      </c>
      <c r="P77" s="461">
        <v>2.5970504082765996E-3</v>
      </c>
      <c r="Q77" s="461">
        <v>2.5963137114398461E-3</v>
      </c>
      <c r="R77" s="461">
        <v>2.595577223579486E-3</v>
      </c>
      <c r="S77" s="461">
        <v>2.5948409446362396E-3</v>
      </c>
      <c r="T77" s="461">
        <v>2.5941048745508465E-3</v>
      </c>
      <c r="U77" s="461">
        <v>2.5933690132640581E-3</v>
      </c>
      <c r="V77" s="461">
        <v>2.5926333607166462E-3</v>
      </c>
      <c r="W77" s="461">
        <v>2.5918979168493973E-3</v>
      </c>
      <c r="X77" s="461">
        <v>2.5911626816031174E-3</v>
      </c>
      <c r="Y77" s="461">
        <v>2.5904276549186256E-3</v>
      </c>
      <c r="Z77" s="462">
        <v>2.5896928367367626E-3</v>
      </c>
      <c r="AA77" s="462">
        <v>2.5889582269983807E-3</v>
      </c>
      <c r="AB77" s="462">
        <v>2.588223825644353E-3</v>
      </c>
      <c r="AC77" s="463">
        <v>2.5874896326155664E-3</v>
      </c>
      <c r="AD77" s="463">
        <v>2.5867556478529272E-3</v>
      </c>
      <c r="AE77" s="463">
        <v>2.5860218712973563E-3</v>
      </c>
      <c r="AF77" s="463">
        <v>2.5852883028897938E-3</v>
      </c>
      <c r="AG77" s="463">
        <v>2.5845549425711923E-3</v>
      </c>
      <c r="AH77" s="463">
        <v>2.583821790282527E-3</v>
      </c>
    </row>
    <row r="78" spans="2:34" x14ac:dyDescent="0.25">
      <c r="B78" s="451" t="s">
        <v>415</v>
      </c>
      <c r="C78" s="452" t="s">
        <v>524</v>
      </c>
      <c r="D78" s="459">
        <v>7.5239733752857153E-4</v>
      </c>
      <c r="E78" s="460">
        <v>9.3421492622857143E-4</v>
      </c>
      <c r="F78" s="460">
        <v>1.0837842414142859E-3</v>
      </c>
      <c r="G78" s="460">
        <v>1.0657805684428571E-3</v>
      </c>
      <c r="H78" s="460">
        <v>1.2266115800714287E-3</v>
      </c>
      <c r="I78" s="460">
        <v>1.2835489718857143E-3</v>
      </c>
      <c r="J78" s="460">
        <v>1.3061615780714285E-3</v>
      </c>
      <c r="K78" s="460">
        <v>1.4464345393142859E-3</v>
      </c>
      <c r="L78" s="460">
        <v>1.3001517310571432E-3</v>
      </c>
      <c r="M78" s="460">
        <v>1.3251729701571429E-3</v>
      </c>
      <c r="N78" s="460">
        <v>1.4198908695714286E-3</v>
      </c>
      <c r="O78" s="461">
        <v>1.5278188569809521E-3</v>
      </c>
      <c r="P78" s="461">
        <v>1.5817828506857145E-3</v>
      </c>
      <c r="Q78" s="461">
        <v>1.6357468443904764E-3</v>
      </c>
      <c r="R78" s="461">
        <v>1.6897108380952385E-3</v>
      </c>
      <c r="S78" s="461">
        <v>1.7436748318000002E-3</v>
      </c>
      <c r="T78" s="461">
        <v>1.797638825504762E-3</v>
      </c>
      <c r="U78" s="461">
        <v>1.8516028192095239E-3</v>
      </c>
      <c r="V78" s="461">
        <v>1.9055668129142856E-3</v>
      </c>
      <c r="W78" s="461">
        <v>1.9595308066190473E-3</v>
      </c>
      <c r="X78" s="461">
        <v>2.0134948003238096E-3</v>
      </c>
      <c r="Y78" s="461">
        <v>2.0674587940285719E-3</v>
      </c>
      <c r="Z78" s="462">
        <v>2.1214227877333334E-3</v>
      </c>
      <c r="AA78" s="462">
        <v>2.1753867814380953E-3</v>
      </c>
      <c r="AB78" s="462">
        <v>2.2293507751428572E-3</v>
      </c>
      <c r="AC78" s="463">
        <v>2.2833147688476186E-3</v>
      </c>
      <c r="AD78" s="463">
        <v>2.3372787625523801E-3</v>
      </c>
      <c r="AE78" s="463">
        <v>2.3912427562571429E-3</v>
      </c>
      <c r="AF78" s="463">
        <v>2.4452067499619048E-3</v>
      </c>
      <c r="AG78" s="463">
        <v>2.4991707436666667E-3</v>
      </c>
      <c r="AH78" s="463">
        <v>2.553134737371429E-3</v>
      </c>
    </row>
    <row r="79" spans="2:34" ht="24" x14ac:dyDescent="0.25">
      <c r="B79" s="451" t="s">
        <v>416</v>
      </c>
      <c r="C79" s="452" t="s">
        <v>524</v>
      </c>
      <c r="D79" s="459">
        <v>2.6031897217228569E-3</v>
      </c>
      <c r="E79" s="460">
        <v>2.9621790409095241E-3</v>
      </c>
      <c r="F79" s="460">
        <v>3.9645123603957149E-3</v>
      </c>
      <c r="G79" s="460">
        <v>4.3500818441457138E-3</v>
      </c>
      <c r="H79" s="460">
        <v>4.8841578721990483E-3</v>
      </c>
      <c r="I79" s="460">
        <v>5.0742806876195234E-3</v>
      </c>
      <c r="J79" s="460">
        <v>5.3923811928904761E-3</v>
      </c>
      <c r="K79" s="460">
        <v>5.4637571437795244E-3</v>
      </c>
      <c r="L79" s="460">
        <v>6.5434242699780962E-3</v>
      </c>
      <c r="M79" s="460">
        <v>6.8751205005528572E-3</v>
      </c>
      <c r="N79" s="460">
        <v>7.8045406629247598E-3</v>
      </c>
      <c r="O79" s="461">
        <v>7.8974142918199087E-3</v>
      </c>
      <c r="P79" s="461">
        <v>8.3639544253254344E-3</v>
      </c>
      <c r="Q79" s="461">
        <v>8.8304945588309602E-3</v>
      </c>
      <c r="R79" s="461">
        <v>9.2970346923364824E-3</v>
      </c>
      <c r="S79" s="461">
        <v>9.7635748258420064E-3</v>
      </c>
      <c r="T79" s="461">
        <v>1.0230114959347532E-2</v>
      </c>
      <c r="U79" s="461">
        <v>1.069665509285306E-2</v>
      </c>
      <c r="V79" s="461">
        <v>1.1163195226358584E-2</v>
      </c>
      <c r="W79" s="461">
        <v>1.1629735359864108E-2</v>
      </c>
      <c r="X79" s="461">
        <v>1.209627549336963E-2</v>
      </c>
      <c r="Y79" s="461">
        <v>1.2562815626875156E-2</v>
      </c>
      <c r="Z79" s="462">
        <v>1.3029355760380681E-2</v>
      </c>
      <c r="AA79" s="462">
        <v>1.3495895893886207E-2</v>
      </c>
      <c r="AB79" s="462">
        <v>1.3962436027391729E-2</v>
      </c>
      <c r="AC79" s="463">
        <v>1.4428976160897255E-2</v>
      </c>
      <c r="AD79" s="463">
        <v>1.4895516294402777E-2</v>
      </c>
      <c r="AE79" s="463">
        <v>1.5362056427908303E-2</v>
      </c>
      <c r="AF79" s="463">
        <v>1.5828596561413829E-2</v>
      </c>
      <c r="AG79" s="463">
        <v>1.6295136694919353E-2</v>
      </c>
      <c r="AH79" s="463">
        <v>1.6761676828424877E-2</v>
      </c>
    </row>
    <row r="80" spans="2:34" x14ac:dyDescent="0.25">
      <c r="B80" s="451" t="s">
        <v>72</v>
      </c>
      <c r="C80" s="452" t="s">
        <v>524</v>
      </c>
      <c r="D80" s="459">
        <v>3.2750878555999998E-4</v>
      </c>
      <c r="E80" s="460">
        <v>3.8148717284857152E-4</v>
      </c>
      <c r="F80" s="460">
        <v>4.0388403128857148E-4</v>
      </c>
      <c r="G80" s="460">
        <v>4.6583448786285714E-4</v>
      </c>
      <c r="H80" s="460">
        <v>4.5904247296285708E-4</v>
      </c>
      <c r="I80" s="460">
        <v>5.0192261101714283E-4</v>
      </c>
      <c r="J80" s="460">
        <v>4.9824323060285722E-4</v>
      </c>
      <c r="K80" s="460">
        <v>6.1469620862571433E-4</v>
      </c>
      <c r="L80" s="460">
        <v>7.489601533857143E-4</v>
      </c>
      <c r="M80" s="460">
        <v>7.7264825188571435E-4</v>
      </c>
      <c r="N80" s="460">
        <v>9.2853122569428576E-4</v>
      </c>
      <c r="O80" s="461">
        <v>8.9031352375009548E-4</v>
      </c>
      <c r="P80" s="461">
        <v>9.4718416722876198E-4</v>
      </c>
      <c r="Q80" s="461">
        <v>1.0040548107074286E-3</v>
      </c>
      <c r="R80" s="461">
        <v>1.0609254541860953E-3</v>
      </c>
      <c r="S80" s="461">
        <v>1.1177960976647618E-3</v>
      </c>
      <c r="T80" s="461">
        <v>1.1746667411434285E-3</v>
      </c>
      <c r="U80" s="461">
        <v>1.2315373846220952E-3</v>
      </c>
      <c r="V80" s="461">
        <v>1.2884080281007617E-3</v>
      </c>
      <c r="W80" s="461">
        <v>1.3452786715794287E-3</v>
      </c>
      <c r="X80" s="461">
        <v>1.4021493150580956E-3</v>
      </c>
      <c r="Y80" s="461">
        <v>1.4590199585367623E-3</v>
      </c>
      <c r="Z80" s="462">
        <v>1.5158906020154288E-3</v>
      </c>
      <c r="AA80" s="462">
        <v>1.5727612454940953E-3</v>
      </c>
      <c r="AB80" s="462">
        <v>1.6296318889727622E-3</v>
      </c>
      <c r="AC80" s="463">
        <v>1.6865025324514287E-3</v>
      </c>
      <c r="AD80" s="463">
        <v>1.7433731759300955E-3</v>
      </c>
      <c r="AE80" s="463">
        <v>1.800243819408762E-3</v>
      </c>
      <c r="AF80" s="463">
        <v>1.8571144628874287E-3</v>
      </c>
      <c r="AG80" s="463">
        <v>1.9139851063660954E-3</v>
      </c>
      <c r="AH80" s="463">
        <v>1.9708557498447619E-3</v>
      </c>
    </row>
    <row r="81" spans="2:34" x14ac:dyDescent="0.25">
      <c r="B81" s="452"/>
      <c r="C81" s="452"/>
      <c r="D81" s="465"/>
      <c r="E81" s="466"/>
      <c r="F81" s="466"/>
      <c r="G81" s="466"/>
      <c r="H81" s="466"/>
      <c r="I81" s="466"/>
      <c r="J81" s="466"/>
      <c r="K81" s="466"/>
      <c r="L81" s="466"/>
      <c r="M81" s="466"/>
      <c r="N81" s="466"/>
      <c r="O81" s="467"/>
      <c r="P81" s="467"/>
      <c r="Q81" s="467"/>
      <c r="R81" s="467"/>
      <c r="S81" s="467"/>
      <c r="T81" s="467"/>
      <c r="U81" s="467"/>
      <c r="V81" s="467"/>
      <c r="W81" s="467"/>
      <c r="X81" s="467"/>
      <c r="Y81" s="467"/>
      <c r="Z81" s="467"/>
      <c r="AA81" s="467"/>
      <c r="AB81" s="467"/>
      <c r="AC81" s="467"/>
      <c r="AD81" s="467"/>
      <c r="AE81" s="467"/>
      <c r="AF81" s="467"/>
      <c r="AG81" s="467"/>
      <c r="AH81" s="467"/>
    </row>
    <row r="82" spans="2:34" x14ac:dyDescent="0.25">
      <c r="B82" s="456" t="s">
        <v>419</v>
      </c>
      <c r="C82" s="452" t="s">
        <v>524</v>
      </c>
      <c r="D82" s="466">
        <f>SUM(D70:D80)</f>
        <v>5.2262672783702863E-2</v>
      </c>
      <c r="E82" s="466">
        <f t="shared" ref="E82:AH82" si="14">SUM(E70:E80)</f>
        <v>5.1323769190183798E-2</v>
      </c>
      <c r="F82" s="466">
        <f t="shared" si="14"/>
        <v>5.3394199024178579E-2</v>
      </c>
      <c r="G82" s="466">
        <f t="shared" si="14"/>
        <v>5.5924108332148587E-2</v>
      </c>
      <c r="H82" s="466">
        <f t="shared" si="14"/>
        <v>6.0879888151227621E-2</v>
      </c>
      <c r="I82" s="466">
        <f t="shared" si="14"/>
        <v>6.1093479693426642E-2</v>
      </c>
      <c r="J82" s="466">
        <f t="shared" si="14"/>
        <v>6.7117733343864755E-2</v>
      </c>
      <c r="K82" s="466">
        <f t="shared" si="14"/>
        <v>7.2216468225633823E-2</v>
      </c>
      <c r="L82" s="466">
        <f t="shared" si="14"/>
        <v>8.0603814810629559E-2</v>
      </c>
      <c r="M82" s="466">
        <f t="shared" si="14"/>
        <v>8.7130818878132857E-2</v>
      </c>
      <c r="N82" s="466">
        <f t="shared" si="14"/>
        <v>9.385846148923617E-2</v>
      </c>
      <c r="O82" s="466">
        <f t="shared" si="14"/>
        <v>9.445211377716943E-2</v>
      </c>
      <c r="P82" s="466">
        <f t="shared" si="14"/>
        <v>9.9224539225054934E-2</v>
      </c>
      <c r="Q82" s="466">
        <f t="shared" si="14"/>
        <v>0.10399696488197617</v>
      </c>
      <c r="R82" s="466">
        <f t="shared" si="14"/>
        <v>0.10876939074787378</v>
      </c>
      <c r="S82" s="466">
        <f t="shared" si="14"/>
        <v>0.1135418168226885</v>
      </c>
      <c r="T82" s="466">
        <f t="shared" si="14"/>
        <v>0.11831424310636106</v>
      </c>
      <c r="U82" s="466">
        <f t="shared" si="14"/>
        <v>0.12308666959883223</v>
      </c>
      <c r="V82" s="466">
        <f t="shared" si="14"/>
        <v>0.1278590963000428</v>
      </c>
      <c r="W82" s="466">
        <f t="shared" si="14"/>
        <v>0.13263152320993354</v>
      </c>
      <c r="X82" s="466">
        <f t="shared" si="14"/>
        <v>0.13740395032844516</v>
      </c>
      <c r="Y82" s="466">
        <f t="shared" si="14"/>
        <v>0.14217637765551869</v>
      </c>
      <c r="Z82" s="466">
        <f t="shared" si="14"/>
        <v>0.14694880519109485</v>
      </c>
      <c r="AA82" s="466">
        <f t="shared" si="14"/>
        <v>0.15172123293511439</v>
      </c>
      <c r="AB82" s="466">
        <f t="shared" si="14"/>
        <v>0.15649366088751829</v>
      </c>
      <c r="AC82" s="466">
        <f t="shared" si="14"/>
        <v>0.16126608904824746</v>
      </c>
      <c r="AD82" s="466">
        <f t="shared" si="14"/>
        <v>0.16603851741724282</v>
      </c>
      <c r="AE82" s="466">
        <f t="shared" si="14"/>
        <v>0.17081094599444524</v>
      </c>
      <c r="AF82" s="466">
        <f t="shared" si="14"/>
        <v>0.1755833747797956</v>
      </c>
      <c r="AG82" s="466">
        <f t="shared" si="14"/>
        <v>0.18035580377323499</v>
      </c>
      <c r="AH82" s="466">
        <f t="shared" si="14"/>
        <v>0.18512823297470427</v>
      </c>
    </row>
    <row r="83" spans="2:34" x14ac:dyDescent="0.25">
      <c r="B83" s="450"/>
      <c r="C83" s="450"/>
      <c r="D83" s="450"/>
      <c r="E83" s="450"/>
      <c r="F83" s="450"/>
      <c r="G83" s="450"/>
      <c r="H83" s="450"/>
      <c r="I83" s="450"/>
      <c r="J83" s="450"/>
      <c r="K83" s="450"/>
      <c r="L83" s="450"/>
      <c r="M83" s="450"/>
      <c r="N83" s="450"/>
      <c r="O83" s="450"/>
      <c r="P83" s="450"/>
      <c r="Q83" s="450"/>
      <c r="R83" s="450"/>
      <c r="S83" s="450"/>
      <c r="T83" s="450"/>
      <c r="U83" s="450"/>
      <c r="V83" s="450"/>
      <c r="W83" s="450"/>
      <c r="X83" s="450"/>
      <c r="Y83" s="450"/>
      <c r="Z83" s="450"/>
      <c r="AA83" s="450"/>
      <c r="AB83" s="450"/>
      <c r="AC83" s="450"/>
      <c r="AD83" s="450"/>
      <c r="AE83" s="450"/>
      <c r="AF83" s="450"/>
      <c r="AG83" s="450"/>
      <c r="AH83" s="450"/>
    </row>
  </sheetData>
  <mergeCells count="13">
    <mergeCell ref="I24:J24"/>
    <mergeCell ref="AJ22:AK22"/>
    <mergeCell ref="AM4:AN4"/>
    <mergeCell ref="K5:L5"/>
    <mergeCell ref="K7:L7"/>
    <mergeCell ref="K8:L8"/>
    <mergeCell ref="H4:L4"/>
    <mergeCell ref="P7:U10"/>
    <mergeCell ref="AO4:AP4"/>
    <mergeCell ref="E4:G4"/>
    <mergeCell ref="B4:B7"/>
    <mergeCell ref="B22:C22"/>
    <mergeCell ref="AJ4:AJ7"/>
  </mergeCells>
  <pageMargins left="0.28000000000000003" right="0.21" top="0.35" bottom="0.32" header="0.3" footer="0.26"/>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topLeftCell="A49" zoomScale="70" zoomScaleNormal="70" workbookViewId="0">
      <selection activeCell="G46" sqref="G46"/>
    </sheetView>
  </sheetViews>
  <sheetFormatPr defaultRowHeight="15" x14ac:dyDescent="0.25"/>
  <cols>
    <col min="1" max="1" width="0.5703125" style="27" customWidth="1"/>
    <col min="2" max="2" width="26.28515625" style="27" customWidth="1"/>
    <col min="3" max="3" width="9.85546875" style="27" customWidth="1"/>
    <col min="4" max="4" width="11.7109375" style="27" customWidth="1"/>
    <col min="5" max="5" width="14.7109375" style="27" customWidth="1"/>
    <col min="6" max="6" width="16.28515625" style="27" customWidth="1"/>
    <col min="7" max="7" width="17.28515625" style="27" customWidth="1"/>
    <col min="8" max="8" width="14.28515625" style="27" customWidth="1"/>
    <col min="9" max="9" width="15.140625" style="27" customWidth="1"/>
    <col min="10" max="10" width="2.42578125" style="27" customWidth="1"/>
    <col min="11" max="11" width="4.140625" style="27"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27"/>
    <col min="25" max="25" width="15.7109375" customWidth="1"/>
    <col min="27" max="16384" width="9.140625" style="27"/>
  </cols>
  <sheetData>
    <row r="1" spans="2:19" ht="15.75" x14ac:dyDescent="0.25">
      <c r="B1" s="100" t="s">
        <v>148</v>
      </c>
    </row>
    <row r="2" spans="2:19" ht="18.75" x14ac:dyDescent="0.35">
      <c r="B2" s="100" t="s">
        <v>149</v>
      </c>
      <c r="K2" s="119" t="s">
        <v>205</v>
      </c>
      <c r="P2" s="119" t="s">
        <v>206</v>
      </c>
    </row>
    <row r="3" spans="2:19" ht="49.5" customHeight="1" thickBot="1" x14ac:dyDescent="0.3">
      <c r="B3" s="101" t="s">
        <v>1</v>
      </c>
      <c r="C3" s="551" t="s">
        <v>181</v>
      </c>
      <c r="D3" s="552"/>
      <c r="E3" s="552"/>
      <c r="F3" s="103" t="s">
        <v>325</v>
      </c>
      <c r="G3" s="102" t="s">
        <v>182</v>
      </c>
      <c r="H3" s="102" t="s">
        <v>183</v>
      </c>
      <c r="I3" s="102" t="s">
        <v>308</v>
      </c>
      <c r="K3" s="120" t="s">
        <v>207</v>
      </c>
      <c r="L3" s="120" t="s">
        <v>208</v>
      </c>
      <c r="M3" s="121" t="s">
        <v>209</v>
      </c>
      <c r="N3" s="120" t="s">
        <v>210</v>
      </c>
      <c r="P3" s="120" t="s">
        <v>207</v>
      </c>
      <c r="Q3" s="120" t="s">
        <v>208</v>
      </c>
      <c r="R3" s="121" t="s">
        <v>209</v>
      </c>
      <c r="S3" s="120" t="s">
        <v>210</v>
      </c>
    </row>
    <row r="4" spans="2:19" ht="18.75" customHeight="1" thickTop="1" x14ac:dyDescent="0.25">
      <c r="B4" s="104" t="s">
        <v>170</v>
      </c>
      <c r="C4" s="553" t="s">
        <v>174</v>
      </c>
      <c r="D4" s="554"/>
      <c r="E4" s="554"/>
      <c r="F4" s="105">
        <v>0</v>
      </c>
      <c r="G4" s="106"/>
      <c r="H4" s="106"/>
      <c r="I4" s="106"/>
      <c r="K4" s="122">
        <v>1</v>
      </c>
      <c r="L4" s="122" t="s">
        <v>211</v>
      </c>
      <c r="M4" s="123">
        <v>496.87</v>
      </c>
      <c r="N4" s="124">
        <f>M4/M10</f>
        <v>2.4562114425617327</v>
      </c>
      <c r="P4" s="122">
        <v>1</v>
      </c>
      <c r="Q4" s="122" t="s">
        <v>212</v>
      </c>
      <c r="R4" s="125">
        <v>584.79999999999995</v>
      </c>
      <c r="S4" s="124">
        <f>R4/R6</f>
        <v>2.4863945578231292</v>
      </c>
    </row>
    <row r="5" spans="2:19" x14ac:dyDescent="0.25">
      <c r="B5" s="558" t="s">
        <v>171</v>
      </c>
      <c r="C5" s="559" t="s">
        <v>39</v>
      </c>
      <c r="D5" s="561" t="s">
        <v>175</v>
      </c>
      <c r="E5" s="562"/>
      <c r="F5" s="107" t="s">
        <v>150</v>
      </c>
      <c r="G5" s="108" t="s">
        <v>151</v>
      </c>
      <c r="H5" s="109"/>
      <c r="I5" s="109"/>
      <c r="K5" s="122">
        <v>2</v>
      </c>
      <c r="L5" s="122" t="s">
        <v>213</v>
      </c>
      <c r="M5" s="123">
        <v>365.86</v>
      </c>
      <c r="N5" s="124">
        <f>M5/M10</f>
        <v>1.8085807522604214</v>
      </c>
      <c r="P5" s="122">
        <v>2</v>
      </c>
      <c r="Q5" s="122" t="s">
        <v>214</v>
      </c>
      <c r="R5" s="123">
        <v>517.81658811578177</v>
      </c>
      <c r="S5" s="124">
        <f>R5/R6</f>
        <v>2.201601139948052</v>
      </c>
    </row>
    <row r="6" spans="2:19" ht="17.25" customHeight="1" x14ac:dyDescent="0.25">
      <c r="B6" s="558"/>
      <c r="C6" s="560"/>
      <c r="D6" s="559" t="s">
        <v>176</v>
      </c>
      <c r="E6" s="170" t="s">
        <v>152</v>
      </c>
      <c r="F6" s="110" t="s">
        <v>153</v>
      </c>
      <c r="G6" s="565">
        <v>0.46</v>
      </c>
      <c r="H6" s="109"/>
      <c r="I6" s="555" t="s">
        <v>198</v>
      </c>
      <c r="K6" s="122">
        <v>3</v>
      </c>
      <c r="L6" s="122" t="s">
        <v>215</v>
      </c>
      <c r="M6" s="123">
        <v>273.60000000000002</v>
      </c>
      <c r="N6" s="124">
        <f>M6/M10</f>
        <v>1.3525055863402704</v>
      </c>
      <c r="P6" s="126">
        <v>3</v>
      </c>
      <c r="Q6" s="126" t="s">
        <v>216</v>
      </c>
      <c r="R6" s="127">
        <v>235.2</v>
      </c>
      <c r="S6" s="128">
        <v>1</v>
      </c>
    </row>
    <row r="7" spans="2:19" ht="16.5" customHeight="1" x14ac:dyDescent="0.25">
      <c r="B7" s="558"/>
      <c r="C7" s="560"/>
      <c r="D7" s="560"/>
      <c r="E7" s="111" t="s">
        <v>154</v>
      </c>
      <c r="F7" s="110" t="s">
        <v>155</v>
      </c>
      <c r="G7" s="556"/>
      <c r="H7" s="109"/>
      <c r="I7" s="556"/>
      <c r="K7" s="122">
        <v>4</v>
      </c>
      <c r="L7" s="122" t="s">
        <v>217</v>
      </c>
      <c r="M7" s="123">
        <v>244.16499999999999</v>
      </c>
      <c r="N7" s="124">
        <f>M7/M10</f>
        <v>1.2069975383361553</v>
      </c>
      <c r="P7" s="122">
        <v>4</v>
      </c>
      <c r="Q7" s="122" t="s">
        <v>218</v>
      </c>
      <c r="R7" s="123">
        <v>152.56</v>
      </c>
      <c r="S7" s="124">
        <f>R7/R6</f>
        <v>0.64863945578231297</v>
      </c>
    </row>
    <row r="8" spans="2:19" x14ac:dyDescent="0.25">
      <c r="B8" s="558"/>
      <c r="C8" s="563" t="s">
        <v>40</v>
      </c>
      <c r="D8" s="559" t="s">
        <v>177</v>
      </c>
      <c r="E8" s="560"/>
      <c r="F8" s="110" t="s">
        <v>156</v>
      </c>
      <c r="G8" s="555">
        <v>0.49</v>
      </c>
      <c r="H8" s="109"/>
      <c r="I8" s="555" t="s">
        <v>199</v>
      </c>
      <c r="K8" s="122">
        <v>5</v>
      </c>
      <c r="L8" s="122" t="s">
        <v>219</v>
      </c>
      <c r="M8" s="123">
        <v>223.2</v>
      </c>
      <c r="N8" s="124">
        <f>M8/M10</f>
        <v>1.1033598204354835</v>
      </c>
      <c r="P8" s="122">
        <v>5</v>
      </c>
      <c r="Q8" s="122" t="s">
        <v>220</v>
      </c>
      <c r="R8" s="129">
        <v>144.22</v>
      </c>
      <c r="S8" s="124">
        <f>R8/R6</f>
        <v>0.61318027210884352</v>
      </c>
    </row>
    <row r="9" spans="2:19" x14ac:dyDescent="0.25">
      <c r="B9" s="558"/>
      <c r="C9" s="564"/>
      <c r="D9" s="559" t="s">
        <v>178</v>
      </c>
      <c r="E9" s="560"/>
      <c r="F9" s="110" t="s">
        <v>157</v>
      </c>
      <c r="G9" s="557"/>
      <c r="H9" s="109"/>
      <c r="I9" s="557"/>
      <c r="K9" s="122">
        <v>6</v>
      </c>
      <c r="L9" s="122" t="s">
        <v>221</v>
      </c>
      <c r="M9" s="123">
        <v>204.64</v>
      </c>
      <c r="N9" s="124">
        <f>M9/M10</f>
        <v>1.0116109034673717</v>
      </c>
      <c r="P9" s="122">
        <v>6</v>
      </c>
      <c r="Q9" s="122" t="s">
        <v>222</v>
      </c>
      <c r="R9" s="123">
        <v>141.12</v>
      </c>
      <c r="S9" s="124">
        <f>R9/R6</f>
        <v>0.60000000000000009</v>
      </c>
    </row>
    <row r="10" spans="2:19" x14ac:dyDescent="0.25">
      <c r="B10" s="558"/>
      <c r="C10" s="563" t="s">
        <v>173</v>
      </c>
      <c r="D10" s="559" t="s">
        <v>179</v>
      </c>
      <c r="E10" s="560"/>
      <c r="F10" s="110" t="s">
        <v>158</v>
      </c>
      <c r="G10" s="109"/>
      <c r="H10" s="109"/>
      <c r="I10" s="109"/>
      <c r="K10" s="126">
        <v>7</v>
      </c>
      <c r="L10" s="126" t="s">
        <v>223</v>
      </c>
      <c r="M10" s="130">
        <v>202.2912162162163</v>
      </c>
      <c r="N10" s="128">
        <f>M10/M10</f>
        <v>1</v>
      </c>
      <c r="P10" s="122">
        <v>7</v>
      </c>
      <c r="Q10" s="122" t="s">
        <v>224</v>
      </c>
      <c r="R10" s="123">
        <v>140.02000000000001</v>
      </c>
      <c r="S10" s="124">
        <f>R10/R6</f>
        <v>0.59532312925170072</v>
      </c>
    </row>
    <row r="11" spans="2:19" x14ac:dyDescent="0.25">
      <c r="B11" s="558"/>
      <c r="C11" s="563"/>
      <c r="D11" s="559" t="s">
        <v>180</v>
      </c>
      <c r="E11" s="560"/>
      <c r="F11" s="110" t="s">
        <v>159</v>
      </c>
      <c r="G11" s="109"/>
      <c r="H11" s="109"/>
      <c r="I11" s="109"/>
      <c r="K11" s="122">
        <v>8</v>
      </c>
      <c r="L11" s="122" t="s">
        <v>225</v>
      </c>
      <c r="M11" s="123">
        <v>187.2</v>
      </c>
      <c r="N11" s="124">
        <f>M11/M10</f>
        <v>0.92539855907492163</v>
      </c>
      <c r="P11" s="122">
        <v>8</v>
      </c>
      <c r="Q11" s="122" t="s">
        <v>226</v>
      </c>
      <c r="R11" s="123">
        <v>125.66249999999999</v>
      </c>
      <c r="S11" s="124">
        <f>R11/R6</f>
        <v>0.53427933673469385</v>
      </c>
    </row>
    <row r="12" spans="2:19" x14ac:dyDescent="0.25">
      <c r="B12" s="567" t="s">
        <v>172</v>
      </c>
      <c r="C12" s="220" t="s">
        <v>160</v>
      </c>
      <c r="D12" s="566"/>
      <c r="E12" s="566"/>
      <c r="F12" s="48"/>
      <c r="G12" s="109"/>
      <c r="H12" s="112">
        <v>1.1200000000000001</v>
      </c>
      <c r="I12" s="109" t="s">
        <v>185</v>
      </c>
      <c r="K12" s="122">
        <v>9</v>
      </c>
      <c r="L12" s="122" t="s">
        <v>227</v>
      </c>
      <c r="M12" s="123">
        <v>186.655</v>
      </c>
      <c r="N12" s="124">
        <f>M12/M10</f>
        <v>0.92270442331265767</v>
      </c>
    </row>
    <row r="13" spans="2:19" x14ac:dyDescent="0.25">
      <c r="B13" s="567"/>
      <c r="C13" s="220" t="s">
        <v>351</v>
      </c>
      <c r="D13" s="566"/>
      <c r="E13" s="566"/>
      <c r="F13" s="48"/>
      <c r="G13" s="109"/>
      <c r="H13" s="112">
        <v>0.28999999999999998</v>
      </c>
      <c r="I13" s="109" t="s">
        <v>186</v>
      </c>
      <c r="K13" s="122">
        <v>10</v>
      </c>
      <c r="L13" s="122" t="s">
        <v>228</v>
      </c>
      <c r="M13" s="123">
        <v>157.77000000000001</v>
      </c>
      <c r="N13" s="124">
        <f>M13/M10</f>
        <v>0.77991522791266243</v>
      </c>
    </row>
    <row r="14" spans="2:19" x14ac:dyDescent="0.25">
      <c r="B14" s="567"/>
      <c r="C14" s="220" t="s">
        <v>161</v>
      </c>
      <c r="D14" s="566"/>
      <c r="E14" s="566"/>
      <c r="F14" s="48"/>
      <c r="G14" s="109"/>
      <c r="H14" s="112">
        <v>1.02</v>
      </c>
      <c r="I14" s="109" t="s">
        <v>187</v>
      </c>
      <c r="K14" s="122">
        <v>11</v>
      </c>
      <c r="L14" s="122" t="s">
        <v>229</v>
      </c>
      <c r="M14" s="123">
        <v>153.5</v>
      </c>
      <c r="N14" s="124">
        <f>M14/M10</f>
        <v>0.75880704496795126</v>
      </c>
    </row>
    <row r="15" spans="2:19" x14ac:dyDescent="0.25">
      <c r="B15" s="567"/>
      <c r="C15" s="221" t="s">
        <v>162</v>
      </c>
      <c r="D15" s="568"/>
      <c r="E15" s="568"/>
      <c r="F15" s="48"/>
      <c r="G15" s="109"/>
      <c r="H15" s="113">
        <v>1.02</v>
      </c>
      <c r="I15" s="113" t="s">
        <v>188</v>
      </c>
      <c r="K15" s="122">
        <v>12</v>
      </c>
      <c r="L15" s="122" t="s">
        <v>230</v>
      </c>
      <c r="M15" s="123">
        <v>147.54</v>
      </c>
      <c r="N15" s="124">
        <f>M15/M10</f>
        <v>0.72934456947603599</v>
      </c>
    </row>
    <row r="16" spans="2:19" x14ac:dyDescent="0.25">
      <c r="B16" s="567"/>
      <c r="C16" s="221" t="s">
        <v>163</v>
      </c>
      <c r="D16" s="566"/>
      <c r="E16" s="566"/>
      <c r="F16" s="48"/>
      <c r="G16" s="109"/>
      <c r="H16" s="113">
        <v>0.84</v>
      </c>
      <c r="I16" s="113" t="s">
        <v>189</v>
      </c>
      <c r="K16" s="122">
        <v>13</v>
      </c>
      <c r="L16" s="122" t="s">
        <v>231</v>
      </c>
      <c r="M16" s="123">
        <v>146.18671875000001</v>
      </c>
      <c r="N16" s="124">
        <f>M16/M10</f>
        <v>0.72265480174754726</v>
      </c>
    </row>
    <row r="17" spans="2:26" x14ac:dyDescent="0.25">
      <c r="B17" s="567"/>
      <c r="C17" s="221" t="s">
        <v>164</v>
      </c>
      <c r="D17" s="566"/>
      <c r="E17" s="566"/>
      <c r="F17" s="48"/>
      <c r="G17" s="48"/>
      <c r="H17" s="109">
        <v>2.39</v>
      </c>
      <c r="I17" s="109" t="s">
        <v>190</v>
      </c>
      <c r="K17" s="122">
        <v>14</v>
      </c>
      <c r="L17" s="122" t="s">
        <v>232</v>
      </c>
      <c r="M17" s="131">
        <v>145.63885714285715</v>
      </c>
      <c r="N17" s="124">
        <f>M17/M10</f>
        <v>0.71994652000704262</v>
      </c>
      <c r="Y17" s="169"/>
      <c r="Z17" s="169"/>
    </row>
    <row r="18" spans="2:26" x14ac:dyDescent="0.25">
      <c r="B18" s="567"/>
      <c r="C18" s="221" t="s">
        <v>165</v>
      </c>
      <c r="D18" s="566"/>
      <c r="E18" s="566"/>
      <c r="F18" s="48"/>
      <c r="G18" s="48"/>
      <c r="H18" s="112" t="s">
        <v>80</v>
      </c>
      <c r="I18" s="112" t="s">
        <v>80</v>
      </c>
      <c r="K18" s="122">
        <v>15</v>
      </c>
      <c r="L18" s="122" t="s">
        <v>233</v>
      </c>
      <c r="M18" s="123">
        <v>145.53861111111109</v>
      </c>
      <c r="N18" s="124">
        <f>M18/M10</f>
        <v>0.71945096694437816</v>
      </c>
      <c r="Y18" s="169"/>
      <c r="Z18" s="169"/>
    </row>
    <row r="19" spans="2:26" x14ac:dyDescent="0.25">
      <c r="B19" s="567"/>
      <c r="C19" s="221" t="s">
        <v>166</v>
      </c>
      <c r="D19" s="566"/>
      <c r="E19" s="566"/>
      <c r="F19" s="48"/>
      <c r="G19" s="48"/>
      <c r="H19" s="109" t="s">
        <v>167</v>
      </c>
      <c r="I19" s="109" t="s">
        <v>167</v>
      </c>
      <c r="K19" s="122">
        <v>16</v>
      </c>
      <c r="L19" s="122" t="s">
        <v>234</v>
      </c>
      <c r="M19" s="123">
        <v>127</v>
      </c>
      <c r="N19" s="124">
        <f>M19/M10</f>
        <v>0.62780778313309327</v>
      </c>
      <c r="Y19" s="169"/>
      <c r="Z19" s="169"/>
    </row>
    <row r="20" spans="2:26" x14ac:dyDescent="0.25">
      <c r="B20" s="567"/>
      <c r="C20" s="221" t="s">
        <v>168</v>
      </c>
      <c r="D20" s="566"/>
      <c r="E20" s="566"/>
      <c r="F20" s="48"/>
      <c r="G20" s="48"/>
      <c r="H20" s="112" t="s">
        <v>169</v>
      </c>
      <c r="I20" s="112" t="s">
        <v>169</v>
      </c>
      <c r="K20" s="122">
        <v>17</v>
      </c>
      <c r="L20" s="122" t="s">
        <v>235</v>
      </c>
      <c r="M20" s="123">
        <v>115.55500000000001</v>
      </c>
      <c r="N20" s="124">
        <f>M20/M10</f>
        <v>0.57123093212554799</v>
      </c>
      <c r="Y20" s="169"/>
      <c r="Z20" s="169"/>
    </row>
    <row r="21" spans="2:26" x14ac:dyDescent="0.25">
      <c r="K21" s="122">
        <v>18</v>
      </c>
      <c r="L21" s="122" t="s">
        <v>236</v>
      </c>
      <c r="M21" s="123">
        <v>115.2</v>
      </c>
      <c r="N21" s="124">
        <f>M21/M10</f>
        <v>0.56947603635379795</v>
      </c>
      <c r="Y21" s="169"/>
      <c r="Z21" s="169"/>
    </row>
    <row r="22" spans="2:26" ht="17.25" x14ac:dyDescent="0.25">
      <c r="B22" s="114"/>
      <c r="K22" s="122">
        <v>19</v>
      </c>
      <c r="L22" s="122" t="s">
        <v>237</v>
      </c>
      <c r="M22" s="123">
        <v>114.79275862068967</v>
      </c>
      <c r="N22" s="124">
        <f>M22/M10</f>
        <v>0.56746289219990131</v>
      </c>
      <c r="Y22" s="169"/>
      <c r="Z22" s="169"/>
    </row>
    <row r="23" spans="2:26" ht="15" customHeight="1" x14ac:dyDescent="0.25">
      <c r="K23" s="122">
        <v>20</v>
      </c>
      <c r="L23" s="122" t="s">
        <v>238</v>
      </c>
      <c r="M23" s="123">
        <v>99.233333333333334</v>
      </c>
      <c r="N23" s="124">
        <f>M23/M10</f>
        <v>0.49054692136147471</v>
      </c>
      <c r="Y23" s="169"/>
      <c r="Z23" s="169"/>
    </row>
    <row r="24" spans="2:26" ht="15" customHeight="1" x14ac:dyDescent="0.25">
      <c r="B24" s="115"/>
      <c r="K24" s="122">
        <v>21</v>
      </c>
      <c r="L24" s="122" t="s">
        <v>239</v>
      </c>
      <c r="M24" s="123">
        <v>91.616666666666674</v>
      </c>
      <c r="N24" s="124">
        <f>M24/M10</f>
        <v>0.45289493226805955</v>
      </c>
    </row>
    <row r="25" spans="2:26" ht="15" customHeight="1" x14ac:dyDescent="0.25">
      <c r="B25" s="115"/>
      <c r="K25" s="122">
        <v>22</v>
      </c>
      <c r="L25" s="122" t="s">
        <v>240</v>
      </c>
      <c r="M25" s="123">
        <v>73.849999999999994</v>
      </c>
      <c r="N25" s="124">
        <f t="shared" ref="N25:N40" si="0">M25/M$10</f>
        <v>0.36506775420770815</v>
      </c>
    </row>
    <row r="26" spans="2:26" ht="15" customHeight="1" x14ac:dyDescent="0.25">
      <c r="K26" s="122">
        <v>23</v>
      </c>
      <c r="L26" s="122" t="s">
        <v>241</v>
      </c>
      <c r="M26" s="134">
        <v>254.73860016589424</v>
      </c>
      <c r="N26" s="124">
        <f t="shared" si="0"/>
        <v>1.259266738965177</v>
      </c>
    </row>
    <row r="27" spans="2:26" ht="15" customHeight="1" x14ac:dyDescent="0.25">
      <c r="K27" s="122">
        <v>24</v>
      </c>
      <c r="L27" s="122" t="s">
        <v>242</v>
      </c>
      <c r="M27" s="134">
        <v>234.02811016643966</v>
      </c>
      <c r="N27" s="124">
        <f t="shared" si="0"/>
        <v>1.1568871577513371</v>
      </c>
    </row>
    <row r="28" spans="2:26" ht="15" customHeight="1" x14ac:dyDescent="0.25">
      <c r="K28" s="122">
        <v>25</v>
      </c>
      <c r="L28" s="122" t="s">
        <v>231</v>
      </c>
      <c r="M28" s="134">
        <v>286.09021533633802</v>
      </c>
      <c r="N28" s="124">
        <f t="shared" si="0"/>
        <v>1.4142493217824854</v>
      </c>
      <c r="P28" s="79"/>
    </row>
    <row r="29" spans="2:26" ht="15" customHeight="1" x14ac:dyDescent="0.25">
      <c r="K29" s="122">
        <v>26</v>
      </c>
      <c r="L29" s="122" t="s">
        <v>243</v>
      </c>
      <c r="M29" s="134">
        <v>269</v>
      </c>
      <c r="N29" s="124">
        <f t="shared" si="0"/>
        <v>1.3297660918330874</v>
      </c>
    </row>
    <row r="30" spans="2:26" ht="15" customHeight="1" x14ac:dyDescent="0.25">
      <c r="K30" s="217"/>
      <c r="L30" s="217"/>
      <c r="M30" s="218"/>
      <c r="N30" s="219"/>
    </row>
    <row r="31" spans="2:26" ht="15" customHeight="1" x14ac:dyDescent="0.25">
      <c r="K31" s="122">
        <v>28</v>
      </c>
      <c r="L31" s="122" t="s">
        <v>244</v>
      </c>
      <c r="M31" s="134">
        <v>215.05436144815866</v>
      </c>
      <c r="N31" s="124">
        <f t="shared" si="0"/>
        <v>1.0630929284556807</v>
      </c>
    </row>
    <row r="32" spans="2:26" ht="15" customHeight="1" x14ac:dyDescent="0.25">
      <c r="K32" s="122">
        <v>29</v>
      </c>
      <c r="L32" s="122" t="s">
        <v>245</v>
      </c>
      <c r="M32" s="134">
        <v>196</v>
      </c>
      <c r="N32" s="124">
        <f t="shared" si="0"/>
        <v>0.96890020074083683</v>
      </c>
    </row>
    <row r="33" spans="2:14" ht="15" customHeight="1" x14ac:dyDescent="0.25">
      <c r="K33" s="122">
        <v>30</v>
      </c>
      <c r="L33" s="122" t="s">
        <v>246</v>
      </c>
      <c r="M33" s="134">
        <v>197.3</v>
      </c>
      <c r="N33" s="124">
        <f t="shared" si="0"/>
        <v>0.9753265796233016</v>
      </c>
    </row>
    <row r="34" spans="2:14" ht="15" customHeight="1" x14ac:dyDescent="0.25">
      <c r="K34" s="122">
        <v>31</v>
      </c>
      <c r="L34" s="122" t="s">
        <v>247</v>
      </c>
      <c r="M34" s="134">
        <v>219.3</v>
      </c>
      <c r="N34" s="124">
        <f t="shared" si="0"/>
        <v>1.0840806837880894</v>
      </c>
    </row>
    <row r="35" spans="2:14" ht="15" customHeight="1" x14ac:dyDescent="0.25">
      <c r="B35" s="26" t="s">
        <v>326</v>
      </c>
      <c r="D35" s="115"/>
      <c r="K35" s="122">
        <v>32</v>
      </c>
      <c r="L35" s="122" t="s">
        <v>248</v>
      </c>
      <c r="M35" s="134">
        <v>307.5</v>
      </c>
      <c r="N35" s="124">
        <f t="shared" si="0"/>
        <v>1.5200857741214659</v>
      </c>
    </row>
    <row r="36" spans="2:14" ht="15" customHeight="1" x14ac:dyDescent="0.25">
      <c r="B36" s="570" t="s">
        <v>254</v>
      </c>
      <c r="C36" s="569" t="s">
        <v>255</v>
      </c>
      <c r="D36" s="569"/>
      <c r="E36" s="569" t="s">
        <v>257</v>
      </c>
      <c r="F36" s="569"/>
      <c r="K36" s="122">
        <v>33</v>
      </c>
      <c r="L36" s="122" t="s">
        <v>249</v>
      </c>
      <c r="M36" s="134">
        <v>323.44704032083536</v>
      </c>
      <c r="N36" s="124">
        <f t="shared" si="0"/>
        <v>1.5989178688565659</v>
      </c>
    </row>
    <row r="37" spans="2:14" ht="15" customHeight="1" x14ac:dyDescent="0.25">
      <c r="B37" s="570"/>
      <c r="C37" s="135" t="s">
        <v>256</v>
      </c>
      <c r="D37" s="180" t="s">
        <v>184</v>
      </c>
      <c r="E37" s="137" t="s">
        <v>256</v>
      </c>
      <c r="F37" s="136" t="s">
        <v>184</v>
      </c>
      <c r="K37" s="122">
        <v>34</v>
      </c>
      <c r="L37" s="122" t="s">
        <v>250</v>
      </c>
      <c r="M37" s="134">
        <v>300.52614924226964</v>
      </c>
      <c r="N37" s="124">
        <f t="shared" si="0"/>
        <v>1.4856114608607436</v>
      </c>
    </row>
    <row r="38" spans="2:14" ht="30" customHeight="1" x14ac:dyDescent="0.25">
      <c r="B38" s="138" t="s">
        <v>259</v>
      </c>
      <c r="C38" s="571" t="s">
        <v>261</v>
      </c>
      <c r="D38" s="572">
        <v>1.4</v>
      </c>
      <c r="E38" s="109">
        <v>1</v>
      </c>
      <c r="F38" s="109" t="s">
        <v>262</v>
      </c>
      <c r="K38" s="122">
        <v>35</v>
      </c>
      <c r="L38" s="122" t="s">
        <v>251</v>
      </c>
      <c r="M38" s="134">
        <v>270.79611936186569</v>
      </c>
      <c r="N38" s="124">
        <f t="shared" si="0"/>
        <v>1.3386449714773025</v>
      </c>
    </row>
    <row r="39" spans="2:14" ht="30.75" customHeight="1" x14ac:dyDescent="0.25">
      <c r="B39" s="138" t="s">
        <v>258</v>
      </c>
      <c r="C39" s="571"/>
      <c r="D39" s="572"/>
      <c r="E39" s="109">
        <v>0.68</v>
      </c>
      <c r="F39" s="109" t="s">
        <v>263</v>
      </c>
      <c r="K39" s="122">
        <v>36</v>
      </c>
      <c r="L39" s="122" t="s">
        <v>252</v>
      </c>
      <c r="M39" s="134">
        <v>271.88698926542628</v>
      </c>
      <c r="N39" s="124">
        <f t="shared" si="0"/>
        <v>1.344037543255578</v>
      </c>
    </row>
    <row r="40" spans="2:14" ht="30.75" customHeight="1" x14ac:dyDescent="0.25">
      <c r="B40" s="138" t="s">
        <v>260</v>
      </c>
      <c r="C40" s="571"/>
      <c r="D40" s="572"/>
      <c r="E40" s="109">
        <v>1.9</v>
      </c>
      <c r="F40" s="109" t="s">
        <v>264</v>
      </c>
      <c r="K40" s="122">
        <v>37</v>
      </c>
      <c r="L40" s="122" t="s">
        <v>253</v>
      </c>
      <c r="M40" s="134">
        <v>358.70448021420998</v>
      </c>
      <c r="N40" s="124">
        <f t="shared" si="0"/>
        <v>1.7732083820723754</v>
      </c>
    </row>
    <row r="41" spans="2:14" ht="15" customHeight="1" x14ac:dyDescent="0.25"/>
    <row r="42" spans="2:14" ht="15" customHeight="1" x14ac:dyDescent="0.25">
      <c r="B42" s="26" t="s">
        <v>327</v>
      </c>
    </row>
    <row r="43" spans="2:14" ht="32.25" customHeight="1" x14ac:dyDescent="0.25">
      <c r="B43" s="136" t="s">
        <v>265</v>
      </c>
      <c r="C43" s="180" t="s">
        <v>271</v>
      </c>
      <c r="D43" s="180" t="s">
        <v>184</v>
      </c>
    </row>
    <row r="44" spans="2:14" ht="59.25" customHeight="1" x14ac:dyDescent="0.25">
      <c r="B44" s="139" t="s">
        <v>267</v>
      </c>
      <c r="C44" s="140">
        <v>1</v>
      </c>
      <c r="D44" s="140" t="s">
        <v>272</v>
      </c>
    </row>
    <row r="45" spans="2:14" ht="48" customHeight="1" x14ac:dyDescent="0.25">
      <c r="B45" s="139" t="s">
        <v>266</v>
      </c>
      <c r="C45" s="140">
        <v>2.9000000000000001E-2</v>
      </c>
      <c r="D45" s="140" t="s">
        <v>273</v>
      </c>
    </row>
    <row r="46" spans="2:14" ht="47.25" customHeight="1" x14ac:dyDescent="0.25">
      <c r="B46" s="139" t="s">
        <v>268</v>
      </c>
      <c r="C46" s="140">
        <v>0.05</v>
      </c>
      <c r="D46" s="140" t="s">
        <v>274</v>
      </c>
      <c r="L46" s="132"/>
      <c r="N46" s="133"/>
    </row>
    <row r="47" spans="2:14" x14ac:dyDescent="0.25">
      <c r="B47" s="139" t="s">
        <v>269</v>
      </c>
      <c r="C47" s="140">
        <v>0.14000000000000001</v>
      </c>
      <c r="D47" s="140" t="s">
        <v>275</v>
      </c>
    </row>
    <row r="48" spans="2:14" x14ac:dyDescent="0.25">
      <c r="B48" s="139" t="s">
        <v>270</v>
      </c>
      <c r="C48" s="140">
        <v>0.5</v>
      </c>
      <c r="D48" s="140" t="s">
        <v>276</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7"/>
  <sheetViews>
    <sheetView workbookViewId="0">
      <selection activeCell="B25" sqref="B25"/>
    </sheetView>
  </sheetViews>
  <sheetFormatPr defaultRowHeight="15" x14ac:dyDescent="0.25"/>
  <cols>
    <col min="2" max="2" width="22.140625" customWidth="1"/>
    <col min="3" max="3" width="27" customWidth="1"/>
    <col min="4" max="4" width="25.85546875" customWidth="1"/>
  </cols>
  <sheetData>
    <row r="4" spans="2:4" x14ac:dyDescent="0.25">
      <c r="B4" t="s">
        <v>430</v>
      </c>
      <c r="C4" t="s">
        <v>431</v>
      </c>
      <c r="D4" t="s">
        <v>432</v>
      </c>
    </row>
    <row r="6" spans="2:4" ht="60" x14ac:dyDescent="0.25">
      <c r="B6" s="539" t="s">
        <v>433</v>
      </c>
      <c r="C6" s="16" t="s">
        <v>434</v>
      </c>
      <c r="D6" s="16" t="s">
        <v>435</v>
      </c>
    </row>
    <row r="7" spans="2:4" ht="75" x14ac:dyDescent="0.25">
      <c r="B7" s="539"/>
      <c r="C7" s="16" t="s">
        <v>436</v>
      </c>
    </row>
  </sheetData>
  <mergeCells count="1">
    <mergeCell ref="B6:B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1:AF123"/>
  <sheetViews>
    <sheetView topLeftCell="A22" zoomScale="60" zoomScaleNormal="60" workbookViewId="0">
      <selection activeCell="K11" sqref="K11:L40"/>
    </sheetView>
  </sheetViews>
  <sheetFormatPr defaultRowHeight="15" x14ac:dyDescent="0.25"/>
  <cols>
    <col min="1" max="1" width="2.7109375" customWidth="1"/>
    <col min="2" max="2" width="12.7109375" customWidth="1"/>
    <col min="3" max="3" width="16.28515625" customWidth="1"/>
    <col min="4" max="4" width="17.140625" customWidth="1"/>
    <col min="5" max="5" width="15.85546875" customWidth="1"/>
    <col min="6" max="6" width="16.5703125" customWidth="1"/>
    <col min="7" max="7" width="15.85546875" customWidth="1"/>
    <col min="8" max="8" width="12.7109375" customWidth="1"/>
    <col min="9" max="9" width="12.42578125" customWidth="1"/>
    <col min="10" max="10" width="21.7109375" customWidth="1"/>
    <col min="11" max="11" width="22.7109375" customWidth="1"/>
    <col min="12" max="12" width="21" customWidth="1"/>
    <col min="27" max="27" width="14.42578125" customWidth="1"/>
    <col min="28" max="28" width="17.28515625" customWidth="1"/>
    <col min="31" max="31" width="11.42578125" bestFit="1" customWidth="1"/>
    <col min="32" max="32" width="12.7109375" customWidth="1"/>
  </cols>
  <sheetData>
    <row r="1" spans="2:32" ht="15.75" x14ac:dyDescent="0.25">
      <c r="E1" s="430" t="s">
        <v>541</v>
      </c>
      <c r="F1" s="431"/>
      <c r="G1" s="431"/>
      <c r="H1" s="431"/>
      <c r="I1" s="431"/>
    </row>
    <row r="2" spans="2:32" x14ac:dyDescent="0.25">
      <c r="B2" t="s">
        <v>0</v>
      </c>
      <c r="C2" t="s">
        <v>2</v>
      </c>
    </row>
    <row r="3" spans="2:32" ht="21" x14ac:dyDescent="0.35">
      <c r="B3" t="s">
        <v>1</v>
      </c>
      <c r="C3" s="161" t="s">
        <v>540</v>
      </c>
      <c r="Z3" s="271" t="s">
        <v>428</v>
      </c>
    </row>
    <row r="4" spans="2:32" ht="15.75" thickBot="1" x14ac:dyDescent="0.3"/>
    <row r="5" spans="2:32" x14ac:dyDescent="0.25">
      <c r="B5" s="117" t="s">
        <v>3</v>
      </c>
      <c r="C5" s="19" t="s">
        <v>23</v>
      </c>
      <c r="D5" s="574" t="s">
        <v>24</v>
      </c>
      <c r="E5" s="575"/>
      <c r="F5" s="574" t="s">
        <v>25</v>
      </c>
      <c r="G5" s="576"/>
      <c r="H5" s="158"/>
      <c r="I5" s="574" t="s">
        <v>25</v>
      </c>
      <c r="J5" s="575"/>
      <c r="K5" s="75" t="s">
        <v>24</v>
      </c>
      <c r="Z5" t="s">
        <v>426</v>
      </c>
      <c r="AD5" s="60" t="s">
        <v>427</v>
      </c>
      <c r="AE5" s="60"/>
      <c r="AF5" s="60"/>
    </row>
    <row r="6" spans="2:32" s="17" customFormat="1" ht="78.75" customHeight="1" x14ac:dyDescent="0.25">
      <c r="B6" s="577" t="s">
        <v>403</v>
      </c>
      <c r="C6" s="579" t="s">
        <v>191</v>
      </c>
      <c r="D6" s="21" t="s">
        <v>458</v>
      </c>
      <c r="E6" s="22" t="s">
        <v>410</v>
      </c>
      <c r="F6" s="21" t="s">
        <v>26</v>
      </c>
      <c r="G6" s="21" t="s">
        <v>27</v>
      </c>
      <c r="H6" s="21" t="s">
        <v>347</v>
      </c>
      <c r="I6" s="21" t="s">
        <v>349</v>
      </c>
      <c r="J6" s="22" t="s">
        <v>28</v>
      </c>
      <c r="K6" s="18" t="s">
        <v>29</v>
      </c>
      <c r="L6" s="18" t="s">
        <v>29</v>
      </c>
      <c r="Z6" s="60"/>
      <c r="AA6" s="60" t="s">
        <v>424</v>
      </c>
      <c r="AB6" s="260" t="s">
        <v>425</v>
      </c>
      <c r="AD6" s="60"/>
      <c r="AE6" s="274" t="s">
        <v>424</v>
      </c>
      <c r="AF6" s="274" t="s">
        <v>425</v>
      </c>
    </row>
    <row r="7" spans="2:32" x14ac:dyDescent="0.25">
      <c r="B7" s="577"/>
      <c r="C7" s="579"/>
      <c r="D7" s="9" t="s">
        <v>30</v>
      </c>
      <c r="E7" s="7"/>
      <c r="F7" s="9" t="s">
        <v>411</v>
      </c>
      <c r="G7" s="9"/>
      <c r="H7" s="7"/>
      <c r="I7" s="9"/>
      <c r="J7" s="7" t="s">
        <v>41</v>
      </c>
      <c r="K7" s="1" t="s">
        <v>556</v>
      </c>
      <c r="L7" s="1" t="s">
        <v>572</v>
      </c>
      <c r="Z7" s="60">
        <v>2006</v>
      </c>
      <c r="AA7" s="272">
        <v>750487</v>
      </c>
      <c r="AB7" s="272">
        <v>176295</v>
      </c>
      <c r="AD7" s="60">
        <f>Z7</f>
        <v>2006</v>
      </c>
      <c r="AE7" s="272">
        <f>AA7*2</f>
        <v>1500974</v>
      </c>
      <c r="AF7" s="272">
        <f>AB7</f>
        <v>176295</v>
      </c>
    </row>
    <row r="8" spans="2:32" s="16" customFormat="1" ht="28.5" customHeight="1" x14ac:dyDescent="0.25">
      <c r="B8" s="577"/>
      <c r="C8" s="579"/>
      <c r="D8" s="23"/>
      <c r="E8" s="24"/>
      <c r="F8" s="23"/>
      <c r="G8" s="23"/>
      <c r="H8" s="23"/>
      <c r="I8" s="23"/>
      <c r="J8" s="24" t="s">
        <v>37</v>
      </c>
      <c r="K8" s="25" t="s">
        <v>36</v>
      </c>
      <c r="L8" s="25" t="s">
        <v>36</v>
      </c>
      <c r="Z8" s="60">
        <f>+Z7+1</f>
        <v>2007</v>
      </c>
      <c r="AA8" s="272">
        <v>756991</v>
      </c>
      <c r="AB8" s="273">
        <v>177854</v>
      </c>
      <c r="AD8" s="60">
        <f>Z8</f>
        <v>2007</v>
      </c>
      <c r="AE8" s="272">
        <f>AA8*2</f>
        <v>1513982</v>
      </c>
      <c r="AF8" s="272">
        <f>AB8</f>
        <v>177854</v>
      </c>
    </row>
    <row r="9" spans="2:32" ht="15.75" thickBot="1" x14ac:dyDescent="0.3">
      <c r="B9" s="578"/>
      <c r="C9" s="580"/>
      <c r="D9" s="14" t="s">
        <v>31</v>
      </c>
      <c r="E9" s="13" t="s">
        <v>32</v>
      </c>
      <c r="F9" s="14" t="s">
        <v>33</v>
      </c>
      <c r="G9" s="14" t="s">
        <v>34</v>
      </c>
      <c r="H9" s="14" t="s">
        <v>348</v>
      </c>
      <c r="I9" s="14" t="s">
        <v>350</v>
      </c>
      <c r="J9" s="13" t="s">
        <v>38</v>
      </c>
      <c r="K9" s="15" t="s">
        <v>35</v>
      </c>
      <c r="L9" s="15" t="s">
        <v>35</v>
      </c>
      <c r="Z9" s="60">
        <f>+Z8+1</f>
        <v>2008</v>
      </c>
      <c r="AA9" s="272">
        <v>762954</v>
      </c>
      <c r="AB9" s="272">
        <v>182950</v>
      </c>
      <c r="AD9" s="60">
        <f>Z9</f>
        <v>2008</v>
      </c>
      <c r="AE9" s="272">
        <f>AA9*2</f>
        <v>1525908</v>
      </c>
      <c r="AF9" s="272">
        <f>AB9</f>
        <v>182950</v>
      </c>
    </row>
    <row r="10" spans="2:32" x14ac:dyDescent="0.25">
      <c r="B10" s="3"/>
      <c r="C10" s="6"/>
      <c r="D10" s="10"/>
      <c r="E10" s="8"/>
      <c r="F10" s="116" t="s">
        <v>192</v>
      </c>
      <c r="G10" s="116" t="s">
        <v>193</v>
      </c>
      <c r="H10" s="10"/>
      <c r="I10" s="10"/>
      <c r="J10" s="8"/>
      <c r="K10" s="2"/>
      <c r="L10" s="2"/>
      <c r="Z10" s="60">
        <f>+Z9+1</f>
        <v>2009</v>
      </c>
      <c r="AA10" s="272">
        <v>759552</v>
      </c>
      <c r="AB10" s="272">
        <v>177874</v>
      </c>
      <c r="AD10" s="60">
        <f>Z10</f>
        <v>2009</v>
      </c>
      <c r="AE10" s="272">
        <f>AA10*2</f>
        <v>1519104</v>
      </c>
      <c r="AF10" s="272">
        <f>AB10</f>
        <v>177874</v>
      </c>
    </row>
    <row r="11" spans="2:32" x14ac:dyDescent="0.25">
      <c r="B11" s="229">
        <v>2001</v>
      </c>
      <c r="C11" s="8"/>
      <c r="D11" s="429">
        <f>data!B58</f>
        <v>1728945</v>
      </c>
      <c r="E11" s="261">
        <v>2</v>
      </c>
      <c r="F11" s="262">
        <v>160.9</v>
      </c>
      <c r="G11" s="261">
        <v>1</v>
      </c>
      <c r="H11" s="263">
        <v>0.28999999999999998</v>
      </c>
      <c r="I11" s="264">
        <v>0.56999999999999995</v>
      </c>
      <c r="J11" s="265">
        <v>24.68</v>
      </c>
      <c r="K11" s="346">
        <f>D11*E11*J11*10^-3</f>
        <v>85340.725200000001</v>
      </c>
      <c r="L11" s="346">
        <f>D11*E11*J11*10^-6</f>
        <v>85.340725199999994</v>
      </c>
      <c r="Z11" s="60"/>
      <c r="AA11" s="272"/>
      <c r="AB11" s="272"/>
      <c r="AD11" s="60"/>
      <c r="AE11" s="272"/>
      <c r="AF11" s="272"/>
    </row>
    <row r="12" spans="2:32" x14ac:dyDescent="0.25">
      <c r="B12" s="229">
        <v>2002</v>
      </c>
      <c r="C12" s="8"/>
      <c r="D12" s="429">
        <f>data!B59</f>
        <v>1672478</v>
      </c>
      <c r="E12" s="261">
        <v>2</v>
      </c>
      <c r="F12" s="262">
        <v>160.9</v>
      </c>
      <c r="G12" s="261">
        <v>1</v>
      </c>
      <c r="H12" s="263">
        <v>0.28999999999999998</v>
      </c>
      <c r="I12" s="264">
        <v>0.56999999999999995</v>
      </c>
      <c r="J12" s="265">
        <v>24.68</v>
      </c>
      <c r="K12" s="346">
        <f>D12*E12*J12*10^-3</f>
        <v>82553.514079999994</v>
      </c>
      <c r="L12" s="346">
        <f t="shared" ref="L12:L39" si="0">D12*E12*J12*10^-6</f>
        <v>82.553514079999999</v>
      </c>
      <c r="Z12" s="60"/>
      <c r="AA12" s="272"/>
      <c r="AB12" s="272"/>
      <c r="AD12" s="60"/>
      <c r="AE12" s="272"/>
      <c r="AF12" s="272"/>
    </row>
    <row r="13" spans="2:32" x14ac:dyDescent="0.25">
      <c r="B13" s="229">
        <v>2003</v>
      </c>
      <c r="C13" s="8"/>
      <c r="D13" s="429">
        <f>data!B60</f>
        <v>1532331</v>
      </c>
      <c r="E13" s="261">
        <v>2</v>
      </c>
      <c r="F13" s="262">
        <v>160.9</v>
      </c>
      <c r="G13" s="261">
        <v>1</v>
      </c>
      <c r="H13" s="263">
        <v>0.28999999999999998</v>
      </c>
      <c r="I13" s="264">
        <v>0.56999999999999995</v>
      </c>
      <c r="J13" s="265">
        <v>24.68</v>
      </c>
      <c r="K13" s="346">
        <f t="shared" ref="K13:K40" si="1">D13*E13*J13*10^-3</f>
        <v>75635.858160000003</v>
      </c>
      <c r="L13" s="346">
        <f t="shared" si="0"/>
        <v>75.635858159999998</v>
      </c>
      <c r="Z13" s="60"/>
      <c r="AA13" s="272"/>
      <c r="AB13" s="272"/>
      <c r="AD13" s="60"/>
      <c r="AE13" s="272"/>
      <c r="AF13" s="272"/>
    </row>
    <row r="14" spans="2:32" x14ac:dyDescent="0.25">
      <c r="B14" s="229">
        <v>2004</v>
      </c>
      <c r="C14" s="8"/>
      <c r="D14" s="429">
        <f>data!B61</f>
        <v>1759938</v>
      </c>
      <c r="E14" s="261">
        <v>2</v>
      </c>
      <c r="F14" s="262">
        <v>160.9</v>
      </c>
      <c r="G14" s="261">
        <v>1</v>
      </c>
      <c r="H14" s="263">
        <v>0.28999999999999998</v>
      </c>
      <c r="I14" s="264">
        <v>0.56999999999999995</v>
      </c>
      <c r="J14" s="265">
        <v>24.68</v>
      </c>
      <c r="K14" s="346">
        <f t="shared" si="1"/>
        <v>86870.539679999987</v>
      </c>
      <c r="L14" s="346">
        <f t="shared" si="0"/>
        <v>86.870539679999993</v>
      </c>
      <c r="Z14" s="60"/>
      <c r="AA14" s="272"/>
      <c r="AB14" s="272"/>
      <c r="AD14" s="60"/>
      <c r="AE14" s="272"/>
      <c r="AF14" s="272"/>
    </row>
    <row r="15" spans="2:32" x14ac:dyDescent="0.25">
      <c r="B15" s="229">
        <v>2005</v>
      </c>
      <c r="C15" s="8"/>
      <c r="D15" s="429">
        <f>data!B62</f>
        <v>1778583</v>
      </c>
      <c r="E15" s="261">
        <v>2</v>
      </c>
      <c r="F15" s="262">
        <v>160.9</v>
      </c>
      <c r="G15" s="261">
        <v>1</v>
      </c>
      <c r="H15" s="263">
        <v>0.28999999999999998</v>
      </c>
      <c r="I15" s="264">
        <v>0.56999999999999995</v>
      </c>
      <c r="J15" s="265">
        <v>24.68</v>
      </c>
      <c r="K15" s="346">
        <f t="shared" si="1"/>
        <v>87790.856879999992</v>
      </c>
      <c r="L15" s="346">
        <f t="shared" si="0"/>
        <v>87.790856879999993</v>
      </c>
      <c r="Z15" s="60"/>
      <c r="AA15" s="272"/>
      <c r="AB15" s="272"/>
      <c r="AD15" s="60"/>
      <c r="AE15" s="272"/>
      <c r="AF15" s="272"/>
    </row>
    <row r="16" spans="2:32" x14ac:dyDescent="0.25">
      <c r="B16" s="229">
        <v>2006</v>
      </c>
      <c r="C16" s="8"/>
      <c r="D16" s="429">
        <f>data!B63</f>
        <v>1687836</v>
      </c>
      <c r="E16" s="261">
        <v>2</v>
      </c>
      <c r="F16" s="262">
        <v>160.9</v>
      </c>
      <c r="G16" s="261">
        <v>1</v>
      </c>
      <c r="H16" s="263">
        <v>0.28999999999999998</v>
      </c>
      <c r="I16" s="264">
        <v>0.56999999999999995</v>
      </c>
      <c r="J16" s="265">
        <v>24.68</v>
      </c>
      <c r="K16" s="346">
        <f t="shared" si="1"/>
        <v>83311.584959999993</v>
      </c>
      <c r="L16" s="346">
        <f t="shared" si="0"/>
        <v>83.31158495999999</v>
      </c>
      <c r="Z16" s="60"/>
      <c r="AA16" s="272"/>
      <c r="AB16" s="272"/>
      <c r="AD16" s="60"/>
      <c r="AE16" s="272"/>
      <c r="AF16" s="272"/>
    </row>
    <row r="17" spans="2:32" x14ac:dyDescent="0.25">
      <c r="B17" s="229">
        <v>2007</v>
      </c>
      <c r="C17" s="8"/>
      <c r="D17" s="429">
        <f>data!B64</f>
        <v>1715466</v>
      </c>
      <c r="E17" s="261">
        <v>2</v>
      </c>
      <c r="F17" s="262">
        <v>160.9</v>
      </c>
      <c r="G17" s="261">
        <v>1</v>
      </c>
      <c r="H17" s="263">
        <v>0.28999999999999998</v>
      </c>
      <c r="I17" s="264">
        <v>0.56999999999999995</v>
      </c>
      <c r="J17" s="265">
        <v>24.68</v>
      </c>
      <c r="K17" s="346">
        <f t="shared" si="1"/>
        <v>84675.401760000008</v>
      </c>
      <c r="L17" s="346">
        <f t="shared" si="0"/>
        <v>84.67540176</v>
      </c>
      <c r="Z17" s="60"/>
      <c r="AA17" s="272"/>
      <c r="AB17" s="272"/>
      <c r="AD17" s="60"/>
      <c r="AE17" s="272"/>
      <c r="AF17" s="272"/>
    </row>
    <row r="18" spans="2:32" x14ac:dyDescent="0.25">
      <c r="B18" s="229">
        <v>2008</v>
      </c>
      <c r="C18" s="8"/>
      <c r="D18" s="429">
        <f>data!B65</f>
        <v>1690894</v>
      </c>
      <c r="E18" s="261">
        <v>2</v>
      </c>
      <c r="F18" s="262">
        <v>160.9</v>
      </c>
      <c r="G18" s="261">
        <v>1</v>
      </c>
      <c r="H18" s="263">
        <v>0.28999999999999998</v>
      </c>
      <c r="I18" s="264">
        <v>0.56999999999999995</v>
      </c>
      <c r="J18" s="265">
        <v>24.68</v>
      </c>
      <c r="K18" s="346">
        <f t="shared" si="1"/>
        <v>83462.52784000001</v>
      </c>
      <c r="L18" s="346">
        <f t="shared" si="0"/>
        <v>83.462527839999993</v>
      </c>
      <c r="Z18" s="60"/>
      <c r="AA18" s="272"/>
      <c r="AB18" s="272"/>
      <c r="AD18" s="60"/>
      <c r="AE18" s="272"/>
      <c r="AF18" s="272"/>
    </row>
    <row r="19" spans="2:32" x14ac:dyDescent="0.25">
      <c r="B19" s="229">
        <v>2009</v>
      </c>
      <c r="C19" s="8"/>
      <c r="D19" s="429">
        <f>data!B66</f>
        <v>1825346</v>
      </c>
      <c r="E19" s="261">
        <v>2</v>
      </c>
      <c r="F19" s="262">
        <v>160.9</v>
      </c>
      <c r="G19" s="261">
        <v>1</v>
      </c>
      <c r="H19" s="263">
        <v>0.28999999999999998</v>
      </c>
      <c r="I19" s="264">
        <v>0.56999999999999995</v>
      </c>
      <c r="J19" s="265">
        <v>24.68</v>
      </c>
      <c r="K19" s="346">
        <f t="shared" si="1"/>
        <v>90099.078560000009</v>
      </c>
      <c r="L19" s="346">
        <f t="shared" si="0"/>
        <v>90.099078559999995</v>
      </c>
      <c r="Z19" s="60"/>
      <c r="AA19" s="272"/>
      <c r="AB19" s="272"/>
      <c r="AD19" s="60"/>
      <c r="AE19" s="272"/>
      <c r="AF19" s="272"/>
    </row>
    <row r="20" spans="2:32" x14ac:dyDescent="0.25">
      <c r="B20" s="229">
        <v>2010</v>
      </c>
      <c r="C20" s="8"/>
      <c r="D20" s="429">
        <f>data!B67</f>
        <v>1904974</v>
      </c>
      <c r="E20" s="261">
        <v>2</v>
      </c>
      <c r="F20" s="262">
        <v>160.9</v>
      </c>
      <c r="G20" s="261">
        <v>1</v>
      </c>
      <c r="H20" s="263">
        <v>0.28999999999999998</v>
      </c>
      <c r="I20" s="264">
        <v>0.56999999999999995</v>
      </c>
      <c r="J20" s="265">
        <v>24.68</v>
      </c>
      <c r="K20" s="346">
        <f t="shared" si="1"/>
        <v>94029.516640000002</v>
      </c>
      <c r="L20" s="346">
        <f t="shared" si="0"/>
        <v>94.029516639999997</v>
      </c>
      <c r="Z20" s="60"/>
      <c r="AA20" s="272"/>
      <c r="AB20" s="272"/>
      <c r="AD20" s="60"/>
      <c r="AE20" s="272"/>
      <c r="AF20" s="272"/>
    </row>
    <row r="21" spans="2:32" x14ac:dyDescent="0.25">
      <c r="B21" s="229">
        <v>2011</v>
      </c>
      <c r="C21" s="8"/>
      <c r="D21" s="429">
        <f>data!B68</f>
        <v>1944091.5555555555</v>
      </c>
      <c r="E21" s="261">
        <v>2</v>
      </c>
      <c r="F21" s="262">
        <v>160.9</v>
      </c>
      <c r="G21" s="261">
        <v>1</v>
      </c>
      <c r="H21" s="263">
        <v>0.28999999999999998</v>
      </c>
      <c r="I21" s="264">
        <v>0.56999999999999995</v>
      </c>
      <c r="J21" s="265">
        <v>24.68</v>
      </c>
      <c r="K21" s="346">
        <f t="shared" si="1"/>
        <v>95960.359182222222</v>
      </c>
      <c r="L21" s="346">
        <f t="shared" si="0"/>
        <v>95.96035918222222</v>
      </c>
      <c r="Z21" s="60"/>
      <c r="AA21" s="272"/>
      <c r="AB21" s="272"/>
      <c r="AD21" s="60"/>
      <c r="AE21" s="272"/>
      <c r="AF21" s="272"/>
    </row>
    <row r="22" spans="2:32" x14ac:dyDescent="0.25">
      <c r="B22" s="229">
        <v>2012</v>
      </c>
      <c r="C22" s="8"/>
      <c r="D22" s="429">
        <f>data!B69</f>
        <v>1963650.3333333333</v>
      </c>
      <c r="E22" s="261">
        <v>2</v>
      </c>
      <c r="F22" s="262">
        <v>160.9</v>
      </c>
      <c r="G22" s="261">
        <v>1</v>
      </c>
      <c r="H22" s="263">
        <v>0.28999999999999998</v>
      </c>
      <c r="I22" s="264">
        <v>0.56999999999999995</v>
      </c>
      <c r="J22" s="265">
        <v>24.68</v>
      </c>
      <c r="K22" s="346">
        <f t="shared" si="1"/>
        <v>96925.78045333334</v>
      </c>
      <c r="L22" s="346">
        <f t="shared" si="0"/>
        <v>96.925780453333331</v>
      </c>
      <c r="Z22" s="60"/>
      <c r="AA22" s="272"/>
      <c r="AB22" s="272"/>
      <c r="AD22" s="60"/>
      <c r="AE22" s="272"/>
      <c r="AF22" s="272"/>
    </row>
    <row r="23" spans="2:32" x14ac:dyDescent="0.25">
      <c r="B23" s="229">
        <v>2013</v>
      </c>
      <c r="C23" s="8"/>
      <c r="D23" s="429">
        <f>data!B70</f>
        <v>1983209.111111111</v>
      </c>
      <c r="E23" s="261">
        <v>2</v>
      </c>
      <c r="F23" s="262">
        <v>160.9</v>
      </c>
      <c r="G23" s="261">
        <v>1</v>
      </c>
      <c r="H23" s="263">
        <v>0.28999999999999998</v>
      </c>
      <c r="I23" s="264">
        <v>0.56999999999999995</v>
      </c>
      <c r="J23" s="265">
        <v>24.68</v>
      </c>
      <c r="K23" s="346">
        <f t="shared" si="1"/>
        <v>97891.201724444443</v>
      </c>
      <c r="L23" s="346">
        <f t="shared" si="0"/>
        <v>97.891201724444429</v>
      </c>
      <c r="Z23" s="60"/>
      <c r="AA23" s="272"/>
      <c r="AB23" s="272"/>
      <c r="AD23" s="60"/>
      <c r="AE23" s="272"/>
      <c r="AF23" s="272"/>
    </row>
    <row r="24" spans="2:32" x14ac:dyDescent="0.25">
      <c r="B24" s="229">
        <v>2014</v>
      </c>
      <c r="C24" s="8"/>
      <c r="D24" s="429">
        <f>data!B71</f>
        <v>2002767.888888889</v>
      </c>
      <c r="E24" s="261">
        <v>2</v>
      </c>
      <c r="F24" s="262">
        <v>160.9</v>
      </c>
      <c r="G24" s="261">
        <v>1</v>
      </c>
      <c r="H24" s="263">
        <v>0.28999999999999998</v>
      </c>
      <c r="I24" s="264">
        <v>0.56999999999999995</v>
      </c>
      <c r="J24" s="265">
        <v>24.68</v>
      </c>
      <c r="K24" s="346">
        <f t="shared" si="1"/>
        <v>98856.622995555561</v>
      </c>
      <c r="L24" s="346">
        <f t="shared" si="0"/>
        <v>98.856622995555554</v>
      </c>
      <c r="Z24" s="60"/>
      <c r="AA24" s="272"/>
      <c r="AB24" s="272"/>
      <c r="AD24" s="60"/>
      <c r="AE24" s="272"/>
      <c r="AF24" s="272"/>
    </row>
    <row r="25" spans="2:32" x14ac:dyDescent="0.25">
      <c r="B25" s="229">
        <v>2015</v>
      </c>
      <c r="C25" s="8"/>
      <c r="D25" s="429">
        <f>data!B72</f>
        <v>2022326.6666666667</v>
      </c>
      <c r="E25" s="261">
        <v>2</v>
      </c>
      <c r="F25" s="262">
        <v>160.9</v>
      </c>
      <c r="G25" s="261">
        <v>1</v>
      </c>
      <c r="H25" s="263">
        <v>0.28999999999999998</v>
      </c>
      <c r="I25" s="264">
        <v>0.56999999999999995</v>
      </c>
      <c r="J25" s="265">
        <v>24.68</v>
      </c>
      <c r="K25" s="346">
        <f t="shared" si="1"/>
        <v>99822.044266666664</v>
      </c>
      <c r="L25" s="346">
        <f t="shared" si="0"/>
        <v>99.822044266666666</v>
      </c>
      <c r="Z25" s="60"/>
      <c r="AA25" s="272"/>
      <c r="AB25" s="272"/>
      <c r="AD25" s="60"/>
      <c r="AE25" s="272"/>
      <c r="AF25" s="272"/>
    </row>
    <row r="26" spans="2:32" x14ac:dyDescent="0.25">
      <c r="B26" s="229">
        <v>2016</v>
      </c>
      <c r="C26" s="8"/>
      <c r="D26" s="429">
        <f>data!B73</f>
        <v>2041885.4444444445</v>
      </c>
      <c r="E26" s="261">
        <v>2</v>
      </c>
      <c r="F26" s="262">
        <v>160.9</v>
      </c>
      <c r="G26" s="261">
        <v>1</v>
      </c>
      <c r="H26" s="263">
        <v>0.28999999999999998</v>
      </c>
      <c r="I26" s="264">
        <v>0.56999999999999995</v>
      </c>
      <c r="J26" s="265">
        <v>24.68</v>
      </c>
      <c r="K26" s="346">
        <f t="shared" si="1"/>
        <v>100787.46553777778</v>
      </c>
      <c r="L26" s="346">
        <f t="shared" si="0"/>
        <v>100.78746553777778</v>
      </c>
      <c r="Z26" s="60"/>
      <c r="AA26" s="272"/>
      <c r="AB26" s="272"/>
      <c r="AD26" s="60"/>
      <c r="AE26" s="272"/>
      <c r="AF26" s="272"/>
    </row>
    <row r="27" spans="2:32" x14ac:dyDescent="0.25">
      <c r="B27" s="229">
        <v>2017</v>
      </c>
      <c r="C27" s="8"/>
      <c r="D27" s="429">
        <f>data!B74</f>
        <v>2061444.2222222222</v>
      </c>
      <c r="E27" s="261">
        <v>2</v>
      </c>
      <c r="F27" s="262">
        <v>160.9</v>
      </c>
      <c r="G27" s="261">
        <v>1</v>
      </c>
      <c r="H27" s="263">
        <v>0.28999999999999998</v>
      </c>
      <c r="I27" s="264">
        <v>0.56999999999999995</v>
      </c>
      <c r="J27" s="265">
        <v>24.68</v>
      </c>
      <c r="K27" s="346">
        <f t="shared" si="1"/>
        <v>101752.88680888888</v>
      </c>
      <c r="L27" s="346">
        <f t="shared" si="0"/>
        <v>101.75288680888887</v>
      </c>
      <c r="Z27" s="60"/>
      <c r="AA27" s="272"/>
      <c r="AB27" s="272"/>
      <c r="AD27" s="60"/>
      <c r="AE27" s="272"/>
      <c r="AF27" s="272"/>
    </row>
    <row r="28" spans="2:32" x14ac:dyDescent="0.25">
      <c r="B28" s="229">
        <v>2018</v>
      </c>
      <c r="C28" s="8"/>
      <c r="D28" s="429">
        <f>data!B75</f>
        <v>2081003</v>
      </c>
      <c r="E28" s="261">
        <v>2</v>
      </c>
      <c r="F28" s="262">
        <v>160.9</v>
      </c>
      <c r="G28" s="261">
        <v>1</v>
      </c>
      <c r="H28" s="263">
        <v>0.28999999999999998</v>
      </c>
      <c r="I28" s="264">
        <v>0.56999999999999995</v>
      </c>
      <c r="J28" s="265">
        <v>24.68</v>
      </c>
      <c r="K28" s="346">
        <f t="shared" si="1"/>
        <v>102718.30808</v>
      </c>
      <c r="L28" s="346">
        <f t="shared" si="0"/>
        <v>102.71830808</v>
      </c>
      <c r="Z28" s="60"/>
      <c r="AA28" s="272"/>
      <c r="AB28" s="272"/>
      <c r="AD28" s="60"/>
      <c r="AE28" s="272"/>
      <c r="AF28" s="272"/>
    </row>
    <row r="29" spans="2:32" x14ac:dyDescent="0.25">
      <c r="B29" s="229">
        <v>2019</v>
      </c>
      <c r="C29" s="8"/>
      <c r="D29" s="429">
        <f>data!B76</f>
        <v>2100561.777777778</v>
      </c>
      <c r="E29" s="261">
        <v>2</v>
      </c>
      <c r="F29" s="262">
        <v>160.9</v>
      </c>
      <c r="G29" s="261">
        <v>1</v>
      </c>
      <c r="H29" s="263">
        <v>0.28999999999999998</v>
      </c>
      <c r="I29" s="264">
        <v>0.56999999999999995</v>
      </c>
      <c r="J29" s="265">
        <v>24.68</v>
      </c>
      <c r="K29" s="346">
        <f t="shared" si="1"/>
        <v>103683.72935111112</v>
      </c>
      <c r="L29" s="346">
        <f t="shared" si="0"/>
        <v>103.68372935111111</v>
      </c>
      <c r="Z29" s="60"/>
      <c r="AA29" s="272"/>
      <c r="AB29" s="272"/>
      <c r="AD29" s="60"/>
      <c r="AE29" s="272"/>
      <c r="AF29" s="272"/>
    </row>
    <row r="30" spans="2:32" x14ac:dyDescent="0.25">
      <c r="B30" s="229">
        <v>2020</v>
      </c>
      <c r="C30" s="8"/>
      <c r="D30" s="429">
        <f>data!B77</f>
        <v>2120120.5555555555</v>
      </c>
      <c r="E30" s="261">
        <v>2</v>
      </c>
      <c r="F30" s="262">
        <v>160.9</v>
      </c>
      <c r="G30" s="261">
        <v>1</v>
      </c>
      <c r="H30" s="263">
        <v>0.28999999999999998</v>
      </c>
      <c r="I30" s="264">
        <v>0.56999999999999995</v>
      </c>
      <c r="J30" s="265">
        <v>24.68</v>
      </c>
      <c r="K30" s="346">
        <f t="shared" si="1"/>
        <v>104649.15062222222</v>
      </c>
      <c r="L30" s="346">
        <f t="shared" si="0"/>
        <v>104.64915062222221</v>
      </c>
      <c r="Z30" s="60"/>
      <c r="AA30" s="272"/>
      <c r="AB30" s="272"/>
      <c r="AD30" s="60"/>
      <c r="AE30" s="272"/>
      <c r="AF30" s="272"/>
    </row>
    <row r="31" spans="2:32" x14ac:dyDescent="0.25">
      <c r="B31" s="229">
        <v>2021</v>
      </c>
      <c r="C31" s="8"/>
      <c r="D31" s="429">
        <f>data!B78</f>
        <v>2139679.3333333335</v>
      </c>
      <c r="E31" s="261">
        <v>2</v>
      </c>
      <c r="F31" s="262">
        <v>160.9</v>
      </c>
      <c r="G31" s="261">
        <v>1</v>
      </c>
      <c r="H31" s="263">
        <v>0.28999999999999998</v>
      </c>
      <c r="I31" s="264">
        <v>0.56999999999999995</v>
      </c>
      <c r="J31" s="265">
        <v>24.68</v>
      </c>
      <c r="K31" s="346">
        <f t="shared" si="1"/>
        <v>105614.57189333334</v>
      </c>
      <c r="L31" s="346">
        <f t="shared" si="0"/>
        <v>105.61457189333333</v>
      </c>
      <c r="Z31" s="60"/>
      <c r="AA31" s="272"/>
      <c r="AB31" s="272"/>
      <c r="AD31" s="60"/>
      <c r="AE31" s="272"/>
      <c r="AF31" s="272"/>
    </row>
    <row r="32" spans="2:32" x14ac:dyDescent="0.25">
      <c r="B32" s="229">
        <v>2022</v>
      </c>
      <c r="C32" s="8"/>
      <c r="D32" s="429">
        <f>data!B79</f>
        <v>2159238.111111111</v>
      </c>
      <c r="E32" s="261">
        <v>2</v>
      </c>
      <c r="F32" s="262">
        <v>160.9</v>
      </c>
      <c r="G32" s="261">
        <v>1</v>
      </c>
      <c r="H32" s="263">
        <v>0.28999999999999998</v>
      </c>
      <c r="I32" s="264">
        <v>0.56999999999999995</v>
      </c>
      <c r="J32" s="265">
        <v>24.68</v>
      </c>
      <c r="K32" s="346">
        <f t="shared" si="1"/>
        <v>106579.99316444443</v>
      </c>
      <c r="L32" s="346">
        <f t="shared" si="0"/>
        <v>106.57999316444443</v>
      </c>
      <c r="Z32" s="60"/>
      <c r="AA32" s="272"/>
      <c r="AB32" s="272"/>
      <c r="AD32" s="60"/>
      <c r="AE32" s="272"/>
      <c r="AF32" s="272"/>
    </row>
    <row r="33" spans="2:32" x14ac:dyDescent="0.25">
      <c r="B33" s="229">
        <v>2023</v>
      </c>
      <c r="C33" s="8"/>
      <c r="D33" s="429">
        <f>data!B80</f>
        <v>2178796.888888889</v>
      </c>
      <c r="E33" s="261">
        <v>2</v>
      </c>
      <c r="F33" s="262">
        <v>160.9</v>
      </c>
      <c r="G33" s="261">
        <v>1</v>
      </c>
      <c r="H33" s="263">
        <v>0.28999999999999998</v>
      </c>
      <c r="I33" s="264">
        <v>0.56999999999999995</v>
      </c>
      <c r="J33" s="265">
        <v>24.68</v>
      </c>
      <c r="K33" s="346">
        <f t="shared" si="1"/>
        <v>107545.41443555556</v>
      </c>
      <c r="L33" s="346">
        <f t="shared" si="0"/>
        <v>107.54541443555556</v>
      </c>
      <c r="Z33" s="60"/>
      <c r="AA33" s="272"/>
      <c r="AB33" s="272"/>
      <c r="AD33" s="60"/>
      <c r="AE33" s="272"/>
      <c r="AF33" s="272"/>
    </row>
    <row r="34" spans="2:32" x14ac:dyDescent="0.25">
      <c r="B34" s="229">
        <v>2024</v>
      </c>
      <c r="C34" s="8"/>
      <c r="D34" s="429">
        <f>data!B81</f>
        <v>2198355.6666666665</v>
      </c>
      <c r="E34" s="261">
        <v>2</v>
      </c>
      <c r="F34" s="262">
        <v>160.9</v>
      </c>
      <c r="G34" s="261">
        <v>1</v>
      </c>
      <c r="H34" s="263">
        <v>0.28999999999999998</v>
      </c>
      <c r="I34" s="264">
        <v>0.56999999999999995</v>
      </c>
      <c r="J34" s="265">
        <v>24.68</v>
      </c>
      <c r="K34" s="346">
        <f t="shared" si="1"/>
        <v>108510.83570666666</v>
      </c>
      <c r="L34" s="346">
        <f t="shared" si="0"/>
        <v>108.51083570666665</v>
      </c>
      <c r="Z34" s="60"/>
      <c r="AA34" s="272"/>
      <c r="AB34" s="272"/>
      <c r="AD34" s="60"/>
      <c r="AE34" s="272"/>
      <c r="AF34" s="272"/>
    </row>
    <row r="35" spans="2:32" x14ac:dyDescent="0.25">
      <c r="B35" s="229">
        <v>2025</v>
      </c>
      <c r="C35" s="8"/>
      <c r="D35" s="429">
        <f>data!B82</f>
        <v>2217914.4444444445</v>
      </c>
      <c r="E35" s="261">
        <v>2</v>
      </c>
      <c r="F35" s="262">
        <v>160.9</v>
      </c>
      <c r="G35" s="261">
        <v>1</v>
      </c>
      <c r="H35" s="263">
        <v>0.28999999999999998</v>
      </c>
      <c r="I35" s="264">
        <v>0.56999999999999995</v>
      </c>
      <c r="J35" s="265">
        <v>24.68</v>
      </c>
      <c r="K35" s="346">
        <f t="shared" si="1"/>
        <v>109476.25697777778</v>
      </c>
      <c r="L35" s="346">
        <f t="shared" si="0"/>
        <v>109.47625697777778</v>
      </c>
      <c r="Z35" s="60"/>
      <c r="AA35" s="272"/>
      <c r="AB35" s="272"/>
      <c r="AD35" s="60"/>
      <c r="AE35" s="272"/>
      <c r="AF35" s="272"/>
    </row>
    <row r="36" spans="2:32" x14ac:dyDescent="0.25">
      <c r="B36" s="229">
        <v>2026</v>
      </c>
      <c r="C36" s="8"/>
      <c r="D36" s="429">
        <f>data!B83</f>
        <v>2237473.222222222</v>
      </c>
      <c r="E36" s="261">
        <v>2</v>
      </c>
      <c r="F36" s="262">
        <v>160.9</v>
      </c>
      <c r="G36" s="261">
        <v>1</v>
      </c>
      <c r="H36" s="263">
        <v>0.28999999999999998</v>
      </c>
      <c r="I36" s="264">
        <v>0.56999999999999995</v>
      </c>
      <c r="J36" s="265">
        <v>24.68</v>
      </c>
      <c r="K36" s="346">
        <f t="shared" si="1"/>
        <v>110441.67824888889</v>
      </c>
      <c r="L36" s="346">
        <f t="shared" si="0"/>
        <v>110.44167824888888</v>
      </c>
      <c r="Z36" s="60"/>
      <c r="AA36" s="272"/>
      <c r="AB36" s="272"/>
      <c r="AD36" s="60"/>
      <c r="AE36" s="272"/>
      <c r="AF36" s="272"/>
    </row>
    <row r="37" spans="2:32" x14ac:dyDescent="0.25">
      <c r="B37" s="229">
        <v>2027</v>
      </c>
      <c r="C37" s="368"/>
      <c r="D37" s="429">
        <f>data!B84</f>
        <v>2257032</v>
      </c>
      <c r="E37" s="261">
        <v>2</v>
      </c>
      <c r="F37" s="262">
        <v>160.9</v>
      </c>
      <c r="G37" s="261">
        <v>1</v>
      </c>
      <c r="H37" s="263">
        <v>0.28999999999999998</v>
      </c>
      <c r="I37" s="264">
        <v>0.56999999999999995</v>
      </c>
      <c r="J37" s="265">
        <v>24.68</v>
      </c>
      <c r="K37" s="346">
        <f t="shared" si="1"/>
        <v>111407.09952</v>
      </c>
      <c r="L37" s="346">
        <f t="shared" si="0"/>
        <v>111.40709951999999</v>
      </c>
      <c r="Z37" s="60"/>
      <c r="AA37" s="272"/>
      <c r="AB37" s="272"/>
      <c r="AD37" s="60"/>
      <c r="AE37" s="272"/>
      <c r="AF37" s="272"/>
    </row>
    <row r="38" spans="2:32" x14ac:dyDescent="0.25">
      <c r="B38" s="229">
        <v>2028</v>
      </c>
      <c r="C38" s="341"/>
      <c r="D38" s="429">
        <f>data!B85</f>
        <v>2276590.777777778</v>
      </c>
      <c r="E38" s="261">
        <v>2</v>
      </c>
      <c r="F38" s="262">
        <v>160.9</v>
      </c>
      <c r="G38" s="261">
        <v>1</v>
      </c>
      <c r="H38" s="263">
        <v>0.28999999999999998</v>
      </c>
      <c r="I38" s="264">
        <v>0.56999999999999995</v>
      </c>
      <c r="J38" s="265">
        <v>24.68</v>
      </c>
      <c r="K38" s="346">
        <f t="shared" si="1"/>
        <v>112372.52079111114</v>
      </c>
      <c r="L38" s="346">
        <f t="shared" si="0"/>
        <v>112.37252079111113</v>
      </c>
      <c r="Z38" s="60">
        <f>+Z10+1</f>
        <v>2010</v>
      </c>
      <c r="AA38" s="272">
        <v>755956</v>
      </c>
      <c r="AB38" s="272">
        <v>174312</v>
      </c>
      <c r="AD38" s="60">
        <f>Z38</f>
        <v>2010</v>
      </c>
      <c r="AE38" s="272">
        <f>AA38*2</f>
        <v>1511912</v>
      </c>
      <c r="AF38" s="272">
        <f>AB38</f>
        <v>174312</v>
      </c>
    </row>
    <row r="39" spans="2:32" x14ac:dyDescent="0.25">
      <c r="B39" s="229">
        <v>2029</v>
      </c>
      <c r="C39" s="341"/>
      <c r="D39" s="429">
        <f>data!B86</f>
        <v>2296149.5555555555</v>
      </c>
      <c r="E39" s="261">
        <v>2</v>
      </c>
      <c r="F39" s="262">
        <v>160.9</v>
      </c>
      <c r="G39" s="261">
        <v>1</v>
      </c>
      <c r="H39" s="263">
        <v>0.28999999999999998</v>
      </c>
      <c r="I39" s="264">
        <v>0.56999999999999995</v>
      </c>
      <c r="J39" s="265">
        <v>24.68</v>
      </c>
      <c r="K39" s="346">
        <f t="shared" si="1"/>
        <v>113337.94206222221</v>
      </c>
      <c r="L39" s="346">
        <f t="shared" si="0"/>
        <v>113.33794206222221</v>
      </c>
      <c r="Z39" s="60">
        <f>+Z38+1</f>
        <v>2011</v>
      </c>
      <c r="AA39" s="272">
        <v>761237.7</v>
      </c>
      <c r="AB39" s="272">
        <v>176673.2</v>
      </c>
      <c r="AD39" s="60">
        <f>Z39</f>
        <v>2011</v>
      </c>
      <c r="AE39" s="272">
        <f>AA39*2</f>
        <v>1522475.4</v>
      </c>
      <c r="AF39" s="272">
        <f>AB39</f>
        <v>176673.2</v>
      </c>
    </row>
    <row r="40" spans="2:32" x14ac:dyDescent="0.25">
      <c r="B40" s="229">
        <v>2030</v>
      </c>
      <c r="C40" s="341"/>
      <c r="D40" s="429">
        <f>data!B87</f>
        <v>2315708.3333333335</v>
      </c>
      <c r="E40" s="261">
        <v>2</v>
      </c>
      <c r="F40" s="262">
        <v>160.9</v>
      </c>
      <c r="G40" s="261">
        <v>1</v>
      </c>
      <c r="H40" s="263">
        <v>0.28999999999999998</v>
      </c>
      <c r="I40" s="264">
        <v>0.56999999999999995</v>
      </c>
      <c r="J40" s="265">
        <v>24.68</v>
      </c>
      <c r="K40" s="346">
        <f t="shared" si="1"/>
        <v>114303.36333333334</v>
      </c>
      <c r="L40" s="346">
        <f>D40*E40*J40*10^-6</f>
        <v>114.30336333333334</v>
      </c>
      <c r="Z40" s="60">
        <f>+Z39+1</f>
        <v>2012</v>
      </c>
      <c r="AA40" s="272">
        <v>762587.6</v>
      </c>
      <c r="AB40" s="272">
        <v>176278.6</v>
      </c>
      <c r="AD40" s="60">
        <f>Z40</f>
        <v>2012</v>
      </c>
      <c r="AE40" s="272">
        <f>AA40*2</f>
        <v>1525175.2</v>
      </c>
      <c r="AF40" s="272">
        <f>AB40</f>
        <v>176278.6</v>
      </c>
    </row>
    <row r="42" spans="2:32" x14ac:dyDescent="0.25">
      <c r="B42" t="s">
        <v>0</v>
      </c>
      <c r="C42" t="s">
        <v>2</v>
      </c>
    </row>
    <row r="43" spans="2:32" ht="18" x14ac:dyDescent="0.35">
      <c r="B43" t="s">
        <v>1</v>
      </c>
      <c r="C43" s="161" t="s">
        <v>456</v>
      </c>
    </row>
    <row r="44" spans="2:32" ht="15.75" thickBot="1" x14ac:dyDescent="0.3"/>
    <row r="45" spans="2:32" x14ac:dyDescent="0.25">
      <c r="B45" s="117" t="s">
        <v>3</v>
      </c>
      <c r="C45" s="19" t="s">
        <v>23</v>
      </c>
      <c r="D45" s="574" t="s">
        <v>24</v>
      </c>
      <c r="E45" s="575"/>
      <c r="F45" s="574" t="s">
        <v>25</v>
      </c>
      <c r="G45" s="576"/>
      <c r="H45" s="222"/>
      <c r="I45" s="574" t="s">
        <v>25</v>
      </c>
      <c r="J45" s="575"/>
      <c r="K45" s="223" t="s">
        <v>24</v>
      </c>
    </row>
    <row r="46" spans="2:32" ht="75" x14ac:dyDescent="0.25">
      <c r="B46" s="577" t="s">
        <v>403</v>
      </c>
      <c r="C46" s="579" t="s">
        <v>191</v>
      </c>
      <c r="D46" s="21" t="s">
        <v>409</v>
      </c>
      <c r="E46" s="22" t="s">
        <v>410</v>
      </c>
      <c r="F46" s="21" t="s">
        <v>26</v>
      </c>
      <c r="G46" s="21" t="s">
        <v>27</v>
      </c>
      <c r="H46" s="21" t="s">
        <v>347</v>
      </c>
      <c r="I46" s="21" t="s">
        <v>349</v>
      </c>
      <c r="J46" s="22" t="s">
        <v>28</v>
      </c>
      <c r="K46" s="18" t="s">
        <v>29</v>
      </c>
    </row>
    <row r="47" spans="2:32" x14ac:dyDescent="0.25">
      <c r="B47" s="577"/>
      <c r="C47" s="579"/>
      <c r="D47" s="9" t="s">
        <v>30</v>
      </c>
      <c r="E47" s="7"/>
      <c r="F47" s="9" t="s">
        <v>411</v>
      </c>
      <c r="G47" s="9"/>
      <c r="H47" s="7"/>
      <c r="I47" s="9"/>
      <c r="J47" s="7" t="s">
        <v>41</v>
      </c>
      <c r="K47" s="1" t="s">
        <v>516</v>
      </c>
    </row>
    <row r="48" spans="2:32" ht="30" x14ac:dyDescent="0.25">
      <c r="B48" s="577"/>
      <c r="C48" s="579"/>
      <c r="D48" s="23"/>
      <c r="E48" s="24"/>
      <c r="F48" s="23"/>
      <c r="G48" s="23"/>
      <c r="H48" s="23"/>
      <c r="I48" s="23"/>
      <c r="J48" s="24" t="s">
        <v>37</v>
      </c>
      <c r="K48" s="25" t="s">
        <v>36</v>
      </c>
    </row>
    <row r="49" spans="2:11" ht="15.75" thickBot="1" x14ac:dyDescent="0.3">
      <c r="B49" s="578"/>
      <c r="C49" s="580"/>
      <c r="D49" s="14" t="s">
        <v>31</v>
      </c>
      <c r="E49" s="13" t="s">
        <v>32</v>
      </c>
      <c r="F49" s="14" t="s">
        <v>33</v>
      </c>
      <c r="G49" s="14" t="s">
        <v>34</v>
      </c>
      <c r="H49" s="14" t="s">
        <v>348</v>
      </c>
      <c r="I49" s="14" t="s">
        <v>350</v>
      </c>
      <c r="J49" s="13" t="s">
        <v>38</v>
      </c>
      <c r="K49" s="15" t="s">
        <v>35</v>
      </c>
    </row>
    <row r="50" spans="2:11" x14ac:dyDescent="0.25">
      <c r="B50" s="3"/>
      <c r="C50" s="6"/>
      <c r="D50" s="10"/>
      <c r="E50" s="8"/>
      <c r="F50" s="116" t="s">
        <v>192</v>
      </c>
      <c r="G50" s="116" t="s">
        <v>193</v>
      </c>
      <c r="H50" s="10"/>
      <c r="I50" s="10"/>
      <c r="J50" s="8"/>
      <c r="K50" s="2"/>
    </row>
    <row r="51" spans="2:11" x14ac:dyDescent="0.25">
      <c r="B51" s="229">
        <v>2001</v>
      </c>
      <c r="C51" s="8"/>
      <c r="D51" s="10"/>
      <c r="E51" s="8"/>
      <c r="F51" s="116"/>
      <c r="G51" s="116"/>
      <c r="H51" s="10"/>
      <c r="I51" s="10"/>
      <c r="J51" s="8"/>
      <c r="K51" s="229"/>
    </row>
    <row r="52" spans="2:11" x14ac:dyDescent="0.25">
      <c r="B52" s="229">
        <v>2002</v>
      </c>
      <c r="C52" s="8"/>
      <c r="D52" s="10"/>
      <c r="E52" s="8"/>
      <c r="F52" s="116"/>
      <c r="G52" s="116"/>
      <c r="H52" s="10"/>
      <c r="I52" s="10"/>
      <c r="J52" s="8"/>
      <c r="K52" s="229"/>
    </row>
    <row r="53" spans="2:11" x14ac:dyDescent="0.25">
      <c r="B53" s="229">
        <v>2003</v>
      </c>
      <c r="C53" s="8"/>
      <c r="D53" s="10"/>
      <c r="E53" s="8"/>
      <c r="F53" s="116"/>
      <c r="G53" s="116"/>
      <c r="H53" s="10"/>
      <c r="I53" s="10"/>
      <c r="J53" s="8"/>
      <c r="K53" s="229"/>
    </row>
    <row r="54" spans="2:11" x14ac:dyDescent="0.25">
      <c r="B54" s="229">
        <v>2004</v>
      </c>
      <c r="C54" s="8"/>
      <c r="D54" s="10"/>
      <c r="E54" s="8"/>
      <c r="F54" s="116"/>
      <c r="G54" s="116"/>
      <c r="H54" s="10"/>
      <c r="I54" s="10"/>
      <c r="J54" s="8"/>
      <c r="K54" s="229"/>
    </row>
    <row r="55" spans="2:11" x14ac:dyDescent="0.25">
      <c r="B55" s="229">
        <v>2005</v>
      </c>
      <c r="C55" s="8"/>
      <c r="D55" s="10"/>
      <c r="E55" s="8"/>
      <c r="F55" s="116"/>
      <c r="G55" s="116"/>
      <c r="H55" s="10"/>
      <c r="I55" s="10"/>
      <c r="J55" s="8"/>
      <c r="K55" s="229"/>
    </row>
    <row r="56" spans="2:11" x14ac:dyDescent="0.25">
      <c r="B56" s="229">
        <v>2006</v>
      </c>
      <c r="C56" s="8"/>
      <c r="D56" s="317"/>
      <c r="E56" s="261">
        <v>1</v>
      </c>
      <c r="F56" s="262">
        <v>160.9</v>
      </c>
      <c r="G56" s="261">
        <v>1</v>
      </c>
      <c r="H56" s="263">
        <v>0.28999999999999998</v>
      </c>
      <c r="I56" s="264">
        <v>0.56999999999999995</v>
      </c>
      <c r="J56" s="265">
        <v>25.67</v>
      </c>
      <c r="K56" s="265">
        <f>D56*E56*J56*10^-6</f>
        <v>0</v>
      </c>
    </row>
    <row r="57" spans="2:11" x14ac:dyDescent="0.25">
      <c r="B57" s="229">
        <v>2007</v>
      </c>
      <c r="C57" s="8"/>
      <c r="D57" s="317"/>
      <c r="E57" s="261">
        <v>1</v>
      </c>
      <c r="F57" s="262">
        <v>160.9</v>
      </c>
      <c r="G57" s="261">
        <v>1</v>
      </c>
      <c r="H57" s="263">
        <v>0.28999999999999998</v>
      </c>
      <c r="I57" s="264">
        <v>0.56999999999999995</v>
      </c>
      <c r="J57" s="265">
        <v>25.67</v>
      </c>
      <c r="K57" s="265">
        <f t="shared" ref="K57:K80" si="2">D57*E57*J57*10^-6</f>
        <v>0</v>
      </c>
    </row>
    <row r="58" spans="2:11" x14ac:dyDescent="0.25">
      <c r="B58" s="229">
        <v>2008</v>
      </c>
      <c r="C58" s="8"/>
      <c r="D58" s="317"/>
      <c r="E58" s="261">
        <v>1</v>
      </c>
      <c r="F58" s="262">
        <v>160.9</v>
      </c>
      <c r="G58" s="261">
        <v>1</v>
      </c>
      <c r="H58" s="263">
        <v>0.28999999999999998</v>
      </c>
      <c r="I58" s="264">
        <v>0.56999999999999995</v>
      </c>
      <c r="J58" s="265">
        <v>25.67</v>
      </c>
      <c r="K58" s="265">
        <f t="shared" si="2"/>
        <v>0</v>
      </c>
    </row>
    <row r="59" spans="2:11" x14ac:dyDescent="0.25">
      <c r="B59" s="229">
        <v>2009</v>
      </c>
      <c r="C59" s="8"/>
      <c r="D59" s="317"/>
      <c r="E59" s="261">
        <v>1</v>
      </c>
      <c r="F59" s="262">
        <v>160.9</v>
      </c>
      <c r="G59" s="261">
        <v>1</v>
      </c>
      <c r="H59" s="263">
        <v>0.28999999999999998</v>
      </c>
      <c r="I59" s="264">
        <v>0.56999999999999995</v>
      </c>
      <c r="J59" s="265">
        <v>25.67</v>
      </c>
      <c r="K59" s="265">
        <f t="shared" si="2"/>
        <v>0</v>
      </c>
    </row>
    <row r="60" spans="2:11" x14ac:dyDescent="0.25">
      <c r="B60" s="229">
        <v>2010</v>
      </c>
      <c r="C60" s="8"/>
      <c r="D60" s="317"/>
      <c r="E60" s="261">
        <v>1</v>
      </c>
      <c r="F60" s="262">
        <v>160.9</v>
      </c>
      <c r="G60" s="261">
        <v>1</v>
      </c>
      <c r="H60" s="263">
        <v>0.28999999999999998</v>
      </c>
      <c r="I60" s="264">
        <v>0.56999999999999995</v>
      </c>
      <c r="J60" s="265">
        <v>25.67</v>
      </c>
      <c r="K60" s="265">
        <f t="shared" si="2"/>
        <v>0</v>
      </c>
    </row>
    <row r="61" spans="2:11" x14ac:dyDescent="0.25">
      <c r="B61" s="229">
        <v>2011</v>
      </c>
      <c r="C61" s="8"/>
      <c r="D61" s="317"/>
      <c r="E61" s="261">
        <v>1</v>
      </c>
      <c r="F61" s="262">
        <v>160.9</v>
      </c>
      <c r="G61" s="261">
        <v>1</v>
      </c>
      <c r="H61" s="263">
        <v>0.28999999999999998</v>
      </c>
      <c r="I61" s="264">
        <v>0.56999999999999995</v>
      </c>
      <c r="J61" s="265">
        <v>25.67</v>
      </c>
      <c r="K61" s="265">
        <f t="shared" si="2"/>
        <v>0</v>
      </c>
    </row>
    <row r="62" spans="2:11" x14ac:dyDescent="0.25">
      <c r="B62" s="229">
        <v>2012</v>
      </c>
      <c r="C62" s="8"/>
      <c r="D62" s="317"/>
      <c r="E62" s="261">
        <v>1</v>
      </c>
      <c r="F62" s="262">
        <v>160.9</v>
      </c>
      <c r="G62" s="261">
        <v>1</v>
      </c>
      <c r="H62" s="263">
        <v>0.28999999999999998</v>
      </c>
      <c r="I62" s="264">
        <v>0.56999999999999995</v>
      </c>
      <c r="J62" s="265">
        <v>25.67</v>
      </c>
      <c r="K62" s="265">
        <f t="shared" si="2"/>
        <v>0</v>
      </c>
    </row>
    <row r="63" spans="2:11" x14ac:dyDescent="0.25">
      <c r="B63" s="229">
        <v>2013</v>
      </c>
      <c r="C63" s="8"/>
      <c r="D63" s="317"/>
      <c r="E63" s="261">
        <v>1</v>
      </c>
      <c r="F63" s="262">
        <v>160.9</v>
      </c>
      <c r="G63" s="261">
        <v>1</v>
      </c>
      <c r="H63" s="263">
        <v>0.28999999999999998</v>
      </c>
      <c r="I63" s="264">
        <v>0.56999999999999995</v>
      </c>
      <c r="J63" s="265">
        <v>25.67</v>
      </c>
      <c r="K63" s="265">
        <f t="shared" si="2"/>
        <v>0</v>
      </c>
    </row>
    <row r="64" spans="2:11" x14ac:dyDescent="0.25">
      <c r="B64" s="229">
        <v>2014</v>
      </c>
      <c r="C64" s="8"/>
      <c r="D64" s="317"/>
      <c r="E64" s="261">
        <v>1</v>
      </c>
      <c r="F64" s="262">
        <v>160.9</v>
      </c>
      <c r="G64" s="261">
        <v>1</v>
      </c>
      <c r="H64" s="263">
        <v>0.28999999999999998</v>
      </c>
      <c r="I64" s="264">
        <v>0.56999999999999995</v>
      </c>
      <c r="J64" s="265">
        <v>25.67</v>
      </c>
      <c r="K64" s="265">
        <f t="shared" si="2"/>
        <v>0</v>
      </c>
    </row>
    <row r="65" spans="2:11" x14ac:dyDescent="0.25">
      <c r="B65" s="229">
        <v>2015</v>
      </c>
      <c r="C65" s="8"/>
      <c r="D65" s="317"/>
      <c r="E65" s="261">
        <v>1</v>
      </c>
      <c r="F65" s="262">
        <v>160.9</v>
      </c>
      <c r="G65" s="261">
        <v>1</v>
      </c>
      <c r="H65" s="263">
        <v>0.28999999999999998</v>
      </c>
      <c r="I65" s="264">
        <v>0.56999999999999995</v>
      </c>
      <c r="J65" s="265">
        <v>25.67</v>
      </c>
      <c r="K65" s="265">
        <f t="shared" si="2"/>
        <v>0</v>
      </c>
    </row>
    <row r="66" spans="2:11" x14ac:dyDescent="0.25">
      <c r="B66" s="229">
        <v>2016</v>
      </c>
      <c r="C66" s="8"/>
      <c r="D66" s="317"/>
      <c r="E66" s="261">
        <v>1</v>
      </c>
      <c r="F66" s="262">
        <v>160.9</v>
      </c>
      <c r="G66" s="261">
        <v>1</v>
      </c>
      <c r="H66" s="263">
        <v>0.28999999999999998</v>
      </c>
      <c r="I66" s="264">
        <v>0.56999999999999995</v>
      </c>
      <c r="J66" s="265">
        <v>25.67</v>
      </c>
      <c r="K66" s="265">
        <f t="shared" si="2"/>
        <v>0</v>
      </c>
    </row>
    <row r="67" spans="2:11" x14ac:dyDescent="0.25">
      <c r="B67" s="229">
        <v>2017</v>
      </c>
      <c r="C67" s="8"/>
      <c r="D67" s="317"/>
      <c r="E67" s="261">
        <v>1</v>
      </c>
      <c r="F67" s="262">
        <v>160.9</v>
      </c>
      <c r="G67" s="261">
        <v>1</v>
      </c>
      <c r="H67" s="263">
        <v>0.28999999999999998</v>
      </c>
      <c r="I67" s="264">
        <v>0.56999999999999995</v>
      </c>
      <c r="J67" s="265">
        <v>25.67</v>
      </c>
      <c r="K67" s="265">
        <f t="shared" si="2"/>
        <v>0</v>
      </c>
    </row>
    <row r="68" spans="2:11" x14ac:dyDescent="0.25">
      <c r="B68" s="229">
        <v>2018</v>
      </c>
      <c r="C68" s="8"/>
      <c r="D68" s="317"/>
      <c r="E68" s="261">
        <v>1</v>
      </c>
      <c r="F68" s="262">
        <v>160.9</v>
      </c>
      <c r="G68" s="261">
        <v>1</v>
      </c>
      <c r="H68" s="263">
        <v>0.28999999999999998</v>
      </c>
      <c r="I68" s="264">
        <v>0.56999999999999995</v>
      </c>
      <c r="J68" s="265">
        <v>25.67</v>
      </c>
      <c r="K68" s="265">
        <f t="shared" si="2"/>
        <v>0</v>
      </c>
    </row>
    <row r="69" spans="2:11" x14ac:dyDescent="0.25">
      <c r="B69" s="229">
        <v>2019</v>
      </c>
      <c r="C69" s="8"/>
      <c r="D69" s="317"/>
      <c r="E69" s="261">
        <v>1</v>
      </c>
      <c r="F69" s="262">
        <v>160.9</v>
      </c>
      <c r="G69" s="261">
        <v>1</v>
      </c>
      <c r="H69" s="263">
        <v>0.28999999999999998</v>
      </c>
      <c r="I69" s="264">
        <v>0.56999999999999995</v>
      </c>
      <c r="J69" s="265">
        <v>25.67</v>
      </c>
      <c r="K69" s="265">
        <f t="shared" si="2"/>
        <v>0</v>
      </c>
    </row>
    <row r="70" spans="2:11" x14ac:dyDescent="0.25">
      <c r="B70" s="229">
        <v>2020</v>
      </c>
      <c r="C70" s="8"/>
      <c r="D70" s="317"/>
      <c r="E70" s="261">
        <v>1</v>
      </c>
      <c r="F70" s="262">
        <v>160.9</v>
      </c>
      <c r="G70" s="261">
        <v>1</v>
      </c>
      <c r="H70" s="263">
        <v>0.28999999999999998</v>
      </c>
      <c r="I70" s="264">
        <v>0.56999999999999995</v>
      </c>
      <c r="J70" s="265">
        <v>25.67</v>
      </c>
      <c r="K70" s="265">
        <f t="shared" si="2"/>
        <v>0</v>
      </c>
    </row>
    <row r="71" spans="2:11" x14ac:dyDescent="0.25">
      <c r="B71" s="229">
        <v>2021</v>
      </c>
      <c r="C71" s="8"/>
      <c r="D71" s="317"/>
      <c r="E71" s="261">
        <v>1</v>
      </c>
      <c r="F71" s="262">
        <v>160.9</v>
      </c>
      <c r="G71" s="261">
        <v>1</v>
      </c>
      <c r="H71" s="263">
        <v>0.28999999999999998</v>
      </c>
      <c r="I71" s="264">
        <v>0.56999999999999995</v>
      </c>
      <c r="J71" s="265">
        <v>25.67</v>
      </c>
      <c r="K71" s="265">
        <f t="shared" si="2"/>
        <v>0</v>
      </c>
    </row>
    <row r="72" spans="2:11" x14ac:dyDescent="0.25">
      <c r="B72" s="229">
        <v>2022</v>
      </c>
      <c r="C72" s="8"/>
      <c r="D72" s="317"/>
      <c r="E72" s="261">
        <v>1</v>
      </c>
      <c r="F72" s="262">
        <v>160.9</v>
      </c>
      <c r="G72" s="261">
        <v>1</v>
      </c>
      <c r="H72" s="263">
        <v>0.28999999999999998</v>
      </c>
      <c r="I72" s="264">
        <v>0.56999999999999995</v>
      </c>
      <c r="J72" s="265">
        <v>25.67</v>
      </c>
      <c r="K72" s="265">
        <f t="shared" si="2"/>
        <v>0</v>
      </c>
    </row>
    <row r="73" spans="2:11" x14ac:dyDescent="0.25">
      <c r="B73" s="229">
        <v>2023</v>
      </c>
      <c r="C73" s="8"/>
      <c r="D73" s="317"/>
      <c r="E73" s="261">
        <v>1</v>
      </c>
      <c r="F73" s="262">
        <v>160.9</v>
      </c>
      <c r="G73" s="261">
        <v>1</v>
      </c>
      <c r="H73" s="263">
        <v>0.28999999999999998</v>
      </c>
      <c r="I73" s="264">
        <v>0.56999999999999995</v>
      </c>
      <c r="J73" s="265">
        <v>25.67</v>
      </c>
      <c r="K73" s="265">
        <f t="shared" si="2"/>
        <v>0</v>
      </c>
    </row>
    <row r="74" spans="2:11" x14ac:dyDescent="0.25">
      <c r="B74" s="229">
        <v>2024</v>
      </c>
      <c r="C74" s="8"/>
      <c r="D74" s="317"/>
      <c r="E74" s="261">
        <v>1</v>
      </c>
      <c r="F74" s="262">
        <v>160.9</v>
      </c>
      <c r="G74" s="261">
        <v>1</v>
      </c>
      <c r="H74" s="263">
        <v>0.28999999999999998</v>
      </c>
      <c r="I74" s="264">
        <v>0.56999999999999995</v>
      </c>
      <c r="J74" s="265">
        <v>25.67</v>
      </c>
      <c r="K74" s="265">
        <f t="shared" si="2"/>
        <v>0</v>
      </c>
    </row>
    <row r="75" spans="2:11" x14ac:dyDescent="0.25">
      <c r="B75" s="229">
        <v>2025</v>
      </c>
      <c r="C75" s="8"/>
      <c r="D75" s="317"/>
      <c r="E75" s="261">
        <v>1</v>
      </c>
      <c r="F75" s="262">
        <v>160.9</v>
      </c>
      <c r="G75" s="261">
        <v>1</v>
      </c>
      <c r="H75" s="263">
        <v>0.28999999999999998</v>
      </c>
      <c r="I75" s="264">
        <v>0.56999999999999995</v>
      </c>
      <c r="J75" s="265">
        <v>25.67</v>
      </c>
      <c r="K75" s="265">
        <f t="shared" si="2"/>
        <v>0</v>
      </c>
    </row>
    <row r="76" spans="2:11" x14ac:dyDescent="0.25">
      <c r="B76" s="229">
        <v>2026</v>
      </c>
      <c r="C76" s="368"/>
      <c r="D76" s="317"/>
      <c r="E76" s="261">
        <v>1</v>
      </c>
      <c r="F76" s="262">
        <v>160.9</v>
      </c>
      <c r="G76" s="261">
        <v>1</v>
      </c>
      <c r="H76" s="263">
        <v>0.28999999999999998</v>
      </c>
      <c r="I76" s="264">
        <v>0.56999999999999995</v>
      </c>
      <c r="J76" s="265">
        <v>25.67</v>
      </c>
      <c r="K76" s="265">
        <f t="shared" si="2"/>
        <v>0</v>
      </c>
    </row>
    <row r="77" spans="2:11" x14ac:dyDescent="0.25">
      <c r="B77" s="229">
        <v>2027</v>
      </c>
      <c r="C77" s="368"/>
      <c r="D77" s="317"/>
      <c r="E77" s="261">
        <v>1</v>
      </c>
      <c r="F77" s="262">
        <v>160.9</v>
      </c>
      <c r="G77" s="261">
        <v>1</v>
      </c>
      <c r="H77" s="263">
        <v>0.28999999999999998</v>
      </c>
      <c r="I77" s="264">
        <v>0.56999999999999995</v>
      </c>
      <c r="J77" s="265">
        <v>25.67</v>
      </c>
      <c r="K77" s="265">
        <f t="shared" si="2"/>
        <v>0</v>
      </c>
    </row>
    <row r="78" spans="2:11" x14ac:dyDescent="0.25">
      <c r="B78" s="229">
        <v>2028</v>
      </c>
      <c r="C78" s="341"/>
      <c r="D78" s="317"/>
      <c r="E78" s="261">
        <v>1</v>
      </c>
      <c r="F78" s="262">
        <v>160.9</v>
      </c>
      <c r="G78" s="261">
        <v>1</v>
      </c>
      <c r="H78" s="263">
        <v>0.28999999999999998</v>
      </c>
      <c r="I78" s="264">
        <v>0.56999999999999995</v>
      </c>
      <c r="J78" s="265">
        <v>25.67</v>
      </c>
      <c r="K78" s="265">
        <f t="shared" si="2"/>
        <v>0</v>
      </c>
    </row>
    <row r="79" spans="2:11" x14ac:dyDescent="0.25">
      <c r="B79" s="229">
        <v>2029</v>
      </c>
      <c r="C79" s="341"/>
      <c r="D79" s="317"/>
      <c r="E79" s="261">
        <v>1</v>
      </c>
      <c r="F79" s="262">
        <v>160.9</v>
      </c>
      <c r="G79" s="261">
        <v>1</v>
      </c>
      <c r="H79" s="263">
        <v>0.28999999999999998</v>
      </c>
      <c r="I79" s="264">
        <v>0.56999999999999995</v>
      </c>
      <c r="J79" s="265">
        <v>25.67</v>
      </c>
      <c r="K79" s="265">
        <f t="shared" si="2"/>
        <v>0</v>
      </c>
    </row>
    <row r="80" spans="2:11" x14ac:dyDescent="0.25">
      <c r="B80" s="229">
        <v>2030</v>
      </c>
      <c r="C80" s="341"/>
      <c r="D80" s="317"/>
      <c r="E80" s="261">
        <v>1</v>
      </c>
      <c r="F80" s="262">
        <v>160.9</v>
      </c>
      <c r="G80" s="261">
        <v>1</v>
      </c>
      <c r="H80" s="263">
        <v>0.28999999999999998</v>
      </c>
      <c r="I80" s="264">
        <v>0.56999999999999995</v>
      </c>
      <c r="J80" s="265">
        <v>25.67</v>
      </c>
      <c r="K80" s="265">
        <f t="shared" si="2"/>
        <v>0</v>
      </c>
    </row>
    <row r="82" spans="2:11" x14ac:dyDescent="0.25">
      <c r="B82" t="s">
        <v>0</v>
      </c>
      <c r="C82" t="s">
        <v>2</v>
      </c>
    </row>
    <row r="83" spans="2:11" x14ac:dyDescent="0.25">
      <c r="B83" t="s">
        <v>1</v>
      </c>
      <c r="C83" t="s">
        <v>531</v>
      </c>
    </row>
    <row r="85" spans="2:11" ht="15" customHeight="1" x14ac:dyDescent="0.25">
      <c r="B85" s="573" t="s">
        <v>403</v>
      </c>
      <c r="C85" s="468" t="s">
        <v>558</v>
      </c>
      <c r="D85" s="468" t="s">
        <v>558</v>
      </c>
      <c r="E85" s="573"/>
      <c r="F85" s="573"/>
      <c r="G85" s="378"/>
      <c r="H85" s="378"/>
      <c r="I85" s="267"/>
      <c r="J85" s="267"/>
      <c r="K85" s="267"/>
    </row>
    <row r="86" spans="2:11" ht="15" customHeight="1" x14ac:dyDescent="0.25">
      <c r="B86" s="573"/>
      <c r="C86" s="378" t="s">
        <v>556</v>
      </c>
      <c r="D86" s="388" t="s">
        <v>560</v>
      </c>
      <c r="E86" s="378" t="s">
        <v>574</v>
      </c>
      <c r="F86" s="388" t="s">
        <v>573</v>
      </c>
      <c r="G86" s="378"/>
      <c r="H86" s="388"/>
      <c r="I86" s="266"/>
      <c r="J86" s="266"/>
      <c r="K86" s="266"/>
    </row>
    <row r="87" spans="2:11" ht="15" customHeight="1" x14ac:dyDescent="0.25">
      <c r="B87" s="400">
        <v>2001</v>
      </c>
      <c r="C87" s="435">
        <f>K11</f>
        <v>85340.725200000001</v>
      </c>
      <c r="D87" s="470">
        <f>C87*21</f>
        <v>1792155.2291999999</v>
      </c>
      <c r="E87" s="477">
        <v>85.340725199999994</v>
      </c>
      <c r="F87" s="479">
        <f>E87*21</f>
        <v>1792.1552291999999</v>
      </c>
      <c r="G87" s="401"/>
      <c r="H87" s="388"/>
      <c r="I87" s="266"/>
      <c r="J87" s="266"/>
      <c r="K87" s="266"/>
    </row>
    <row r="88" spans="2:11" ht="15" customHeight="1" x14ac:dyDescent="0.25">
      <c r="B88" s="400">
        <v>2002</v>
      </c>
      <c r="C88" s="435">
        <f t="shared" ref="C88:C116" si="3">K12</f>
        <v>82553.514079999994</v>
      </c>
      <c r="D88" s="470">
        <f t="shared" ref="D88:D116" si="4">C88*21</f>
        <v>1733623.79568</v>
      </c>
      <c r="E88" s="477">
        <v>82.553514079999999</v>
      </c>
      <c r="F88" s="479">
        <f t="shared" ref="F88:F115" si="5">E88*21</f>
        <v>1733.6237956800001</v>
      </c>
      <c r="G88" s="401"/>
      <c r="H88" s="388"/>
      <c r="I88" s="266"/>
      <c r="J88" s="266"/>
      <c r="K88" s="266"/>
    </row>
    <row r="89" spans="2:11" ht="15" customHeight="1" x14ac:dyDescent="0.25">
      <c r="B89" s="400">
        <v>2003</v>
      </c>
      <c r="C89" s="435">
        <f t="shared" si="3"/>
        <v>75635.858160000003</v>
      </c>
      <c r="D89" s="470">
        <f t="shared" si="4"/>
        <v>1588353.0213600001</v>
      </c>
      <c r="E89" s="477">
        <v>75.635858159999998</v>
      </c>
      <c r="F89" s="479">
        <f t="shared" si="5"/>
        <v>1588.35302136</v>
      </c>
      <c r="G89" s="401"/>
      <c r="H89" s="388"/>
      <c r="I89" s="266"/>
      <c r="J89" s="266"/>
      <c r="K89" s="266"/>
    </row>
    <row r="90" spans="2:11" ht="15" customHeight="1" x14ac:dyDescent="0.25">
      <c r="B90" s="400">
        <v>2004</v>
      </c>
      <c r="C90" s="435">
        <f t="shared" si="3"/>
        <v>86870.539679999987</v>
      </c>
      <c r="D90" s="470">
        <f t="shared" si="4"/>
        <v>1824281.3332799997</v>
      </c>
      <c r="E90" s="477">
        <v>86.870539679999993</v>
      </c>
      <c r="F90" s="479">
        <f t="shared" si="5"/>
        <v>1824.2813332799999</v>
      </c>
      <c r="G90" s="401"/>
      <c r="H90" s="388"/>
      <c r="I90" s="266"/>
      <c r="J90" s="266"/>
      <c r="K90" s="266"/>
    </row>
    <row r="91" spans="2:11" ht="15" customHeight="1" x14ac:dyDescent="0.25">
      <c r="B91" s="400">
        <v>2005</v>
      </c>
      <c r="C91" s="435">
        <f t="shared" si="3"/>
        <v>87790.856879999992</v>
      </c>
      <c r="D91" s="470">
        <f t="shared" si="4"/>
        <v>1843607.9944799999</v>
      </c>
      <c r="E91" s="477">
        <v>87.790856879999993</v>
      </c>
      <c r="F91" s="479">
        <f t="shared" si="5"/>
        <v>1843.6079944799999</v>
      </c>
      <c r="G91" s="401"/>
      <c r="H91" s="388"/>
      <c r="I91" s="266"/>
      <c r="J91" s="266"/>
      <c r="K91" s="266"/>
    </row>
    <row r="92" spans="2:11" x14ac:dyDescent="0.25">
      <c r="B92" s="274">
        <v>2006</v>
      </c>
      <c r="C92" s="435">
        <f t="shared" si="3"/>
        <v>83311.584959999993</v>
      </c>
      <c r="D92" s="470">
        <f t="shared" si="4"/>
        <v>1749543.2841599998</v>
      </c>
      <c r="E92" s="478">
        <v>83.31158495999999</v>
      </c>
      <c r="F92" s="479">
        <f t="shared" si="5"/>
        <v>1749.5432841599998</v>
      </c>
      <c r="G92" s="369"/>
      <c r="H92" s="389"/>
      <c r="I92" s="268"/>
      <c r="J92" s="268"/>
      <c r="K92" s="268"/>
    </row>
    <row r="93" spans="2:11" x14ac:dyDescent="0.25">
      <c r="B93" s="274">
        <v>2007</v>
      </c>
      <c r="C93" s="435">
        <f t="shared" si="3"/>
        <v>84675.401760000008</v>
      </c>
      <c r="D93" s="470">
        <f t="shared" si="4"/>
        <v>1778183.4369600001</v>
      </c>
      <c r="E93" s="478">
        <v>84.67540176</v>
      </c>
      <c r="F93" s="479">
        <f t="shared" si="5"/>
        <v>1778.1834369600001</v>
      </c>
      <c r="G93" s="369"/>
      <c r="H93" s="389"/>
      <c r="I93" s="266"/>
      <c r="J93" s="266"/>
      <c r="K93" s="266"/>
    </row>
    <row r="94" spans="2:11" x14ac:dyDescent="0.25">
      <c r="B94" s="274">
        <v>2008</v>
      </c>
      <c r="C94" s="435">
        <f t="shared" si="3"/>
        <v>83462.52784000001</v>
      </c>
      <c r="D94" s="470">
        <f t="shared" si="4"/>
        <v>1752713.0846400002</v>
      </c>
      <c r="E94" s="478">
        <v>83.462527839999993</v>
      </c>
      <c r="F94" s="479">
        <f t="shared" si="5"/>
        <v>1752.7130846399998</v>
      </c>
      <c r="G94" s="369"/>
      <c r="H94" s="389"/>
      <c r="I94" s="269"/>
      <c r="J94" s="269"/>
      <c r="K94" s="269"/>
    </row>
    <row r="95" spans="2:11" x14ac:dyDescent="0.25">
      <c r="B95" s="274">
        <v>2009</v>
      </c>
      <c r="C95" s="435">
        <f t="shared" si="3"/>
        <v>90099.078560000009</v>
      </c>
      <c r="D95" s="470">
        <f t="shared" si="4"/>
        <v>1892080.6497600002</v>
      </c>
      <c r="E95" s="478">
        <v>90.099078559999995</v>
      </c>
      <c r="F95" s="479">
        <f t="shared" si="5"/>
        <v>1892.0806497599999</v>
      </c>
      <c r="G95" s="369"/>
      <c r="H95" s="389"/>
      <c r="I95" s="269"/>
      <c r="J95" s="269"/>
      <c r="K95" s="269"/>
    </row>
    <row r="96" spans="2:11" x14ac:dyDescent="0.25">
      <c r="B96" s="274">
        <v>2010</v>
      </c>
      <c r="C96" s="435">
        <f t="shared" si="3"/>
        <v>94029.516640000002</v>
      </c>
      <c r="D96" s="470">
        <f t="shared" si="4"/>
        <v>1974619.84944</v>
      </c>
      <c r="E96" s="478">
        <v>94.029516639999997</v>
      </c>
      <c r="F96" s="479">
        <f t="shared" si="5"/>
        <v>1974.6198494400001</v>
      </c>
      <c r="G96" s="369"/>
      <c r="H96" s="389"/>
      <c r="I96" s="269"/>
      <c r="J96" s="269"/>
      <c r="K96" s="269"/>
    </row>
    <row r="97" spans="2:11" x14ac:dyDescent="0.25">
      <c r="B97" s="274">
        <v>2011</v>
      </c>
      <c r="C97" s="435">
        <f t="shared" si="3"/>
        <v>95960.359182222222</v>
      </c>
      <c r="D97" s="470">
        <f t="shared" si="4"/>
        <v>2015167.5428266667</v>
      </c>
      <c r="E97" s="478">
        <v>95.96035918222222</v>
      </c>
      <c r="F97" s="479">
        <f t="shared" si="5"/>
        <v>2015.1675428266667</v>
      </c>
      <c r="G97" s="369"/>
      <c r="H97" s="389"/>
      <c r="I97" s="269"/>
      <c r="J97" s="269"/>
      <c r="K97" s="269"/>
    </row>
    <row r="98" spans="2:11" x14ac:dyDescent="0.25">
      <c r="B98" s="274">
        <v>2012</v>
      </c>
      <c r="C98" s="435">
        <f t="shared" si="3"/>
        <v>96925.78045333334</v>
      </c>
      <c r="D98" s="470">
        <f t="shared" si="4"/>
        <v>2035441.3895200002</v>
      </c>
      <c r="E98" s="478">
        <v>96.925780453333331</v>
      </c>
      <c r="F98" s="479">
        <f t="shared" si="5"/>
        <v>2035.44138952</v>
      </c>
      <c r="G98" s="369"/>
      <c r="H98" s="389"/>
      <c r="I98" s="269"/>
      <c r="J98" s="269"/>
      <c r="K98" s="269"/>
    </row>
    <row r="99" spans="2:11" x14ac:dyDescent="0.25">
      <c r="B99" s="274">
        <v>2013</v>
      </c>
      <c r="C99" s="435">
        <f t="shared" si="3"/>
        <v>97891.201724444443</v>
      </c>
      <c r="D99" s="470">
        <f t="shared" si="4"/>
        <v>2055715.2362133332</v>
      </c>
      <c r="E99" s="478">
        <v>97.891201724444429</v>
      </c>
      <c r="F99" s="479">
        <f t="shared" si="5"/>
        <v>2055.7152362133329</v>
      </c>
      <c r="G99" s="369"/>
      <c r="H99" s="389"/>
      <c r="I99" s="269"/>
      <c r="J99" s="269"/>
      <c r="K99" s="269"/>
    </row>
    <row r="100" spans="2:11" x14ac:dyDescent="0.25">
      <c r="B100" s="274">
        <v>2014</v>
      </c>
      <c r="C100" s="435">
        <f t="shared" si="3"/>
        <v>98856.622995555561</v>
      </c>
      <c r="D100" s="470">
        <f t="shared" si="4"/>
        <v>2075989.0829066667</v>
      </c>
      <c r="E100" s="478">
        <v>98.856622995555554</v>
      </c>
      <c r="F100" s="479">
        <f t="shared" si="5"/>
        <v>2075.9890829066667</v>
      </c>
      <c r="G100" s="369"/>
      <c r="H100" s="389"/>
      <c r="I100" s="269"/>
      <c r="J100" s="269"/>
      <c r="K100" s="269"/>
    </row>
    <row r="101" spans="2:11" x14ac:dyDescent="0.25">
      <c r="B101" s="274">
        <v>2015</v>
      </c>
      <c r="C101" s="435">
        <f t="shared" si="3"/>
        <v>99822.044266666664</v>
      </c>
      <c r="D101" s="470">
        <f t="shared" si="4"/>
        <v>2096262.9295999999</v>
      </c>
      <c r="E101" s="478">
        <v>99.822044266666666</v>
      </c>
      <c r="F101" s="479">
        <f t="shared" si="5"/>
        <v>2096.2629296</v>
      </c>
      <c r="G101" s="369"/>
      <c r="H101" s="389"/>
      <c r="I101" s="269"/>
      <c r="J101" s="269"/>
      <c r="K101" s="269"/>
    </row>
    <row r="102" spans="2:11" x14ac:dyDescent="0.25">
      <c r="B102" s="274">
        <v>2016</v>
      </c>
      <c r="C102" s="435">
        <f t="shared" si="3"/>
        <v>100787.46553777778</v>
      </c>
      <c r="D102" s="470">
        <f t="shared" si="4"/>
        <v>2116536.7762933336</v>
      </c>
      <c r="E102" s="478">
        <v>100.78746553777778</v>
      </c>
      <c r="F102" s="479">
        <f t="shared" si="5"/>
        <v>2116.5367762933333</v>
      </c>
      <c r="G102" s="369"/>
      <c r="H102" s="389"/>
      <c r="I102" s="269"/>
      <c r="J102" s="269"/>
      <c r="K102" s="269"/>
    </row>
    <row r="103" spans="2:11" x14ac:dyDescent="0.25">
      <c r="B103" s="274">
        <v>2017</v>
      </c>
      <c r="C103" s="435">
        <f t="shared" si="3"/>
        <v>101752.88680888888</v>
      </c>
      <c r="D103" s="470">
        <f t="shared" si="4"/>
        <v>2136810.6229866664</v>
      </c>
      <c r="E103" s="478">
        <v>101.75288680888887</v>
      </c>
      <c r="F103" s="479">
        <f t="shared" si="5"/>
        <v>2136.8106229866662</v>
      </c>
      <c r="G103" s="369"/>
      <c r="H103" s="389"/>
      <c r="I103" s="269"/>
      <c r="J103" s="269"/>
      <c r="K103" s="269"/>
    </row>
    <row r="104" spans="2:11" x14ac:dyDescent="0.25">
      <c r="B104" s="274">
        <v>2018</v>
      </c>
      <c r="C104" s="435">
        <f t="shared" si="3"/>
        <v>102718.30808</v>
      </c>
      <c r="D104" s="470">
        <f t="shared" si="4"/>
        <v>2157084.4696800001</v>
      </c>
      <c r="E104" s="478">
        <v>102.71830808</v>
      </c>
      <c r="F104" s="479">
        <f t="shared" si="5"/>
        <v>2157.08446968</v>
      </c>
      <c r="G104" s="369"/>
      <c r="H104" s="389"/>
      <c r="I104" s="269"/>
      <c r="J104" s="269"/>
      <c r="K104" s="269"/>
    </row>
    <row r="105" spans="2:11" x14ac:dyDescent="0.25">
      <c r="B105" s="274">
        <v>2019</v>
      </c>
      <c r="C105" s="435">
        <f t="shared" si="3"/>
        <v>103683.72935111112</v>
      </c>
      <c r="D105" s="470">
        <f t="shared" si="4"/>
        <v>2177358.3163733333</v>
      </c>
      <c r="E105" s="478">
        <v>103.68372935111111</v>
      </c>
      <c r="F105" s="479">
        <f t="shared" si="5"/>
        <v>2177.3583163733333</v>
      </c>
      <c r="G105" s="369"/>
      <c r="H105" s="389"/>
      <c r="I105" s="269"/>
      <c r="J105" s="269"/>
      <c r="K105" s="269"/>
    </row>
    <row r="106" spans="2:11" x14ac:dyDescent="0.25">
      <c r="B106" s="274">
        <v>2020</v>
      </c>
      <c r="C106" s="435">
        <f t="shared" si="3"/>
        <v>104649.15062222222</v>
      </c>
      <c r="D106" s="470">
        <f t="shared" si="4"/>
        <v>2197632.1630666666</v>
      </c>
      <c r="E106" s="478">
        <v>104.64915062222221</v>
      </c>
      <c r="F106" s="479">
        <f t="shared" si="5"/>
        <v>2197.6321630666662</v>
      </c>
      <c r="G106" s="369"/>
      <c r="H106" s="389"/>
      <c r="I106" s="270"/>
      <c r="J106" s="270"/>
      <c r="K106" s="270"/>
    </row>
    <row r="107" spans="2:11" x14ac:dyDescent="0.25">
      <c r="B107" s="274">
        <v>2021</v>
      </c>
      <c r="C107" s="435">
        <f t="shared" si="3"/>
        <v>105614.57189333334</v>
      </c>
      <c r="D107" s="470">
        <f t="shared" si="4"/>
        <v>2217906.0097600003</v>
      </c>
      <c r="E107" s="478">
        <v>105.61457189333333</v>
      </c>
      <c r="F107" s="479">
        <f t="shared" si="5"/>
        <v>2217.90600976</v>
      </c>
      <c r="G107" s="369"/>
      <c r="H107" s="389"/>
      <c r="I107" s="270"/>
      <c r="J107" s="270"/>
      <c r="K107" s="270"/>
    </row>
    <row r="108" spans="2:11" x14ac:dyDescent="0.25">
      <c r="B108" s="274">
        <v>2022</v>
      </c>
      <c r="C108" s="435">
        <f t="shared" si="3"/>
        <v>106579.99316444443</v>
      </c>
      <c r="D108" s="470">
        <f t="shared" si="4"/>
        <v>2238179.8564533331</v>
      </c>
      <c r="E108" s="478">
        <v>106.57999316444443</v>
      </c>
      <c r="F108" s="479">
        <f t="shared" si="5"/>
        <v>2238.1798564533328</v>
      </c>
      <c r="G108" s="369"/>
      <c r="H108" s="389"/>
      <c r="I108" s="270"/>
      <c r="J108" s="270"/>
      <c r="K108" s="270"/>
    </row>
    <row r="109" spans="2:11" x14ac:dyDescent="0.25">
      <c r="B109" s="274">
        <v>2023</v>
      </c>
      <c r="C109" s="435">
        <f t="shared" si="3"/>
        <v>107545.41443555556</v>
      </c>
      <c r="D109" s="470">
        <f t="shared" si="4"/>
        <v>2258453.7031466668</v>
      </c>
      <c r="E109" s="478">
        <v>107.54541443555556</v>
      </c>
      <c r="F109" s="479">
        <f t="shared" si="5"/>
        <v>2258.4537031466666</v>
      </c>
      <c r="G109" s="369"/>
      <c r="H109" s="389"/>
      <c r="I109" s="270"/>
      <c r="J109" s="270"/>
      <c r="K109" s="270"/>
    </row>
    <row r="110" spans="2:11" x14ac:dyDescent="0.25">
      <c r="B110" s="274">
        <v>2024</v>
      </c>
      <c r="C110" s="435">
        <f t="shared" si="3"/>
        <v>108510.83570666666</v>
      </c>
      <c r="D110" s="470">
        <f t="shared" si="4"/>
        <v>2278727.54984</v>
      </c>
      <c r="E110" s="478">
        <v>108.51083570666665</v>
      </c>
      <c r="F110" s="479">
        <f t="shared" si="5"/>
        <v>2278.7275498399999</v>
      </c>
      <c r="G110" s="369"/>
      <c r="H110" s="389"/>
      <c r="I110" s="270"/>
      <c r="J110" s="270"/>
      <c r="K110" s="270"/>
    </row>
    <row r="111" spans="2:11" x14ac:dyDescent="0.25">
      <c r="B111" s="274">
        <v>2025</v>
      </c>
      <c r="C111" s="435">
        <f t="shared" si="3"/>
        <v>109476.25697777778</v>
      </c>
      <c r="D111" s="470">
        <f t="shared" si="4"/>
        <v>2299001.3965333332</v>
      </c>
      <c r="E111" s="478">
        <v>109.47625697777778</v>
      </c>
      <c r="F111" s="479">
        <f t="shared" si="5"/>
        <v>2299.0013965333333</v>
      </c>
      <c r="G111" s="369"/>
      <c r="H111" s="389"/>
      <c r="I111" s="270"/>
      <c r="J111" s="270"/>
      <c r="K111" s="270"/>
    </row>
    <row r="112" spans="2:11" x14ac:dyDescent="0.25">
      <c r="B112" s="274">
        <v>2026</v>
      </c>
      <c r="C112" s="435">
        <f t="shared" si="3"/>
        <v>110441.67824888889</v>
      </c>
      <c r="D112" s="470">
        <f t="shared" si="4"/>
        <v>2319275.2432266665</v>
      </c>
      <c r="E112" s="478">
        <v>110.44167824888888</v>
      </c>
      <c r="F112" s="479">
        <f t="shared" si="5"/>
        <v>2319.2752432266666</v>
      </c>
      <c r="G112" s="369"/>
      <c r="H112" s="389"/>
      <c r="I112" s="270"/>
      <c r="J112" s="270"/>
      <c r="K112" s="270"/>
    </row>
    <row r="113" spans="2:11" x14ac:dyDescent="0.25">
      <c r="B113" s="274">
        <v>2027</v>
      </c>
      <c r="C113" s="435">
        <f t="shared" si="3"/>
        <v>111407.09952</v>
      </c>
      <c r="D113" s="470">
        <f t="shared" si="4"/>
        <v>2339549.0899200002</v>
      </c>
      <c r="E113" s="478">
        <v>111.40709951999999</v>
      </c>
      <c r="F113" s="479">
        <f t="shared" si="5"/>
        <v>2339.5490899199999</v>
      </c>
      <c r="G113" s="369"/>
      <c r="H113" s="389"/>
      <c r="I113" s="270"/>
      <c r="J113" s="270"/>
      <c r="K113" s="270"/>
    </row>
    <row r="114" spans="2:11" x14ac:dyDescent="0.25">
      <c r="B114" s="274">
        <v>2028</v>
      </c>
      <c r="C114" s="435">
        <f t="shared" si="3"/>
        <v>112372.52079111114</v>
      </c>
      <c r="D114" s="470">
        <f t="shared" si="4"/>
        <v>2359822.9366133339</v>
      </c>
      <c r="E114" s="478">
        <v>112.37252079111113</v>
      </c>
      <c r="F114" s="479">
        <f t="shared" si="5"/>
        <v>2359.8229366133337</v>
      </c>
      <c r="G114" s="369"/>
      <c r="H114" s="389"/>
      <c r="I114" s="270"/>
      <c r="J114" s="270"/>
      <c r="K114" s="270"/>
    </row>
    <row r="115" spans="2:11" x14ac:dyDescent="0.25">
      <c r="B115" s="274">
        <v>2029</v>
      </c>
      <c r="C115" s="435">
        <f t="shared" si="3"/>
        <v>113337.94206222221</v>
      </c>
      <c r="D115" s="470">
        <f t="shared" si="4"/>
        <v>2380096.7833066662</v>
      </c>
      <c r="E115" s="478">
        <v>113.33794206222221</v>
      </c>
      <c r="F115" s="479">
        <f t="shared" si="5"/>
        <v>2380.0967833066666</v>
      </c>
      <c r="G115" s="369"/>
      <c r="H115" s="389"/>
      <c r="I115" s="270"/>
      <c r="J115" s="270"/>
      <c r="K115" s="270"/>
    </row>
    <row r="116" spans="2:11" x14ac:dyDescent="0.25">
      <c r="B116" s="274">
        <v>2030</v>
      </c>
      <c r="C116" s="435">
        <f t="shared" si="3"/>
        <v>114303.36333333334</v>
      </c>
      <c r="D116" s="470">
        <f t="shared" si="4"/>
        <v>2400370.6300000004</v>
      </c>
      <c r="E116" s="478">
        <v>114.30336333333334</v>
      </c>
      <c r="F116" s="479">
        <f>E116*21</f>
        <v>2400.3706299999999</v>
      </c>
      <c r="G116" s="369"/>
      <c r="H116" s="389"/>
      <c r="I116" s="270"/>
      <c r="J116" s="270"/>
      <c r="K116" s="270"/>
    </row>
    <row r="117" spans="2:11" x14ac:dyDescent="0.25">
      <c r="B117" s="316"/>
    </row>
    <row r="118" spans="2:11" x14ac:dyDescent="0.25">
      <c r="B118" t="s">
        <v>194</v>
      </c>
      <c r="F118" s="118">
        <v>520000</v>
      </c>
      <c r="G118" t="s">
        <v>195</v>
      </c>
    </row>
    <row r="119" spans="2:11" x14ac:dyDescent="0.25">
      <c r="B119" t="s">
        <v>196</v>
      </c>
      <c r="F119">
        <v>200</v>
      </c>
      <c r="G119" t="s">
        <v>197</v>
      </c>
    </row>
    <row r="120" spans="2:11" x14ac:dyDescent="0.25">
      <c r="B120" t="s">
        <v>200</v>
      </c>
      <c r="F120">
        <v>2</v>
      </c>
      <c r="G120" t="s">
        <v>201</v>
      </c>
    </row>
    <row r="121" spans="2:11" x14ac:dyDescent="0.25">
      <c r="B121" t="s">
        <v>202</v>
      </c>
    </row>
    <row r="122" spans="2:11" x14ac:dyDescent="0.25">
      <c r="B122" t="s">
        <v>203</v>
      </c>
    </row>
    <row r="123" spans="2:11" x14ac:dyDescent="0.25">
      <c r="B123" t="s">
        <v>204</v>
      </c>
    </row>
  </sheetData>
  <mergeCells count="12">
    <mergeCell ref="D5:E5"/>
    <mergeCell ref="I5:J5"/>
    <mergeCell ref="F5:G5"/>
    <mergeCell ref="B6:B9"/>
    <mergeCell ref="C6:C9"/>
    <mergeCell ref="B85:B86"/>
    <mergeCell ref="D45:E45"/>
    <mergeCell ref="F45:G45"/>
    <mergeCell ref="I45:J45"/>
    <mergeCell ref="B46:B49"/>
    <mergeCell ref="C46:C49"/>
    <mergeCell ref="E85:F85"/>
  </mergeCells>
  <pageMargins left="0.27" right="0.21" top="0.75" bottom="0.75" header="0.3" footer="0.3"/>
  <pageSetup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topLeftCell="A19" workbookViewId="0">
      <selection activeCell="E15" sqref="E15"/>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67" t="s">
        <v>304</v>
      </c>
      <c r="C2" s="168">
        <v>0.02</v>
      </c>
    </row>
    <row r="4" spans="2:5" x14ac:dyDescent="0.25">
      <c r="B4" s="161" t="s">
        <v>331</v>
      </c>
    </row>
    <row r="5" spans="2:5" x14ac:dyDescent="0.25">
      <c r="B5" s="171" t="s">
        <v>305</v>
      </c>
      <c r="C5" s="172"/>
      <c r="D5" s="172" t="s">
        <v>306</v>
      </c>
      <c r="E5" s="173" t="s">
        <v>307</v>
      </c>
    </row>
    <row r="6" spans="2:5" x14ac:dyDescent="0.25">
      <c r="B6" s="165" t="s">
        <v>309</v>
      </c>
      <c r="C6" s="166" t="s">
        <v>310</v>
      </c>
      <c r="D6" s="163">
        <v>0.01</v>
      </c>
      <c r="E6" s="122" t="s">
        <v>311</v>
      </c>
    </row>
    <row r="7" spans="2:5" x14ac:dyDescent="0.25">
      <c r="B7" s="165" t="s">
        <v>312</v>
      </c>
      <c r="C7" s="166" t="s">
        <v>310</v>
      </c>
      <c r="D7" s="163">
        <v>3.0000000000000001E-3</v>
      </c>
      <c r="E7" s="122" t="s">
        <v>318</v>
      </c>
    </row>
    <row r="8" spans="2:5" x14ac:dyDescent="0.25">
      <c r="B8" s="165" t="s">
        <v>313</v>
      </c>
      <c r="C8" s="166" t="s">
        <v>317</v>
      </c>
      <c r="D8" s="164">
        <v>16</v>
      </c>
      <c r="E8" s="162" t="s">
        <v>319</v>
      </c>
    </row>
    <row r="9" spans="2:5" x14ac:dyDescent="0.25">
      <c r="B9" s="165" t="s">
        <v>314</v>
      </c>
      <c r="C9" s="166" t="s">
        <v>317</v>
      </c>
      <c r="D9" s="164">
        <v>8</v>
      </c>
      <c r="E9" s="122" t="s">
        <v>320</v>
      </c>
    </row>
    <row r="10" spans="2:5" x14ac:dyDescent="0.25">
      <c r="B10" s="165" t="s">
        <v>315</v>
      </c>
      <c r="C10" s="166" t="s">
        <v>317</v>
      </c>
      <c r="D10" s="164">
        <v>0.02</v>
      </c>
      <c r="E10" s="122" t="s">
        <v>321</v>
      </c>
    </row>
    <row r="11" spans="2:5" x14ac:dyDescent="0.25">
      <c r="B11" s="165" t="s">
        <v>316</v>
      </c>
      <c r="C11" s="166" t="s">
        <v>317</v>
      </c>
      <c r="D11" s="164">
        <v>0.01</v>
      </c>
      <c r="E11" s="122" t="s">
        <v>311</v>
      </c>
    </row>
    <row r="12" spans="2:5" x14ac:dyDescent="0.25">
      <c r="C12" s="16"/>
      <c r="D12" s="81"/>
    </row>
    <row r="13" spans="2:5" x14ac:dyDescent="0.25">
      <c r="C13" s="16"/>
    </row>
    <row r="14" spans="2:5" x14ac:dyDescent="0.25">
      <c r="C14" s="16"/>
    </row>
    <row r="15" spans="2:5" x14ac:dyDescent="0.25">
      <c r="C15" s="16"/>
    </row>
    <row r="16" spans="2:5" x14ac:dyDescent="0.25">
      <c r="B16" s="161" t="s">
        <v>332</v>
      </c>
      <c r="C16" s="16"/>
    </row>
    <row r="17" spans="2:10" x14ac:dyDescent="0.25">
      <c r="B17" s="171" t="s">
        <v>305</v>
      </c>
      <c r="C17" s="174"/>
      <c r="D17" s="172" t="s">
        <v>306</v>
      </c>
      <c r="E17" s="173" t="s">
        <v>307</v>
      </c>
    </row>
    <row r="18" spans="2:10" ht="30" customHeight="1" x14ac:dyDescent="0.25">
      <c r="B18" s="178" t="s">
        <v>333</v>
      </c>
      <c r="C18" s="179" t="s">
        <v>334</v>
      </c>
      <c r="D18" s="175">
        <v>0.01</v>
      </c>
      <c r="E18" s="176" t="s">
        <v>335</v>
      </c>
      <c r="G18" s="216" t="s">
        <v>344</v>
      </c>
      <c r="H18" s="215"/>
      <c r="I18" s="215"/>
      <c r="J18" s="215"/>
    </row>
    <row r="19" spans="2:10" ht="36" customHeight="1" x14ac:dyDescent="0.25">
      <c r="B19" s="178" t="s">
        <v>333</v>
      </c>
      <c r="C19" s="179" t="s">
        <v>334</v>
      </c>
      <c r="D19" s="175">
        <v>7.4999999999999997E-3</v>
      </c>
      <c r="E19" s="176" t="s">
        <v>336</v>
      </c>
    </row>
    <row r="20" spans="2:10" ht="45" x14ac:dyDescent="0.25">
      <c r="B20" s="178" t="s">
        <v>339</v>
      </c>
      <c r="C20" s="179" t="s">
        <v>337</v>
      </c>
      <c r="D20" s="177">
        <v>0.1</v>
      </c>
      <c r="E20" s="176" t="s">
        <v>338</v>
      </c>
    </row>
    <row r="21" spans="2:10" ht="45" x14ac:dyDescent="0.25">
      <c r="B21" s="178" t="s">
        <v>340</v>
      </c>
      <c r="C21" s="179" t="s">
        <v>337</v>
      </c>
      <c r="D21" s="177">
        <v>0.2</v>
      </c>
      <c r="E21" s="176" t="s">
        <v>342</v>
      </c>
    </row>
    <row r="22" spans="2:10" ht="45" x14ac:dyDescent="0.25">
      <c r="B22" s="178" t="s">
        <v>341</v>
      </c>
      <c r="C22" s="179" t="s">
        <v>337</v>
      </c>
      <c r="D22" s="177">
        <v>0.3</v>
      </c>
      <c r="E22" s="176" t="s">
        <v>343</v>
      </c>
    </row>
  </sheetData>
  <pageMargins left="0.7" right="0.7" top="0.75" bottom="0.75" header="0.3" footer="0.3"/>
  <pageSetup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Horti dominan sayur buah</vt:lpstr>
      <vt:lpstr>data</vt:lpstr>
      <vt:lpstr>EF peternakan</vt:lpstr>
      <vt:lpstr>Peternakan-CH4</vt:lpstr>
      <vt:lpstr>Peternakan-N2O</vt:lpstr>
      <vt:lpstr>EF&amp;SF lahan sawah</vt:lpstr>
      <vt:lpstr>proses bau baseline pertanian</vt:lpstr>
      <vt:lpstr>Lahan sawah</vt:lpstr>
      <vt:lpstr>EF pupuk-kapur</vt:lpstr>
      <vt:lpstr>Kapur pertanian-CO2</vt:lpstr>
      <vt:lpstr>Pupuk Urea-CO2</vt:lpstr>
      <vt:lpstr>Direct N2O</vt:lpstr>
      <vt:lpstr>Perhitungan ke CO2-eq</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dc:creator>
  <cp:lastModifiedBy>User</cp:lastModifiedBy>
  <cp:lastPrinted>2012-09-08T20:51:12Z</cp:lastPrinted>
  <dcterms:created xsi:type="dcterms:W3CDTF">2012-08-01T00:54:49Z</dcterms:created>
  <dcterms:modified xsi:type="dcterms:W3CDTF">2017-08-23T22:46:19Z</dcterms:modified>
</cp:coreProperties>
</file>